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eleduvn-my.sharepoint.com/personal/minhnth19414c_st_uel_edu_vn/Documents/Documents/Môn học/Đại học/HK5/QTTC nâng cao/Assignment/GAS/"/>
    </mc:Choice>
  </mc:AlternateContent>
  <xr:revisionPtr revIDLastSave="1" documentId="8_{76564398-1FF2-45F4-8713-B7F282525447}" xr6:coauthVersionLast="47" xr6:coauthVersionMax="47" xr10:uidLastSave="{FED1B532-9667-4F84-B7A9-DF18314B0597}"/>
  <bookViews>
    <workbookView xWindow="-120" yWindow="-120" windowWidth="20730" windowHeight="11160" xr2:uid="{290C3A89-E8A4-4728-9008-8FF3161A66C9}"/>
  </bookViews>
  <sheets>
    <sheet name="Forecast" sheetId="4" r:id="rId1"/>
    <sheet name="Original BS and IS" sheetId="1" r:id="rId2"/>
    <sheet name="BS and IS" sheetId="5" r:id="rId3"/>
    <sheet name="Historical" sheetId="9" r:id="rId4"/>
    <sheet name="WACC" sheetId="12" r:id="rId5"/>
  </sheets>
  <definedNames>
    <definedName name="ExternalData_3" localSheetId="4" hidden="1">WACC!$A$1:$F$1252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2" l="1"/>
  <c r="I25" i="12" s="1"/>
  <c r="I22" i="12"/>
  <c r="I24" i="12"/>
  <c r="C8" i="9" l="1"/>
  <c r="D8" i="9"/>
  <c r="E8" i="9"/>
  <c r="F8" i="9"/>
  <c r="B17" i="4" s="1"/>
  <c r="B8" i="9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B8" i="4" s="1"/>
  <c r="C8" i="4" s="1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F5" i="9" s="1"/>
  <c r="M12" i="5"/>
  <c r="L12" i="5"/>
  <c r="D5" i="9" s="1"/>
  <c r="K12" i="5"/>
  <c r="C5" i="9" s="1"/>
  <c r="J12" i="5"/>
  <c r="B5" i="9" s="1"/>
  <c r="N11" i="5"/>
  <c r="M11" i="5"/>
  <c r="L11" i="5"/>
  <c r="K11" i="5"/>
  <c r="J11" i="5"/>
  <c r="N10" i="5"/>
  <c r="L22" i="12" s="1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F4" i="9" s="1"/>
  <c r="M6" i="5"/>
  <c r="E4" i="9" s="1"/>
  <c r="L6" i="5"/>
  <c r="D4" i="9" s="1"/>
  <c r="D3" i="9" s="1"/>
  <c r="K6" i="5"/>
  <c r="C4" i="9" s="1"/>
  <c r="J6" i="5"/>
  <c r="B4" i="9" s="1"/>
  <c r="N5" i="5"/>
  <c r="F2" i="9" s="1"/>
  <c r="B14" i="4" s="1"/>
  <c r="M5" i="5"/>
  <c r="E2" i="9" s="1"/>
  <c r="E13" i="9" s="1"/>
  <c r="L5" i="5"/>
  <c r="D2" i="9" s="1"/>
  <c r="K5" i="5"/>
  <c r="C2" i="9" s="1"/>
  <c r="J5" i="5"/>
  <c r="B2" i="9" s="1"/>
  <c r="N4" i="5"/>
  <c r="M4" i="5"/>
  <c r="L4" i="5"/>
  <c r="K4" i="5"/>
  <c r="J4" i="5"/>
  <c r="N3" i="5"/>
  <c r="M3" i="5"/>
  <c r="L3" i="5"/>
  <c r="K3" i="5"/>
  <c r="J3" i="5"/>
  <c r="B36" i="5"/>
  <c r="C36" i="5"/>
  <c r="D36" i="5"/>
  <c r="E36" i="5"/>
  <c r="F36" i="5"/>
  <c r="B37" i="5"/>
  <c r="C37" i="5"/>
  <c r="D37" i="5"/>
  <c r="E37" i="5"/>
  <c r="F37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M29" i="12" s="1"/>
  <c r="E59" i="5"/>
  <c r="L29" i="12" s="1"/>
  <c r="D59" i="5"/>
  <c r="K29" i="12" s="1"/>
  <c r="C59" i="5"/>
  <c r="J29" i="12" s="1"/>
  <c r="B59" i="5"/>
  <c r="I29" i="12" s="1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M28" i="12" s="1"/>
  <c r="E49" i="5"/>
  <c r="L28" i="12" s="1"/>
  <c r="D49" i="5"/>
  <c r="K28" i="12" s="1"/>
  <c r="C49" i="5"/>
  <c r="J28" i="12" s="1"/>
  <c r="B49" i="5"/>
  <c r="I28" i="12" s="1"/>
  <c r="I30" i="12" s="1"/>
  <c r="I31" i="12" s="1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7" i="5"/>
  <c r="F7" i="9" s="1"/>
  <c r="E27" i="5"/>
  <c r="E7" i="9" s="1"/>
  <c r="D27" i="5"/>
  <c r="D7" i="9" s="1"/>
  <c r="C27" i="5"/>
  <c r="C7" i="9" s="1"/>
  <c r="B27" i="5"/>
  <c r="B7" i="9" s="1"/>
  <c r="B17" i="9" s="1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F6" i="9" s="1"/>
  <c r="E5" i="5"/>
  <c r="E6" i="9" s="1"/>
  <c r="D5" i="5"/>
  <c r="D6" i="9" s="1"/>
  <c r="C5" i="5"/>
  <c r="C6" i="9" s="1"/>
  <c r="B5" i="5"/>
  <c r="B6" i="9" s="1"/>
  <c r="F4" i="5"/>
  <c r="E4" i="5"/>
  <c r="D4" i="5"/>
  <c r="C4" i="5"/>
  <c r="B4" i="5"/>
  <c r="F3" i="5"/>
  <c r="E3" i="5"/>
  <c r="D3" i="5"/>
  <c r="C3" i="5"/>
  <c r="B3" i="5"/>
  <c r="E17" i="9" l="1"/>
  <c r="F17" i="9"/>
  <c r="B20" i="4"/>
  <c r="B21" i="4"/>
  <c r="B22" i="4" s="1"/>
  <c r="C22" i="4" s="1"/>
  <c r="D22" i="4" s="1"/>
  <c r="E22" i="4" s="1"/>
  <c r="F22" i="4" s="1"/>
  <c r="G22" i="4" s="1"/>
  <c r="D17" i="9"/>
  <c r="B24" i="4"/>
  <c r="B23" i="4"/>
  <c r="C17" i="9"/>
  <c r="L30" i="12"/>
  <c r="L31" i="12" s="1"/>
  <c r="L32" i="12"/>
  <c r="E3" i="9"/>
  <c r="E12" i="9" s="1"/>
  <c r="K30" i="12"/>
  <c r="K32" i="12" s="1"/>
  <c r="I32" i="12"/>
  <c r="M32" i="12"/>
  <c r="L23" i="12"/>
  <c r="L24" i="12" s="1"/>
  <c r="L25" i="12" s="1"/>
  <c r="M30" i="12"/>
  <c r="M31" i="12" s="1"/>
  <c r="J30" i="12"/>
  <c r="J32" i="12" s="1"/>
  <c r="J31" i="12"/>
  <c r="D12" i="9"/>
  <c r="C3" i="9"/>
  <c r="E5" i="9"/>
  <c r="E14" i="9" s="1"/>
  <c r="B37" i="4"/>
  <c r="C14" i="4"/>
  <c r="G17" i="9"/>
  <c r="B7" i="4" s="1"/>
  <c r="B15" i="9"/>
  <c r="B16" i="9"/>
  <c r="C16" i="9"/>
  <c r="D16" i="9"/>
  <c r="E16" i="9"/>
  <c r="F16" i="9"/>
  <c r="C19" i="9"/>
  <c r="F19" i="9"/>
  <c r="C12" i="9"/>
  <c r="F13" i="9"/>
  <c r="C14" i="9"/>
  <c r="F14" i="9"/>
  <c r="E19" i="9"/>
  <c r="B9" i="9"/>
  <c r="D13" i="9"/>
  <c r="E15" i="9"/>
  <c r="C13" i="9"/>
  <c r="B14" i="9"/>
  <c r="D14" i="9"/>
  <c r="D19" i="9"/>
  <c r="F3" i="9"/>
  <c r="B3" i="9"/>
  <c r="B12" i="9" s="1"/>
  <c r="B13" i="9"/>
  <c r="G14" i="9" l="1"/>
  <c r="N32" i="12"/>
  <c r="F12" i="9"/>
  <c r="G12" i="9" s="1"/>
  <c r="B3" i="4" s="1"/>
  <c r="B15" i="4"/>
  <c r="B16" i="4" s="1"/>
  <c r="B18" i="4" s="1"/>
  <c r="B19" i="4" s="1"/>
  <c r="G19" i="9"/>
  <c r="B2" i="4" s="1"/>
  <c r="G13" i="9"/>
  <c r="K31" i="12"/>
  <c r="N31" i="12" s="1"/>
  <c r="I34" i="12" s="1"/>
  <c r="D14" i="4"/>
  <c r="B25" i="4"/>
  <c r="G16" i="9"/>
  <c r="B6" i="4" s="1"/>
  <c r="F15" i="9"/>
  <c r="F9" i="9"/>
  <c r="E9" i="9"/>
  <c r="D15" i="9"/>
  <c r="G15" i="9" s="1"/>
  <c r="B4" i="4" s="1"/>
  <c r="D9" i="9"/>
  <c r="C15" i="9"/>
  <c r="C9" i="9"/>
  <c r="C18" i="9" s="1"/>
  <c r="C7" i="4" l="1"/>
  <c r="D7" i="4" s="1"/>
  <c r="E7" i="4" s="1"/>
  <c r="C3" i="4"/>
  <c r="C4" i="4"/>
  <c r="E14" i="4"/>
  <c r="B9" i="4"/>
  <c r="C9" i="4" s="1"/>
  <c r="C6" i="4"/>
  <c r="D18" i="9"/>
  <c r="E18" i="9"/>
  <c r="F18" i="9"/>
  <c r="D4" i="4" l="1"/>
  <c r="C23" i="4"/>
  <c r="C24" i="4" s="1"/>
  <c r="D3" i="4"/>
  <c r="C15" i="4"/>
  <c r="C16" i="4" s="1"/>
  <c r="C18" i="4" s="1"/>
  <c r="F14" i="4"/>
  <c r="D6" i="4"/>
  <c r="C20" i="4"/>
  <c r="F7" i="4"/>
  <c r="G18" i="9"/>
  <c r="B5" i="4" s="1"/>
  <c r="C5" i="4" s="1"/>
  <c r="D5" i="4" s="1"/>
  <c r="E5" i="4" s="1"/>
  <c r="F5" i="4" s="1"/>
  <c r="G5" i="4" s="1"/>
  <c r="E3" i="4" l="1"/>
  <c r="D15" i="4"/>
  <c r="D16" i="4" s="1"/>
  <c r="D18" i="4" s="1"/>
  <c r="E4" i="4"/>
  <c r="D23" i="4"/>
  <c r="D24" i="4" s="1"/>
  <c r="G14" i="4"/>
  <c r="G7" i="4"/>
  <c r="C21" i="4"/>
  <c r="C17" i="4"/>
  <c r="C19" i="4" s="1"/>
  <c r="C25" i="4" s="1"/>
  <c r="C26" i="4" s="1"/>
  <c r="E6" i="4"/>
  <c r="D20" i="4"/>
  <c r="F3" i="4" l="1"/>
  <c r="E15" i="4"/>
  <c r="E16" i="4" s="1"/>
  <c r="E18" i="4" s="1"/>
  <c r="E23" i="4"/>
  <c r="E24" i="4" s="1"/>
  <c r="F4" i="4"/>
  <c r="D21" i="4"/>
  <c r="D17" i="4"/>
  <c r="D19" i="4" s="1"/>
  <c r="D25" i="4" s="1"/>
  <c r="D26" i="4" s="1"/>
  <c r="F6" i="4"/>
  <c r="E20" i="4"/>
  <c r="G4" i="4" l="1"/>
  <c r="G23" i="4" s="1"/>
  <c r="G24" i="4" s="1"/>
  <c r="F23" i="4"/>
  <c r="F24" i="4" s="1"/>
  <c r="G3" i="4"/>
  <c r="G15" i="4" s="1"/>
  <c r="G16" i="4" s="1"/>
  <c r="G18" i="4" s="1"/>
  <c r="F15" i="4"/>
  <c r="F16" i="4" s="1"/>
  <c r="F18" i="4" s="1"/>
  <c r="G6" i="4"/>
  <c r="G20" i="4" s="1"/>
  <c r="F20" i="4"/>
  <c r="E21" i="4"/>
  <c r="E17" i="4"/>
  <c r="E19" i="4" s="1"/>
  <c r="E25" i="4" s="1"/>
  <c r="E26" i="4" s="1"/>
  <c r="F21" i="4" l="1"/>
  <c r="F17" i="4"/>
  <c r="F19" i="4" s="1"/>
  <c r="F25" i="4" s="1"/>
  <c r="F26" i="4" s="1"/>
  <c r="G21" i="4"/>
  <c r="G17" i="4"/>
  <c r="G19" i="4" s="1"/>
  <c r="G25" i="4" s="1"/>
  <c r="G26" i="4" l="1"/>
  <c r="B35" i="4" s="1"/>
  <c r="B30" i="4"/>
  <c r="B31" i="4" s="1"/>
  <c r="B32" i="4" s="1"/>
  <c r="B36" i="4" l="1"/>
  <c r="B38" i="4" s="1"/>
  <c r="B4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91EE9-5A1B-4D5F-8438-1BE93365E1A2}" keepAlive="1" name="Query - Capm data" description="Connection to the 'Capm data' query in the workbook." type="5" refreshedVersion="7" background="1" saveData="1">
    <dbPr connection="Provider=Microsoft.Mashup.OleDb.1;Data Source=$Workbook$;Location=&quot;Capm data&quot;;Extended Properties=&quot;&quot;" command="SELECT * FROM [Capm data]"/>
  </connection>
  <connection id="2" xr16:uid="{FE3564AD-58BB-49E5-BB36-E3A0911E146E}" keepAlive="1" name="Query - Dữ liệu Lịch sử GAS" description="Connection to the 'Dữ liệu Lịch sử GAS' query in the workbook." type="5" refreshedVersion="7" background="1" saveData="1">
    <dbPr connection="Provider=Microsoft.Mashup.OleDb.1;Data Source=$Workbook$;Location=&quot;Dữ liệu Lịch sử GAS&quot;;Extended Properties=&quot;&quot;" command="SELECT * FROM [Dữ liệu Lịch sử GAS]"/>
  </connection>
  <connection id="3" xr16:uid="{F07E596C-8BEA-4639-AB42-796678B7D190}" keepAlive="1" name="Query - Dữ liệu Lịch sử Suất Thu lợi Trái phiếu 10 Năm Việt Nam" description="Connection to the 'Dữ liệu Lịch sử Suất Thu lợi Trái phiếu 10 Năm Việt Nam' query in the workbook." type="5" refreshedVersion="7" background="1" saveData="1">
    <dbPr connection="Provider=Microsoft.Mashup.OleDb.1;Data Source=$Workbook$;Location=&quot;Dữ liệu Lịch sử Suất Thu lợi Trái phiếu 10 Năm Việt Nam&quot;;Extended Properties=&quot;&quot;" command="SELECT * FROM [Dữ liệu Lịch sử Suất Thu lợi Trái phiếu 10 Năm Việt Nam]"/>
  </connection>
  <connection id="4" xr16:uid="{0CFD53B8-F223-4582-8112-362CFB6145C7}" keepAlive="1" name="Query - Dữ liệu Lịch sử VN Index" description="Connection to the 'Dữ liệu Lịch sử VN Index' query in the workbook." type="5" refreshedVersion="7" background="1" saveData="1">
    <dbPr connection="Provider=Microsoft.Mashup.OleDb.1;Data Source=$Workbook$;Location=&quot;Dữ liệu Lịch sử VN Index&quot;;Extended Properties=&quot;&quot;" command="SELECT * FROM [Dữ liệu Lịch sử VN Index]"/>
  </connection>
</connections>
</file>

<file path=xl/sharedStrings.xml><?xml version="1.0" encoding="utf-8"?>
<sst xmlns="http://schemas.openxmlformats.org/spreadsheetml/2006/main" count="408" uniqueCount="251">
  <si>
    <t>ITEMS</t>
  </si>
  <si>
    <t>2016</t>
  </si>
  <si>
    <t>2017</t>
  </si>
  <si>
    <t>2018</t>
  </si>
  <si>
    <t>2019</t>
  </si>
  <si>
    <t>2020</t>
  </si>
  <si>
    <t>TOTAL ASSETS</t>
  </si>
  <si>
    <t>CURRENT ASSETS</t>
  </si>
  <si>
    <t>Cash and cash equivalents</t>
  </si>
  <si>
    <t>Cash</t>
  </si>
  <si>
    <t>Cash equivalents</t>
  </si>
  <si>
    <t>Short-term investments</t>
  </si>
  <si>
    <t>Provision for diminution</t>
  </si>
  <si>
    <t>Held-to-maturity securities</t>
  </si>
  <si>
    <t>Accounts receivable</t>
  </si>
  <si>
    <t>Trade accounts receivable</t>
  </si>
  <si>
    <t>Prepayments to suppliers</t>
  </si>
  <si>
    <t>Intercompany receivables</t>
  </si>
  <si>
    <t>Construction contract in progress receivables</t>
  </si>
  <si>
    <t>Short-term loans receivables</t>
  </si>
  <si>
    <t>Other receivables</t>
  </si>
  <si>
    <t>Provision for doubtful debts</t>
  </si>
  <si>
    <t>Shortage of current assets waiting for solution</t>
  </si>
  <si>
    <t>Inventories</t>
  </si>
  <si>
    <t>Provision for decline in inventories</t>
  </si>
  <si>
    <t>Other current assets</t>
  </si>
  <si>
    <t>Short-term prepaid expenses</t>
  </si>
  <si>
    <t>VAT to be claimed</t>
  </si>
  <si>
    <t>Other taxes receivable</t>
  </si>
  <si>
    <t>Government bonds purchased for resale</t>
  </si>
  <si>
    <t>LONG-TERM ASSETS</t>
  </si>
  <si>
    <t>Long-term trade receivables</t>
  </si>
  <si>
    <t>Long-term trade receivables from customers</t>
  </si>
  <si>
    <t>Long-term prepayments to suppliers</t>
  </si>
  <si>
    <t>Paid-in capital in wholly-owned subsidiaries</t>
  </si>
  <si>
    <t>Long-term intercompany receivables</t>
  </si>
  <si>
    <t>Long-term loans receivables</t>
  </si>
  <si>
    <t>Other long-term receivables</t>
  </si>
  <si>
    <t>Provision for doubtful LT receivable</t>
  </si>
  <si>
    <t>Fixed assets</t>
  </si>
  <si>
    <t>Tangible fixed assets</t>
  </si>
  <si>
    <t>Cost</t>
  </si>
  <si>
    <t>Accumulated depreciation</t>
  </si>
  <si>
    <t>Finance leased assets</t>
  </si>
  <si>
    <t>Intangible fixed assets</t>
  </si>
  <si>
    <t>Investment properties</t>
  </si>
  <si>
    <t>Long-term incomplete assets</t>
  </si>
  <si>
    <t>Long-term cost of work in progress</t>
  </si>
  <si>
    <t>Construction in progress</t>
  </si>
  <si>
    <t>Long-term investments</t>
  </si>
  <si>
    <t>Investment in subsidiaries</t>
  </si>
  <si>
    <t>Investment in associates</t>
  </si>
  <si>
    <t>Other Long-term investments</t>
  </si>
  <si>
    <t>Provision for long-term investments</t>
  </si>
  <si>
    <t>Held-to-maturity investment</t>
  </si>
  <si>
    <t>Other long-term assets</t>
  </si>
  <si>
    <t>Long-term prepayments</t>
  </si>
  <si>
    <t>Deferred income tax assets</t>
  </si>
  <si>
    <t>Long-term equipment. material and spare parts</t>
  </si>
  <si>
    <t>Good will</t>
  </si>
  <si>
    <t>LIABILITIES</t>
  </si>
  <si>
    <t>Current liabilities</t>
  </si>
  <si>
    <t>Trade accounts payable</t>
  </si>
  <si>
    <t>Advances from customers</t>
  </si>
  <si>
    <t>Taxes and other payable to State Budget</t>
  </si>
  <si>
    <t>Payable to employees</t>
  </si>
  <si>
    <t>Accrued expenses</t>
  </si>
  <si>
    <t>Intercompany payables</t>
  </si>
  <si>
    <t>Construction contract in progress payables</t>
  </si>
  <si>
    <t>Short-term unrealized revenue</t>
  </si>
  <si>
    <t>Other payables</t>
  </si>
  <si>
    <t>Short-term borrowings</t>
  </si>
  <si>
    <t>Provision for ST liabilities</t>
  </si>
  <si>
    <t>Bonus and welfare funds</t>
  </si>
  <si>
    <t>Price stabilization fund</t>
  </si>
  <si>
    <t>Long-term liabilities</t>
  </si>
  <si>
    <t>Long-term trade payables</t>
  </si>
  <si>
    <t>Long-term advances from customers</t>
  </si>
  <si>
    <t>Long-term accrued expenses</t>
  </si>
  <si>
    <t>Intra-company payables for operating capital received</t>
  </si>
  <si>
    <t>Long-term intercompany payables</t>
  </si>
  <si>
    <t>Unrealized revenue</t>
  </si>
  <si>
    <t>Other long-term payables</t>
  </si>
  <si>
    <t>Long-term borrowings</t>
  </si>
  <si>
    <t>Convertible bonds</t>
  </si>
  <si>
    <t>Preferred shares</t>
  </si>
  <si>
    <t>Deferred income tax liabilities</t>
  </si>
  <si>
    <t>Provision for severance allowances</t>
  </si>
  <si>
    <t>Provision for long-term liabilities</t>
  </si>
  <si>
    <t>Technology-science development fund</t>
  </si>
  <si>
    <t>OWNER'S EQUITY</t>
  </si>
  <si>
    <t>Capital and reserves</t>
  </si>
  <si>
    <t>Paid-in capital</t>
  </si>
  <si>
    <t>Common shares</t>
  </si>
  <si>
    <t>Share premium</t>
  </si>
  <si>
    <t>Conversion options on convertible bonds</t>
  </si>
  <si>
    <t>Owner's other capitals</t>
  </si>
  <si>
    <t>Treasury shares</t>
  </si>
  <si>
    <t>Difference upon assets revaluation</t>
  </si>
  <si>
    <t>Foreign exchange differences</t>
  </si>
  <si>
    <t>Investment and development funds</t>
  </si>
  <si>
    <t>Enterprise arrangement fund</t>
  </si>
  <si>
    <t>Financial researve funds</t>
  </si>
  <si>
    <t>Other funds</t>
  </si>
  <si>
    <t>Undistributed earnings</t>
  </si>
  <si>
    <t>Beginning accumulated undistributed earnings</t>
  </si>
  <si>
    <t>Current period undistributed earnings</t>
  </si>
  <si>
    <t>Minority interests</t>
  </si>
  <si>
    <t>Budget sources and other funds</t>
  </si>
  <si>
    <t>Bonus and welfare funds (Before 2010)</t>
  </si>
  <si>
    <t>Funds used for fixed asset acquisitions</t>
  </si>
  <si>
    <t>Minority Interest</t>
  </si>
  <si>
    <t>TOTAL RESOURCES</t>
  </si>
  <si>
    <t>Income statement</t>
  </si>
  <si>
    <t>Sales</t>
  </si>
  <si>
    <t>Sales deductions</t>
  </si>
  <si>
    <t>Net sales</t>
  </si>
  <si>
    <t>Cost of sales</t>
  </si>
  <si>
    <t>Gross Profit</t>
  </si>
  <si>
    <t>Financial income</t>
  </si>
  <si>
    <t>of which: interest expenses</t>
  </si>
  <si>
    <t>Gain/(loss) from joint ventures</t>
  </si>
  <si>
    <t>Selling expenses</t>
  </si>
  <si>
    <t>General and admin expenses</t>
  </si>
  <si>
    <t>Operating profit/(loss)</t>
  </si>
  <si>
    <t>Other incomes</t>
  </si>
  <si>
    <t>Other expenses</t>
  </si>
  <si>
    <t>Net other income/(expenses)</t>
  </si>
  <si>
    <t>Income from investments in other entities</t>
  </si>
  <si>
    <t>Net accounting profit/(loss) before tax</t>
  </si>
  <si>
    <t>Corporate income tax - current</t>
  </si>
  <si>
    <t>Corporate income tax - deferred</t>
  </si>
  <si>
    <t>Corporate income tax expenses</t>
  </si>
  <si>
    <t>Net profit/(loss) after tax</t>
  </si>
  <si>
    <t>Minority interest</t>
  </si>
  <si>
    <t>Attributable to parent company</t>
  </si>
  <si>
    <t>EPS</t>
  </si>
  <si>
    <t>EPS diluted</t>
  </si>
  <si>
    <t>BALANCE SHEET</t>
  </si>
  <si>
    <t>INCOME STATEMENT</t>
  </si>
  <si>
    <t>ASSET (Billions)</t>
  </si>
  <si>
    <t>ITEMS (Billions)</t>
  </si>
  <si>
    <t>Net profit/(loss) before tax</t>
  </si>
  <si>
    <t>Net Fixed assets</t>
  </si>
  <si>
    <t>Gross fixed assets</t>
  </si>
  <si>
    <t>Depreciation Accumulated</t>
  </si>
  <si>
    <t>LIABILITIES AND EQUITY (Billions)</t>
  </si>
  <si>
    <t>Historical data</t>
  </si>
  <si>
    <t>Operating cost</t>
  </si>
  <si>
    <t>Cost of goods sold</t>
  </si>
  <si>
    <t>SGA expenses</t>
  </si>
  <si>
    <t>NOWC</t>
  </si>
  <si>
    <t>Depreciation</t>
  </si>
  <si>
    <t>Working capital</t>
  </si>
  <si>
    <t>Historical percentage of sale</t>
  </si>
  <si>
    <t>Average</t>
  </si>
  <si>
    <t>Operating cost/Sales</t>
  </si>
  <si>
    <t>Cost of goods sold/Sales</t>
  </si>
  <si>
    <t>SGA expenses/Sales</t>
  </si>
  <si>
    <t>NOWC/Sales</t>
  </si>
  <si>
    <t>Fixed asset/Sales</t>
  </si>
  <si>
    <t>Depreciation/FA</t>
  </si>
  <si>
    <t>Working capital growth rate</t>
  </si>
  <si>
    <t>Sales growth rate</t>
  </si>
  <si>
    <t>Rm-Rf</t>
  </si>
  <si>
    <t>Ri-Rf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</si>
  <si>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</si>
  <si>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</si>
  <si>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</si>
  <si>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</si>
  <si>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</si>
  <si>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</si>
  <si>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</si>
  <si>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</si>
  <si>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</si>
  <si>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</si>
  <si>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</si>
  <si>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</si>
  <si>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</si>
  <si>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</si>
  <si>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</si>
  <si>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</si>
  <si>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</si>
  <si>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</si>
  <si>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</si>
  <si>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</si>
  <si>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</si>
  <si>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</si>
  <si>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</si>
  <si>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</si>
  <si>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beta</t>
  </si>
  <si>
    <t xml:space="preserve">Cost of equity </t>
  </si>
  <si>
    <t>Cost of debt</t>
  </si>
  <si>
    <t>Risk free rate</t>
  </si>
  <si>
    <t>Interest expense in 2020</t>
  </si>
  <si>
    <t>Market risk premium</t>
  </si>
  <si>
    <t>Debt in 2020</t>
  </si>
  <si>
    <t>Beta</t>
  </si>
  <si>
    <t>Cost of equity</t>
  </si>
  <si>
    <t>Cost of debt after tax</t>
  </si>
  <si>
    <t>Capital structure</t>
  </si>
  <si>
    <t>Debt</t>
  </si>
  <si>
    <t>Equity</t>
  </si>
  <si>
    <t>Total debt and equity</t>
  </si>
  <si>
    <t>Weighted of debt</t>
  </si>
  <si>
    <t>Weighted of equity</t>
  </si>
  <si>
    <t>WACC</t>
  </si>
  <si>
    <t>Horizon forecast: inputs</t>
  </si>
  <si>
    <t>Operating costs/sales</t>
  </si>
  <si>
    <t>2021</t>
  </si>
  <si>
    <t>2022</t>
  </si>
  <si>
    <t>2023</t>
  </si>
  <si>
    <t>2024</t>
  </si>
  <si>
    <t>2025</t>
  </si>
  <si>
    <t>NOWC/ Sales</t>
  </si>
  <si>
    <t>Fixed asset/ Sales</t>
  </si>
  <si>
    <t>Historical average</t>
  </si>
  <si>
    <t>Tax rate</t>
  </si>
  <si>
    <t>FORECAST THE CASH FLOW</t>
  </si>
  <si>
    <t>2020 (Historical)</t>
  </si>
  <si>
    <t>EBIT</t>
  </si>
  <si>
    <t>EBIT(1-T)</t>
  </si>
  <si>
    <t>Net fixed asset</t>
  </si>
  <si>
    <t>Net Fixed asset</t>
  </si>
  <si>
    <t>Depreciation/Fixed asset</t>
  </si>
  <si>
    <t>NOWC growth rate</t>
  </si>
  <si>
    <t>CAPEX</t>
  </si>
  <si>
    <r>
      <rPr>
        <sz val="11"/>
        <color theme="1"/>
        <rFont val="Arial Black"/>
        <family val="2"/>
      </rPr>
      <t>∆</t>
    </r>
    <r>
      <rPr>
        <sz val="11"/>
        <color theme="1"/>
        <rFont val="Calibri"/>
        <family val="2"/>
        <charset val="163"/>
      </rPr>
      <t>NOWC</t>
    </r>
  </si>
  <si>
    <t>FCF</t>
  </si>
  <si>
    <t>PV of FCFs</t>
  </si>
  <si>
    <t>EBIT(1-T) +De</t>
  </si>
  <si>
    <t>Net CAPEX</t>
  </si>
  <si>
    <t>HORIZONTAL VALUE AND INSTRINSIC VALUE ESTIMATION</t>
  </si>
  <si>
    <t>Estimate value at horizon</t>
  </si>
  <si>
    <t>FCF 2026</t>
  </si>
  <si>
    <t>horizon value at 2025</t>
  </si>
  <si>
    <t>PV of horizon value</t>
  </si>
  <si>
    <t>Calculation of firm intrinsic value</t>
  </si>
  <si>
    <t>Sum of PV of FCFs, 2016 -2020</t>
  </si>
  <si>
    <t>Total corporate value</t>
  </si>
  <si>
    <t>Market value of debt and preferred</t>
  </si>
  <si>
    <t>Intrinsic value of common equity</t>
  </si>
  <si>
    <t>Intrinsic value per share</t>
  </si>
  <si>
    <t>Constant growth rate of FCF</t>
  </si>
  <si>
    <t>Share outstanding (millions)</t>
  </si>
  <si>
    <t>Date</t>
  </si>
  <si>
    <t>% Change in GAS price</t>
  </si>
  <si>
    <t>%Change in VNIndex</t>
  </si>
  <si>
    <t>Rate of return of Bond 10-year</t>
  </si>
  <si>
    <t>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</si>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</sst>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6" x14ac:knownFonts="1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b/>
      <sz val="14"/>
      <color theme="4" tint="-0.499984740745262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  <font>
      <b/>
      <sz val="10"/>
      <color theme="0"/>
      <name val="Arial"/>
      <family val="2"/>
      <charset val="163"/>
    </font>
    <font>
      <b/>
      <sz val="14"/>
      <color rgb="FF002060"/>
      <name val="Calibri"/>
      <family val="2"/>
      <charset val="163"/>
      <scheme val="minor"/>
    </font>
    <font>
      <sz val="11"/>
      <color theme="1"/>
      <name val="Arial Black"/>
      <family val="2"/>
    </font>
    <font>
      <sz val="11"/>
      <color theme="1"/>
      <name val="Calibri"/>
      <family val="2"/>
      <charset val="163"/>
    </font>
    <font>
      <sz val="10"/>
      <color rgb="FF000000"/>
      <name val="Arial"/>
      <family val="2"/>
      <charset val="163"/>
    </font>
    <font>
      <b/>
      <sz val="11"/>
      <color rgb="FF000000"/>
      <name val="Arial"/>
      <family val="2"/>
      <charset val="163"/>
    </font>
    <font>
      <sz val="8"/>
      <name val="Calibri"/>
      <family val="2"/>
      <charset val="163"/>
      <scheme val="minor"/>
    </font>
    <font>
      <b/>
      <sz val="13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4" fontId="3" fillId="0" borderId="0" xfId="0" applyNumberFormat="1" applyFont="1"/>
    <xf numFmtId="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1" applyFont="1"/>
    <xf numFmtId="0" fontId="0" fillId="0" borderId="1" xfId="0" applyBorder="1"/>
    <xf numFmtId="9" fontId="0" fillId="0" borderId="0" xfId="0" applyNumberFormat="1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4" fillId="0" borderId="4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9" fontId="0" fillId="0" borderId="0" xfId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5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1" applyNumberFormat="1" applyFont="1"/>
    <xf numFmtId="1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8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11" fillId="0" borderId="0" xfId="0" applyFont="1"/>
    <xf numFmtId="4" fontId="0" fillId="0" borderId="1" xfId="0" applyNumberFormat="1" applyBorder="1"/>
    <xf numFmtId="4" fontId="0" fillId="0" borderId="0" xfId="0" applyNumberFormat="1" applyBorder="1"/>
    <xf numFmtId="165" fontId="0" fillId="0" borderId="0" xfId="0" applyNumberFormat="1" applyAlignment="1">
      <alignment horizontal="right"/>
    </xf>
    <xf numFmtId="9" fontId="0" fillId="0" borderId="0" xfId="0" applyNumberFormat="1" applyFont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12" fillId="0" borderId="0" xfId="0" applyFont="1" applyBorder="1"/>
    <xf numFmtId="0" fontId="13" fillId="0" borderId="0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/>
    <xf numFmtId="0" fontId="0" fillId="0" borderId="0" xfId="0" applyAlignment="1">
      <alignment horizontal="right"/>
    </xf>
    <xf numFmtId="0" fontId="15" fillId="4" borderId="11" xfId="0" applyFont="1" applyFill="1" applyBorder="1"/>
    <xf numFmtId="10" fontId="15" fillId="4" borderId="10" xfId="0" applyNumberFormat="1" applyFont="1" applyFill="1" applyBorder="1"/>
    <xf numFmtId="0" fontId="0" fillId="0" borderId="0" xfId="0" applyAlignment="1">
      <alignment horizontal="left" indent="1"/>
    </xf>
    <xf numFmtId="0" fontId="8" fillId="0" borderId="0" xfId="0" applyFont="1" applyBorder="1"/>
    <xf numFmtId="0" fontId="9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7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lef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63"/>
        <scheme val="none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63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3"/>
        <scheme val="minor"/>
      </font>
      <fill>
        <patternFill patternType="solid">
          <fgColor theme="4"/>
          <bgColor theme="4"/>
        </patternFill>
      </fill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</font>
      <numFmt numFmtId="4" formatCode="#,##0.0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3"/>
        <scheme val="none"/>
      </font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D7BBCE8-0EFC-4905-8532-28237DB8E33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Change in GAS price" tableColumnId="2"/>
      <queryTableField id="3" name="%Change in VNIndex" tableColumnId="3"/>
      <queryTableField id="4" name="Rate of return of Bond 10-year" tableColumnId="4"/>
      <queryTableField id="5" name="Rm-Rf" tableColumnId="5"/>
      <queryTableField id="6" name="Ri-Rf" tableColumnId="6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01B4A-2D9C-4D88-A3A1-232755E51FD4}" name="Table2" displayName="Table2" ref="A1:G10" totalsRowShown="0">
  <autoFilter ref="A1:G10" xr:uid="{72C01B4A-2D9C-4D88-A3A1-232755E51F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011F2CF-04AD-4803-B575-FA9ABABCE7CD}" name="Horizon forecast: inputs" dataDxfId="27"/>
    <tableColumn id="9" xr3:uid="{63D2FDBA-F49D-4EC2-8E6B-F6DAF9D23212}" name="Historical average" dataDxfId="26">
      <calculatedColumnFormula>Historical!G18</calculatedColumnFormula>
    </tableColumn>
    <tableColumn id="3" xr3:uid="{A2D0BB78-3208-45ED-928F-CE2C9CFC962D}" name="2021"/>
    <tableColumn id="4" xr3:uid="{D18BE854-0762-4F30-9CCD-C3F65EBA87EA}" name="2022"/>
    <tableColumn id="5" xr3:uid="{15A56A05-99C8-4B01-89B1-5C3F679F9092}" name="2023"/>
    <tableColumn id="6" xr3:uid="{51A9DA51-F691-4D44-ABAC-457AC6084B85}" name="2024"/>
    <tableColumn id="7" xr3:uid="{DD88C97C-2325-4EC0-93B7-12C36B2CAC9D}" name="20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3C8424-34D0-4C91-84C3-C62849E9E6BA}" name="Table6" displayName="Table6" ref="A11:G19" totalsRowShown="0">
  <autoFilter ref="A11:G19" xr:uid="{5D3C8424-34D0-4C91-84C3-C62849E9E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1A8F23-4D9D-4D93-AE37-8AE6B53FA0CA}" name="Historical percentage of sale"/>
    <tableColumn id="2" xr3:uid="{C6C0B411-9786-44DC-8FA7-CC55BB7970F8}" name="2016" dataDxfId="33" dataCellStyle="Percent">
      <calculatedColumnFormula>B3/$B$2</calculatedColumnFormula>
    </tableColumn>
    <tableColumn id="3" xr3:uid="{90FC0177-0096-413B-8702-BD572796D89B}" name="2017" dataDxfId="32" dataCellStyle="Percent">
      <calculatedColumnFormula>C3/$C$2</calculatedColumnFormula>
    </tableColumn>
    <tableColumn id="4" xr3:uid="{04688F96-2846-4FC8-A19B-9111921254AB}" name="2018" dataDxfId="31" dataCellStyle="Percent">
      <calculatedColumnFormula>D3/$D$2</calculatedColumnFormula>
    </tableColumn>
    <tableColumn id="5" xr3:uid="{97791AEB-403C-4889-87DB-8EC1D34BF983}" name="2019" dataDxfId="30" dataCellStyle="Percent">
      <calculatedColumnFormula>E3/$E$2</calculatedColumnFormula>
    </tableColumn>
    <tableColumn id="6" xr3:uid="{7019E1A1-9C15-4C5C-9B36-37DB5D0AC4DF}" name="2020" dataDxfId="29" dataCellStyle="Percent">
      <calculatedColumnFormula>F3/$F$2</calculatedColumnFormula>
    </tableColumn>
    <tableColumn id="7" xr3:uid="{F2B0CA61-1E23-426C-920A-C5DD9B3066B2}" name="Average" dataDxfId="28" dataCellStyle="Percent">
      <calculatedColumnFormula>AVERAGE(Table6[[#This Row],[2016]:[2020]])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5F0E20-3E82-4355-B4DA-E756507F04A3}" name="Capm_data" displayName="Capm_data" ref="A1:F1252" tableType="queryTable" totalsRowShown="0">
  <autoFilter ref="A1:F1252" xr:uid="{6E5F0E20-3E82-4355-B4DA-E756507F04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252">
    <sortCondition descending="1" ref="A1:A1252"/>
  </sortState>
  <tableColumns count="6">
    <tableColumn id="1" xr3:uid="{27965DC3-7E7B-442D-8C88-9E03B7F5E11A}" uniqueName="1" name="Date" queryTableFieldId="1" dataDxfId="12"/>
    <tableColumn id="2" xr3:uid="{E4DB0FE1-664A-4F92-8388-EC1BBF71EF48}" uniqueName="2" name="% Change in GAS price" queryTableFieldId="2" dataDxfId="11" dataCellStyle="Percent"/>
    <tableColumn id="3" xr3:uid="{D18F075C-DB57-461F-BD9C-1ABA3CA8CEA6}" uniqueName="3" name="%Change in VNIndex" queryTableFieldId="3" dataDxfId="10" dataCellStyle="Percent"/>
    <tableColumn id="4" xr3:uid="{83615EF6-6BE0-477D-8681-6A08820D1C1E}" uniqueName="4" name="Rate of return of Bond 10-year" queryTableFieldId="4" dataDxfId="9" dataCellStyle="Percent"/>
    <tableColumn id="5" xr3:uid="{03643782-519A-4E9F-9713-3745C61ED56D}" uniqueName="5" name="Rm-Rf" queryTableFieldId="5" dataDxfId="8" dataCellStyle="Percent"/>
    <tableColumn id="6" xr3:uid="{F3B55EE6-AE30-4FD7-AE48-63EB46E6713A}" uniqueName="6" name="Ri-Rf" queryTableFieldId="6" dataDxfId="7" dataCellStyle="Percent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08D0E9-D43A-4E16-B404-8187A00906BD}" name="Table12" displayName="Table12" ref="H21:I25" totalsRowShown="0" headerRowDxfId="6">
  <autoFilter ref="H21:I25" xr:uid="{C908D0E9-D43A-4E16-B404-8187A00906BD}">
    <filterColumn colId="0" hiddenButton="1"/>
    <filterColumn colId="1" hiddenButton="1"/>
  </autoFilter>
  <tableColumns count="2">
    <tableColumn id="1" xr3:uid="{36BF13AE-C63B-42B2-8DB3-07ACF86B269B}" name="Cost of equity "/>
    <tableColumn id="2" xr3:uid="{9882F30F-CB0C-4E16-873E-799B04E95488}" name="Valu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8A4685-AE04-4A2A-BEFE-26B2BAE52B7C}" name="Table13" displayName="Table13" ref="K21:L25" totalsRowShown="0">
  <autoFilter ref="K21:L25" xr:uid="{238A4685-AE04-4A2A-BEFE-26B2BAE52B7C}">
    <filterColumn colId="0" hiddenButton="1"/>
    <filterColumn colId="1" hiddenButton="1"/>
  </autoFilter>
  <tableColumns count="2">
    <tableColumn id="1" xr3:uid="{31370277-78D6-4E49-B570-9A48D87634A5}" name="Cost of debt"/>
    <tableColumn id="3" xr3:uid="{9E03EA94-DD00-48AD-B37B-094AB6DBA4C5}" name="Valu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813A28-CBD1-4820-BD7E-E9FDE18884E9}" name="Table14" displayName="Table14" ref="H27:N32" totalsRowShown="0" headerRowDxfId="5">
  <autoFilter ref="H27:N32" xr:uid="{3B813A28-CBD1-4820-BD7E-E9FDE1888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828EBA4-CD2B-43B7-A37F-E91321F56DD4}" name="Capital structure"/>
    <tableColumn id="2" xr3:uid="{DCFE59A1-67B9-4706-9E31-5ABE1965BF81}" name="2016" dataDxfId="4"/>
    <tableColumn id="3" xr3:uid="{674410D4-D0FD-4639-89EE-66281032C8ED}" name="2017" dataDxfId="3"/>
    <tableColumn id="4" xr3:uid="{3A095531-025D-4E7A-A970-29DAA9BD1B73}" name="2018" dataDxfId="2"/>
    <tableColumn id="5" xr3:uid="{D00CCD99-542A-4B94-92D9-C12AE6A2BF74}" name="2019" dataDxfId="1"/>
    <tableColumn id="6" xr3:uid="{D3860D07-F953-46AE-8757-573B4245AED9}" name="2020" dataDxfId="0"/>
    <tableColumn id="7" xr3:uid="{7AC4F8FD-10FA-48E4-83C7-236CBE186BC8}" name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430B48-437D-4A2D-B06D-123958ABFDCF}" name="Table8" displayName="Table8" ref="A13:G26" totalsRowShown="0" headerRowDxfId="25" headerRowBorderDxfId="24" tableBorderDxfId="23">
  <autoFilter ref="A13:G26" xr:uid="{B8430B48-437D-4A2D-B06D-123958ABFD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38937CD-0B98-4986-8386-B70A6125B8B0}" name="ITEMS (Billions)"/>
    <tableColumn id="2" xr3:uid="{EE3E15CC-2AFC-492F-8760-80FD68BE48E5}" name="2020 (Historical)" dataDxfId="22">
      <calculatedColumnFormula>B12-B13</calculatedColumnFormula>
    </tableColumn>
    <tableColumn id="3" xr3:uid="{817E270C-F602-4C45-8C9D-62DC3E0F5095}" name="2021" dataDxfId="21">
      <calculatedColumnFormula>Table8[[#This Row],[2020 (Historical)]]*(1+C2)</calculatedColumnFormula>
    </tableColumn>
    <tableColumn id="4" xr3:uid="{EC458973-FEEA-4B58-AAD4-B4AC6D552153}" name="2022" dataDxfId="20"/>
    <tableColumn id="5" xr3:uid="{23E02C4C-02E3-4927-A3B2-BEFAFB68298C}" name="2023" dataDxfId="19"/>
    <tableColumn id="6" xr3:uid="{FB62622A-A789-459A-85B9-D359A0AD3619}" name="2024" dataDxfId="18"/>
    <tableColumn id="7" xr3:uid="{E3C5CD38-3B9F-49D0-BE51-335A8FF6AE52}" name="2025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8625DE-E81C-453D-8F8B-90D2D9AAFD7D}" name="Table15" displayName="Table15" ref="A29:B32" totalsRowShown="0">
  <autoFilter ref="A29:B32" xr:uid="{E08625DE-E81C-453D-8F8B-90D2D9AAFD7D}">
    <filterColumn colId="0" hiddenButton="1"/>
    <filterColumn colId="1" hiddenButton="1"/>
  </autoFilter>
  <tableColumns count="2">
    <tableColumn id="1" xr3:uid="{8565C711-C15D-4A69-AF63-92D5A31AFD8E}" name="Estimate value at horizon" dataDxfId="16"/>
    <tableColumn id="3" xr3:uid="{7760C9F2-AACF-4F0F-BD40-8B542D2FE26B}" name=" 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A674C74-45E2-4697-8339-B0A49F1A86A5}" name="Table17" displayName="Table17" ref="A34:B40" totalsRowShown="0">
  <autoFilter ref="A34:B40" xr:uid="{1A674C74-45E2-4697-8339-B0A49F1A86A5}">
    <filterColumn colId="0" hiddenButton="1"/>
    <filterColumn colId="1" hiddenButton="1"/>
  </autoFilter>
  <tableColumns count="2">
    <tableColumn id="1" xr3:uid="{58C379A8-0259-490B-8446-BDFD124E5001}" name="Calculation of firm intrinsic value" dataDxfId="14"/>
    <tableColumn id="3" xr3:uid="{BD297640-1942-4466-86BF-7D7230F2A72C}" name=" 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23838-0353-4EBD-9434-5692D23A34F2}" name="Table1" displayName="Table1" ref="A1:F121" totalsRowShown="0" headerRowDxfId="71" dataDxfId="70">
  <autoFilter ref="A1:F121" xr:uid="{23923838-0353-4EBD-9434-5692D23A34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EDE0F13-BF69-4CDA-BFC1-DA57D6DEA760}" name="ITEMS" dataDxfId="69"/>
    <tableColumn id="2" xr3:uid="{31E2CE0B-C968-40C6-BCB7-810367EE72E7}" name="2016" dataDxfId="68"/>
    <tableColumn id="3" xr3:uid="{674BF81B-CA99-4483-949F-6A12CAB7D263}" name="2017" dataDxfId="67"/>
    <tableColumn id="4" xr3:uid="{92D51D1D-4D1D-4F5D-9213-48CBD8023EFB}" name="2018" dataDxfId="66"/>
    <tableColumn id="5" xr3:uid="{0AF654D2-6A4C-4482-87E3-BF4ECE8EABC5}" name="2019" dataDxfId="65"/>
    <tableColumn id="6" xr3:uid="{2E9E9F39-8A07-47FF-BF9A-12840D8B60BD}" name="2020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3FDFB8-D0B5-4481-A670-3F8DE00B89E1}" name="Table18" displayName="Table18" ref="A124:F149" totalsRowShown="0" headerRowDxfId="63" dataDxfId="62">
  <autoFilter ref="A124:F149" xr:uid="{583FDFB8-D0B5-4481-A670-3F8DE00B89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2EC2C5A-C5E2-46E1-AC97-08B1957EB304}" name="ITEMS" dataDxfId="61"/>
    <tableColumn id="2" xr3:uid="{EECD7E9D-D681-41C9-A03C-C22EE920D8A5}" name="2016" dataDxfId="60"/>
    <tableColumn id="3" xr3:uid="{A6F1F572-0490-47FC-B689-329E52884B7A}" name="2017" dataDxfId="59"/>
    <tableColumn id="4" xr3:uid="{29541563-8CA6-40F6-B66B-F907CF3C81C9}" name="2018" dataDxfId="58"/>
    <tableColumn id="5" xr3:uid="{6CB1BB11-2B66-4CE2-880B-4EB43D4201D2}" name="2019" dataDxfId="57"/>
    <tableColumn id="6" xr3:uid="{07E51786-BF4C-4B85-A861-4527CECC6A7A}" name="2020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81C69F-1E3B-42C9-A5FE-C6713A4CA8C7}" name="Table5" displayName="Table5" ref="A2:F73" headerRowDxfId="55">
  <autoFilter ref="A2:F73" xr:uid="{1A81C69F-1E3B-42C9-A5FE-C6713A4CA8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DF6518-B7F3-43E7-84E5-4257ABCF23D5}" name="ASSET (Billions)" totalsRowLabel="Total"/>
    <tableColumn id="2" xr3:uid="{7C3E759F-52E5-445C-9E35-8A47E49E0F9D}" name="2016" dataDxfId="54" totalsRowDxfId="53"/>
    <tableColumn id="3" xr3:uid="{14A07E89-3C08-41BB-A8A4-129BB9AEFF2E}" name="2017" dataDxfId="52" totalsRowDxfId="51"/>
    <tableColumn id="4" xr3:uid="{A33AD787-E88A-4B65-A9F5-50B1EC8EBDCF}" name="2018" dataDxfId="50" totalsRowDxfId="49"/>
    <tableColumn id="5" xr3:uid="{3240FFCA-066B-4E9C-AB0E-CEF33CFA4B89}" name="2019" dataDxfId="48" totalsRowDxfId="47"/>
    <tableColumn id="6" xr3:uid="{52EA5B0B-C256-4E77-98B8-F8C6501C2ED5}" name="2020" totalsRowFunction="count" dataDxfId="46" totalsRow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9F6CDD-5921-4732-BB69-671D10598366}" name="Table3" displayName="Table3" ref="I2:N26" totalsRowShown="0" headerRowDxfId="44" dataDxfId="43">
  <autoFilter ref="I2:N26" xr:uid="{619F6CDD-5921-4732-BB69-671D105983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172C0B-921B-41AA-B30F-8387678E46BC}" name="ITEMS (Billions)" dataDxfId="42"/>
    <tableColumn id="2" xr3:uid="{58E2D389-9C65-4640-B409-2ABC831DDEFA}" name="2016" dataDxfId="41"/>
    <tableColumn id="3" xr3:uid="{8F3CDE5C-128E-4407-8D20-E84ECCEA47F6}" name="2017" dataDxfId="40"/>
    <tableColumn id="4" xr3:uid="{9CA9A82C-A868-44B8-B66B-BD1C31D1E7C6}" name="2018" dataDxfId="39"/>
    <tableColumn id="5" xr3:uid="{0BEB6422-ACD2-450F-9566-C1EDEDCE4087}" name="2019" dataDxfId="38"/>
    <tableColumn id="6" xr3:uid="{518ED2C1-E63A-4BE5-81D2-F465FD46104C}" name="2020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CB62B5-E88E-4C2A-9384-AE65963E4ABB}" name="Table4" displayName="Table4" ref="A1:F9" totalsRowShown="0">
  <autoFilter ref="A1:F9" xr:uid="{21CB62B5-E88E-4C2A-9384-AE65963E4A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854EEB-F98D-4F89-96EF-DFA495D83104}" name="Historical data"/>
    <tableColumn id="2" xr3:uid="{06A3EDB7-66BF-4518-BC06-0CCB0136EAC7}" name="2016" dataDxfId="36">
      <calculatedColumnFormula>'BS and IS'!J3</calculatedColumnFormula>
    </tableColumn>
    <tableColumn id="3" xr3:uid="{406F9F8A-D429-43BA-8AF9-823156E1DD68}" name="2017"/>
    <tableColumn id="4" xr3:uid="{53999044-28BB-4C23-B8E8-81F2AA35AA68}" name="2018"/>
    <tableColumn id="5" xr3:uid="{93D0EEB0-7E54-491E-9E3D-0886679A1640}" name="2019" dataDxfId="35" dataCellStyle="Percent"/>
    <tableColumn id="6" xr3:uid="{2CFD6303-4A4C-44D3-8CA1-6C909DED7803}" name="2020" dataDxfId="3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EBA4-6FAB-4328-8F04-13CEB95EC770}">
  <dimension ref="A1:J40"/>
  <sheetViews>
    <sheetView tabSelected="1" topLeftCell="A22" workbookViewId="0">
      <selection activeCell="E40" sqref="E40"/>
    </sheetView>
  </sheetViews>
  <sheetFormatPr defaultRowHeight="15" x14ac:dyDescent="0.25"/>
  <cols>
    <col min="1" max="1" width="33.140625" customWidth="1"/>
    <col min="2" max="2" width="16.85546875" bestFit="1" customWidth="1"/>
    <col min="3" max="3" width="12" bestFit="1" customWidth="1"/>
    <col min="4" max="7" width="9.140625" bestFit="1" customWidth="1"/>
  </cols>
  <sheetData>
    <row r="1" spans="1:10" x14ac:dyDescent="0.25">
      <c r="A1" s="17" t="s">
        <v>207</v>
      </c>
      <c r="B1" s="17" t="s">
        <v>216</v>
      </c>
      <c r="C1" s="60" t="s">
        <v>209</v>
      </c>
      <c r="D1" s="60" t="s">
        <v>210</v>
      </c>
      <c r="E1" s="60" t="s">
        <v>211</v>
      </c>
      <c r="F1" s="60" t="s">
        <v>212</v>
      </c>
      <c r="G1" s="60" t="s">
        <v>213</v>
      </c>
    </row>
    <row r="2" spans="1:10" x14ac:dyDescent="0.25">
      <c r="A2" s="28" t="s">
        <v>163</v>
      </c>
      <c r="B2" s="43">
        <f>Historical!G19</f>
        <v>2.7777270973816617E-2</v>
      </c>
      <c r="C2" s="16">
        <v>0.01</v>
      </c>
      <c r="D2" s="16">
        <v>0.03</v>
      </c>
      <c r="E2" s="31">
        <v>4.4999999999999998E-2</v>
      </c>
      <c r="F2" s="31">
        <v>3.5000000000000003E-2</v>
      </c>
      <c r="G2" s="16">
        <v>0.02</v>
      </c>
      <c r="J2" s="16"/>
    </row>
    <row r="3" spans="1:10" x14ac:dyDescent="0.25">
      <c r="A3" s="28" t="s">
        <v>208</v>
      </c>
      <c r="B3" s="43">
        <f>Historical!G12</f>
        <v>0.83551094855479024</v>
      </c>
      <c r="C3" s="31">
        <f>Table2[[#This Row],[Historical average]]+(C2-B2)</f>
        <v>0.81773367758097359</v>
      </c>
      <c r="D3" s="31">
        <f>Table2[[#This Row],[2021]]+(D2-C2)</f>
        <v>0.83773367758097361</v>
      </c>
      <c r="E3" s="31">
        <f>Table2[[#This Row],[2022]]+(E2-D2)</f>
        <v>0.85273367758097363</v>
      </c>
      <c r="F3" s="31">
        <f>Table2[[#This Row],[2023]]+(F2-E2)</f>
        <v>0.84273367758097362</v>
      </c>
      <c r="G3" s="31">
        <f>Table2[[#This Row],[2024]]+(G2-F2)</f>
        <v>0.8277336775809736</v>
      </c>
      <c r="J3" s="16"/>
    </row>
    <row r="4" spans="1:10" x14ac:dyDescent="0.25">
      <c r="A4" s="29" t="s">
        <v>159</v>
      </c>
      <c r="B4" s="44">
        <f>Historical!G15</f>
        <v>0.1797704945571646</v>
      </c>
      <c r="C4" s="31">
        <f>Table2[[#This Row],[Historical average]]+(C2-B2)</f>
        <v>0.16199322358334797</v>
      </c>
      <c r="D4" s="31">
        <f>Table2[[#This Row],[2021]]+(D2-C2)</f>
        <v>0.18199322358334796</v>
      </c>
      <c r="E4" s="31">
        <f>Table2[[#This Row],[2022]]+(E2-D2)</f>
        <v>0.19699322358334798</v>
      </c>
      <c r="F4" s="31">
        <f>Table2[[#This Row],[2023]]+(F2-E2)</f>
        <v>0.18699322358334797</v>
      </c>
      <c r="G4" s="31">
        <f>Table2[[#This Row],[2024]]+(G2-F2)</f>
        <v>0.17199322358334795</v>
      </c>
      <c r="J4" s="16"/>
    </row>
    <row r="5" spans="1:10" x14ac:dyDescent="0.25">
      <c r="A5" s="29" t="s">
        <v>225</v>
      </c>
      <c r="B5" s="44">
        <f>Historical!G18</f>
        <v>-4.9409191658289768E-2</v>
      </c>
      <c r="C5" s="31">
        <f>Table2[[#This Row],[Historical average]]+(C2-B2)</f>
        <v>-6.7186462632106383E-2</v>
      </c>
      <c r="D5" s="31">
        <f>Table2[[#This Row],[2021]]+(D2-C2)</f>
        <v>-4.7186462632106387E-2</v>
      </c>
      <c r="E5" s="31">
        <f>Table2[[#This Row],[2022]]+(E2-D2)</f>
        <v>-3.2186462632106387E-2</v>
      </c>
      <c r="F5" s="31">
        <f>Table2[[#This Row],[2023]]+(F2-E2)</f>
        <v>-4.2186462632106382E-2</v>
      </c>
      <c r="G5" s="31">
        <f>Table2[[#This Row],[2024]]+(G2-F2)</f>
        <v>-5.7186462632106388E-2</v>
      </c>
      <c r="J5" s="16"/>
    </row>
    <row r="6" spans="1:10" x14ac:dyDescent="0.25">
      <c r="A6" s="35" t="s">
        <v>160</v>
      </c>
      <c r="B6" s="45">
        <f>Historical!G16</f>
        <v>0.25911076021831719</v>
      </c>
      <c r="C6" s="31">
        <f>Table2[[#This Row],[Historical average]]+(C2-B2)</f>
        <v>0.24133348924450057</v>
      </c>
      <c r="D6" s="31">
        <f>Table2[[#This Row],[2021]]+(D2-C2)</f>
        <v>0.26133348924450056</v>
      </c>
      <c r="E6" s="31">
        <f>Table2[[#This Row],[2022]]+(E2-D2)</f>
        <v>0.27633348924450057</v>
      </c>
      <c r="F6" s="31">
        <f>Table2[[#This Row],[2023]]+(F2-E2)</f>
        <v>0.26633348924450057</v>
      </c>
      <c r="G6" s="31">
        <f>Table2[[#This Row],[2024]]+(G2-F2)</f>
        <v>0.25133348924450055</v>
      </c>
      <c r="J6" s="16"/>
    </row>
    <row r="7" spans="1:10" x14ac:dyDescent="0.25">
      <c r="A7" s="34" t="s">
        <v>224</v>
      </c>
      <c r="B7" s="46">
        <f>Historical!G17</f>
        <v>1.8127318664569629</v>
      </c>
      <c r="C7" s="31">
        <f>Table2[[#This Row],[Historical average]]+(C2-B2)</f>
        <v>1.7949545954831463</v>
      </c>
      <c r="D7" s="31">
        <f>Table2[[#This Row],[2021]]+(D2-C2)</f>
        <v>1.8149545954831463</v>
      </c>
      <c r="E7" s="31">
        <f>Table2[[#This Row],[2022]]+(E2-D2)</f>
        <v>1.8299545954831462</v>
      </c>
      <c r="F7" s="31">
        <f>Table2[[#This Row],[2023]]+(F2-E2)</f>
        <v>1.8199545954831462</v>
      </c>
      <c r="G7" s="31">
        <f>Table2[[#This Row],[2024]]+(G2-F2)</f>
        <v>1.8049545954831463</v>
      </c>
      <c r="J7" s="16"/>
    </row>
    <row r="8" spans="1:10" x14ac:dyDescent="0.25">
      <c r="A8" s="28" t="s">
        <v>217</v>
      </c>
      <c r="B8" s="47">
        <f>-'BS and IS'!N21/'BS and IS'!N18</f>
        <v>0.20106835983025056</v>
      </c>
      <c r="C8" s="16">
        <f>Table2[[#This Row],[Historical average]]</f>
        <v>0.20106835983025056</v>
      </c>
      <c r="D8" s="16"/>
      <c r="E8" s="16"/>
      <c r="F8" s="16"/>
      <c r="G8" s="16"/>
    </row>
    <row r="9" spans="1:10" x14ac:dyDescent="0.25">
      <c r="A9" s="28" t="s">
        <v>206</v>
      </c>
      <c r="B9" s="48">
        <f>WACC!I34</f>
        <v>0.16109975667550452</v>
      </c>
      <c r="C9" s="48">
        <f>Table2[[#This Row],[Historical average]]</f>
        <v>0.16109975667550452</v>
      </c>
      <c r="D9" s="33"/>
      <c r="E9" s="33"/>
      <c r="F9" s="33"/>
      <c r="G9" s="33"/>
    </row>
    <row r="10" spans="1:10" x14ac:dyDescent="0.25">
      <c r="A10" s="28" t="s">
        <v>243</v>
      </c>
      <c r="B10" s="30"/>
      <c r="C10" s="16">
        <v>0.05</v>
      </c>
      <c r="D10" s="16"/>
      <c r="E10" s="16"/>
      <c r="F10" s="16"/>
      <c r="G10" s="16"/>
    </row>
    <row r="12" spans="1:10" ht="18.75" x14ac:dyDescent="0.3">
      <c r="A12" s="62" t="s">
        <v>218</v>
      </c>
      <c r="B12" s="62"/>
      <c r="C12" s="62"/>
      <c r="D12" s="62"/>
      <c r="E12" s="62"/>
      <c r="F12" s="62"/>
      <c r="G12" s="62"/>
    </row>
    <row r="13" spans="1:10" x14ac:dyDescent="0.25">
      <c r="A13" s="36" t="s">
        <v>141</v>
      </c>
      <c r="B13" s="37" t="s">
        <v>219</v>
      </c>
      <c r="C13" s="38" t="s">
        <v>209</v>
      </c>
      <c r="D13" s="38" t="s">
        <v>210</v>
      </c>
      <c r="E13" s="38" t="s">
        <v>211</v>
      </c>
      <c r="F13" s="38" t="s">
        <v>212</v>
      </c>
      <c r="G13" s="39" t="s">
        <v>213</v>
      </c>
    </row>
    <row r="14" spans="1:10" x14ac:dyDescent="0.25">
      <c r="A14" t="s">
        <v>114</v>
      </c>
      <c r="B14" s="41">
        <f>Historical!F2</f>
        <v>64134.965486838002</v>
      </c>
      <c r="C14" s="7">
        <f>Table8[[#This Row],[2020 (Historical)]]*(1+C2)</f>
        <v>64776.315141706385</v>
      </c>
      <c r="D14" s="7">
        <f>Table8[[#This Row],[2021]]*(1+D2)</f>
        <v>66719.604595957586</v>
      </c>
      <c r="E14" s="7">
        <f>Table8[[#This Row],[2022]]*(1+E2)</f>
        <v>69721.986802775675</v>
      </c>
      <c r="F14" s="7">
        <f>Table8[[#This Row],[2023]]*(1+F2)</f>
        <v>72162.256340872817</v>
      </c>
      <c r="G14" s="7">
        <f>Table8[[#This Row],[2024]]*(1+G2)</f>
        <v>73605.501467690279</v>
      </c>
      <c r="I14" s="7"/>
    </row>
    <row r="15" spans="1:10" x14ac:dyDescent="0.25">
      <c r="A15" t="s">
        <v>148</v>
      </c>
      <c r="B15" s="41">
        <f>Historical!F3</f>
        <v>55441.159412779001</v>
      </c>
      <c r="C15" s="7">
        <f>C14*C3</f>
        <v>52969.77440097167</v>
      </c>
      <c r="D15" s="7">
        <f t="shared" ref="D15:G15" si="0">D14*D3</f>
        <v>55893.259724919975</v>
      </c>
      <c r="E15" s="7">
        <f t="shared" si="0"/>
        <v>59454.286214583008</v>
      </c>
      <c r="F15" s="7">
        <f t="shared" si="0"/>
        <v>60813.563668684685</v>
      </c>
      <c r="G15" s="7">
        <f t="shared" si="0"/>
        <v>60925.752420043027</v>
      </c>
    </row>
    <row r="16" spans="1:10" x14ac:dyDescent="0.25">
      <c r="A16" t="s">
        <v>220</v>
      </c>
      <c r="B16" s="42">
        <f>B14-B15</f>
        <v>8693.8060740590008</v>
      </c>
      <c r="C16" s="42">
        <f t="shared" ref="C16:G16" si="1">C14-C15</f>
        <v>11806.540740734716</v>
      </c>
      <c r="D16" s="42">
        <f t="shared" si="1"/>
        <v>10826.344871037611</v>
      </c>
      <c r="E16" s="42">
        <f t="shared" si="1"/>
        <v>10267.700588192667</v>
      </c>
      <c r="F16" s="42">
        <f t="shared" si="1"/>
        <v>11348.692672188132</v>
      </c>
      <c r="G16" s="42">
        <f t="shared" si="1"/>
        <v>12679.749047647252</v>
      </c>
    </row>
    <row r="17" spans="1:7" x14ac:dyDescent="0.25">
      <c r="A17" t="s">
        <v>152</v>
      </c>
      <c r="B17" s="41">
        <f>Historical!F8</f>
        <v>35554.921838695001</v>
      </c>
      <c r="C17" s="7">
        <f>C7*C20</f>
        <v>28059.976210695968</v>
      </c>
      <c r="D17" s="7">
        <f t="shared" ref="D17:G17" si="2">D7*D20</f>
        <v>31645.670055985003</v>
      </c>
      <c r="E17" s="7">
        <f t="shared" si="2"/>
        <v>35256.856612167066</v>
      </c>
      <c r="F17" s="7">
        <f t="shared" si="2"/>
        <v>34978.11781224858</v>
      </c>
      <c r="G17" s="7">
        <f t="shared" si="2"/>
        <v>33390.807196087095</v>
      </c>
    </row>
    <row r="18" spans="1:7" x14ac:dyDescent="0.25">
      <c r="A18" t="s">
        <v>221</v>
      </c>
      <c r="B18" s="42">
        <f>B16*(1-B8)</f>
        <v>6945.7567460656883</v>
      </c>
      <c r="C18" s="42">
        <f>C16*(1-$C$8)</f>
        <v>9432.6189587261561</v>
      </c>
      <c r="D18" s="42">
        <f t="shared" ref="D18:G18" si="3">D16*(1-$C$8)</f>
        <v>8649.509464861434</v>
      </c>
      <c r="E18" s="42">
        <f t="shared" si="3"/>
        <v>8203.1908716966682</v>
      </c>
      <c r="F18" s="42">
        <f t="shared" si="3"/>
        <v>9066.8296503736819</v>
      </c>
      <c r="G18" s="42">
        <f t="shared" si="3"/>
        <v>10130.252703577638</v>
      </c>
    </row>
    <row r="19" spans="1:7" x14ac:dyDescent="0.25">
      <c r="A19" t="s">
        <v>230</v>
      </c>
      <c r="B19" s="42">
        <f>B18+B17</f>
        <v>42500.678584760688</v>
      </c>
      <c r="C19" s="42">
        <f t="shared" ref="C19:G19" si="4">C18+C17</f>
        <v>37492.595169422122</v>
      </c>
      <c r="D19" s="42">
        <f t="shared" si="4"/>
        <v>40295.179520846439</v>
      </c>
      <c r="E19" s="42">
        <f t="shared" si="4"/>
        <v>43460.047483863731</v>
      </c>
      <c r="F19" s="42">
        <f t="shared" si="4"/>
        <v>44044.947462622265</v>
      </c>
      <c r="G19" s="42">
        <f t="shared" si="4"/>
        <v>43521.059899664731</v>
      </c>
    </row>
    <row r="20" spans="1:7" x14ac:dyDescent="0.25">
      <c r="A20" t="s">
        <v>222</v>
      </c>
      <c r="B20" s="41">
        <f>Historical!F7</f>
        <v>19773.601197997999</v>
      </c>
      <c r="C20" s="7">
        <f>C6*C14</f>
        <v>15632.694153549377</v>
      </c>
      <c r="D20" s="7">
        <f t="shared" ref="D20:G20" si="5">D6*D14</f>
        <v>17436.067070075012</v>
      </c>
      <c r="E20" s="7">
        <f t="shared" si="5"/>
        <v>19266.519890270021</v>
      </c>
      <c r="F20" s="7">
        <f t="shared" si="5"/>
        <v>19219.225523020745</v>
      </c>
      <c r="G20" s="7">
        <f t="shared" si="5"/>
        <v>18499.527511465803</v>
      </c>
    </row>
    <row r="21" spans="1:7" x14ac:dyDescent="0.25">
      <c r="A21" t="s">
        <v>231</v>
      </c>
      <c r="B21" s="41">
        <f>Historical!F7-Historical!E7</f>
        <v>3923.7284276199989</v>
      </c>
      <c r="C21" s="7">
        <f>C20-B20</f>
        <v>-4140.9070444486224</v>
      </c>
      <c r="D21" s="7">
        <f t="shared" ref="D21:G21" si="6">D20-C20</f>
        <v>1803.3729165256354</v>
      </c>
      <c r="E21" s="7">
        <f t="shared" si="6"/>
        <v>1830.4528201950088</v>
      </c>
      <c r="F21" s="7">
        <f t="shared" si="6"/>
        <v>-47.294367249276547</v>
      </c>
      <c r="G21" s="7">
        <f t="shared" si="6"/>
        <v>-719.69801155494133</v>
      </c>
    </row>
    <row r="22" spans="1:7" x14ac:dyDescent="0.25">
      <c r="A22" t="s">
        <v>226</v>
      </c>
      <c r="B22" s="41">
        <f>B21+B17</f>
        <v>39478.650266315002</v>
      </c>
      <c r="C22" s="7">
        <f>Table8[[#This Row],[2020 (Historical)]]*(1+C10)</f>
        <v>41452.582779630757</v>
      </c>
      <c r="D22" s="7">
        <f>Table8[[#This Row],[2021]]*(1+D10)</f>
        <v>41452.582779630757</v>
      </c>
      <c r="E22" s="7">
        <f>Table8[[#This Row],[2022]]*(1+E10)</f>
        <v>41452.582779630757</v>
      </c>
      <c r="F22" s="7">
        <f>Table8[[#This Row],[2023]]*(1+F10)</f>
        <v>41452.582779630757</v>
      </c>
      <c r="G22" s="7">
        <f>Table8[[#This Row],[2024]]*(1+G10)</f>
        <v>41452.582779630757</v>
      </c>
    </row>
    <row r="23" spans="1:7" x14ac:dyDescent="0.25">
      <c r="A23" t="s">
        <v>151</v>
      </c>
      <c r="B23" s="41">
        <f>Historical!F6</f>
        <v>8407.7079388119964</v>
      </c>
      <c r="C23" s="7">
        <f>C4*C14</f>
        <v>10493.324101655851</v>
      </c>
      <c r="D23" s="7">
        <f t="shared" ref="D23:G23" si="7">D4*D14</f>
        <v>12142.515916624679</v>
      </c>
      <c r="E23" s="7">
        <f t="shared" si="7"/>
        <v>13734.758934914425</v>
      </c>
      <c r="F23" s="7">
        <f t="shared" si="7"/>
        <v>13493.8529342277</v>
      </c>
      <c r="G23" s="7">
        <f t="shared" si="7"/>
        <v>12659.6474708969</v>
      </c>
    </row>
    <row r="24" spans="1:7" ht="18.75" x14ac:dyDescent="0.4">
      <c r="A24" s="40" t="s">
        <v>227</v>
      </c>
      <c r="B24" s="41">
        <f>Historical!F6-Historical!E6</f>
        <v>622.18663608799761</v>
      </c>
      <c r="C24" s="7">
        <f>C23-B23</f>
        <v>2085.6161628438549</v>
      </c>
      <c r="D24" s="7">
        <f t="shared" ref="D24:G24" si="8">D23-C23</f>
        <v>1649.1918149688281</v>
      </c>
      <c r="E24" s="7">
        <f t="shared" si="8"/>
        <v>1592.243018289746</v>
      </c>
      <c r="F24" s="7">
        <f t="shared" si="8"/>
        <v>-240.90600068672575</v>
      </c>
      <c r="G24" s="7">
        <f t="shared" si="8"/>
        <v>-834.20546333079983</v>
      </c>
    </row>
    <row r="25" spans="1:7" x14ac:dyDescent="0.25">
      <c r="A25" t="s">
        <v>228</v>
      </c>
      <c r="B25" s="42">
        <f>B19-B22-B24</f>
        <v>2399.8416823576881</v>
      </c>
      <c r="C25" s="42">
        <f t="shared" ref="C25:G25" si="9">C19-C22-C24</f>
        <v>-6045.6037730524895</v>
      </c>
      <c r="D25" s="42">
        <f t="shared" si="9"/>
        <v>-2806.5950737531457</v>
      </c>
      <c r="E25" s="42">
        <f t="shared" si="9"/>
        <v>415.22168594322829</v>
      </c>
      <c r="F25" s="42">
        <f t="shared" si="9"/>
        <v>2833.2706836782345</v>
      </c>
      <c r="G25" s="42">
        <f t="shared" si="9"/>
        <v>2902.6825833647745</v>
      </c>
    </row>
    <row r="26" spans="1:7" x14ac:dyDescent="0.25">
      <c r="A26" t="s">
        <v>229</v>
      </c>
      <c r="B26" s="41"/>
      <c r="C26" s="7">
        <f>C25/(1+$C$9)</f>
        <v>-5206.7910085197527</v>
      </c>
      <c r="D26" s="7">
        <f>D25/(1+$C$9)^2</f>
        <v>-2081.8080832777268</v>
      </c>
      <c r="E26" s="7">
        <f>E25/(1+$C$9)^3</f>
        <v>265.25979237423195</v>
      </c>
      <c r="F26" s="7">
        <f>F25/(1+$C$9)^4</f>
        <v>1558.8701165726677</v>
      </c>
      <c r="G26" s="7">
        <f>G25/(1+$C$9)^5</f>
        <v>1375.472388965818</v>
      </c>
    </row>
    <row r="28" spans="1:7" ht="18.75" x14ac:dyDescent="0.3">
      <c r="A28" s="62" t="s">
        <v>232</v>
      </c>
      <c r="B28" s="62"/>
      <c r="C28" s="62"/>
      <c r="D28" s="62"/>
      <c r="E28" s="62"/>
      <c r="F28" s="62"/>
      <c r="G28" s="62"/>
    </row>
    <row r="29" spans="1:7" x14ac:dyDescent="0.25">
      <c r="A29" s="5" t="s">
        <v>233</v>
      </c>
      <c r="B29" t="s">
        <v>250</v>
      </c>
    </row>
    <row r="30" spans="1:7" x14ac:dyDescent="0.25">
      <c r="A30" s="49" t="s">
        <v>234</v>
      </c>
      <c r="B30" s="7">
        <f>G25*(1+C10)</f>
        <v>3047.8167125330133</v>
      </c>
    </row>
    <row r="31" spans="1:7" x14ac:dyDescent="0.25">
      <c r="A31" s="49" t="s">
        <v>235</v>
      </c>
      <c r="B31" s="7">
        <f>B30/(C9-C10)</f>
        <v>27433.15380460236</v>
      </c>
    </row>
    <row r="32" spans="1:7" x14ac:dyDescent="0.25">
      <c r="A32" s="49" t="s">
        <v>236</v>
      </c>
      <c r="B32" s="7">
        <f>B31/(1+B9)^5</f>
        <v>12999.542497940851</v>
      </c>
    </row>
    <row r="34" spans="1:2" x14ac:dyDescent="0.25">
      <c r="A34" s="61" t="s">
        <v>237</v>
      </c>
      <c r="B34" t="s">
        <v>250</v>
      </c>
    </row>
    <row r="35" spans="1:2" x14ac:dyDescent="0.25">
      <c r="A35" s="49" t="s">
        <v>238</v>
      </c>
      <c r="B35" s="7">
        <f>SUM(C26:G26)</f>
        <v>-4088.9967938847612</v>
      </c>
    </row>
    <row r="36" spans="1:2" x14ac:dyDescent="0.25">
      <c r="A36" s="49" t="s">
        <v>239</v>
      </c>
      <c r="B36" s="7">
        <f>B35+B32</f>
        <v>8910.5457040560905</v>
      </c>
    </row>
    <row r="37" spans="1:2" x14ac:dyDescent="0.25">
      <c r="A37" s="49" t="s">
        <v>240</v>
      </c>
      <c r="B37" s="7">
        <f>'BS and IS'!B49+'BS and IS'!B55</f>
        <v>7546.2142559549993</v>
      </c>
    </row>
    <row r="38" spans="1:2" x14ac:dyDescent="0.25">
      <c r="A38" s="49" t="s">
        <v>241</v>
      </c>
      <c r="B38" s="7">
        <f>B36-B37</f>
        <v>1364.3314481010912</v>
      </c>
    </row>
    <row r="39" spans="1:2" x14ac:dyDescent="0.25">
      <c r="A39" s="49" t="s">
        <v>244</v>
      </c>
      <c r="B39">
        <v>982.34</v>
      </c>
    </row>
    <row r="40" spans="1:2" x14ac:dyDescent="0.25">
      <c r="A40" s="50" t="s">
        <v>242</v>
      </c>
      <c r="B40" s="5">
        <f>B38*1000/B39</f>
        <v>1388.8586926126302</v>
      </c>
    </row>
  </sheetData>
  <mergeCells count="2">
    <mergeCell ref="A12:G12"/>
    <mergeCell ref="A28:G28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4D5E-7E42-4C0D-9213-4748EBCE0272}">
  <dimension ref="A1:H149"/>
  <sheetViews>
    <sheetView workbookViewId="0">
      <selection activeCell="E13" sqref="E13"/>
    </sheetView>
  </sheetViews>
  <sheetFormatPr defaultRowHeight="15" x14ac:dyDescent="0.25"/>
  <cols>
    <col min="1" max="1" width="45.85546875" bestFit="1" customWidth="1"/>
    <col min="2" max="6" width="18.140625" style="2" bestFit="1" customWidth="1"/>
    <col min="7" max="7" width="16.42578125" bestFit="1" customWidth="1"/>
    <col min="8" max="8" width="18.28515625" bestFit="1" customWidth="1"/>
  </cols>
  <sheetData>
    <row r="1" spans="1:7" x14ac:dyDescent="0.25">
      <c r="A1" s="1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7" x14ac:dyDescent="0.25">
      <c r="A2" s="1" t="s">
        <v>6</v>
      </c>
      <c r="B2" s="24">
        <v>56753853518438</v>
      </c>
      <c r="C2" s="24">
        <v>61889343342437</v>
      </c>
      <c r="D2" s="24">
        <v>62614420245293</v>
      </c>
      <c r="E2" s="24">
        <v>62178787389634</v>
      </c>
      <c r="F2" s="24">
        <v>63208401030103</v>
      </c>
      <c r="G2" s="3"/>
    </row>
    <row r="3" spans="1:7" x14ac:dyDescent="0.25">
      <c r="A3" s="1" t="s">
        <v>7</v>
      </c>
      <c r="B3" s="24">
        <v>33202945162630</v>
      </c>
      <c r="C3" s="24">
        <v>38256957853411</v>
      </c>
      <c r="D3" s="24">
        <v>40932012643396</v>
      </c>
      <c r="E3" s="24">
        <v>41815396772232</v>
      </c>
      <c r="F3" s="24">
        <v>39472227294732</v>
      </c>
    </row>
    <row r="4" spans="1:7" x14ac:dyDescent="0.25">
      <c r="A4" s="1" t="s">
        <v>8</v>
      </c>
      <c r="B4" s="24">
        <v>13537560908336</v>
      </c>
      <c r="C4" s="24">
        <v>13502016964678</v>
      </c>
      <c r="D4" s="24">
        <v>6705645460007</v>
      </c>
      <c r="E4" s="24">
        <v>4475889167227</v>
      </c>
      <c r="F4" s="24">
        <v>5237246729402</v>
      </c>
    </row>
    <row r="5" spans="1:7" x14ac:dyDescent="0.25">
      <c r="A5" s="1" t="s">
        <v>9</v>
      </c>
      <c r="B5" s="24">
        <v>1229433772605</v>
      </c>
      <c r="C5" s="24">
        <v>1729822059995</v>
      </c>
      <c r="D5" s="24">
        <v>1330220087809</v>
      </c>
      <c r="E5" s="24">
        <v>1151995985522</v>
      </c>
      <c r="F5" s="24">
        <v>1323144129455</v>
      </c>
    </row>
    <row r="6" spans="1:7" x14ac:dyDescent="0.25">
      <c r="A6" s="1" t="s">
        <v>10</v>
      </c>
      <c r="B6" s="24">
        <v>12308127135731</v>
      </c>
      <c r="C6" s="24">
        <v>11772194904683</v>
      </c>
      <c r="D6" s="24">
        <v>5375425372198</v>
      </c>
      <c r="E6" s="24">
        <v>3323893181705</v>
      </c>
      <c r="F6" s="24">
        <v>3914102599947</v>
      </c>
    </row>
    <row r="7" spans="1:7" x14ac:dyDescent="0.25">
      <c r="A7" s="1" t="s">
        <v>11</v>
      </c>
      <c r="B7" s="24">
        <v>5898450000000</v>
      </c>
      <c r="C7" s="24">
        <v>13577350000000</v>
      </c>
      <c r="D7" s="24">
        <v>21602454000000</v>
      </c>
      <c r="E7" s="24">
        <v>24915000000000</v>
      </c>
      <c r="F7" s="24">
        <v>21613236327512</v>
      </c>
    </row>
    <row r="8" spans="1:7" x14ac:dyDescent="0.25">
      <c r="A8" s="1" t="s">
        <v>11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</row>
    <row r="9" spans="1:7" x14ac:dyDescent="0.25">
      <c r="A9" s="1" t="s">
        <v>12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</row>
    <row r="10" spans="1:7" x14ac:dyDescent="0.25">
      <c r="A10" s="1" t="s">
        <v>13</v>
      </c>
      <c r="B10" s="24">
        <v>5898450000000</v>
      </c>
      <c r="C10" s="24">
        <v>13577350000000</v>
      </c>
      <c r="D10" s="24">
        <v>21602454000000</v>
      </c>
      <c r="E10" s="24">
        <v>24915000000000</v>
      </c>
      <c r="F10" s="24">
        <v>21613236327512</v>
      </c>
    </row>
    <row r="11" spans="1:7" x14ac:dyDescent="0.25">
      <c r="A11" s="1" t="s">
        <v>14</v>
      </c>
      <c r="B11" s="24">
        <v>11878375723172</v>
      </c>
      <c r="C11" s="24">
        <v>9174883054445</v>
      </c>
      <c r="D11" s="24">
        <v>10213710624435</v>
      </c>
      <c r="E11" s="24">
        <v>10358798068406</v>
      </c>
      <c r="F11" s="24">
        <v>10239199864118</v>
      </c>
    </row>
    <row r="12" spans="1:7" x14ac:dyDescent="0.25">
      <c r="A12" s="1" t="s">
        <v>15</v>
      </c>
      <c r="B12" s="24">
        <v>5689790297632</v>
      </c>
      <c r="C12" s="24">
        <v>4939924555881</v>
      </c>
      <c r="D12" s="24">
        <v>4638181584290</v>
      </c>
      <c r="E12" s="24">
        <v>4683939543842</v>
      </c>
      <c r="F12" s="24">
        <v>5579798691334</v>
      </c>
    </row>
    <row r="13" spans="1:7" x14ac:dyDescent="0.25">
      <c r="A13" s="1" t="s">
        <v>16</v>
      </c>
      <c r="B13" s="24">
        <v>298443263847</v>
      </c>
      <c r="C13" s="24">
        <v>155519627817</v>
      </c>
      <c r="D13" s="24">
        <v>91011400518</v>
      </c>
      <c r="E13" s="24">
        <v>844110099287</v>
      </c>
      <c r="F13" s="24">
        <v>435275808580</v>
      </c>
    </row>
    <row r="14" spans="1:7" x14ac:dyDescent="0.25">
      <c r="A14" s="1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</row>
    <row r="15" spans="1:7" x14ac:dyDescent="0.25">
      <c r="A15" s="1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</row>
    <row r="16" spans="1:7" x14ac:dyDescent="0.25">
      <c r="A16" s="1" t="s">
        <v>19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</row>
    <row r="17" spans="1:6" x14ac:dyDescent="0.25">
      <c r="A17" s="1" t="s">
        <v>20</v>
      </c>
      <c r="B17" s="24">
        <v>6026512079069</v>
      </c>
      <c r="C17" s="24">
        <v>4344161903788</v>
      </c>
      <c r="D17" s="24">
        <v>5773843457749</v>
      </c>
      <c r="E17" s="24">
        <v>5142871041447</v>
      </c>
      <c r="F17" s="24">
        <v>4620069494260</v>
      </c>
    </row>
    <row r="18" spans="1:6" x14ac:dyDescent="0.25">
      <c r="A18" s="1" t="s">
        <v>21</v>
      </c>
      <c r="B18" s="24">
        <v>-136420813120</v>
      </c>
      <c r="C18" s="24">
        <v>-265538086194</v>
      </c>
      <c r="D18" s="24">
        <v>-290002813032</v>
      </c>
      <c r="E18" s="24">
        <v>-312832668282</v>
      </c>
      <c r="F18" s="24">
        <v>-395944130056</v>
      </c>
    </row>
    <row r="19" spans="1:6" x14ac:dyDescent="0.25">
      <c r="A19" s="1" t="s">
        <v>22</v>
      </c>
      <c r="B19" s="24">
        <v>50895744</v>
      </c>
      <c r="C19" s="24">
        <v>815053153</v>
      </c>
      <c r="D19" s="24">
        <v>676994910</v>
      </c>
      <c r="E19" s="24">
        <v>710052112</v>
      </c>
      <c r="F19" s="24">
        <v>0</v>
      </c>
    </row>
    <row r="20" spans="1:6" x14ac:dyDescent="0.25">
      <c r="A20" s="1" t="s">
        <v>23</v>
      </c>
      <c r="B20" s="24">
        <v>1291226206958</v>
      </c>
      <c r="C20" s="24">
        <v>1645375601834</v>
      </c>
      <c r="D20" s="24">
        <v>1948260051377</v>
      </c>
      <c r="E20" s="24">
        <v>1574702523108</v>
      </c>
      <c r="F20" s="24">
        <v>1662572767363</v>
      </c>
    </row>
    <row r="21" spans="1:6" x14ac:dyDescent="0.25">
      <c r="A21" s="1" t="s">
        <v>23</v>
      </c>
      <c r="B21" s="24">
        <v>1379598862461</v>
      </c>
      <c r="C21" s="24">
        <v>1737552213440</v>
      </c>
      <c r="D21" s="24">
        <v>2018155350298</v>
      </c>
      <c r="E21" s="24">
        <v>1645289410396</v>
      </c>
      <c r="F21" s="24">
        <v>1729146683995</v>
      </c>
    </row>
    <row r="22" spans="1:6" x14ac:dyDescent="0.25">
      <c r="A22" s="1" t="s">
        <v>24</v>
      </c>
      <c r="B22" s="24">
        <v>-88372655503</v>
      </c>
      <c r="C22" s="24">
        <v>-92176611606</v>
      </c>
      <c r="D22" s="24">
        <v>-69895298921</v>
      </c>
      <c r="E22" s="24">
        <v>-70586887288</v>
      </c>
      <c r="F22" s="24">
        <v>-66573916632</v>
      </c>
    </row>
    <row r="23" spans="1:6" x14ac:dyDescent="0.25">
      <c r="A23" s="1" t="s">
        <v>25</v>
      </c>
      <c r="B23" s="24">
        <v>597332324164</v>
      </c>
      <c r="C23" s="24">
        <v>357332232454</v>
      </c>
      <c r="D23" s="24">
        <v>461942507577</v>
      </c>
      <c r="E23" s="24">
        <v>491007013491</v>
      </c>
      <c r="F23" s="24">
        <v>719971606337</v>
      </c>
    </row>
    <row r="24" spans="1:6" x14ac:dyDescent="0.25">
      <c r="A24" s="1" t="s">
        <v>26</v>
      </c>
      <c r="B24" s="24">
        <v>84188517255</v>
      </c>
      <c r="C24" s="24">
        <v>83898716638</v>
      </c>
      <c r="D24" s="24">
        <v>103518806266</v>
      </c>
      <c r="E24" s="24">
        <v>89084285844</v>
      </c>
      <c r="F24" s="24">
        <v>57558696174</v>
      </c>
    </row>
    <row r="25" spans="1:6" x14ac:dyDescent="0.25">
      <c r="A25" s="1" t="s">
        <v>27</v>
      </c>
      <c r="B25" s="24">
        <v>457156254213</v>
      </c>
      <c r="C25" s="24">
        <v>222926464886</v>
      </c>
      <c r="D25" s="24">
        <v>299938138296</v>
      </c>
      <c r="E25" s="24">
        <v>367882617612</v>
      </c>
      <c r="F25" s="24">
        <v>609333648494</v>
      </c>
    </row>
    <row r="26" spans="1:6" x14ac:dyDescent="0.25">
      <c r="A26" s="1" t="s">
        <v>28</v>
      </c>
      <c r="B26" s="24">
        <v>55987552696</v>
      </c>
      <c r="C26" s="24">
        <v>50507050930</v>
      </c>
      <c r="D26" s="24">
        <v>58485563015</v>
      </c>
      <c r="E26" s="24">
        <v>34040110035</v>
      </c>
      <c r="F26" s="24">
        <v>53079261669</v>
      </c>
    </row>
    <row r="27" spans="1:6" x14ac:dyDescent="0.25">
      <c r="A27" s="1" t="s">
        <v>29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</row>
    <row r="28" spans="1:6" x14ac:dyDescent="0.25">
      <c r="A28" s="1" t="s">
        <v>25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</row>
    <row r="29" spans="1:6" x14ac:dyDescent="0.25">
      <c r="A29" s="1" t="s">
        <v>30</v>
      </c>
      <c r="B29" s="24">
        <v>23550908355808</v>
      </c>
      <c r="C29" s="24">
        <v>23632385489026</v>
      </c>
      <c r="D29" s="24">
        <v>21682407601897</v>
      </c>
      <c r="E29" s="24">
        <v>20363390617402</v>
      </c>
      <c r="F29" s="24">
        <v>23736173735371</v>
      </c>
    </row>
    <row r="30" spans="1:6" x14ac:dyDescent="0.25">
      <c r="A30" s="1" t="s">
        <v>31</v>
      </c>
      <c r="B30" s="24">
        <v>134964458303</v>
      </c>
      <c r="C30" s="24">
        <v>188768857198</v>
      </c>
      <c r="D30" s="24">
        <v>216829039491</v>
      </c>
      <c r="E30" s="24">
        <v>127884370801</v>
      </c>
      <c r="F30" s="24">
        <v>162062201594</v>
      </c>
    </row>
    <row r="31" spans="1:6" x14ac:dyDescent="0.25">
      <c r="A31" s="1" t="s">
        <v>32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</row>
    <row r="32" spans="1:6" x14ac:dyDescent="0.25">
      <c r="A32" s="1" t="s">
        <v>33</v>
      </c>
      <c r="B32" s="24">
        <v>64113269122</v>
      </c>
      <c r="C32" s="24">
        <v>62322571154</v>
      </c>
      <c r="D32" s="24">
        <v>67561613929</v>
      </c>
      <c r="E32" s="24">
        <v>79220337859</v>
      </c>
      <c r="F32" s="24">
        <v>73909907257</v>
      </c>
    </row>
    <row r="33" spans="1:8" x14ac:dyDescent="0.25">
      <c r="A33" s="1" t="s">
        <v>34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</row>
    <row r="34" spans="1:8" x14ac:dyDescent="0.25">
      <c r="A34" s="1" t="s">
        <v>35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</row>
    <row r="35" spans="1:8" x14ac:dyDescent="0.25">
      <c r="A35" s="1" t="s">
        <v>36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</row>
    <row r="36" spans="1:8" x14ac:dyDescent="0.25">
      <c r="A36" s="1" t="s">
        <v>37</v>
      </c>
      <c r="B36" s="24">
        <v>70851189181</v>
      </c>
      <c r="C36" s="24">
        <v>126446286044</v>
      </c>
      <c r="D36" s="24">
        <v>149267425562</v>
      </c>
      <c r="E36" s="24">
        <v>48664032942</v>
      </c>
      <c r="F36" s="24">
        <v>88152294337</v>
      </c>
    </row>
    <row r="37" spans="1:8" x14ac:dyDescent="0.25">
      <c r="A37" s="1" t="s">
        <v>38</v>
      </c>
      <c r="B37" s="24">
        <v>0</v>
      </c>
      <c r="C37" s="24">
        <v>0</v>
      </c>
      <c r="D37" s="24">
        <v>0</v>
      </c>
      <c r="E37" s="24">
        <v>0</v>
      </c>
      <c r="F37" s="24">
        <v>0</v>
      </c>
    </row>
    <row r="38" spans="1:8" x14ac:dyDescent="0.25">
      <c r="A38" s="1" t="s">
        <v>39</v>
      </c>
      <c r="B38" s="24">
        <v>17203070018816</v>
      </c>
      <c r="C38" s="24">
        <v>15395529375231</v>
      </c>
      <c r="D38" s="24">
        <v>18609210697766</v>
      </c>
      <c r="E38" s="24">
        <v>15849872770378</v>
      </c>
      <c r="F38" s="24">
        <v>19773601197998</v>
      </c>
    </row>
    <row r="39" spans="1:8" x14ac:dyDescent="0.25">
      <c r="A39" s="1" t="s">
        <v>40</v>
      </c>
      <c r="B39" s="24">
        <v>16745720197262</v>
      </c>
      <c r="C39" s="24">
        <v>14924790039660</v>
      </c>
      <c r="D39" s="24">
        <v>18149000448519</v>
      </c>
      <c r="E39" s="24">
        <v>15437766089565</v>
      </c>
      <c r="F39" s="24">
        <v>19335105714286</v>
      </c>
    </row>
    <row r="40" spans="1:8" x14ac:dyDescent="0.25">
      <c r="A40" s="1" t="s">
        <v>41</v>
      </c>
      <c r="B40" s="24">
        <v>43276146409892</v>
      </c>
      <c r="C40" s="24">
        <v>44056506056213</v>
      </c>
      <c r="D40" s="24">
        <v>50029678362842</v>
      </c>
      <c r="E40" s="24">
        <v>48513599270479</v>
      </c>
      <c r="F40" s="24">
        <v>54739218312039</v>
      </c>
    </row>
    <row r="41" spans="1:8" x14ac:dyDescent="0.25">
      <c r="A41" s="1" t="s">
        <v>42</v>
      </c>
      <c r="B41" s="24">
        <v>-26530426212630</v>
      </c>
      <c r="C41" s="24">
        <v>-29131716016553</v>
      </c>
      <c r="D41" s="24">
        <v>-31880677914323</v>
      </c>
      <c r="E41" s="24">
        <v>-33075833180914</v>
      </c>
      <c r="F41" s="24">
        <v>-35404112597753</v>
      </c>
    </row>
    <row r="42" spans="1:8" x14ac:dyDescent="0.25">
      <c r="A42" s="1" t="s">
        <v>43</v>
      </c>
      <c r="B42" s="24">
        <v>57229227905</v>
      </c>
      <c r="C42" s="24">
        <v>36763701195</v>
      </c>
      <c r="D42" s="24">
        <v>20023931745</v>
      </c>
      <c r="E42" s="24">
        <v>0</v>
      </c>
      <c r="F42" s="24">
        <v>0</v>
      </c>
    </row>
    <row r="43" spans="1:8" x14ac:dyDescent="0.25">
      <c r="A43" s="1" t="s">
        <v>41</v>
      </c>
      <c r="B43" s="24">
        <v>94530744060</v>
      </c>
      <c r="C43" s="24">
        <v>86943925878</v>
      </c>
      <c r="D43" s="24">
        <v>49178501219</v>
      </c>
      <c r="E43" s="24">
        <v>0</v>
      </c>
      <c r="F43" s="24">
        <v>0</v>
      </c>
    </row>
    <row r="44" spans="1:8" x14ac:dyDescent="0.25">
      <c r="A44" s="1" t="s">
        <v>42</v>
      </c>
      <c r="B44" s="24">
        <v>-37301516155</v>
      </c>
      <c r="C44" s="24">
        <v>-50180224683</v>
      </c>
      <c r="D44" s="24">
        <v>-29154569474</v>
      </c>
      <c r="E44" s="24">
        <v>0</v>
      </c>
      <c r="F44" s="24">
        <v>0</v>
      </c>
    </row>
    <row r="45" spans="1:8" x14ac:dyDescent="0.25">
      <c r="A45" s="1" t="s">
        <v>44</v>
      </c>
      <c r="B45" s="24">
        <v>400120593649</v>
      </c>
      <c r="C45" s="24">
        <v>433975634376</v>
      </c>
      <c r="D45" s="24">
        <v>440186317502</v>
      </c>
      <c r="E45" s="24">
        <v>412106680813</v>
      </c>
      <c r="F45" s="24">
        <v>438495483712</v>
      </c>
    </row>
    <row r="46" spans="1:8" x14ac:dyDescent="0.25">
      <c r="A46" s="1" t="s">
        <v>41</v>
      </c>
      <c r="B46" s="24">
        <v>469208941884</v>
      </c>
      <c r="C46" s="24">
        <v>521365712739</v>
      </c>
      <c r="D46" s="24">
        <v>550726305369</v>
      </c>
      <c r="E46" s="24">
        <v>539724659083</v>
      </c>
      <c r="F46" s="24">
        <v>585234713955</v>
      </c>
      <c r="H46" s="3"/>
    </row>
    <row r="47" spans="1:8" x14ac:dyDescent="0.25">
      <c r="A47" s="1" t="s">
        <v>42</v>
      </c>
      <c r="B47" s="24">
        <v>-69088348235</v>
      </c>
      <c r="C47" s="24">
        <v>-87390078363</v>
      </c>
      <c r="D47" s="24">
        <v>-110539987867</v>
      </c>
      <c r="E47" s="24">
        <v>-127617978270</v>
      </c>
      <c r="F47" s="24">
        <v>-146739230243</v>
      </c>
    </row>
    <row r="48" spans="1:8" x14ac:dyDescent="0.25">
      <c r="A48" s="1" t="s">
        <v>45</v>
      </c>
      <c r="B48" s="24">
        <v>24515433300</v>
      </c>
      <c r="C48" s="24">
        <v>24842563084</v>
      </c>
      <c r="D48" s="24">
        <v>24014662414</v>
      </c>
      <c r="E48" s="24">
        <v>23186576974</v>
      </c>
      <c r="F48" s="24">
        <v>22357771534</v>
      </c>
    </row>
    <row r="49" spans="1:6" x14ac:dyDescent="0.25">
      <c r="A49" s="1" t="s">
        <v>41</v>
      </c>
      <c r="B49" s="24">
        <v>25306253729</v>
      </c>
      <c r="C49" s="24">
        <v>26427782233</v>
      </c>
      <c r="D49" s="24">
        <v>26427782233</v>
      </c>
      <c r="E49" s="24">
        <v>26427782233</v>
      </c>
      <c r="F49" s="24">
        <v>26427782233</v>
      </c>
    </row>
    <row r="50" spans="1:6" x14ac:dyDescent="0.25">
      <c r="A50" s="1" t="s">
        <v>42</v>
      </c>
      <c r="B50" s="24">
        <v>-790820429</v>
      </c>
      <c r="C50" s="24">
        <v>-1585219149</v>
      </c>
      <c r="D50" s="24">
        <v>-2413119819</v>
      </c>
      <c r="E50" s="24">
        <v>-3241205259</v>
      </c>
      <c r="F50" s="24">
        <v>-4070010699</v>
      </c>
    </row>
    <row r="51" spans="1:6" x14ac:dyDescent="0.25">
      <c r="A51" s="1" t="s">
        <v>46</v>
      </c>
      <c r="B51" s="24">
        <v>4738573251455</v>
      </c>
      <c r="C51" s="24">
        <v>6571784154041</v>
      </c>
      <c r="D51" s="24">
        <v>1235198326718</v>
      </c>
      <c r="E51" s="24">
        <v>3020872112628</v>
      </c>
      <c r="F51" s="24">
        <v>2302958751607</v>
      </c>
    </row>
    <row r="52" spans="1:6" x14ac:dyDescent="0.25">
      <c r="A52" s="1" t="s">
        <v>47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</row>
    <row r="53" spans="1:6" x14ac:dyDescent="0.25">
      <c r="A53" s="1" t="s">
        <v>48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</row>
    <row r="54" spans="1:6" x14ac:dyDescent="0.25">
      <c r="A54" s="1" t="s">
        <v>49</v>
      </c>
      <c r="B54" s="24">
        <v>144205831583</v>
      </c>
      <c r="C54" s="24">
        <v>92632703133</v>
      </c>
      <c r="D54" s="24">
        <v>63019500678</v>
      </c>
      <c r="E54" s="24">
        <v>404693951815</v>
      </c>
      <c r="F54" s="24">
        <v>379189574851</v>
      </c>
    </row>
    <row r="55" spans="1:6" x14ac:dyDescent="0.25">
      <c r="A55" s="1" t="s">
        <v>50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</row>
    <row r="56" spans="1:6" x14ac:dyDescent="0.25">
      <c r="A56" s="1" t="s">
        <v>51</v>
      </c>
      <c r="B56" s="24">
        <v>132285831583</v>
      </c>
      <c r="C56" s="24">
        <v>56592703133</v>
      </c>
      <c r="D56" s="24">
        <v>53019500678</v>
      </c>
      <c r="E56" s="24">
        <v>394693951815</v>
      </c>
      <c r="F56" s="24">
        <v>369189574851</v>
      </c>
    </row>
    <row r="57" spans="1:6" x14ac:dyDescent="0.25">
      <c r="A57" s="1" t="s">
        <v>52</v>
      </c>
      <c r="B57" s="24">
        <v>86920000000</v>
      </c>
      <c r="C57" s="24">
        <v>111040000000</v>
      </c>
      <c r="D57" s="24">
        <v>85000000000</v>
      </c>
      <c r="E57" s="24">
        <v>35000000000</v>
      </c>
      <c r="F57" s="24">
        <v>35000000000</v>
      </c>
    </row>
    <row r="58" spans="1:6" x14ac:dyDescent="0.25">
      <c r="A58" s="1" t="s">
        <v>53</v>
      </c>
      <c r="B58" s="24">
        <v>-75000000000</v>
      </c>
      <c r="C58" s="24">
        <v>-75000000000</v>
      </c>
      <c r="D58" s="24">
        <v>-75000000000</v>
      </c>
      <c r="E58" s="24">
        <v>-25000000000</v>
      </c>
      <c r="F58" s="24">
        <v>-25000000000</v>
      </c>
    </row>
    <row r="59" spans="1:6" x14ac:dyDescent="0.25">
      <c r="A59" s="1" t="s">
        <v>54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</row>
    <row r="60" spans="1:6" x14ac:dyDescent="0.25">
      <c r="A60" s="1" t="s">
        <v>55</v>
      </c>
      <c r="B60" s="24">
        <v>1305579362351</v>
      </c>
      <c r="C60" s="24">
        <v>1358827836339</v>
      </c>
      <c r="D60" s="24">
        <v>1534135374830</v>
      </c>
      <c r="E60" s="24">
        <v>936880834806</v>
      </c>
      <c r="F60" s="24">
        <v>1096004237787</v>
      </c>
    </row>
    <row r="61" spans="1:6" x14ac:dyDescent="0.25">
      <c r="A61" s="1" t="s">
        <v>56</v>
      </c>
      <c r="B61" s="24">
        <v>950303632420</v>
      </c>
      <c r="C61" s="24">
        <v>1077254012412</v>
      </c>
      <c r="D61" s="24">
        <v>1324485607020</v>
      </c>
      <c r="E61" s="24">
        <v>823187362762</v>
      </c>
      <c r="F61" s="24">
        <v>1022822668367</v>
      </c>
    </row>
    <row r="62" spans="1:6" x14ac:dyDescent="0.25">
      <c r="A62" s="1" t="s">
        <v>57</v>
      </c>
      <c r="B62" s="24">
        <v>50086025880</v>
      </c>
      <c r="C62" s="24">
        <v>46141766516</v>
      </c>
      <c r="D62" s="24">
        <v>43975357039</v>
      </c>
      <c r="E62" s="24">
        <v>30489957914</v>
      </c>
      <c r="F62" s="24">
        <v>50808879996</v>
      </c>
    </row>
    <row r="63" spans="1:6" x14ac:dyDescent="0.25">
      <c r="A63" s="1" t="s">
        <v>58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</row>
    <row r="64" spans="1:6" x14ac:dyDescent="0.25">
      <c r="A64" s="1" t="s">
        <v>55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</row>
    <row r="65" spans="1:6" x14ac:dyDescent="0.25">
      <c r="A65" s="1" t="s">
        <v>59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</row>
    <row r="66" spans="1:6" x14ac:dyDescent="0.25">
      <c r="A66" s="1" t="s">
        <v>60</v>
      </c>
      <c r="B66" s="24">
        <v>15910005640211</v>
      </c>
      <c r="C66" s="24">
        <v>18617834577626</v>
      </c>
      <c r="D66" s="24">
        <v>15747295132679</v>
      </c>
      <c r="E66" s="24">
        <v>12564256032003</v>
      </c>
      <c r="F66" s="24">
        <v>13708720044649</v>
      </c>
    </row>
    <row r="67" spans="1:6" x14ac:dyDescent="0.25">
      <c r="A67" s="1" t="s">
        <v>61</v>
      </c>
      <c r="B67" s="24">
        <v>9182556758322</v>
      </c>
      <c r="C67" s="24">
        <v>10911813704191</v>
      </c>
      <c r="D67" s="24">
        <v>11846614031313</v>
      </c>
      <c r="E67" s="24">
        <v>9964436306143</v>
      </c>
      <c r="F67" s="24">
        <v>9748781422071</v>
      </c>
    </row>
    <row r="68" spans="1:6" x14ac:dyDescent="0.25">
      <c r="A68" s="1" t="s">
        <v>62</v>
      </c>
      <c r="B68" s="24">
        <v>2443691942435</v>
      </c>
      <c r="C68" s="24">
        <v>2324292611578</v>
      </c>
      <c r="D68" s="24">
        <v>2663844385208</v>
      </c>
      <c r="E68" s="24">
        <v>1913892958734</v>
      </c>
      <c r="F68" s="24">
        <v>2676585638208</v>
      </c>
    </row>
    <row r="69" spans="1:6" x14ac:dyDescent="0.25">
      <c r="A69" s="1" t="s">
        <v>63</v>
      </c>
      <c r="B69" s="24">
        <v>86394987159</v>
      </c>
      <c r="C69" s="24">
        <v>204413210666</v>
      </c>
      <c r="D69" s="24">
        <v>237513454863</v>
      </c>
      <c r="E69" s="24">
        <v>202837473408</v>
      </c>
      <c r="F69" s="24">
        <v>228058965321</v>
      </c>
    </row>
    <row r="70" spans="1:6" x14ac:dyDescent="0.25">
      <c r="A70" s="1" t="s">
        <v>64</v>
      </c>
      <c r="B70" s="24">
        <v>831958451665</v>
      </c>
      <c r="C70" s="24">
        <v>1120506288467</v>
      </c>
      <c r="D70" s="24">
        <v>759700530897</v>
      </c>
      <c r="E70" s="24">
        <v>876865173928</v>
      </c>
      <c r="F70" s="24">
        <v>553509459627</v>
      </c>
    </row>
    <row r="71" spans="1:6" x14ac:dyDescent="0.25">
      <c r="A71" s="1" t="s">
        <v>65</v>
      </c>
      <c r="B71" s="24">
        <v>167099222556</v>
      </c>
      <c r="C71" s="24">
        <v>174976729026</v>
      </c>
      <c r="D71" s="24">
        <v>188077461797</v>
      </c>
      <c r="E71" s="24">
        <v>118098347249</v>
      </c>
      <c r="F71" s="24">
        <v>199352091251</v>
      </c>
    </row>
    <row r="72" spans="1:6" x14ac:dyDescent="0.25">
      <c r="A72" s="1" t="s">
        <v>66</v>
      </c>
      <c r="B72" s="24">
        <v>3387919324464</v>
      </c>
      <c r="C72" s="24">
        <v>4428629421215</v>
      </c>
      <c r="D72" s="24">
        <v>5488545648029</v>
      </c>
      <c r="E72" s="24">
        <v>4047844728329</v>
      </c>
      <c r="F72" s="24">
        <v>3767917733282</v>
      </c>
    </row>
    <row r="73" spans="1:6" x14ac:dyDescent="0.25">
      <c r="A73" s="1" t="s">
        <v>67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</row>
    <row r="74" spans="1:6" x14ac:dyDescent="0.25">
      <c r="A74" s="1" t="s">
        <v>68</v>
      </c>
      <c r="B74" s="24">
        <v>0</v>
      </c>
      <c r="C74" s="24">
        <v>0</v>
      </c>
      <c r="D74" s="24">
        <v>0</v>
      </c>
      <c r="E74" s="24">
        <v>0</v>
      </c>
      <c r="F74" s="24">
        <v>0</v>
      </c>
    </row>
    <row r="75" spans="1:6" x14ac:dyDescent="0.25">
      <c r="A75" s="1" t="s">
        <v>69</v>
      </c>
      <c r="B75" s="24">
        <v>1012098804</v>
      </c>
      <c r="C75" s="24">
        <v>9400833144</v>
      </c>
      <c r="D75" s="24">
        <v>1481038533</v>
      </c>
      <c r="E75" s="24">
        <v>936607573</v>
      </c>
      <c r="F75" s="24">
        <v>77365272465</v>
      </c>
    </row>
    <row r="76" spans="1:6" x14ac:dyDescent="0.25">
      <c r="A76" s="1" t="s">
        <v>70</v>
      </c>
      <c r="B76" s="24">
        <v>863179223968</v>
      </c>
      <c r="C76" s="24">
        <v>676947707771</v>
      </c>
      <c r="D76" s="24">
        <v>658389914253</v>
      </c>
      <c r="E76" s="24">
        <v>1029191512264</v>
      </c>
      <c r="F76" s="24">
        <v>749208259798</v>
      </c>
    </row>
    <row r="77" spans="1:6" x14ac:dyDescent="0.25">
      <c r="A77" s="1" t="s">
        <v>71</v>
      </c>
      <c r="B77" s="24">
        <v>1180387629702</v>
      </c>
      <c r="C77" s="24">
        <v>1737699131097</v>
      </c>
      <c r="D77" s="24">
        <v>1489867272234</v>
      </c>
      <c r="E77" s="24">
        <v>1340567850126</v>
      </c>
      <c r="F77" s="24">
        <v>1017470000000</v>
      </c>
    </row>
    <row r="78" spans="1:6" x14ac:dyDescent="0.25">
      <c r="A78" s="1" t="s">
        <v>72</v>
      </c>
      <c r="B78" s="24">
        <v>46932332214</v>
      </c>
      <c r="C78" s="24">
        <v>0</v>
      </c>
      <c r="D78" s="24">
        <v>0</v>
      </c>
      <c r="E78" s="24">
        <v>9050349783</v>
      </c>
      <c r="F78" s="24">
        <v>0</v>
      </c>
    </row>
    <row r="79" spans="1:6" x14ac:dyDescent="0.25">
      <c r="A79" s="1" t="s">
        <v>73</v>
      </c>
      <c r="B79" s="24">
        <v>173981545355</v>
      </c>
      <c r="C79" s="24">
        <v>234947771227</v>
      </c>
      <c r="D79" s="24">
        <v>359194325499</v>
      </c>
      <c r="E79" s="24">
        <v>425151304749</v>
      </c>
      <c r="F79" s="24">
        <v>479314002119</v>
      </c>
    </row>
    <row r="80" spans="1:6" x14ac:dyDescent="0.25">
      <c r="A80" s="1" t="s">
        <v>74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</row>
    <row r="81" spans="1:6" x14ac:dyDescent="0.25">
      <c r="A81" s="1" t="s">
        <v>29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</row>
    <row r="82" spans="1:6" x14ac:dyDescent="0.25">
      <c r="A82" s="1" t="s">
        <v>75</v>
      </c>
      <c r="B82" s="24">
        <v>6727448881889</v>
      </c>
      <c r="C82" s="24">
        <v>7706020873435</v>
      </c>
      <c r="D82" s="24">
        <v>3900681101366</v>
      </c>
      <c r="E82" s="24">
        <v>2599819725860</v>
      </c>
      <c r="F82" s="24">
        <v>3959938622578</v>
      </c>
    </row>
    <row r="83" spans="1:6" x14ac:dyDescent="0.25">
      <c r="A83" s="1" t="s">
        <v>76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</row>
    <row r="84" spans="1:6" x14ac:dyDescent="0.25">
      <c r="A84" s="1" t="s">
        <v>77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</row>
    <row r="85" spans="1:6" x14ac:dyDescent="0.25">
      <c r="A85" s="1" t="s">
        <v>78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</row>
    <row r="86" spans="1:6" x14ac:dyDescent="0.25">
      <c r="A86" s="1" t="s">
        <v>79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</row>
    <row r="87" spans="1:6" x14ac:dyDescent="0.25">
      <c r="A87" s="1" t="s">
        <v>80</v>
      </c>
      <c r="B87" s="24">
        <v>0</v>
      </c>
      <c r="C87" s="24">
        <v>0</v>
      </c>
      <c r="D87" s="24">
        <v>0</v>
      </c>
      <c r="E87" s="24">
        <v>0</v>
      </c>
      <c r="F87" s="24">
        <v>0</v>
      </c>
    </row>
    <row r="88" spans="1:6" x14ac:dyDescent="0.25">
      <c r="A88" s="1" t="s">
        <v>81</v>
      </c>
      <c r="B88" s="24">
        <v>25055507820</v>
      </c>
      <c r="C88" s="24">
        <v>24192820136</v>
      </c>
      <c r="D88" s="24">
        <v>23328790844</v>
      </c>
      <c r="E88" s="24">
        <v>22464760780</v>
      </c>
      <c r="F88" s="24">
        <v>21600730715</v>
      </c>
    </row>
    <row r="89" spans="1:6" x14ac:dyDescent="0.25">
      <c r="A89" s="1" t="s">
        <v>82</v>
      </c>
      <c r="B89" s="24">
        <v>185991047426</v>
      </c>
      <c r="C89" s="24">
        <v>208265650343</v>
      </c>
      <c r="D89" s="24">
        <v>247137862278</v>
      </c>
      <c r="E89" s="24">
        <v>86941807721</v>
      </c>
      <c r="F89" s="24">
        <v>93020749601</v>
      </c>
    </row>
    <row r="90" spans="1:6" x14ac:dyDescent="0.25">
      <c r="A90" s="1" t="s">
        <v>83</v>
      </c>
      <c r="B90" s="24">
        <v>6365826626253</v>
      </c>
      <c r="C90" s="24">
        <v>7311935862404</v>
      </c>
      <c r="D90" s="24">
        <v>3395742808039</v>
      </c>
      <c r="E90" s="24">
        <v>1455930000000</v>
      </c>
      <c r="F90" s="24">
        <v>1963867248970</v>
      </c>
    </row>
    <row r="91" spans="1:6" x14ac:dyDescent="0.25">
      <c r="A91" s="1" t="s">
        <v>84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</row>
    <row r="92" spans="1:6" x14ac:dyDescent="0.25">
      <c r="A92" s="1" t="s">
        <v>85</v>
      </c>
    </row>
    <row r="93" spans="1:6" x14ac:dyDescent="0.25">
      <c r="A93" s="1" t="s">
        <v>86</v>
      </c>
      <c r="B93" s="24">
        <v>90227237151</v>
      </c>
      <c r="C93" s="24">
        <v>117752999916</v>
      </c>
      <c r="D93" s="24">
        <v>168503666569</v>
      </c>
      <c r="E93" s="24">
        <v>182000454368</v>
      </c>
      <c r="F93" s="24">
        <v>171627679439</v>
      </c>
    </row>
    <row r="94" spans="1:6" x14ac:dyDescent="0.25">
      <c r="A94" s="1" t="s">
        <v>87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</row>
    <row r="95" spans="1:6" x14ac:dyDescent="0.25">
      <c r="A95" s="1" t="s">
        <v>88</v>
      </c>
      <c r="B95" s="24">
        <v>11071418690</v>
      </c>
      <c r="C95" s="24">
        <v>23526331752</v>
      </c>
      <c r="D95" s="24">
        <v>45337438542</v>
      </c>
      <c r="E95" s="24">
        <v>836651603962</v>
      </c>
      <c r="F95" s="24">
        <v>1700127271921</v>
      </c>
    </row>
    <row r="96" spans="1:6" x14ac:dyDescent="0.25">
      <c r="A96" s="1" t="s">
        <v>89</v>
      </c>
      <c r="B96" s="24">
        <v>49277044549</v>
      </c>
      <c r="C96" s="24">
        <v>20347208884</v>
      </c>
      <c r="D96" s="24">
        <v>20630535094</v>
      </c>
      <c r="E96" s="24">
        <v>15831099029</v>
      </c>
      <c r="F96" s="24">
        <v>9694941932</v>
      </c>
    </row>
    <row r="97" spans="1:6" x14ac:dyDescent="0.25">
      <c r="A97" s="1" t="s">
        <v>90</v>
      </c>
      <c r="B97" s="24">
        <v>40843847878227</v>
      </c>
      <c r="C97" s="24">
        <v>43271508764811</v>
      </c>
      <c r="D97" s="24">
        <v>46867125112614</v>
      </c>
      <c r="E97" s="24">
        <v>49614531357631</v>
      </c>
      <c r="F97" s="24">
        <v>49499680985454</v>
      </c>
    </row>
    <row r="98" spans="1:6" x14ac:dyDescent="0.25">
      <c r="A98" s="1" t="s">
        <v>91</v>
      </c>
      <c r="B98" s="24">
        <v>40843847878227</v>
      </c>
      <c r="C98" s="24">
        <v>43271508764811</v>
      </c>
      <c r="D98" s="24">
        <v>46867125112614</v>
      </c>
      <c r="E98" s="24">
        <v>49614531357631</v>
      </c>
      <c r="F98" s="24">
        <v>49499680985454</v>
      </c>
    </row>
    <row r="99" spans="1:6" x14ac:dyDescent="0.25">
      <c r="A99" s="1" t="s">
        <v>92</v>
      </c>
      <c r="B99" s="24">
        <v>19139500000000</v>
      </c>
      <c r="C99" s="24">
        <v>19139500000000</v>
      </c>
      <c r="D99" s="24">
        <v>19139500000000</v>
      </c>
      <c r="E99" s="24">
        <v>19139500000000</v>
      </c>
      <c r="F99" s="24">
        <v>19139500000000</v>
      </c>
    </row>
    <row r="100" spans="1:6" x14ac:dyDescent="0.25">
      <c r="A100" s="1" t="s">
        <v>93</v>
      </c>
      <c r="B100" s="24">
        <v>19139500000000</v>
      </c>
      <c r="C100" s="24">
        <v>19139500000000</v>
      </c>
      <c r="D100" s="24">
        <v>19139500000000</v>
      </c>
      <c r="E100" s="24">
        <v>19139500000000</v>
      </c>
      <c r="F100" s="24">
        <v>19139500000000</v>
      </c>
    </row>
    <row r="101" spans="1:6" x14ac:dyDescent="0.25">
      <c r="A101" s="1" t="s">
        <v>85</v>
      </c>
      <c r="B101" s="24">
        <v>0</v>
      </c>
      <c r="C101" s="24">
        <v>0</v>
      </c>
      <c r="D101" s="24">
        <v>0</v>
      </c>
      <c r="E101" s="24">
        <v>0</v>
      </c>
      <c r="F101" s="24">
        <v>0</v>
      </c>
    </row>
    <row r="102" spans="1:6" x14ac:dyDescent="0.25">
      <c r="A102" s="1" t="s">
        <v>94</v>
      </c>
      <c r="B102" s="24">
        <v>189746727266</v>
      </c>
      <c r="C102" s="24">
        <v>189746727266</v>
      </c>
      <c r="D102" s="24">
        <v>210679541297</v>
      </c>
      <c r="E102" s="24">
        <v>0</v>
      </c>
      <c r="F102" s="24">
        <v>0</v>
      </c>
    </row>
    <row r="103" spans="1:6" x14ac:dyDescent="0.25">
      <c r="A103" s="1" t="s">
        <v>95</v>
      </c>
      <c r="B103" s="24">
        <v>0</v>
      </c>
      <c r="C103" s="24">
        <v>0</v>
      </c>
      <c r="D103" s="24">
        <v>0</v>
      </c>
      <c r="E103" s="24">
        <v>210679541297</v>
      </c>
      <c r="F103" s="24">
        <v>210679541297</v>
      </c>
    </row>
    <row r="104" spans="1:6" x14ac:dyDescent="0.25">
      <c r="A104" s="1" t="s">
        <v>96</v>
      </c>
      <c r="B104" s="24">
        <v>255851956264</v>
      </c>
      <c r="C104" s="24">
        <v>255319038873</v>
      </c>
      <c r="D104" s="24">
        <v>255319038873</v>
      </c>
      <c r="E104" s="24">
        <v>196658562648</v>
      </c>
      <c r="F104" s="24">
        <v>196658562648</v>
      </c>
    </row>
    <row r="105" spans="1:6" x14ac:dyDescent="0.25">
      <c r="A105" s="1" t="s">
        <v>97</v>
      </c>
      <c r="B105" s="24">
        <v>-40111223937</v>
      </c>
      <c r="C105" s="24">
        <v>-40111223937</v>
      </c>
      <c r="D105" s="24">
        <v>0</v>
      </c>
      <c r="E105" s="24">
        <v>0</v>
      </c>
      <c r="F105" s="24">
        <v>0</v>
      </c>
    </row>
    <row r="106" spans="1:6" x14ac:dyDescent="0.25">
      <c r="A106" s="1" t="s">
        <v>98</v>
      </c>
      <c r="B106" s="24">
        <v>0</v>
      </c>
      <c r="C106" s="24">
        <v>0</v>
      </c>
      <c r="D106" s="24">
        <v>0</v>
      </c>
      <c r="E106" s="24">
        <v>0</v>
      </c>
      <c r="F106" s="24">
        <v>0</v>
      </c>
    </row>
    <row r="107" spans="1:6" x14ac:dyDescent="0.25">
      <c r="A107" s="1" t="s">
        <v>99</v>
      </c>
      <c r="B107" s="24">
        <v>0</v>
      </c>
      <c r="C107" s="24">
        <v>0</v>
      </c>
      <c r="D107" s="24">
        <v>0</v>
      </c>
      <c r="E107" s="24">
        <v>0</v>
      </c>
      <c r="F107" s="24">
        <v>0</v>
      </c>
    </row>
    <row r="108" spans="1:6" x14ac:dyDescent="0.25">
      <c r="A108" s="1" t="s">
        <v>100</v>
      </c>
      <c r="B108" s="24">
        <v>13404936846079</v>
      </c>
      <c r="C108" s="24">
        <v>14849893822097</v>
      </c>
      <c r="D108" s="24">
        <v>14862130022329</v>
      </c>
      <c r="E108" s="24">
        <v>18844379948876</v>
      </c>
      <c r="F108" s="24">
        <v>18853826843892</v>
      </c>
    </row>
    <row r="109" spans="1:6" x14ac:dyDescent="0.25">
      <c r="A109" s="1" t="s">
        <v>101</v>
      </c>
      <c r="B109" s="24">
        <v>0</v>
      </c>
      <c r="C109" s="24">
        <v>0</v>
      </c>
      <c r="D109" s="24">
        <v>0</v>
      </c>
      <c r="E109" s="24">
        <v>0</v>
      </c>
      <c r="F109" s="24">
        <v>0</v>
      </c>
    </row>
    <row r="110" spans="1:6" x14ac:dyDescent="0.25">
      <c r="A110" s="1" t="s">
        <v>102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</row>
    <row r="111" spans="1:6" x14ac:dyDescent="0.25">
      <c r="A111" s="1" t="s">
        <v>103</v>
      </c>
      <c r="B111" s="24">
        <v>6287250000</v>
      </c>
      <c r="C111" s="24">
        <v>6287318113</v>
      </c>
      <c r="D111" s="24">
        <v>6287318113</v>
      </c>
      <c r="E111" s="24">
        <v>6287318113</v>
      </c>
      <c r="F111" s="24">
        <v>6287318113</v>
      </c>
    </row>
    <row r="112" spans="1:6" x14ac:dyDescent="0.25">
      <c r="A112" s="1" t="s">
        <v>104</v>
      </c>
      <c r="B112" s="24">
        <v>6157504526798</v>
      </c>
      <c r="C112" s="24">
        <v>7089031949795</v>
      </c>
      <c r="D112" s="24">
        <v>10598838456543</v>
      </c>
      <c r="E112" s="24">
        <v>10109461187456</v>
      </c>
      <c r="F112" s="24">
        <v>10028673271871</v>
      </c>
    </row>
    <row r="113" spans="1:6" x14ac:dyDescent="0.25">
      <c r="A113" s="1" t="s">
        <v>105</v>
      </c>
      <c r="B113" s="24">
        <v>0</v>
      </c>
      <c r="C113" s="24">
        <v>1353669355216</v>
      </c>
      <c r="D113" s="24">
        <v>3110217713815</v>
      </c>
      <c r="E113" s="24">
        <v>59908671304</v>
      </c>
      <c r="F113" s="24">
        <v>2319480175551</v>
      </c>
    </row>
    <row r="114" spans="1:6" x14ac:dyDescent="0.25">
      <c r="A114" s="1" t="s">
        <v>106</v>
      </c>
      <c r="B114" s="24">
        <v>6157504526798</v>
      </c>
      <c r="C114" s="24">
        <v>5735362594579</v>
      </c>
      <c r="D114" s="24">
        <v>7488620742728</v>
      </c>
      <c r="E114" s="24">
        <v>10049552516152</v>
      </c>
      <c r="F114" s="24">
        <v>7709193096320</v>
      </c>
    </row>
    <row r="115" spans="1:6" x14ac:dyDescent="0.25">
      <c r="A115" s="1" t="s">
        <v>107</v>
      </c>
      <c r="B115" s="24">
        <v>1730131795757</v>
      </c>
      <c r="C115" s="24">
        <v>1781841132604</v>
      </c>
      <c r="D115" s="24">
        <v>1794370735459</v>
      </c>
      <c r="E115" s="24">
        <v>1107564799241</v>
      </c>
      <c r="F115" s="24">
        <v>1064055447633</v>
      </c>
    </row>
    <row r="116" spans="1:6" x14ac:dyDescent="0.25">
      <c r="A116" s="1" t="s">
        <v>108</v>
      </c>
      <c r="B116" s="24">
        <v>0</v>
      </c>
      <c r="C116" s="24">
        <v>0</v>
      </c>
      <c r="D116" s="24">
        <v>0</v>
      </c>
      <c r="E116" s="24">
        <v>0</v>
      </c>
      <c r="F116" s="24">
        <v>0</v>
      </c>
    </row>
    <row r="117" spans="1:6" x14ac:dyDescent="0.25">
      <c r="A117" s="1" t="s">
        <v>109</v>
      </c>
      <c r="B117" s="24">
        <v>0</v>
      </c>
      <c r="C117" s="24">
        <v>0</v>
      </c>
      <c r="D117" s="24">
        <v>0</v>
      </c>
      <c r="E117" s="24">
        <v>0</v>
      </c>
      <c r="F117" s="24">
        <v>0</v>
      </c>
    </row>
    <row r="118" spans="1:6" x14ac:dyDescent="0.25">
      <c r="A118" s="1" t="s">
        <v>108</v>
      </c>
      <c r="B118" s="24">
        <v>0</v>
      </c>
      <c r="C118" s="24">
        <v>0</v>
      </c>
      <c r="D118" s="24">
        <v>0</v>
      </c>
      <c r="E118" s="24">
        <v>0</v>
      </c>
      <c r="F118" s="24">
        <v>0</v>
      </c>
    </row>
    <row r="119" spans="1:6" x14ac:dyDescent="0.25">
      <c r="A119" s="1" t="s">
        <v>110</v>
      </c>
      <c r="B119" s="24">
        <v>0</v>
      </c>
      <c r="C119" s="24">
        <v>0</v>
      </c>
      <c r="D119" s="24">
        <v>0</v>
      </c>
      <c r="E119" s="24">
        <v>0</v>
      </c>
      <c r="F119" s="24">
        <v>0</v>
      </c>
    </row>
    <row r="120" spans="1:6" x14ac:dyDescent="0.25">
      <c r="A120" s="1" t="s">
        <v>111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</row>
    <row r="121" spans="1:6" x14ac:dyDescent="0.25">
      <c r="A121" s="1" t="s">
        <v>112</v>
      </c>
      <c r="B121" s="24">
        <v>56753853518438</v>
      </c>
      <c r="C121" s="24">
        <v>61889343342437</v>
      </c>
      <c r="D121" s="24">
        <v>62614420245293</v>
      </c>
      <c r="E121" s="24">
        <v>62178787389634</v>
      </c>
      <c r="F121" s="24">
        <v>63208401030103</v>
      </c>
    </row>
    <row r="123" spans="1:6" x14ac:dyDescent="0.25">
      <c r="A123" s="5" t="s">
        <v>113</v>
      </c>
    </row>
    <row r="124" spans="1:6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</row>
    <row r="125" spans="1:6" x14ac:dyDescent="0.25">
      <c r="A125" s="1" t="s">
        <v>114</v>
      </c>
      <c r="B125" s="4">
        <v>59326379871839</v>
      </c>
      <c r="C125" s="4">
        <v>64830157981142</v>
      </c>
      <c r="D125" s="4">
        <v>75976345569671</v>
      </c>
      <c r="E125" s="4">
        <v>75310106606268</v>
      </c>
      <c r="F125" s="4">
        <v>64134965486838</v>
      </c>
    </row>
    <row r="126" spans="1:6" x14ac:dyDescent="0.25">
      <c r="A126" s="1" t="s">
        <v>115</v>
      </c>
      <c r="B126" s="4">
        <v>-250186696178</v>
      </c>
      <c r="C126" s="4">
        <v>-307717004908</v>
      </c>
      <c r="D126" s="4">
        <v>-364799330259</v>
      </c>
      <c r="E126" s="4">
        <v>-304809430862</v>
      </c>
      <c r="F126" s="4">
        <v>0</v>
      </c>
    </row>
    <row r="127" spans="1:6" x14ac:dyDescent="0.25">
      <c r="A127" s="1" t="s">
        <v>116</v>
      </c>
      <c r="B127" s="4">
        <v>59076193175661</v>
      </c>
      <c r="C127" s="4">
        <v>64522440976234</v>
      </c>
      <c r="D127" s="4">
        <v>75611546239412</v>
      </c>
      <c r="E127" s="4">
        <v>75005297175406</v>
      </c>
      <c r="F127" s="4">
        <v>64134965486838</v>
      </c>
    </row>
    <row r="128" spans="1:6" x14ac:dyDescent="0.25">
      <c r="A128" s="1" t="s">
        <v>117</v>
      </c>
      <c r="B128" s="4">
        <v>-47521232445917</v>
      </c>
      <c r="C128" s="4">
        <v>-49359543140142</v>
      </c>
      <c r="D128" s="4">
        <v>-58120227682208</v>
      </c>
      <c r="E128" s="4">
        <v>-58086688538104</v>
      </c>
      <c r="F128" s="4">
        <v>-52728949502327</v>
      </c>
    </row>
    <row r="129" spans="1:6" x14ac:dyDescent="0.25">
      <c r="A129" s="1" t="s">
        <v>118</v>
      </c>
      <c r="B129" s="4">
        <v>11554960729744</v>
      </c>
      <c r="C129" s="4">
        <v>15162897836092</v>
      </c>
      <c r="D129" s="4">
        <v>17491318557204</v>
      </c>
      <c r="E129" s="4">
        <v>16918608637302</v>
      </c>
      <c r="F129" s="4">
        <v>11406015984511</v>
      </c>
    </row>
    <row r="130" spans="1:6" x14ac:dyDescent="0.25">
      <c r="A130" s="1" t="s">
        <v>119</v>
      </c>
      <c r="B130" s="4">
        <v>1136087785475</v>
      </c>
      <c r="C130" s="4">
        <v>1272001039845</v>
      </c>
      <c r="D130" s="4">
        <v>1476548445639</v>
      </c>
      <c r="E130" s="4">
        <v>1664550734786</v>
      </c>
      <c r="F130" s="4">
        <v>1451117996323</v>
      </c>
    </row>
    <row r="131" spans="1:6" x14ac:dyDescent="0.25">
      <c r="A131" s="1" t="s">
        <v>119</v>
      </c>
      <c r="B131" s="4">
        <v>-494200815972</v>
      </c>
      <c r="C131" s="4">
        <v>-429584038709</v>
      </c>
      <c r="D131" s="4">
        <v>-616615024877</v>
      </c>
      <c r="E131" s="4">
        <v>-240940076023</v>
      </c>
      <c r="F131" s="4">
        <v>-169134841287</v>
      </c>
    </row>
    <row r="132" spans="1:6" x14ac:dyDescent="0.25">
      <c r="A132" s="1" t="s">
        <v>120</v>
      </c>
      <c r="B132" s="4">
        <v>-359758790896</v>
      </c>
      <c r="C132" s="4">
        <v>-280095523887</v>
      </c>
      <c r="D132" s="4">
        <v>-440018194452</v>
      </c>
      <c r="E132" s="4">
        <v>-197609807262</v>
      </c>
      <c r="F132" s="4">
        <v>-101218192497</v>
      </c>
    </row>
    <row r="133" spans="1:6" x14ac:dyDescent="0.25">
      <c r="A133" s="1" t="s">
        <v>121</v>
      </c>
      <c r="B133" s="4">
        <v>371260141</v>
      </c>
      <c r="C133" s="4">
        <v>-874150755</v>
      </c>
      <c r="D133" s="4">
        <v>-3573202455</v>
      </c>
      <c r="E133" s="4">
        <v>-504636282</v>
      </c>
      <c r="F133" s="4">
        <v>-11351394583</v>
      </c>
    </row>
    <row r="134" spans="1:6" x14ac:dyDescent="0.25">
      <c r="A134" s="1" t="s">
        <v>122</v>
      </c>
      <c r="B134" s="4">
        <v>-2130307143526</v>
      </c>
      <c r="C134" s="4">
        <v>-2426235182000</v>
      </c>
      <c r="D134" s="4">
        <v>-2638679383447</v>
      </c>
      <c r="E134" s="4">
        <v>-2394374579372</v>
      </c>
      <c r="F134" s="4">
        <v>-1943004886832</v>
      </c>
    </row>
    <row r="135" spans="1:6" x14ac:dyDescent="0.25">
      <c r="A135" s="1" t="s">
        <v>123</v>
      </c>
      <c r="B135" s="4">
        <v>-965382550673</v>
      </c>
      <c r="C135" s="4">
        <v>-1109174582069</v>
      </c>
      <c r="D135" s="4">
        <v>-1127931765213</v>
      </c>
      <c r="E135" s="4">
        <v>-875266258698</v>
      </c>
      <c r="F135" s="4">
        <v>-769205023620</v>
      </c>
    </row>
    <row r="136" spans="1:6" x14ac:dyDescent="0.25">
      <c r="A136" s="1" t="s">
        <v>124</v>
      </c>
      <c r="B136" s="4">
        <v>9101529265189</v>
      </c>
      <c r="C136" s="4">
        <v>12469030922404</v>
      </c>
      <c r="D136" s="4">
        <v>14581067626851</v>
      </c>
      <c r="E136" s="4">
        <v>15072073821713</v>
      </c>
      <c r="F136" s="4">
        <v>9964437834512</v>
      </c>
    </row>
    <row r="137" spans="1:6" x14ac:dyDescent="0.25">
      <c r="A137" s="1" t="s">
        <v>125</v>
      </c>
      <c r="B137" s="4">
        <v>62480382072</v>
      </c>
      <c r="C137" s="4">
        <v>163295930879</v>
      </c>
      <c r="D137" s="4">
        <v>39088905640</v>
      </c>
      <c r="E137" s="4">
        <v>16104369827</v>
      </c>
      <c r="F137" s="4">
        <v>50448429544</v>
      </c>
    </row>
    <row r="138" spans="1:6" x14ac:dyDescent="0.25">
      <c r="A138" s="1" t="s">
        <v>126</v>
      </c>
      <c r="B138" s="4">
        <v>-11766165623</v>
      </c>
      <c r="C138" s="4">
        <v>-44289254806</v>
      </c>
      <c r="D138" s="4">
        <v>-80234601606</v>
      </c>
      <c r="E138" s="4">
        <v>-19915348120</v>
      </c>
      <c r="F138" s="4">
        <v>-36822035359</v>
      </c>
    </row>
    <row r="139" spans="1:6" x14ac:dyDescent="0.25">
      <c r="A139" s="1" t="s">
        <v>127</v>
      </c>
      <c r="B139" s="4">
        <v>50714216449</v>
      </c>
      <c r="C139" s="4">
        <v>119006676073</v>
      </c>
      <c r="D139" s="4">
        <v>-41145695966</v>
      </c>
      <c r="E139" s="4">
        <v>-3810978293</v>
      </c>
      <c r="F139" s="4">
        <v>13626394185</v>
      </c>
    </row>
    <row r="140" spans="1:6" x14ac:dyDescent="0.25">
      <c r="A140" s="1" t="s">
        <v>128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</row>
    <row r="141" spans="1:6" x14ac:dyDescent="0.25">
      <c r="A141" s="1" t="s">
        <v>129</v>
      </c>
      <c r="B141" s="4">
        <v>9152243481638</v>
      </c>
      <c r="C141" s="4">
        <v>12588037598477</v>
      </c>
      <c r="D141" s="4">
        <v>14539921930885</v>
      </c>
      <c r="E141" s="4">
        <v>15068262843420</v>
      </c>
      <c r="F141" s="4">
        <v>9978064228697</v>
      </c>
    </row>
    <row r="142" spans="1:6" x14ac:dyDescent="0.25">
      <c r="A142" s="1" t="s">
        <v>130</v>
      </c>
      <c r="B142" s="4">
        <v>-1932844957820</v>
      </c>
      <c r="C142" s="4">
        <v>-2618775027875</v>
      </c>
      <c r="D142" s="4">
        <v>-2778439374778</v>
      </c>
      <c r="E142" s="4">
        <v>-2967381924337</v>
      </c>
      <c r="F142" s="4">
        <v>-2037319332206</v>
      </c>
    </row>
    <row r="143" spans="1:6" x14ac:dyDescent="0.25">
      <c r="A143" s="1" t="s">
        <v>131</v>
      </c>
      <c r="B143" s="4">
        <v>-46988793631</v>
      </c>
      <c r="C143" s="4">
        <v>-31470022129</v>
      </c>
      <c r="D143" s="4">
        <v>-52917076131</v>
      </c>
      <c r="E143" s="4">
        <v>-15229609228</v>
      </c>
      <c r="F143" s="4">
        <v>31046323461</v>
      </c>
    </row>
    <row r="144" spans="1:6" x14ac:dyDescent="0.25">
      <c r="A144" s="1" t="s">
        <v>132</v>
      </c>
      <c r="B144" s="4">
        <v>-1979833751451</v>
      </c>
      <c r="C144" s="4">
        <v>-2650245050004</v>
      </c>
      <c r="D144" s="4">
        <v>-2831356450909</v>
      </c>
      <c r="E144" s="4">
        <v>-2982611533565</v>
      </c>
      <c r="F144" s="4">
        <v>-2006273008745</v>
      </c>
    </row>
    <row r="145" spans="1:6" x14ac:dyDescent="0.25">
      <c r="A145" s="1" t="s">
        <v>133</v>
      </c>
      <c r="B145" s="4">
        <v>7172409730187</v>
      </c>
      <c r="C145" s="4">
        <v>9937792548473</v>
      </c>
      <c r="D145" s="4">
        <v>11708565479976</v>
      </c>
      <c r="E145" s="4">
        <v>12085651309855</v>
      </c>
      <c r="F145" s="4">
        <v>7971791219952</v>
      </c>
    </row>
    <row r="146" spans="1:6" x14ac:dyDescent="0.25">
      <c r="A146" s="1" t="s">
        <v>134</v>
      </c>
      <c r="B146" s="4">
        <v>152256595845</v>
      </c>
      <c r="C146" s="4">
        <v>252928652205</v>
      </c>
      <c r="D146" s="4">
        <v>254596584934</v>
      </c>
      <c r="E146" s="4">
        <v>183403281712</v>
      </c>
      <c r="F146" s="4">
        <v>116835298013</v>
      </c>
    </row>
    <row r="147" spans="1:6" x14ac:dyDescent="0.25">
      <c r="A147" s="1" t="s">
        <v>135</v>
      </c>
      <c r="B147" s="4">
        <v>7020153134342</v>
      </c>
      <c r="C147" s="4">
        <v>9684863896268</v>
      </c>
      <c r="D147" s="4">
        <v>11453968895042</v>
      </c>
      <c r="E147" s="4">
        <v>11902248028143</v>
      </c>
      <c r="F147" s="4">
        <v>7854955921939</v>
      </c>
    </row>
    <row r="148" spans="1:6" x14ac:dyDescent="0.25">
      <c r="A148" s="1" t="s">
        <v>136</v>
      </c>
      <c r="B148" s="4">
        <v>3548</v>
      </c>
      <c r="C148" s="4">
        <v>4994</v>
      </c>
      <c r="D148" s="4">
        <v>5911</v>
      </c>
      <c r="E148" s="4">
        <v>6142</v>
      </c>
      <c r="F148" s="4">
        <v>4028</v>
      </c>
    </row>
    <row r="149" spans="1:6" x14ac:dyDescent="0.25">
      <c r="A149" s="1" t="s">
        <v>137</v>
      </c>
      <c r="B149" s="4">
        <v>0</v>
      </c>
      <c r="C149" s="4">
        <v>0</v>
      </c>
      <c r="D149" s="4">
        <v>0</v>
      </c>
      <c r="E149" s="4">
        <v>0</v>
      </c>
      <c r="F149" s="4">
        <v>4028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E0FE-DA6C-4661-96BB-9184637CD3C0}">
  <dimension ref="A1:O73"/>
  <sheetViews>
    <sheetView topLeftCell="A40" zoomScaleNormal="100" workbookViewId="0">
      <selection activeCell="N14" sqref="N14"/>
    </sheetView>
  </sheetViews>
  <sheetFormatPr defaultRowHeight="15" x14ac:dyDescent="0.25"/>
  <cols>
    <col min="1" max="1" width="32.7109375" customWidth="1"/>
    <col min="2" max="6" width="9.85546875" bestFit="1" customWidth="1"/>
    <col min="8" max="8" width="11" bestFit="1" customWidth="1"/>
    <col min="9" max="9" width="27.85546875" customWidth="1"/>
    <col min="10" max="14" width="9.85546875" bestFit="1" customWidth="1"/>
    <col min="16" max="16" width="11" bestFit="1" customWidth="1"/>
  </cols>
  <sheetData>
    <row r="1" spans="1:15" ht="18.75" x14ac:dyDescent="0.3">
      <c r="A1" s="9" t="s">
        <v>138</v>
      </c>
      <c r="I1" s="9" t="s">
        <v>139</v>
      </c>
      <c r="J1" s="2"/>
      <c r="K1" s="2"/>
      <c r="L1" s="2"/>
      <c r="M1" s="2"/>
      <c r="N1" s="2"/>
    </row>
    <row r="2" spans="1:15" s="5" customFormat="1" x14ac:dyDescent="0.25">
      <c r="A2" s="5" t="s">
        <v>140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I2" s="1" t="s">
        <v>141</v>
      </c>
      <c r="J2" s="10" t="s">
        <v>1</v>
      </c>
      <c r="K2" s="10" t="s">
        <v>2</v>
      </c>
      <c r="L2" s="10" t="s">
        <v>3</v>
      </c>
      <c r="M2" s="10" t="s">
        <v>4</v>
      </c>
      <c r="N2" s="10" t="s">
        <v>5</v>
      </c>
    </row>
    <row r="3" spans="1:15" s="5" customFormat="1" x14ac:dyDescent="0.25">
      <c r="A3" s="5" t="s">
        <v>6</v>
      </c>
      <c r="B3" s="6">
        <f>56753853518438/(10^9)</f>
        <v>56753.853518438002</v>
      </c>
      <c r="C3" s="6">
        <f>61889343342437/(10^9)</f>
        <v>61889.343342437001</v>
      </c>
      <c r="D3" s="6">
        <f>62614420245293/(10^9)</f>
        <v>62614.420245292997</v>
      </c>
      <c r="E3" s="6">
        <f>62178787389634/(10^9)</f>
        <v>62178.787389634002</v>
      </c>
      <c r="F3" s="6">
        <f>63208401030103/(10^9)</f>
        <v>63208.401030102999</v>
      </c>
      <c r="I3" s="11" t="s">
        <v>114</v>
      </c>
      <c r="J3" s="6">
        <f>59326379871839/(10^9)</f>
        <v>59326.379871839003</v>
      </c>
      <c r="K3" s="6">
        <f>64830157981142/(10^9)</f>
        <v>64830.157981142002</v>
      </c>
      <c r="L3" s="6">
        <f>75976345569671/(10^9)</f>
        <v>75976.345569671001</v>
      </c>
      <c r="M3" s="6">
        <f>75310106606268/(10^9)</f>
        <v>75310.106606268004</v>
      </c>
      <c r="N3" s="6">
        <f>64134965486838/(10^9)</f>
        <v>64134.965486838002</v>
      </c>
    </row>
    <row r="4" spans="1:15" s="5" customFormat="1" x14ac:dyDescent="0.25">
      <c r="A4" s="5" t="s">
        <v>7</v>
      </c>
      <c r="B4" s="6">
        <f>33202945162630/(10^9)</f>
        <v>33202.94516263</v>
      </c>
      <c r="C4" s="6">
        <f>38256957853411/(10^9)</f>
        <v>38256.957853410997</v>
      </c>
      <c r="D4" s="6">
        <f>40932012643396/(10^9)</f>
        <v>40932.012643396003</v>
      </c>
      <c r="E4" s="6">
        <f>41815396772232/(10^9)</f>
        <v>41815.396772232001</v>
      </c>
      <c r="F4" s="6">
        <f>39472227294732/(10^9)</f>
        <v>39472.227294732002</v>
      </c>
      <c r="I4" s="1" t="s">
        <v>115</v>
      </c>
      <c r="J4" s="7">
        <f>-250186696178/(10^9)</f>
        <v>-250.18669617800001</v>
      </c>
      <c r="K4" s="7">
        <f>-307717004908/(10^9)</f>
        <v>-307.71700490799998</v>
      </c>
      <c r="L4" s="7">
        <f>-364799330259/(10^9)</f>
        <v>-364.79933025899999</v>
      </c>
      <c r="M4" s="7">
        <f>-304809430862/(10^9)</f>
        <v>-304.809430862</v>
      </c>
      <c r="N4" s="7">
        <f>0/(10^9)</f>
        <v>0</v>
      </c>
    </row>
    <row r="5" spans="1:15" s="5" customFormat="1" x14ac:dyDescent="0.25">
      <c r="A5" s="5" t="s">
        <v>8</v>
      </c>
      <c r="B5" s="6">
        <f>13537560908336/(10^9)</f>
        <v>13537.560908336</v>
      </c>
      <c r="C5" s="6">
        <f>13502016964678/(10^9)</f>
        <v>13502.016964678</v>
      </c>
      <c r="D5" s="6">
        <f>6705645460007/(10^9)</f>
        <v>6705.6454600070001</v>
      </c>
      <c r="E5" s="6">
        <f>4475889167227/(10^9)</f>
        <v>4475.8891672270001</v>
      </c>
      <c r="F5" s="6">
        <f>5237246729402/(10^9)</f>
        <v>5237.2467294019998</v>
      </c>
      <c r="I5" s="11" t="s">
        <v>116</v>
      </c>
      <c r="J5" s="6">
        <f>59076193175661/(10^9)</f>
        <v>59076.193175660999</v>
      </c>
      <c r="K5" s="6">
        <f>64522440976234/(10^9)</f>
        <v>64522.440976234</v>
      </c>
      <c r="L5" s="6">
        <f>75611546239412/(10^9)</f>
        <v>75611.546239411997</v>
      </c>
      <c r="M5" s="6">
        <f>75005297175406/(10^9)</f>
        <v>75005.297175405998</v>
      </c>
      <c r="N5" s="6">
        <f>64134965486838/(10^9)</f>
        <v>64134.965486838002</v>
      </c>
    </row>
    <row r="6" spans="1:15" x14ac:dyDescent="0.25">
      <c r="A6" t="s">
        <v>9</v>
      </c>
      <c r="B6" s="7">
        <f>1229433772605/(10^9)</f>
        <v>1229.4337726050001</v>
      </c>
      <c r="C6" s="7">
        <f>1729822059995/(10^9)</f>
        <v>1729.822059995</v>
      </c>
      <c r="D6" s="7">
        <f>1330220087809/(10^9)</f>
        <v>1330.220087809</v>
      </c>
      <c r="E6" s="7">
        <f>1151995985522/(10^9)</f>
        <v>1151.995985522</v>
      </c>
      <c r="F6" s="7">
        <f>1323144129455/(10^9)</f>
        <v>1323.144129455</v>
      </c>
      <c r="G6" s="5"/>
      <c r="I6" s="1" t="s">
        <v>117</v>
      </c>
      <c r="J6" s="7">
        <f>-47521232445917/(10^9)</f>
        <v>-47521.232445916998</v>
      </c>
      <c r="K6" s="7">
        <f>-49359543140142/(10^9)</f>
        <v>-49359.543140141999</v>
      </c>
      <c r="L6" s="7">
        <f>-58120227682208/(10^9)</f>
        <v>-58120.227682208002</v>
      </c>
      <c r="M6" s="7">
        <f>-58086688538104/(10^9)</f>
        <v>-58086.688538103997</v>
      </c>
      <c r="N6" s="7">
        <f>-52728949502327/(10^9)</f>
        <v>-52728.949502326999</v>
      </c>
      <c r="O6" s="5"/>
    </row>
    <row r="7" spans="1:15" x14ac:dyDescent="0.25">
      <c r="A7" t="s">
        <v>10</v>
      </c>
      <c r="B7" s="7">
        <f>12308127135731/(10^9)</f>
        <v>12308.127135731</v>
      </c>
      <c r="C7" s="7">
        <f>11772194904683/(10^9)</f>
        <v>11772.194904683</v>
      </c>
      <c r="D7" s="7">
        <f>5375425372198/(10^9)</f>
        <v>5375.4253721980003</v>
      </c>
      <c r="E7" s="7">
        <f>3323893181705/(10^9)</f>
        <v>3323.8931817050002</v>
      </c>
      <c r="F7" s="7">
        <f>3914102599947/(10^9)</f>
        <v>3914.1025999469998</v>
      </c>
      <c r="G7" s="5"/>
      <c r="I7" s="11" t="s">
        <v>118</v>
      </c>
      <c r="J7" s="6">
        <f>11554960729744/(10^9)</f>
        <v>11554.960729744</v>
      </c>
      <c r="K7" s="6">
        <f>15162897836092/(10^9)</f>
        <v>15162.897836091999</v>
      </c>
      <c r="L7" s="6">
        <f>17491318557204/(10^9)</f>
        <v>17491.318557203998</v>
      </c>
      <c r="M7" s="6">
        <f>16918608637302/(10^9)</f>
        <v>16918.608637302001</v>
      </c>
      <c r="N7" s="6">
        <f>11406015984511/(10^9)</f>
        <v>11406.015984510999</v>
      </c>
      <c r="O7" s="5"/>
    </row>
    <row r="8" spans="1:15" s="5" customFormat="1" ht="16.5" customHeight="1" x14ac:dyDescent="0.25">
      <c r="A8" s="5" t="s">
        <v>11</v>
      </c>
      <c r="B8" s="7">
        <f>5898450000000/(10^9)</f>
        <v>5898.45</v>
      </c>
      <c r="C8" s="7">
        <f>13577350000000/(10^9)</f>
        <v>13577.35</v>
      </c>
      <c r="D8" s="7">
        <f>21602454000000/(10^9)</f>
        <v>21602.454000000002</v>
      </c>
      <c r="E8" s="7">
        <f>24915000000000/(10^9)</f>
        <v>24915</v>
      </c>
      <c r="F8" s="7">
        <f>21613236327512/(10^9)</f>
        <v>21613.236327512001</v>
      </c>
      <c r="I8" s="1" t="s">
        <v>119</v>
      </c>
      <c r="J8" s="7">
        <f>1136087785475/(10^9)</f>
        <v>1136.0877854749999</v>
      </c>
      <c r="K8" s="7">
        <f>1272001039845/(10^9)</f>
        <v>1272.0010398449999</v>
      </c>
      <c r="L8" s="7">
        <f>1476548445639/(10^9)</f>
        <v>1476.548445639</v>
      </c>
      <c r="M8" s="7">
        <f>1664550734786/(10^9)</f>
        <v>1664.550734786</v>
      </c>
      <c r="N8" s="7">
        <f>1451117996323/(10^9)</f>
        <v>1451.1179963229999</v>
      </c>
    </row>
    <row r="9" spans="1:15" x14ac:dyDescent="0.25">
      <c r="A9" t="s">
        <v>13</v>
      </c>
      <c r="B9" s="7">
        <f>5898450000000/(10^9)</f>
        <v>5898.45</v>
      </c>
      <c r="C9" s="7">
        <f>13577350000000/(10^9)</f>
        <v>13577.35</v>
      </c>
      <c r="D9" s="7">
        <f>21602454000000/(10^9)</f>
        <v>21602.454000000002</v>
      </c>
      <c r="E9" s="7">
        <f>24915000000000/(10^9)</f>
        <v>24915</v>
      </c>
      <c r="F9" s="7">
        <f>21613236327512/(10^9)</f>
        <v>21613.236327512001</v>
      </c>
      <c r="G9" s="5"/>
      <c r="I9" s="1" t="s">
        <v>119</v>
      </c>
      <c r="J9" s="7">
        <f>-494200815972/(10^9)</f>
        <v>-494.20081597199999</v>
      </c>
      <c r="K9" s="7">
        <f>-429584038709/(10^9)</f>
        <v>-429.58403870900003</v>
      </c>
      <c r="L9" s="7">
        <f>-616615024877/(10^9)</f>
        <v>-616.615024877</v>
      </c>
      <c r="M9" s="7">
        <f>-240940076023/(10^9)</f>
        <v>-240.94007602299999</v>
      </c>
      <c r="N9" s="7">
        <f>-169134841287/(10^9)</f>
        <v>-169.134841287</v>
      </c>
      <c r="O9" s="5"/>
    </row>
    <row r="10" spans="1:15" s="5" customFormat="1" x14ac:dyDescent="0.25">
      <c r="A10" s="5" t="s">
        <v>14</v>
      </c>
      <c r="B10" s="7">
        <f>11878375723172/(10^9)</f>
        <v>11878.375723171999</v>
      </c>
      <c r="C10" s="7">
        <f>9174883054445/(10^9)</f>
        <v>9174.8830544449993</v>
      </c>
      <c r="D10" s="7">
        <f>10213710624435/(10^9)</f>
        <v>10213.710624435</v>
      </c>
      <c r="E10" s="7">
        <f>10358798068406/(10^9)</f>
        <v>10358.798068406</v>
      </c>
      <c r="F10" s="7">
        <f>10239199864118/(10^9)</f>
        <v>10239.199864118</v>
      </c>
      <c r="I10" s="11" t="s">
        <v>120</v>
      </c>
      <c r="J10" s="6">
        <f>-359758790896/(10^9)</f>
        <v>-359.75879089599999</v>
      </c>
      <c r="K10" s="6">
        <f>-280095523887/(10^9)</f>
        <v>-280.09552388700001</v>
      </c>
      <c r="L10" s="6">
        <f>-440018194452/(10^9)</f>
        <v>-440.01819445199999</v>
      </c>
      <c r="M10" s="6">
        <f>-197609807262/(10^9)</f>
        <v>-197.609807262</v>
      </c>
      <c r="N10" s="6">
        <f>-101218192497/(10^9)</f>
        <v>-101.218192497</v>
      </c>
    </row>
    <row r="11" spans="1:15" x14ac:dyDescent="0.25">
      <c r="A11" t="s">
        <v>15</v>
      </c>
      <c r="B11" s="7">
        <f>5689790297632/(10^9)</f>
        <v>5689.7902976320001</v>
      </c>
      <c r="C11" s="7">
        <f>4939924555881/(10^9)</f>
        <v>4939.9245558809998</v>
      </c>
      <c r="D11" s="7">
        <f>4638181584290/(10^9)</f>
        <v>4638.1815842899996</v>
      </c>
      <c r="E11" s="7">
        <f>4683939543842/(10^9)</f>
        <v>4683.9395438419997</v>
      </c>
      <c r="F11" s="7">
        <f>5579798691334/(10^9)</f>
        <v>5579.7986913340001</v>
      </c>
      <c r="G11" s="5"/>
      <c r="I11" s="1" t="s">
        <v>121</v>
      </c>
      <c r="J11" s="7">
        <f>371260141/(10^9)</f>
        <v>0.37126014099999999</v>
      </c>
      <c r="K11" s="7">
        <f>-874150755/(10^9)</f>
        <v>-0.87415075499999995</v>
      </c>
      <c r="L11" s="7">
        <f>-3573202455/(10^9)</f>
        <v>-3.5732024550000001</v>
      </c>
      <c r="M11" s="7">
        <f>-504636282/(10^9)</f>
        <v>-0.50463628199999999</v>
      </c>
      <c r="N11" s="7">
        <f>-11351394583/(10^9)</f>
        <v>-11.351394582999999</v>
      </c>
      <c r="O11" s="5"/>
    </row>
    <row r="12" spans="1:15" x14ac:dyDescent="0.25">
      <c r="A12" t="s">
        <v>16</v>
      </c>
      <c r="B12" s="7">
        <f>298443263847/(10^9)</f>
        <v>298.44326384700003</v>
      </c>
      <c r="C12" s="7">
        <f>155519627817/(10^9)</f>
        <v>155.51962781700001</v>
      </c>
      <c r="D12" s="7">
        <f>91011400518/(10^9)</f>
        <v>91.011400518000002</v>
      </c>
      <c r="E12" s="7">
        <f>844110099287/(10^9)</f>
        <v>844.11009928700003</v>
      </c>
      <c r="F12" s="7">
        <f>435275808580/(10^9)</f>
        <v>435.27580857999999</v>
      </c>
      <c r="G12" s="5"/>
      <c r="I12" s="1" t="s">
        <v>122</v>
      </c>
      <c r="J12" s="7">
        <f>-2130307143526/(10^9)</f>
        <v>-2130.3071435259999</v>
      </c>
      <c r="K12" s="7">
        <f>-2426235182000/(10^9)</f>
        <v>-2426.2351819999999</v>
      </c>
      <c r="L12" s="7">
        <f>-2638679383447/(10^9)</f>
        <v>-2638.679383447</v>
      </c>
      <c r="M12" s="7">
        <f>-2394374579372/(10^9)</f>
        <v>-2394.374579372</v>
      </c>
      <c r="N12" s="7">
        <f>-1943004886832/(10^9)</f>
        <v>-1943.004886832</v>
      </c>
      <c r="O12" s="5"/>
    </row>
    <row r="13" spans="1:15" x14ac:dyDescent="0.25">
      <c r="A13" t="s">
        <v>20</v>
      </c>
      <c r="B13" s="7">
        <f>6026512079069/(10^9)</f>
        <v>6026.5120790689998</v>
      </c>
      <c r="C13" s="7">
        <f>4344161903788/(10^9)</f>
        <v>4344.161903788</v>
      </c>
      <c r="D13" s="7">
        <f>5773843457749/(10^9)</f>
        <v>5773.8434577489998</v>
      </c>
      <c r="E13" s="7">
        <f>5142871041447/(10^9)</f>
        <v>5142.8710414469997</v>
      </c>
      <c r="F13" s="7">
        <f>4620069494260/(10^9)</f>
        <v>4620.0694942600003</v>
      </c>
      <c r="G13" s="5"/>
      <c r="I13" s="1" t="s">
        <v>123</v>
      </c>
      <c r="J13" s="7">
        <f>-965382550673/(10^9)</f>
        <v>-965.38255067299997</v>
      </c>
      <c r="K13" s="7">
        <f>-1109174582069/(10^9)</f>
        <v>-1109.1745820690001</v>
      </c>
      <c r="L13" s="7">
        <f>-1127931765213/(10^9)</f>
        <v>-1127.9317652130001</v>
      </c>
      <c r="M13" s="7">
        <f>-875266258698/(10^9)</f>
        <v>-875.266258698</v>
      </c>
      <c r="N13" s="7">
        <f>-769205023620/(10^9)</f>
        <v>-769.20502362000002</v>
      </c>
      <c r="O13" s="5"/>
    </row>
    <row r="14" spans="1:15" x14ac:dyDescent="0.25">
      <c r="A14" t="s">
        <v>21</v>
      </c>
      <c r="B14" s="7">
        <f>-136420813120/(10^9)</f>
        <v>-136.42081311999999</v>
      </c>
      <c r="C14" s="7">
        <f>-265538086194/(10^9)</f>
        <v>-265.53808619400002</v>
      </c>
      <c r="D14" s="7">
        <f>-290002813032/(10^9)</f>
        <v>-290.00281303200001</v>
      </c>
      <c r="E14" s="7">
        <f>-312832668282/(10^9)</f>
        <v>-312.83266828199999</v>
      </c>
      <c r="F14" s="7">
        <f>-395944130056/(10^9)</f>
        <v>-395.94413005600001</v>
      </c>
      <c r="G14" s="5"/>
      <c r="I14" s="11" t="s">
        <v>124</v>
      </c>
      <c r="J14" s="6">
        <f>9101529265189/(10^9)</f>
        <v>9101.5292651889995</v>
      </c>
      <c r="K14" s="6">
        <f>12469030922404/(10^9)</f>
        <v>12469.030922403999</v>
      </c>
      <c r="L14" s="6">
        <f>14581067626851/(10^9)</f>
        <v>14581.067626851</v>
      </c>
      <c r="M14" s="6">
        <f>15072073821713/(10^9)</f>
        <v>15072.073821713</v>
      </c>
      <c r="N14" s="6">
        <f>9964437834512/(10^9)</f>
        <v>9964.4378345120003</v>
      </c>
      <c r="O14" s="5"/>
    </row>
    <row r="15" spans="1:15" x14ac:dyDescent="0.25">
      <c r="A15" t="s">
        <v>22</v>
      </c>
      <c r="B15" s="7">
        <f>50895744/(10^9)</f>
        <v>5.0895744E-2</v>
      </c>
      <c r="C15" s="7">
        <f>815053153/(10^9)</f>
        <v>0.81505315300000003</v>
      </c>
      <c r="D15" s="7">
        <f>676994910/(10^9)</f>
        <v>0.67699491000000001</v>
      </c>
      <c r="E15" s="7">
        <f>710052112/(10^9)</f>
        <v>0.71005211199999996</v>
      </c>
      <c r="F15" s="7">
        <f>0/(10^9)</f>
        <v>0</v>
      </c>
      <c r="G15" s="5"/>
      <c r="I15" s="1" t="s">
        <v>125</v>
      </c>
      <c r="J15" s="7">
        <f>62480382072/(10^9)</f>
        <v>62.480382071999998</v>
      </c>
      <c r="K15" s="7">
        <f>163295930879/(10^9)</f>
        <v>163.295930879</v>
      </c>
      <c r="L15" s="7">
        <f>39088905640/(10^9)</f>
        <v>39.08890564</v>
      </c>
      <c r="M15" s="7">
        <f>16104369827/(10^9)</f>
        <v>16.104369826999999</v>
      </c>
      <c r="N15" s="7">
        <f>50448429544/(10^9)</f>
        <v>50.448429544</v>
      </c>
      <c r="O15" s="5"/>
    </row>
    <row r="16" spans="1:15" s="5" customFormat="1" x14ac:dyDescent="0.25">
      <c r="A16" s="5" t="s">
        <v>23</v>
      </c>
      <c r="B16" s="6">
        <f>1291226206958/(10^9)</f>
        <v>1291.2262069579999</v>
      </c>
      <c r="C16" s="6">
        <f>1645375601834/(10^9)</f>
        <v>1645.375601834</v>
      </c>
      <c r="D16" s="6">
        <f>1948260051377/(10^9)</f>
        <v>1948.2600513770001</v>
      </c>
      <c r="E16" s="6">
        <f>1574702523108/(10^9)</f>
        <v>1574.7025231079999</v>
      </c>
      <c r="F16" s="6">
        <f>1662572767363/(10^9)</f>
        <v>1662.5727673629999</v>
      </c>
      <c r="I16" s="1" t="s">
        <v>126</v>
      </c>
      <c r="J16" s="7">
        <f>-11766165623/(10^9)</f>
        <v>-11.766165622999999</v>
      </c>
      <c r="K16" s="7">
        <f>-44289254806/(10^9)</f>
        <v>-44.289254806000002</v>
      </c>
      <c r="L16" s="7">
        <f>-80234601606/(10^9)</f>
        <v>-80.234601605999998</v>
      </c>
      <c r="M16" s="7">
        <f>-19915348120/(10^9)</f>
        <v>-19.915348120000001</v>
      </c>
      <c r="N16" s="7">
        <f>-36822035359/(10^9)</f>
        <v>-36.822035358999997</v>
      </c>
    </row>
    <row r="17" spans="1:15" x14ac:dyDescent="0.25">
      <c r="A17" t="s">
        <v>23</v>
      </c>
      <c r="B17" s="7">
        <f>1379598862461/(10^9)</f>
        <v>1379.598862461</v>
      </c>
      <c r="C17" s="7">
        <f>1737552213440/(10^9)</f>
        <v>1737.5522134400001</v>
      </c>
      <c r="D17" s="7">
        <f>2018155350298/(10^9)</f>
        <v>2018.155350298</v>
      </c>
      <c r="E17" s="7">
        <f>1645289410396/(10^9)</f>
        <v>1645.289410396</v>
      </c>
      <c r="F17" s="7">
        <f>1729146683995/(10^9)</f>
        <v>1729.1466839950001</v>
      </c>
      <c r="G17" s="5"/>
      <c r="I17" s="1" t="s">
        <v>127</v>
      </c>
      <c r="J17" s="7">
        <f>50714216449/(10^9)</f>
        <v>50.714216448999998</v>
      </c>
      <c r="K17" s="7">
        <f>119006676073/(10^9)</f>
        <v>119.00667607299999</v>
      </c>
      <c r="L17" s="7">
        <f>-41145695966/(10^9)</f>
        <v>-41.145695965999998</v>
      </c>
      <c r="M17" s="7">
        <f>-3810978293/(10^9)</f>
        <v>-3.8109782929999998</v>
      </c>
      <c r="N17" s="7">
        <f>13626394185/(10^9)</f>
        <v>13.626394185000001</v>
      </c>
      <c r="O17" s="5"/>
    </row>
    <row r="18" spans="1:15" x14ac:dyDescent="0.25">
      <c r="A18" t="s">
        <v>24</v>
      </c>
      <c r="B18" s="7">
        <f>-88372655503/(10^9)</f>
        <v>-88.372655503000004</v>
      </c>
      <c r="C18" s="7">
        <f>-92176611606/(10^9)</f>
        <v>-92.176611605999994</v>
      </c>
      <c r="D18" s="7">
        <f>-69895298921/(10^9)</f>
        <v>-69.895298921000006</v>
      </c>
      <c r="E18" s="7">
        <f>-70586887288/(10^9)</f>
        <v>-70.586887288</v>
      </c>
      <c r="F18" s="7">
        <f>-66573916632/(10^9)</f>
        <v>-66.573916632000007</v>
      </c>
      <c r="G18" s="5"/>
      <c r="I18" s="11" t="s">
        <v>142</v>
      </c>
      <c r="J18" s="6">
        <f>9152243481638/(10^9)</f>
        <v>9152.2434816379991</v>
      </c>
      <c r="K18" s="6">
        <f>12588037598477/(10^9)</f>
        <v>12588.037598477</v>
      </c>
      <c r="L18" s="6">
        <f>14539921930885/(10^9)</f>
        <v>14539.921930885001</v>
      </c>
      <c r="M18" s="6">
        <f>15068262843420/(10^9)</f>
        <v>15068.26284342</v>
      </c>
      <c r="N18" s="6">
        <f>9978064228697/(10^9)</f>
        <v>9978.0642286969996</v>
      </c>
      <c r="O18" s="5"/>
    </row>
    <row r="19" spans="1:15" s="5" customFormat="1" x14ac:dyDescent="0.25">
      <c r="A19" s="5" t="s">
        <v>25</v>
      </c>
      <c r="B19" s="6">
        <f>597332324164/(10^9)</f>
        <v>597.33232416400006</v>
      </c>
      <c r="C19" s="6">
        <f>357332232454/(10^9)</f>
        <v>357.33223245400001</v>
      </c>
      <c r="D19" s="6">
        <f>461942507577/(10^9)</f>
        <v>461.94250757700001</v>
      </c>
      <c r="E19" s="6">
        <f>491007013491/(10^9)</f>
        <v>491.00701349100001</v>
      </c>
      <c r="F19" s="6">
        <f>719971606337/(10^9)</f>
        <v>719.97160633700003</v>
      </c>
      <c r="I19" s="1" t="s">
        <v>130</v>
      </c>
      <c r="J19" s="7">
        <f>-1932844957820/(10^9)</f>
        <v>-1932.84495782</v>
      </c>
      <c r="K19" s="7">
        <f>-2618775027875/(10^9)</f>
        <v>-2618.775027875</v>
      </c>
      <c r="L19" s="7">
        <f>-2778439374778/(10^9)</f>
        <v>-2778.439374778</v>
      </c>
      <c r="M19" s="7">
        <f>-2967381924337/(10^9)</f>
        <v>-2967.3819243369999</v>
      </c>
      <c r="N19" s="7">
        <f>-2037319332206/(10^9)</f>
        <v>-2037.3193322059999</v>
      </c>
    </row>
    <row r="20" spans="1:15" x14ac:dyDescent="0.25">
      <c r="A20" t="s">
        <v>26</v>
      </c>
      <c r="B20" s="7">
        <f>84188517255/(10^9)</f>
        <v>84.188517254999994</v>
      </c>
      <c r="C20" s="7">
        <f>83898716638/(10^9)</f>
        <v>83.898716637999996</v>
      </c>
      <c r="D20" s="7">
        <f>103518806266/(10^9)</f>
        <v>103.518806266</v>
      </c>
      <c r="E20" s="7">
        <f>89084285844/(10^9)</f>
        <v>89.084285843999993</v>
      </c>
      <c r="F20" s="7">
        <f>57558696174/(10^9)</f>
        <v>57.558696173999998</v>
      </c>
      <c r="G20" s="5"/>
      <c r="I20" s="1" t="s">
        <v>131</v>
      </c>
      <c r="J20" s="7">
        <f>-46988793631/(10^9)</f>
        <v>-46.988793631</v>
      </c>
      <c r="K20" s="7">
        <f>-31470022129/(10^9)</f>
        <v>-31.470022129</v>
      </c>
      <c r="L20" s="7">
        <f>-52917076131/(10^9)</f>
        <v>-52.917076131000002</v>
      </c>
      <c r="M20" s="7">
        <f>-15229609228/(10^9)</f>
        <v>-15.229609227999999</v>
      </c>
      <c r="N20" s="7">
        <f>31046323461/(10^9)</f>
        <v>31.046323461</v>
      </c>
      <c r="O20" s="5"/>
    </row>
    <row r="21" spans="1:15" x14ac:dyDescent="0.25">
      <c r="A21" t="s">
        <v>27</v>
      </c>
      <c r="B21" s="7">
        <f>457156254213/(10^9)</f>
        <v>457.15625421300001</v>
      </c>
      <c r="C21" s="7">
        <f>222926464886/(10^9)</f>
        <v>222.92646488599999</v>
      </c>
      <c r="D21" s="7">
        <f>299938138296/(10^9)</f>
        <v>299.93813829599998</v>
      </c>
      <c r="E21" s="7">
        <f>367882617612/(10^9)</f>
        <v>367.88261761199999</v>
      </c>
      <c r="F21" s="7">
        <f>609333648494/(10^9)</f>
        <v>609.33364849400004</v>
      </c>
      <c r="G21" s="5"/>
      <c r="I21" s="1" t="s">
        <v>132</v>
      </c>
      <c r="J21" s="7">
        <f>-1979833751451/(10^9)</f>
        <v>-1979.8337514509999</v>
      </c>
      <c r="K21" s="7">
        <f>-2650245050004/(10^9)</f>
        <v>-2650.2450500039999</v>
      </c>
      <c r="L21" s="7">
        <f>-2831356450909/(10^9)</f>
        <v>-2831.3564509090002</v>
      </c>
      <c r="M21" s="7">
        <f>-2982611533565/(10^9)</f>
        <v>-2982.6115335650002</v>
      </c>
      <c r="N21" s="7">
        <f>-2006273008745/(10^9)</f>
        <v>-2006.273008745</v>
      </c>
      <c r="O21" s="5"/>
    </row>
    <row r="22" spans="1:15" x14ac:dyDescent="0.25">
      <c r="A22" t="s">
        <v>28</v>
      </c>
      <c r="B22" s="7">
        <f>55987552696/(10^9)</f>
        <v>55.987552696000002</v>
      </c>
      <c r="C22" s="7">
        <f>50507050930/(10^9)</f>
        <v>50.507050929999998</v>
      </c>
      <c r="D22" s="7">
        <f>58485563015/(10^9)</f>
        <v>58.485563014999997</v>
      </c>
      <c r="E22" s="7">
        <f>34040110035/(10^9)</f>
        <v>34.040110034999998</v>
      </c>
      <c r="F22" s="7">
        <f>53079261669/(10^9)</f>
        <v>53.079261668999997</v>
      </c>
      <c r="G22" s="5"/>
      <c r="I22" s="11" t="s">
        <v>133</v>
      </c>
      <c r="J22" s="6">
        <f>7172409730187/(10^9)</f>
        <v>7172.4097301869997</v>
      </c>
      <c r="K22" s="6">
        <f>9937792548473/(10^9)</f>
        <v>9937.7925484730004</v>
      </c>
      <c r="L22" s="6">
        <f>11708565479976/(10^9)</f>
        <v>11708.565479976</v>
      </c>
      <c r="M22" s="6">
        <f>12085651309855/(10^9)</f>
        <v>12085.651309855</v>
      </c>
      <c r="N22" s="6">
        <f>7971791219952/(10^9)</f>
        <v>7971.7912199519997</v>
      </c>
      <c r="O22" s="5"/>
    </row>
    <row r="23" spans="1:15" s="5" customFormat="1" x14ac:dyDescent="0.25">
      <c r="A23" s="5" t="s">
        <v>30</v>
      </c>
      <c r="B23" s="6">
        <f>23550908355808/(10^9)</f>
        <v>23550.908355807998</v>
      </c>
      <c r="C23" s="6">
        <f>23632385489026/(10^9)</f>
        <v>23632.385489026001</v>
      </c>
      <c r="D23" s="6">
        <f>21682407601897/(10^9)</f>
        <v>21682.407601897001</v>
      </c>
      <c r="E23" s="6">
        <f>20363390617402/(10^9)</f>
        <v>20363.390617402001</v>
      </c>
      <c r="F23" s="6">
        <f>23736173735371/(10^9)</f>
        <v>23736.173735371001</v>
      </c>
      <c r="I23" s="1" t="s">
        <v>134</v>
      </c>
      <c r="J23" s="7">
        <f>152256595845/(10^9)</f>
        <v>152.25659584499999</v>
      </c>
      <c r="K23" s="7">
        <f>252928652205/(10^9)</f>
        <v>252.92865220499999</v>
      </c>
      <c r="L23" s="7">
        <f>254596584934/(10^9)</f>
        <v>254.59658493399999</v>
      </c>
      <c r="M23" s="7">
        <f>183403281712/(10^9)</f>
        <v>183.40328171199999</v>
      </c>
      <c r="N23" s="7">
        <f>116835298013/(10^9)</f>
        <v>116.835298013</v>
      </c>
    </row>
    <row r="24" spans="1:15" x14ac:dyDescent="0.25">
      <c r="A24" t="s">
        <v>31</v>
      </c>
      <c r="B24" s="7">
        <f>134964458303/(10^9)</f>
        <v>134.96445830299999</v>
      </c>
      <c r="C24" s="7">
        <f>188768857198/(10^9)</f>
        <v>188.76885719800001</v>
      </c>
      <c r="D24" s="7">
        <f>216829039491/(10^9)</f>
        <v>216.829039491</v>
      </c>
      <c r="E24" s="7">
        <f>127884370801/(10^9)</f>
        <v>127.884370801</v>
      </c>
      <c r="F24" s="7">
        <f>162062201594/(10^9)</f>
        <v>162.06220159399999</v>
      </c>
      <c r="G24" s="5"/>
      <c r="I24" s="1" t="s">
        <v>135</v>
      </c>
      <c r="J24" s="7">
        <f>7020153134342/(10^9)</f>
        <v>7020.1531343420002</v>
      </c>
      <c r="K24" s="7">
        <f>9684863896268/(10^9)</f>
        <v>9684.8638962679997</v>
      </c>
      <c r="L24" s="7">
        <f>11453968895042/(10^9)</f>
        <v>11453.968895042</v>
      </c>
      <c r="M24" s="7">
        <f>11902248028143/(10^9)</f>
        <v>11902.248028143</v>
      </c>
      <c r="N24" s="7">
        <f>7854955921939/(10^9)</f>
        <v>7854.9559219390003</v>
      </c>
      <c r="O24" s="5"/>
    </row>
    <row r="25" spans="1:15" x14ac:dyDescent="0.25">
      <c r="A25" t="s">
        <v>33</v>
      </c>
      <c r="B25" s="7">
        <f>64113269122/(10^9)</f>
        <v>64.113269122000005</v>
      </c>
      <c r="C25" s="7">
        <f>62322571154/(10^9)</f>
        <v>62.322571154000002</v>
      </c>
      <c r="D25" s="7">
        <f>67561613929/(10^9)</f>
        <v>67.561613929000004</v>
      </c>
      <c r="E25" s="7">
        <f>79220337859/(10^9)</f>
        <v>79.220337858999997</v>
      </c>
      <c r="F25" s="7">
        <f>73909907257/(10^9)</f>
        <v>73.909907257</v>
      </c>
      <c r="G25" s="5"/>
      <c r="I25" s="1" t="s">
        <v>136</v>
      </c>
      <c r="J25" s="4">
        <v>3548</v>
      </c>
      <c r="K25" s="4">
        <v>4994</v>
      </c>
      <c r="L25" s="4">
        <v>5911</v>
      </c>
      <c r="M25" s="4">
        <v>6142</v>
      </c>
      <c r="N25" s="4">
        <v>4028</v>
      </c>
      <c r="O25" s="5"/>
    </row>
    <row r="26" spans="1:15" x14ac:dyDescent="0.25">
      <c r="A26" t="s">
        <v>37</v>
      </c>
      <c r="B26" s="7">
        <f>70851189181/(10^9)</f>
        <v>70.851189180999995</v>
      </c>
      <c r="C26" s="7">
        <f>126446286044/(10^9)</f>
        <v>126.446286044</v>
      </c>
      <c r="D26" s="7">
        <f>149267425562/(10^9)</f>
        <v>149.267425562</v>
      </c>
      <c r="E26" s="7">
        <f>48664032942/(10^9)</f>
        <v>48.664032941999999</v>
      </c>
      <c r="F26" s="7">
        <f>88152294337/(10^9)</f>
        <v>88.152294337000001</v>
      </c>
      <c r="G26" s="5"/>
      <c r="I26" s="1" t="s">
        <v>137</v>
      </c>
      <c r="J26" s="4">
        <v>0</v>
      </c>
      <c r="K26" s="4">
        <v>0</v>
      </c>
      <c r="L26" s="4">
        <v>0</v>
      </c>
      <c r="M26" s="4">
        <v>0</v>
      </c>
      <c r="N26" s="4">
        <v>4028</v>
      </c>
      <c r="O26" s="5"/>
    </row>
    <row r="27" spans="1:15" s="5" customFormat="1" x14ac:dyDescent="0.25">
      <c r="A27" s="5" t="s">
        <v>143</v>
      </c>
      <c r="B27" s="6">
        <f>17203070018816/(10^9)</f>
        <v>17203.070018816001</v>
      </c>
      <c r="C27" s="6">
        <f>15395529375231/(10^9)</f>
        <v>15395.529375231001</v>
      </c>
      <c r="D27" s="6">
        <f>18609210697766/(10^9)</f>
        <v>18609.210697766001</v>
      </c>
      <c r="E27" s="6">
        <f>15849872770378/(10^9)</f>
        <v>15849.872770378</v>
      </c>
      <c r="F27" s="6">
        <f>19773601197998/(10^9)</f>
        <v>19773.601197997999</v>
      </c>
    </row>
    <row r="28" spans="1:15" x14ac:dyDescent="0.25">
      <c r="A28" t="s">
        <v>144</v>
      </c>
      <c r="B28" s="7">
        <v>43865.192349564997</v>
      </c>
      <c r="C28" s="7">
        <v>44691.243477062999</v>
      </c>
      <c r="D28" s="7">
        <v>50656.010951662996</v>
      </c>
      <c r="E28" s="7">
        <v>49079.751711794997</v>
      </c>
      <c r="F28" s="7">
        <v>55350.88080822699</v>
      </c>
      <c r="G28" s="5"/>
    </row>
    <row r="29" spans="1:15" x14ac:dyDescent="0.25">
      <c r="A29" t="s">
        <v>145</v>
      </c>
      <c r="B29" s="7">
        <v>-26637.606897448997</v>
      </c>
      <c r="C29" s="7">
        <v>-29270.871538748004</v>
      </c>
      <c r="D29" s="7">
        <v>-32022.785591483003</v>
      </c>
      <c r="E29" s="7">
        <v>-33206.692364442999</v>
      </c>
      <c r="F29" s="7">
        <v>-35554.921838695001</v>
      </c>
      <c r="G29" s="5"/>
    </row>
    <row r="30" spans="1:15" s="5" customFormat="1" x14ac:dyDescent="0.25">
      <c r="A30" s="5" t="s">
        <v>46</v>
      </c>
      <c r="B30" s="6">
        <f>4738573251455/(10^9)</f>
        <v>4738.573251455</v>
      </c>
      <c r="C30" s="6">
        <f>6571784154041/(10^9)</f>
        <v>6571.784154041</v>
      </c>
      <c r="D30" s="6">
        <f>1235198326718/(10^9)</f>
        <v>1235.1983267180001</v>
      </c>
      <c r="E30" s="6">
        <f>3020872112628/(10^9)</f>
        <v>3020.8721126280002</v>
      </c>
      <c r="F30" s="6">
        <f>2302958751607/(10^9)</f>
        <v>2302.9587516070001</v>
      </c>
    </row>
    <row r="31" spans="1:15" s="5" customFormat="1" ht="15.75" customHeight="1" x14ac:dyDescent="0.25">
      <c r="A31" s="5" t="s">
        <v>49</v>
      </c>
      <c r="B31" s="6">
        <f>144205831583/(10^9)</f>
        <v>144.20583158299999</v>
      </c>
      <c r="C31" s="6">
        <f>92632703133/(10^9)</f>
        <v>92.632703133000007</v>
      </c>
      <c r="D31" s="6">
        <f>63019500678/(10^9)</f>
        <v>63.019500678</v>
      </c>
      <c r="E31" s="6">
        <f>404693951815/(10^9)</f>
        <v>404.69395181499999</v>
      </c>
      <c r="F31" s="6">
        <f>379189574851/(10^9)</f>
        <v>379.18957485099997</v>
      </c>
    </row>
    <row r="32" spans="1:15" ht="15.75" customHeight="1" x14ac:dyDescent="0.25">
      <c r="A32" t="s">
        <v>51</v>
      </c>
      <c r="B32" s="7">
        <f>132285831583/(10^9)</f>
        <v>132.285831583</v>
      </c>
      <c r="C32" s="7">
        <f>56592703133/(10^9)</f>
        <v>56.592703133000001</v>
      </c>
      <c r="D32" s="7">
        <f>53019500678/(10^9)</f>
        <v>53.019500678</v>
      </c>
      <c r="E32" s="7">
        <f>394693951815/(10^9)</f>
        <v>394.69395181499999</v>
      </c>
      <c r="F32" s="7">
        <f>369189574851/(10^9)</f>
        <v>369.18957485099997</v>
      </c>
      <c r="G32" s="5"/>
    </row>
    <row r="33" spans="1:10" x14ac:dyDescent="0.25">
      <c r="A33" t="s">
        <v>52</v>
      </c>
      <c r="B33" s="7">
        <f>86920000000/(10^9)</f>
        <v>86.92</v>
      </c>
      <c r="C33" s="7">
        <f>111040000000/(10^9)</f>
        <v>111.04</v>
      </c>
      <c r="D33" s="7">
        <f>85000000000/(10^9)</f>
        <v>85</v>
      </c>
      <c r="E33" s="7">
        <f>35000000000/(10^9)</f>
        <v>35</v>
      </c>
      <c r="F33" s="7">
        <f>35000000000/(10^9)</f>
        <v>35</v>
      </c>
      <c r="G33" s="5"/>
    </row>
    <row r="34" spans="1:10" ht="15.75" customHeight="1" x14ac:dyDescent="0.25">
      <c r="A34" t="s">
        <v>53</v>
      </c>
      <c r="B34" s="7">
        <f>-75000000000/(10^9)</f>
        <v>-75</v>
      </c>
      <c r="C34" s="7">
        <f>-75000000000/(10^9)</f>
        <v>-75</v>
      </c>
      <c r="D34" s="7">
        <f>-75000000000/(10^9)</f>
        <v>-75</v>
      </c>
      <c r="E34" s="7">
        <f>-25000000000/(10^9)</f>
        <v>-25</v>
      </c>
      <c r="F34" s="7">
        <f>-25000000000/(10^9)</f>
        <v>-25</v>
      </c>
      <c r="G34" s="5"/>
    </row>
    <row r="35" spans="1:10" x14ac:dyDescent="0.25">
      <c r="A35" t="s">
        <v>55</v>
      </c>
      <c r="B35" s="7">
        <f>1305579362351/(10^9)</f>
        <v>1305.5793623510001</v>
      </c>
      <c r="C35" s="7">
        <f>1358827836339/(10^9)</f>
        <v>1358.827836339</v>
      </c>
      <c r="D35" s="7">
        <f>1534135374830/(10^9)</f>
        <v>1534.13537483</v>
      </c>
      <c r="E35" s="7">
        <f>936880834806/(10^9)</f>
        <v>936.88083480600005</v>
      </c>
      <c r="F35" s="7">
        <f>1096004237787/(10^9)</f>
        <v>1096.004237787</v>
      </c>
      <c r="G35" s="5"/>
    </row>
    <row r="36" spans="1:10" x14ac:dyDescent="0.25">
      <c r="A36" t="s">
        <v>56</v>
      </c>
      <c r="B36" s="7">
        <f>950303632420/(10^9)</f>
        <v>950.30363241999999</v>
      </c>
      <c r="C36" s="7">
        <f>1077254012412/(10^9)</f>
        <v>1077.2540124120001</v>
      </c>
      <c r="D36" s="7">
        <f>1324485607020/(10^9)</f>
        <v>1324.4856070200001</v>
      </c>
      <c r="E36" s="7">
        <f>823187362762/(10^9)</f>
        <v>823.18736276200002</v>
      </c>
      <c r="F36" s="7">
        <f>1022822668367/(10^9)</f>
        <v>1022.822668367</v>
      </c>
      <c r="G36" s="5"/>
    </row>
    <row r="37" spans="1:10" x14ac:dyDescent="0.25">
      <c r="A37" t="s">
        <v>57</v>
      </c>
      <c r="B37" s="7">
        <f>50086025880/(10^9)</f>
        <v>50.086025880000001</v>
      </c>
      <c r="C37" s="7">
        <f>46141766516/(10^9)</f>
        <v>46.141766515999997</v>
      </c>
      <c r="D37" s="7">
        <f>43975357039/(10^9)</f>
        <v>43.975357039000002</v>
      </c>
      <c r="E37" s="7">
        <f>30489957914/(10^9)</f>
        <v>30.489957914000001</v>
      </c>
      <c r="F37" s="7">
        <f>50808879996/(10^9)</f>
        <v>50.808879996000002</v>
      </c>
      <c r="G37" s="5"/>
    </row>
    <row r="38" spans="1:10" x14ac:dyDescent="0.25">
      <c r="G38" s="5"/>
    </row>
    <row r="39" spans="1:10" x14ac:dyDescent="0.25">
      <c r="A39" s="12" t="s">
        <v>146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5</v>
      </c>
      <c r="G39" s="5"/>
    </row>
    <row r="40" spans="1:10" s="5" customFormat="1" ht="15.75" customHeight="1" x14ac:dyDescent="0.25">
      <c r="A40" s="5" t="s">
        <v>60</v>
      </c>
      <c r="B40" s="6">
        <f>15910005640211/(10^9)</f>
        <v>15910.005640211</v>
      </c>
      <c r="C40" s="6">
        <f>18617834577626/(10^9)</f>
        <v>18617.834577625999</v>
      </c>
      <c r="D40" s="6">
        <f>15747295132679/(10^9)</f>
        <v>15747.295132679001</v>
      </c>
      <c r="E40" s="6">
        <f>12564256032003/(10^9)</f>
        <v>12564.256032003001</v>
      </c>
      <c r="F40" s="6">
        <f>13708720044649/(10^9)</f>
        <v>13708.720044649001</v>
      </c>
    </row>
    <row r="41" spans="1:10" s="5" customFormat="1" x14ac:dyDescent="0.25">
      <c r="A41" s="5" t="s">
        <v>61</v>
      </c>
      <c r="B41" s="6">
        <f>9182556758322/(10^9)</f>
        <v>9182.556758322</v>
      </c>
      <c r="C41" s="6">
        <f>10911813704191/(10^9)</f>
        <v>10911.813704190999</v>
      </c>
      <c r="D41" s="6">
        <f>11846614031313/(10^9)</f>
        <v>11846.614031313</v>
      </c>
      <c r="E41" s="6">
        <f>9964436306143/(10^9)</f>
        <v>9964.4363061429995</v>
      </c>
      <c r="F41" s="6">
        <f>9748781422071/(10^9)</f>
        <v>9748.7814220710006</v>
      </c>
    </row>
    <row r="42" spans="1:10" x14ac:dyDescent="0.25">
      <c r="A42" t="s">
        <v>62</v>
      </c>
      <c r="B42" s="7">
        <f>2443691942435/(10^9)</f>
        <v>2443.6919424349999</v>
      </c>
      <c r="C42" s="7">
        <f>2324292611578/(10^9)</f>
        <v>2324.2926115780001</v>
      </c>
      <c r="D42" s="7">
        <f>2663844385208/(10^9)</f>
        <v>2663.8443852079999</v>
      </c>
      <c r="E42" s="7">
        <f>1913892958734/(10^9)</f>
        <v>1913.8929587340001</v>
      </c>
      <c r="F42" s="7">
        <f>2676585638208/(10^9)</f>
        <v>2676.5856382080001</v>
      </c>
      <c r="G42" s="5"/>
    </row>
    <row r="43" spans="1:10" x14ac:dyDescent="0.25">
      <c r="A43" t="s">
        <v>63</v>
      </c>
      <c r="B43" s="7">
        <f>86394987159/(10^9)</f>
        <v>86.394987158999996</v>
      </c>
      <c r="C43" s="7">
        <f>204413210666/(10^9)</f>
        <v>204.413210666</v>
      </c>
      <c r="D43" s="7">
        <f>237513454863/(10^9)</f>
        <v>237.51345486299999</v>
      </c>
      <c r="E43" s="7">
        <f>202837473408/(10^9)</f>
        <v>202.83747340799999</v>
      </c>
      <c r="F43" s="7">
        <f>228058965321/(10^9)</f>
        <v>228.05896532099999</v>
      </c>
      <c r="G43" s="5"/>
    </row>
    <row r="44" spans="1:10" ht="15.75" customHeight="1" x14ac:dyDescent="0.25">
      <c r="A44" t="s">
        <v>64</v>
      </c>
      <c r="B44" s="7">
        <f>831958451665/(10^9)</f>
        <v>831.95845166499998</v>
      </c>
      <c r="C44" s="7">
        <f>1120506288467/(10^9)</f>
        <v>1120.5062884670001</v>
      </c>
      <c r="D44" s="7">
        <f>759700530897/(10^9)</f>
        <v>759.70053089700002</v>
      </c>
      <c r="E44" s="7">
        <f>876865173928/(10^9)</f>
        <v>876.86517392799999</v>
      </c>
      <c r="F44" s="7">
        <f>553509459627/(10^9)</f>
        <v>553.50945962699996</v>
      </c>
      <c r="G44" s="5"/>
      <c r="J44" s="7"/>
    </row>
    <row r="45" spans="1:10" ht="15.75" customHeight="1" x14ac:dyDescent="0.25">
      <c r="A45" t="s">
        <v>65</v>
      </c>
      <c r="B45" s="7">
        <f>167099222556/(10^9)</f>
        <v>167.099222556</v>
      </c>
      <c r="C45" s="7">
        <f>174976729026/(10^9)</f>
        <v>174.97672902599999</v>
      </c>
      <c r="D45" s="7">
        <f>188077461797/(10^9)</f>
        <v>188.07746179700001</v>
      </c>
      <c r="E45" s="7">
        <f>118098347249/(10^9)</f>
        <v>118.098347249</v>
      </c>
      <c r="F45" s="7">
        <f>199352091251/(10^9)</f>
        <v>199.35209125099999</v>
      </c>
      <c r="G45" s="5"/>
    </row>
    <row r="46" spans="1:10" ht="15.75" customHeight="1" x14ac:dyDescent="0.25">
      <c r="A46" t="s">
        <v>66</v>
      </c>
      <c r="B46" s="7">
        <f>3387919324464/(10^9)</f>
        <v>3387.9193244640001</v>
      </c>
      <c r="C46" s="7">
        <f>4428629421215/(10^9)</f>
        <v>4428.6294212149996</v>
      </c>
      <c r="D46" s="7">
        <f>5488545648029/(10^9)</f>
        <v>5488.5456480290004</v>
      </c>
      <c r="E46" s="7">
        <f>4047844728329/(10^9)</f>
        <v>4047.8447283290002</v>
      </c>
      <c r="F46" s="7">
        <f>3767917733282/(10^9)</f>
        <v>3767.917733282</v>
      </c>
      <c r="G46" s="5"/>
    </row>
    <row r="47" spans="1:10" x14ac:dyDescent="0.25">
      <c r="A47" t="s">
        <v>69</v>
      </c>
      <c r="B47" s="7">
        <f>1012098804/(10^9)</f>
        <v>1.0120988040000001</v>
      </c>
      <c r="C47" s="7">
        <f>9400833144/(10^9)</f>
        <v>9.4008331439999999</v>
      </c>
      <c r="D47" s="7">
        <f>1481038533/(10^9)</f>
        <v>1.481038533</v>
      </c>
      <c r="E47" s="7">
        <f>936607573/(10^9)</f>
        <v>0.93660757299999997</v>
      </c>
      <c r="F47" s="7">
        <f>77365272465/(10^9)</f>
        <v>77.365272465000004</v>
      </c>
      <c r="G47" s="5"/>
    </row>
    <row r="48" spans="1:10" x14ac:dyDescent="0.25">
      <c r="A48" t="s">
        <v>70</v>
      </c>
      <c r="B48" s="7">
        <f>863179223968/(10^9)</f>
        <v>863.17922396799997</v>
      </c>
      <c r="C48" s="7">
        <f>676947707771/(10^9)</f>
        <v>676.94770777099995</v>
      </c>
      <c r="D48" s="7">
        <f>658389914253/(10^9)</f>
        <v>658.38991425300003</v>
      </c>
      <c r="E48" s="7">
        <f>1029191512264/(10^9)</f>
        <v>1029.191512264</v>
      </c>
      <c r="F48" s="7">
        <f>749208259798/(10^9)</f>
        <v>749.20825979799997</v>
      </c>
      <c r="G48" s="5"/>
    </row>
    <row r="49" spans="1:7" x14ac:dyDescent="0.25">
      <c r="A49" t="s">
        <v>71</v>
      </c>
      <c r="B49" s="7">
        <f>1180387629702/(10^9)</f>
        <v>1180.3876297019999</v>
      </c>
      <c r="C49" s="7">
        <f>1737699131097/(10^9)</f>
        <v>1737.699131097</v>
      </c>
      <c r="D49" s="7">
        <f>1489867272234/(10^9)</f>
        <v>1489.867272234</v>
      </c>
      <c r="E49" s="7">
        <f>1340567850126/(10^9)</f>
        <v>1340.5678501259999</v>
      </c>
      <c r="F49" s="7">
        <f>1017470000000/(10^9)</f>
        <v>1017.47</v>
      </c>
      <c r="G49" s="5"/>
    </row>
    <row r="50" spans="1:7" x14ac:dyDescent="0.25">
      <c r="A50" t="s">
        <v>72</v>
      </c>
      <c r="B50" s="7">
        <f>46932332214/(10^9)</f>
        <v>46.932332213999999</v>
      </c>
      <c r="C50" s="7">
        <f>0/(10^9)</f>
        <v>0</v>
      </c>
      <c r="D50" s="7">
        <f>0/(10^9)</f>
        <v>0</v>
      </c>
      <c r="E50" s="7">
        <f>9050349783/(10^9)</f>
        <v>9.0503497829999997</v>
      </c>
      <c r="F50" s="7">
        <f>0/(10^9)</f>
        <v>0</v>
      </c>
      <c r="G50" s="5"/>
    </row>
    <row r="51" spans="1:7" x14ac:dyDescent="0.25">
      <c r="A51" t="s">
        <v>73</v>
      </c>
      <c r="B51" s="7">
        <f>173981545355/(10^9)</f>
        <v>173.98154535500001</v>
      </c>
      <c r="C51" s="7">
        <f>234947771227/(10^9)</f>
        <v>234.947771227</v>
      </c>
      <c r="D51" s="7">
        <f>359194325499/(10^9)</f>
        <v>359.194325499</v>
      </c>
      <c r="E51" s="7">
        <f>425151304749/(10^9)</f>
        <v>425.15130474900002</v>
      </c>
      <c r="F51" s="7">
        <f>479314002119/(10^9)</f>
        <v>479.31400211900001</v>
      </c>
      <c r="G51" s="5"/>
    </row>
    <row r="52" spans="1:7" s="5" customFormat="1" ht="16.5" customHeight="1" x14ac:dyDescent="0.25">
      <c r="A52" s="5" t="s">
        <v>75</v>
      </c>
      <c r="B52" s="6">
        <f>6727448881889/(10^9)</f>
        <v>6727.4488818890004</v>
      </c>
      <c r="C52" s="6">
        <f>7706020873435/(10^9)</f>
        <v>7706.0208734349999</v>
      </c>
      <c r="D52" s="6">
        <f>3900681101366/(10^9)</f>
        <v>3900.6811013659999</v>
      </c>
      <c r="E52" s="6">
        <f>2599819725860/(10^9)</f>
        <v>2599.8197258599998</v>
      </c>
      <c r="F52" s="6">
        <f>3959938622578/(10^9)</f>
        <v>3959.9386225779999</v>
      </c>
    </row>
    <row r="53" spans="1:7" x14ac:dyDescent="0.25">
      <c r="A53" t="s">
        <v>81</v>
      </c>
      <c r="B53" s="7">
        <f>25055507820/(10^9)</f>
        <v>25.055507819999999</v>
      </c>
      <c r="C53" s="7">
        <f>24192820136/(10^9)</f>
        <v>24.192820136000002</v>
      </c>
      <c r="D53" s="7">
        <f>23328790844/(10^9)</f>
        <v>23.328790844</v>
      </c>
      <c r="E53" s="7">
        <f>22464760780/(10^9)</f>
        <v>22.464760779999999</v>
      </c>
      <c r="F53" s="7">
        <f>21600730715/(10^9)</f>
        <v>21.600730715000001</v>
      </c>
      <c r="G53" s="5"/>
    </row>
    <row r="54" spans="1:7" x14ac:dyDescent="0.25">
      <c r="A54" t="s">
        <v>82</v>
      </c>
      <c r="B54" s="7">
        <f>185991047426/(10^9)</f>
        <v>185.99104742599999</v>
      </c>
      <c r="C54" s="7">
        <f>208265650343/(10^9)</f>
        <v>208.265650343</v>
      </c>
      <c r="D54" s="7">
        <f>247137862278/(10^9)</f>
        <v>247.137862278</v>
      </c>
      <c r="E54" s="7">
        <f>86941807721/(10^9)</f>
        <v>86.941807721000004</v>
      </c>
      <c r="F54" s="7">
        <f>93020749601/(10^9)</f>
        <v>93.020749601000006</v>
      </c>
      <c r="G54" s="5"/>
    </row>
    <row r="55" spans="1:7" x14ac:dyDescent="0.25">
      <c r="A55" t="s">
        <v>83</v>
      </c>
      <c r="B55" s="7">
        <f>6365826626253/(10^9)</f>
        <v>6365.8266262529996</v>
      </c>
      <c r="C55" s="7">
        <f>7311935862404/(10^9)</f>
        <v>7311.9358624039996</v>
      </c>
      <c r="D55" s="7">
        <f>3395742808039/(10^9)</f>
        <v>3395.742808039</v>
      </c>
      <c r="E55" s="7">
        <f>1455930000000/(10^9)</f>
        <v>1455.93</v>
      </c>
      <c r="F55" s="7">
        <f>1963867248970/(10^9)</f>
        <v>1963.86724897</v>
      </c>
      <c r="G55" s="5"/>
    </row>
    <row r="56" spans="1:7" x14ac:dyDescent="0.25">
      <c r="A56" t="s">
        <v>86</v>
      </c>
      <c r="B56" s="7">
        <f>90227237151/(10^9)</f>
        <v>90.227237150999997</v>
      </c>
      <c r="C56" s="7">
        <f>117752999916/(10^9)</f>
        <v>117.75299991599999</v>
      </c>
      <c r="D56" s="7">
        <f>168503666569/(10^9)</f>
        <v>168.50366656899999</v>
      </c>
      <c r="E56" s="7">
        <f>182000454368/(10^9)</f>
        <v>182.00045436799999</v>
      </c>
      <c r="F56" s="7">
        <f>171627679439/(10^9)</f>
        <v>171.62767943899999</v>
      </c>
      <c r="G56" s="5"/>
    </row>
    <row r="57" spans="1:7" x14ac:dyDescent="0.25">
      <c r="A57" t="s">
        <v>88</v>
      </c>
      <c r="B57" s="7">
        <f>11071418690/(10^9)</f>
        <v>11.07141869</v>
      </c>
      <c r="C57" s="7">
        <f>23526331752/(10^9)</f>
        <v>23.526331752000001</v>
      </c>
      <c r="D57" s="7">
        <f>45337438542/(10^9)</f>
        <v>45.337438542000001</v>
      </c>
      <c r="E57" s="7">
        <f>836651603962/(10^9)</f>
        <v>836.65160396199997</v>
      </c>
      <c r="F57" s="7">
        <f>1700127271921/(10^9)</f>
        <v>1700.1272719210001</v>
      </c>
      <c r="G57" s="5"/>
    </row>
    <row r="58" spans="1:7" x14ac:dyDescent="0.25">
      <c r="A58" t="s">
        <v>89</v>
      </c>
      <c r="B58" s="7">
        <f>49277044549/(10^9)</f>
        <v>49.277044549000003</v>
      </c>
      <c r="C58" s="7">
        <f>20347208884/(10^9)</f>
        <v>20.347208884</v>
      </c>
      <c r="D58" s="7">
        <f>20630535094/(10^9)</f>
        <v>20.630535093999999</v>
      </c>
      <c r="E58" s="7">
        <f>15831099029/(10^9)</f>
        <v>15.831099029000001</v>
      </c>
      <c r="F58" s="7">
        <f>9694941932/(10^9)</f>
        <v>9.6949419320000008</v>
      </c>
      <c r="G58" s="5"/>
    </row>
    <row r="59" spans="1:7" s="5" customFormat="1" x14ac:dyDescent="0.25">
      <c r="A59" s="5" t="s">
        <v>90</v>
      </c>
      <c r="B59" s="6">
        <f>40843847878227/(10^9)</f>
        <v>40843.847878227003</v>
      </c>
      <c r="C59" s="6">
        <f>43271508764811/(10^9)</f>
        <v>43271.508764810998</v>
      </c>
      <c r="D59" s="6">
        <f>46867125112614/(10^9)</f>
        <v>46867.125112613998</v>
      </c>
      <c r="E59" s="6">
        <f>49614531357631/(10^9)</f>
        <v>49614.531357631</v>
      </c>
      <c r="F59" s="6">
        <f>49499680985454/(10^9)</f>
        <v>49499.680985453997</v>
      </c>
    </row>
    <row r="60" spans="1:7" x14ac:dyDescent="0.25">
      <c r="A60" t="s">
        <v>91</v>
      </c>
      <c r="B60" s="7">
        <f>40843847878227/(10^9)</f>
        <v>40843.847878227003</v>
      </c>
      <c r="C60" s="7">
        <f>43271508764811/(10^9)</f>
        <v>43271.508764810998</v>
      </c>
      <c r="D60" s="7">
        <f>46867125112614/(10^9)</f>
        <v>46867.125112613998</v>
      </c>
      <c r="E60" s="7">
        <f>49614531357631/(10^9)</f>
        <v>49614.531357631</v>
      </c>
      <c r="F60" s="7">
        <f>49499680985454/(10^9)</f>
        <v>49499.680985453997</v>
      </c>
      <c r="G60" s="5"/>
    </row>
    <row r="61" spans="1:7" x14ac:dyDescent="0.25">
      <c r="A61" t="s">
        <v>92</v>
      </c>
      <c r="B61" s="7">
        <f t="shared" ref="B61:F62" si="0">19139500000000/(10^9)</f>
        <v>19139.5</v>
      </c>
      <c r="C61" s="7">
        <f t="shared" si="0"/>
        <v>19139.5</v>
      </c>
      <c r="D61" s="7">
        <f t="shared" si="0"/>
        <v>19139.5</v>
      </c>
      <c r="E61" s="7">
        <f t="shared" si="0"/>
        <v>19139.5</v>
      </c>
      <c r="F61" s="7">
        <f t="shared" si="0"/>
        <v>19139.5</v>
      </c>
      <c r="G61" s="5"/>
    </row>
    <row r="62" spans="1:7" x14ac:dyDescent="0.25">
      <c r="A62" t="s">
        <v>93</v>
      </c>
      <c r="B62" s="7">
        <f t="shared" si="0"/>
        <v>19139.5</v>
      </c>
      <c r="C62" s="7">
        <f t="shared" si="0"/>
        <v>19139.5</v>
      </c>
      <c r="D62" s="7">
        <f t="shared" si="0"/>
        <v>19139.5</v>
      </c>
      <c r="E62" s="7">
        <f t="shared" si="0"/>
        <v>19139.5</v>
      </c>
      <c r="F62" s="7">
        <f t="shared" si="0"/>
        <v>19139.5</v>
      </c>
      <c r="G62" s="5"/>
    </row>
    <row r="63" spans="1:7" x14ac:dyDescent="0.25">
      <c r="A63" t="s">
        <v>94</v>
      </c>
      <c r="B63" s="7">
        <f>189746727266/(10^9)</f>
        <v>189.74672726599999</v>
      </c>
      <c r="C63" s="7">
        <f>189746727266/(10^9)</f>
        <v>189.74672726599999</v>
      </c>
      <c r="D63" s="7">
        <f>210679541297/(10^9)</f>
        <v>210.67954129699999</v>
      </c>
      <c r="E63" s="7">
        <f>0/(10^9)</f>
        <v>0</v>
      </c>
      <c r="F63" s="7">
        <f>0/(10^9)</f>
        <v>0</v>
      </c>
      <c r="G63" s="5"/>
    </row>
    <row r="64" spans="1:7" x14ac:dyDescent="0.25">
      <c r="A64" t="s">
        <v>95</v>
      </c>
      <c r="B64" s="7">
        <f>0/(10^9)</f>
        <v>0</v>
      </c>
      <c r="C64" s="7">
        <f>0/(10^9)</f>
        <v>0</v>
      </c>
      <c r="D64" s="7">
        <f>0/(10^9)</f>
        <v>0</v>
      </c>
      <c r="E64" s="7">
        <f>210679541297/(10^9)</f>
        <v>210.67954129699999</v>
      </c>
      <c r="F64" s="7">
        <f>210679541297/(10^9)</f>
        <v>210.67954129699999</v>
      </c>
      <c r="G64" s="5"/>
    </row>
    <row r="65" spans="1:7" x14ac:dyDescent="0.25">
      <c r="A65" t="s">
        <v>96</v>
      </c>
      <c r="B65" s="7">
        <f>255851956264/(10^9)</f>
        <v>255.85195626399999</v>
      </c>
      <c r="C65" s="7">
        <f>255319038873/(10^9)</f>
        <v>255.31903887300001</v>
      </c>
      <c r="D65" s="7">
        <f>255319038873/(10^9)</f>
        <v>255.31903887300001</v>
      </c>
      <c r="E65" s="7">
        <f>196658562648/(10^9)</f>
        <v>196.65856264799999</v>
      </c>
      <c r="F65" s="7">
        <f>196658562648/(10^9)</f>
        <v>196.65856264799999</v>
      </c>
      <c r="G65" s="5"/>
    </row>
    <row r="66" spans="1:7" ht="16.5" customHeight="1" x14ac:dyDescent="0.25">
      <c r="A66" t="s">
        <v>97</v>
      </c>
      <c r="B66" s="7">
        <f>-40111223937/(10^9)</f>
        <v>-40.111223936999998</v>
      </c>
      <c r="C66" s="7">
        <f>-40111223937/(10^9)</f>
        <v>-40.111223936999998</v>
      </c>
      <c r="D66" s="7">
        <f>0/(10^9)</f>
        <v>0</v>
      </c>
      <c r="E66" s="7">
        <f>0/(10^9)</f>
        <v>0</v>
      </c>
      <c r="F66" s="7">
        <f>0/(10^9)</f>
        <v>0</v>
      </c>
      <c r="G66" s="5"/>
    </row>
    <row r="67" spans="1:7" x14ac:dyDescent="0.25">
      <c r="A67" t="s">
        <v>100</v>
      </c>
      <c r="B67" s="7">
        <f>13404936846079/(10^9)</f>
        <v>13404.936846078999</v>
      </c>
      <c r="C67" s="7">
        <f>14849893822097/(10^9)</f>
        <v>14849.893822096999</v>
      </c>
      <c r="D67" s="7">
        <f>14862130022329/(10^9)</f>
        <v>14862.130022329</v>
      </c>
      <c r="E67" s="7">
        <f>18844379948876/(10^9)</f>
        <v>18844.379948876001</v>
      </c>
      <c r="F67" s="7">
        <f>18853826843892/(10^9)</f>
        <v>18853.826843891999</v>
      </c>
      <c r="G67" s="5"/>
    </row>
    <row r="68" spans="1:7" x14ac:dyDescent="0.25">
      <c r="A68" t="s">
        <v>103</v>
      </c>
      <c r="B68" s="7">
        <f>6287250000/(10^9)</f>
        <v>6.2872500000000002</v>
      </c>
      <c r="C68" s="7">
        <f>6287318113/(10^9)</f>
        <v>6.2873181130000004</v>
      </c>
      <c r="D68" s="7">
        <f>6287318113/(10^9)</f>
        <v>6.2873181130000004</v>
      </c>
      <c r="E68" s="7">
        <f>6287318113/(10^9)</f>
        <v>6.2873181130000004</v>
      </c>
      <c r="F68" s="7">
        <f>6287318113/(10^9)</f>
        <v>6.2873181130000004</v>
      </c>
      <c r="G68" s="5"/>
    </row>
    <row r="69" spans="1:7" x14ac:dyDescent="0.25">
      <c r="A69" t="s">
        <v>104</v>
      </c>
      <c r="B69" s="7">
        <f>6157504526798/(10^9)</f>
        <v>6157.5045267980004</v>
      </c>
      <c r="C69" s="7">
        <f>7089031949795/(10^9)</f>
        <v>7089.0319497950004</v>
      </c>
      <c r="D69" s="7">
        <f>10598838456543/(10^9)</f>
        <v>10598.838456543001</v>
      </c>
      <c r="E69" s="7">
        <f>10109461187456/(10^9)</f>
        <v>10109.461187456</v>
      </c>
      <c r="F69" s="7">
        <f>10028673271871/(10^9)</f>
        <v>10028.673271871001</v>
      </c>
      <c r="G69" s="5"/>
    </row>
    <row r="70" spans="1:7" x14ac:dyDescent="0.25">
      <c r="A70" t="s">
        <v>105</v>
      </c>
      <c r="B70" s="7">
        <f>0/(10^9)</f>
        <v>0</v>
      </c>
      <c r="C70" s="7">
        <f>1353669355216/(10^9)</f>
        <v>1353.669355216</v>
      </c>
      <c r="D70" s="7">
        <f>3110217713815/(10^9)</f>
        <v>3110.217713815</v>
      </c>
      <c r="E70" s="7">
        <f>59908671304/(10^9)</f>
        <v>59.908671304000002</v>
      </c>
      <c r="F70" s="7">
        <f>2319480175551/(10^9)</f>
        <v>2319.4801755509998</v>
      </c>
      <c r="G70" s="5"/>
    </row>
    <row r="71" spans="1:7" x14ac:dyDescent="0.25">
      <c r="A71" t="s">
        <v>106</v>
      </c>
      <c r="B71" s="7">
        <f>6157504526798/(10^9)</f>
        <v>6157.5045267980004</v>
      </c>
      <c r="C71" s="7">
        <f>5735362594579/(10^9)</f>
        <v>5735.362594579</v>
      </c>
      <c r="D71" s="7">
        <f>7488620742728/(10^9)</f>
        <v>7488.6207427279996</v>
      </c>
      <c r="E71" s="7">
        <f>10049552516152/(10^9)</f>
        <v>10049.552516152</v>
      </c>
      <c r="F71" s="7">
        <f>7709193096320/(10^9)</f>
        <v>7709.1930963200002</v>
      </c>
      <c r="G71" s="5"/>
    </row>
    <row r="72" spans="1:7" x14ac:dyDescent="0.25">
      <c r="A72" t="s">
        <v>107</v>
      </c>
      <c r="B72" s="7">
        <f>1730131795757/(10^9)</f>
        <v>1730.131795757</v>
      </c>
      <c r="C72" s="7">
        <f>1781841132604/(10^9)</f>
        <v>1781.841132604</v>
      </c>
      <c r="D72" s="7">
        <f>1794370735459/(10^9)</f>
        <v>1794.3707354589999</v>
      </c>
      <c r="E72" s="7">
        <f>1107564799241/(10^9)</f>
        <v>1107.5647992409999</v>
      </c>
      <c r="F72" s="7">
        <f>1064055447633/(10^9)</f>
        <v>1064.0554476330001</v>
      </c>
      <c r="G72" s="5"/>
    </row>
    <row r="73" spans="1:7" s="5" customFormat="1" x14ac:dyDescent="0.25">
      <c r="A73" s="5" t="s">
        <v>112</v>
      </c>
      <c r="B73" s="6">
        <f>56753853518438/(10^9)</f>
        <v>56753.853518438002</v>
      </c>
      <c r="C73" s="6">
        <f>61889343342437/(10^9)</f>
        <v>61889.343342437001</v>
      </c>
      <c r="D73" s="6">
        <f>62614420245293/(10^9)</f>
        <v>62614.420245292997</v>
      </c>
      <c r="E73" s="6">
        <f>62178787389634/(10^9)</f>
        <v>62178.787389634002</v>
      </c>
      <c r="F73" s="6">
        <f>63208401030103/(10^9)</f>
        <v>63208.401030102999</v>
      </c>
    </row>
  </sheetData>
  <pageMargins left="0.7" right="0.7" top="0.75" bottom="0.75" header="0.3" footer="0.3"/>
  <pageSetup orientation="portrait" r:id="rId1"/>
  <ignoredErrors>
    <ignoredError sqref="N4" formula="1"/>
    <ignoredError sqref="B39:F39" numberStoredAsText="1"/>
  </ignoredErrors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816A23BC-19D5-4A26-AB01-81CA43D7C0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'BS and IS'!J3:N3</xm:f>
              <xm:sqref>O3</xm:sqref>
            </x14:sparkline>
            <x14:sparkline>
              <xm:f>'BS and IS'!J4:N4</xm:f>
              <xm:sqref>O4</xm:sqref>
            </x14:sparkline>
            <x14:sparkline>
              <xm:f>'BS and IS'!J5:N5</xm:f>
              <xm:sqref>O5</xm:sqref>
            </x14:sparkline>
            <x14:sparkline>
              <xm:f>'BS and IS'!J6:N6</xm:f>
              <xm:sqref>O6</xm:sqref>
            </x14:sparkline>
            <x14:sparkline>
              <xm:f>'BS and IS'!J7:N7</xm:f>
              <xm:sqref>O7</xm:sqref>
            </x14:sparkline>
            <x14:sparkline>
              <xm:f>'BS and IS'!J8:N8</xm:f>
              <xm:sqref>O8</xm:sqref>
            </x14:sparkline>
            <x14:sparkline>
              <xm:f>'BS and IS'!J9:N9</xm:f>
              <xm:sqref>O9</xm:sqref>
            </x14:sparkline>
            <x14:sparkline>
              <xm:f>'BS and IS'!J10:N10</xm:f>
              <xm:sqref>O10</xm:sqref>
            </x14:sparkline>
            <x14:sparkline>
              <xm:f>'BS and IS'!J11:N11</xm:f>
              <xm:sqref>O11</xm:sqref>
            </x14:sparkline>
            <x14:sparkline>
              <xm:f>'BS and IS'!J12:N12</xm:f>
              <xm:sqref>O12</xm:sqref>
            </x14:sparkline>
            <x14:sparkline>
              <xm:f>'BS and IS'!J13:N13</xm:f>
              <xm:sqref>O13</xm:sqref>
            </x14:sparkline>
            <x14:sparkline>
              <xm:f>'BS and IS'!J14:N14</xm:f>
              <xm:sqref>O14</xm:sqref>
            </x14:sparkline>
            <x14:sparkline>
              <xm:f>'BS and IS'!J15:N15</xm:f>
              <xm:sqref>O15</xm:sqref>
            </x14:sparkline>
            <x14:sparkline>
              <xm:f>'BS and IS'!J16:N16</xm:f>
              <xm:sqref>O16</xm:sqref>
            </x14:sparkline>
            <x14:sparkline>
              <xm:f>'BS and IS'!J17:N17</xm:f>
              <xm:sqref>O17</xm:sqref>
            </x14:sparkline>
            <x14:sparkline>
              <xm:f>'BS and IS'!J18:N18</xm:f>
              <xm:sqref>O18</xm:sqref>
            </x14:sparkline>
            <x14:sparkline>
              <xm:f>'BS and IS'!J19:N19</xm:f>
              <xm:sqref>O19</xm:sqref>
            </x14:sparkline>
            <x14:sparkline>
              <xm:f>'BS and IS'!J20:N20</xm:f>
              <xm:sqref>O20</xm:sqref>
            </x14:sparkline>
            <x14:sparkline>
              <xm:f>'BS and IS'!J21:N21</xm:f>
              <xm:sqref>O21</xm:sqref>
            </x14:sparkline>
            <x14:sparkline>
              <xm:f>'BS and IS'!J22:N22</xm:f>
              <xm:sqref>O22</xm:sqref>
            </x14:sparkline>
            <x14:sparkline>
              <xm:f>'BS and IS'!J23:N23</xm:f>
              <xm:sqref>O23</xm:sqref>
            </x14:sparkline>
            <x14:sparkline>
              <xm:f>'BS and IS'!J24:N24</xm:f>
              <xm:sqref>O24</xm:sqref>
            </x14:sparkline>
            <x14:sparkline>
              <xm:f>'BS and IS'!J25:N25</xm:f>
              <xm:sqref>O25</xm:sqref>
            </x14:sparkline>
            <x14:sparkline>
              <xm:f>'BS and IS'!J26:N26</xm:f>
              <xm:sqref>O26</xm:sqref>
            </x14:sparkline>
          </x14:sparklines>
        </x14:sparklineGroup>
        <x14:sparklineGroup type="column" displayEmptyCellsAs="gap" high="1" xr2:uid="{6322E279-3B9F-4EA6-B906-0D40D26C0FF1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00B050"/>
          <x14:colorLow rgb="FFFF5055"/>
          <x14:sparklines>
            <x14:sparkline>
              <xm:f>'BS and IS'!B3:F3</xm:f>
              <xm:sqref>G3</xm:sqref>
            </x14:sparkline>
            <x14:sparkline>
              <xm:f>'BS and IS'!B4:F4</xm:f>
              <xm:sqref>G4</xm:sqref>
            </x14:sparkline>
            <x14:sparkline>
              <xm:f>'BS and IS'!B5:F5</xm:f>
              <xm:sqref>G5</xm:sqref>
            </x14:sparkline>
            <x14:sparkline>
              <xm:f>'BS and IS'!B6:F6</xm:f>
              <xm:sqref>G6</xm:sqref>
            </x14:sparkline>
            <x14:sparkline>
              <xm:f>'BS and IS'!B7:F7</xm:f>
              <xm:sqref>G7</xm:sqref>
            </x14:sparkline>
            <x14:sparkline>
              <xm:f>'BS and IS'!B8:F8</xm:f>
              <xm:sqref>G8</xm:sqref>
            </x14:sparkline>
            <x14:sparkline>
              <xm:f>'BS and IS'!B9:F9</xm:f>
              <xm:sqref>G9</xm:sqref>
            </x14:sparkline>
            <x14:sparkline>
              <xm:f>'BS and IS'!B10:F10</xm:f>
              <xm:sqref>G10</xm:sqref>
            </x14:sparkline>
            <x14:sparkline>
              <xm:f>'BS and IS'!B11:F11</xm:f>
              <xm:sqref>G11</xm:sqref>
            </x14:sparkline>
            <x14:sparkline>
              <xm:f>'BS and IS'!B12:F12</xm:f>
              <xm:sqref>G12</xm:sqref>
            </x14:sparkline>
            <x14:sparkline>
              <xm:f>'BS and IS'!B13:F13</xm:f>
              <xm:sqref>G13</xm:sqref>
            </x14:sparkline>
            <x14:sparkline>
              <xm:f>'BS and IS'!B14:F14</xm:f>
              <xm:sqref>G14</xm:sqref>
            </x14:sparkline>
            <x14:sparkline>
              <xm:f>'BS and IS'!B15:F15</xm:f>
              <xm:sqref>G15</xm:sqref>
            </x14:sparkline>
            <x14:sparkline>
              <xm:f>'BS and IS'!B16:F16</xm:f>
              <xm:sqref>G16</xm:sqref>
            </x14:sparkline>
            <x14:sparkline>
              <xm:f>'BS and IS'!B17:F17</xm:f>
              <xm:sqref>G17</xm:sqref>
            </x14:sparkline>
            <x14:sparkline>
              <xm:f>'BS and IS'!B18:F18</xm:f>
              <xm:sqref>G18</xm:sqref>
            </x14:sparkline>
            <x14:sparkline>
              <xm:f>'BS and IS'!B19:F19</xm:f>
              <xm:sqref>G19</xm:sqref>
            </x14:sparkline>
            <x14:sparkline>
              <xm:f>'BS and IS'!B20:F20</xm:f>
              <xm:sqref>G20</xm:sqref>
            </x14:sparkline>
            <x14:sparkline>
              <xm:f>'BS and IS'!B21:F21</xm:f>
              <xm:sqref>G21</xm:sqref>
            </x14:sparkline>
            <x14:sparkline>
              <xm:f>'BS and IS'!B22:F22</xm:f>
              <xm:sqref>G22</xm:sqref>
            </x14:sparkline>
            <x14:sparkline>
              <xm:f>'BS and IS'!B23:F23</xm:f>
              <xm:sqref>G23</xm:sqref>
            </x14:sparkline>
            <x14:sparkline>
              <xm:f>'BS and IS'!B24:F24</xm:f>
              <xm:sqref>G24</xm:sqref>
            </x14:sparkline>
            <x14:sparkline>
              <xm:f>'BS and IS'!B25:F25</xm:f>
              <xm:sqref>G25</xm:sqref>
            </x14:sparkline>
            <x14:sparkline>
              <xm:f>'BS and IS'!B26:F26</xm:f>
              <xm:sqref>G26</xm:sqref>
            </x14:sparkline>
            <x14:sparkline>
              <xm:f>'BS and IS'!B27:F27</xm:f>
              <xm:sqref>G27</xm:sqref>
            </x14:sparkline>
            <x14:sparkline>
              <xm:f>'BS and IS'!B28:F28</xm:f>
              <xm:sqref>G28</xm:sqref>
            </x14:sparkline>
            <x14:sparkline>
              <xm:f>'BS and IS'!B29:F29</xm:f>
              <xm:sqref>G29</xm:sqref>
            </x14:sparkline>
            <x14:sparkline>
              <xm:f>'BS and IS'!B30:F30</xm:f>
              <xm:sqref>G30</xm:sqref>
            </x14:sparkline>
            <x14:sparkline>
              <xm:f>'BS and IS'!B31:F31</xm:f>
              <xm:sqref>G31</xm:sqref>
            </x14:sparkline>
            <x14:sparkline>
              <xm:f>'BS and IS'!B32:F32</xm:f>
              <xm:sqref>G32</xm:sqref>
            </x14:sparkline>
            <x14:sparkline>
              <xm:f>'BS and IS'!B33:F33</xm:f>
              <xm:sqref>G33</xm:sqref>
            </x14:sparkline>
            <x14:sparkline>
              <xm:f>'BS and IS'!B34:F34</xm:f>
              <xm:sqref>G34</xm:sqref>
            </x14:sparkline>
            <x14:sparkline>
              <xm:f>'BS and IS'!B35:F35</xm:f>
              <xm:sqref>G35</xm:sqref>
            </x14:sparkline>
            <x14:sparkline>
              <xm:f>'BS and IS'!B36:F36</xm:f>
              <xm:sqref>G36</xm:sqref>
            </x14:sparkline>
            <x14:sparkline>
              <xm:f>'BS and IS'!B37:F37</xm:f>
              <xm:sqref>G37</xm:sqref>
            </x14:sparkline>
            <x14:sparkline>
              <xm:f>'BS and IS'!B38:F38</xm:f>
              <xm:sqref>G38</xm:sqref>
            </x14:sparkline>
            <x14:sparkline>
              <xm:f>'BS and IS'!B39:F39</xm:f>
              <xm:sqref>G39</xm:sqref>
            </x14:sparkline>
            <x14:sparkline>
              <xm:f>'BS and IS'!B40:F40</xm:f>
              <xm:sqref>G40</xm:sqref>
            </x14:sparkline>
            <x14:sparkline>
              <xm:f>'BS and IS'!B41:F41</xm:f>
              <xm:sqref>G41</xm:sqref>
            </x14:sparkline>
            <x14:sparkline>
              <xm:f>'BS and IS'!B42:F42</xm:f>
              <xm:sqref>G42</xm:sqref>
            </x14:sparkline>
            <x14:sparkline>
              <xm:f>'BS and IS'!B43:F43</xm:f>
              <xm:sqref>G43</xm:sqref>
            </x14:sparkline>
            <x14:sparkline>
              <xm:f>'BS and IS'!B44:F44</xm:f>
              <xm:sqref>G44</xm:sqref>
            </x14:sparkline>
            <x14:sparkline>
              <xm:f>'BS and IS'!B45:F45</xm:f>
              <xm:sqref>G45</xm:sqref>
            </x14:sparkline>
            <x14:sparkline>
              <xm:f>'BS and IS'!B46:F46</xm:f>
              <xm:sqref>G46</xm:sqref>
            </x14:sparkline>
            <x14:sparkline>
              <xm:f>'BS and IS'!B47:F47</xm:f>
              <xm:sqref>G47</xm:sqref>
            </x14:sparkline>
            <x14:sparkline>
              <xm:f>'BS and IS'!B48:F48</xm:f>
              <xm:sqref>G48</xm:sqref>
            </x14:sparkline>
            <x14:sparkline>
              <xm:f>'BS and IS'!B49:F49</xm:f>
              <xm:sqref>G49</xm:sqref>
            </x14:sparkline>
            <x14:sparkline>
              <xm:f>'BS and IS'!B50:F50</xm:f>
              <xm:sqref>G50</xm:sqref>
            </x14:sparkline>
            <x14:sparkline>
              <xm:f>'BS and IS'!B51:F51</xm:f>
              <xm:sqref>G51</xm:sqref>
            </x14:sparkline>
            <x14:sparkline>
              <xm:f>'BS and IS'!B52:F52</xm:f>
              <xm:sqref>G52</xm:sqref>
            </x14:sparkline>
            <x14:sparkline>
              <xm:f>'BS and IS'!B53:F53</xm:f>
              <xm:sqref>G53</xm:sqref>
            </x14:sparkline>
            <x14:sparkline>
              <xm:f>'BS and IS'!B54:F54</xm:f>
              <xm:sqref>G54</xm:sqref>
            </x14:sparkline>
            <x14:sparkline>
              <xm:f>'BS and IS'!B55:F55</xm:f>
              <xm:sqref>G55</xm:sqref>
            </x14:sparkline>
            <x14:sparkline>
              <xm:f>'BS and IS'!B56:F56</xm:f>
              <xm:sqref>G56</xm:sqref>
            </x14:sparkline>
            <x14:sparkline>
              <xm:f>'BS and IS'!B57:F57</xm:f>
              <xm:sqref>G57</xm:sqref>
            </x14:sparkline>
            <x14:sparkline>
              <xm:f>'BS and IS'!B58:F58</xm:f>
              <xm:sqref>G58</xm:sqref>
            </x14:sparkline>
            <x14:sparkline>
              <xm:f>'BS and IS'!B59:F59</xm:f>
              <xm:sqref>G59</xm:sqref>
            </x14:sparkline>
            <x14:sparkline>
              <xm:f>'BS and IS'!B60:F60</xm:f>
              <xm:sqref>G60</xm:sqref>
            </x14:sparkline>
            <x14:sparkline>
              <xm:f>'BS and IS'!B61:F61</xm:f>
              <xm:sqref>G61</xm:sqref>
            </x14:sparkline>
            <x14:sparkline>
              <xm:f>'BS and IS'!B62:F62</xm:f>
              <xm:sqref>G62</xm:sqref>
            </x14:sparkline>
            <x14:sparkline>
              <xm:f>'BS and IS'!B63:F63</xm:f>
              <xm:sqref>G63</xm:sqref>
            </x14:sparkline>
            <x14:sparkline>
              <xm:f>'BS and IS'!B64:F64</xm:f>
              <xm:sqref>G64</xm:sqref>
            </x14:sparkline>
            <x14:sparkline>
              <xm:f>'BS and IS'!B65:F65</xm:f>
              <xm:sqref>G65</xm:sqref>
            </x14:sparkline>
            <x14:sparkline>
              <xm:f>'BS and IS'!B66:F66</xm:f>
              <xm:sqref>G66</xm:sqref>
            </x14:sparkline>
            <x14:sparkline>
              <xm:f>'BS and IS'!B67:F67</xm:f>
              <xm:sqref>G67</xm:sqref>
            </x14:sparkline>
            <x14:sparkline>
              <xm:f>'BS and IS'!B68:F68</xm:f>
              <xm:sqref>G68</xm:sqref>
            </x14:sparkline>
            <x14:sparkline>
              <xm:f>'BS and IS'!B69:F69</xm:f>
              <xm:sqref>G69</xm:sqref>
            </x14:sparkline>
            <x14:sparkline>
              <xm:f>'BS and IS'!B70:F70</xm:f>
              <xm:sqref>G70</xm:sqref>
            </x14:sparkline>
            <x14:sparkline>
              <xm:f>'BS and IS'!B71:F71</xm:f>
              <xm:sqref>G71</xm:sqref>
            </x14:sparkline>
            <x14:sparkline>
              <xm:f>'BS and IS'!B72:F72</xm:f>
              <xm:sqref>G72</xm:sqref>
            </x14:sparkline>
            <x14:sparkline>
              <xm:f>'BS and IS'!B73:F73</xm:f>
              <xm:sqref>G73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2590-AAED-4B31-846A-CEC6B02FBE20}">
  <dimension ref="A1:J21"/>
  <sheetViews>
    <sheetView workbookViewId="0">
      <selection activeCell="E11" sqref="E11"/>
    </sheetView>
  </sheetViews>
  <sheetFormatPr defaultRowHeight="15" x14ac:dyDescent="0.25"/>
  <cols>
    <col min="1" max="1" width="29.28515625" customWidth="1"/>
    <col min="2" max="2" width="9.85546875" bestFit="1" customWidth="1"/>
  </cols>
  <sheetData>
    <row r="1" spans="1:10" x14ac:dyDescent="0.25">
      <c r="A1" s="17" t="s">
        <v>147</v>
      </c>
      <c r="B1" t="s">
        <v>1</v>
      </c>
      <c r="C1" t="s">
        <v>2</v>
      </c>
      <c r="D1" t="s">
        <v>3</v>
      </c>
      <c r="E1" t="s">
        <v>4</v>
      </c>
      <c r="F1" s="15" t="s">
        <v>5</v>
      </c>
    </row>
    <row r="2" spans="1:10" x14ac:dyDescent="0.25">
      <c r="A2" t="s">
        <v>114</v>
      </c>
      <c r="B2" s="7">
        <f>'BS and IS'!J5</f>
        <v>59076.193175660999</v>
      </c>
      <c r="C2" s="7">
        <f>'BS and IS'!K5</f>
        <v>64522.440976234</v>
      </c>
      <c r="D2" s="7">
        <f>'BS and IS'!L5</f>
        <v>75611.546239411997</v>
      </c>
      <c r="E2" s="7">
        <f>'BS and IS'!M5</f>
        <v>75005.297175405998</v>
      </c>
      <c r="F2" s="7">
        <f>'BS and IS'!N5</f>
        <v>64134.965486838002</v>
      </c>
      <c r="G2" s="14"/>
      <c r="H2" s="14"/>
      <c r="I2" s="26"/>
      <c r="J2" s="27"/>
    </row>
    <row r="3" spans="1:10" x14ac:dyDescent="0.25">
      <c r="A3" t="s">
        <v>148</v>
      </c>
      <c r="B3" s="7">
        <f>B4+B5</f>
        <v>50616.922140115996</v>
      </c>
      <c r="C3" s="7">
        <f t="shared" ref="C3:F3" si="0">C4+C5</f>
        <v>52894.952904211001</v>
      </c>
      <c r="D3" s="7">
        <f t="shared" si="0"/>
        <v>61886.838830868001</v>
      </c>
      <c r="E3" s="7">
        <f t="shared" si="0"/>
        <v>61356.329376173999</v>
      </c>
      <c r="F3" s="7">
        <f t="shared" si="0"/>
        <v>55441.159412779001</v>
      </c>
      <c r="G3" s="14"/>
      <c r="H3" s="14"/>
      <c r="I3" s="26"/>
      <c r="J3" s="27"/>
    </row>
    <row r="4" spans="1:10" x14ac:dyDescent="0.25">
      <c r="A4" t="s">
        <v>149</v>
      </c>
      <c r="B4" s="7">
        <f>-'BS and IS'!J6</f>
        <v>47521.232445916998</v>
      </c>
      <c r="C4" s="7">
        <f>-'BS and IS'!K6</f>
        <v>49359.543140141999</v>
      </c>
      <c r="D4" s="7">
        <f>-'BS and IS'!L6</f>
        <v>58120.227682208002</v>
      </c>
      <c r="E4" s="7">
        <f>-'BS and IS'!M6</f>
        <v>58086.688538103997</v>
      </c>
      <c r="F4" s="7">
        <f>-'BS and IS'!N6</f>
        <v>52728.949502326999</v>
      </c>
      <c r="G4" s="14"/>
      <c r="H4" s="14"/>
      <c r="I4" s="26"/>
      <c r="J4" s="27"/>
    </row>
    <row r="5" spans="1:10" x14ac:dyDescent="0.25">
      <c r="A5" t="s">
        <v>150</v>
      </c>
      <c r="B5" s="7">
        <f>-('BS and IS'!J12+'BS and IS'!J13)</f>
        <v>3095.6896941989999</v>
      </c>
      <c r="C5" s="7">
        <f>-('BS and IS'!K12+'BS and IS'!K13)</f>
        <v>3535.4097640689997</v>
      </c>
      <c r="D5" s="7">
        <f>-('BS and IS'!L12+'BS and IS'!L13)</f>
        <v>3766.6111486600003</v>
      </c>
      <c r="E5" s="7">
        <f>-('BS and IS'!M12+'BS and IS'!M13)</f>
        <v>3269.64083807</v>
      </c>
      <c r="F5" s="7">
        <f>-('BS and IS'!N12+'BS and IS'!N13)</f>
        <v>2712.2099104520003</v>
      </c>
      <c r="G5" s="14"/>
      <c r="H5" s="14"/>
      <c r="I5" s="26"/>
      <c r="J5" s="27"/>
    </row>
    <row r="6" spans="1:10" x14ac:dyDescent="0.25">
      <c r="A6" t="s">
        <v>151</v>
      </c>
      <c r="B6" s="7">
        <f>('BS and IS'!B5+'BS and IS'!B10+'BS and IS'!B16)-('BS and IS'!B41-'BS and IS'!B49)</f>
        <v>18704.993709845996</v>
      </c>
      <c r="C6" s="7">
        <f>('BS and IS'!C5+'BS and IS'!C10+'BS and IS'!C16)-('BS and IS'!C41-'BS and IS'!C49)</f>
        <v>15148.161047863001</v>
      </c>
      <c r="D6" s="7">
        <f>('BS and IS'!D5+'BS and IS'!D10+'BS and IS'!D16)-('BS and IS'!D41-'BS and IS'!D49)</f>
        <v>8510.86937674</v>
      </c>
      <c r="E6" s="7">
        <f>('BS and IS'!E5+'BS and IS'!E10+'BS and IS'!E16)-('BS and IS'!E41-'BS and IS'!E49)</f>
        <v>7785.5213027239988</v>
      </c>
      <c r="F6" s="7">
        <f>('BS and IS'!F5+'BS and IS'!F10+'BS and IS'!F16)-('BS and IS'!F41-'BS and IS'!F49)</f>
        <v>8407.7079388119964</v>
      </c>
      <c r="G6" s="14"/>
    </row>
    <row r="7" spans="1:10" x14ac:dyDescent="0.25">
      <c r="A7" t="s">
        <v>223</v>
      </c>
      <c r="B7" s="7">
        <f>'BS and IS'!B27</f>
        <v>17203.070018816001</v>
      </c>
      <c r="C7" s="7">
        <f>'BS and IS'!C27</f>
        <v>15395.529375231001</v>
      </c>
      <c r="D7" s="7">
        <f>'BS and IS'!D27</f>
        <v>18609.210697766001</v>
      </c>
      <c r="E7" s="7">
        <f>'BS and IS'!E27</f>
        <v>15849.872770378</v>
      </c>
      <c r="F7" s="7">
        <f>'BS and IS'!F27</f>
        <v>19773.601197997999</v>
      </c>
      <c r="G7" s="14"/>
    </row>
    <row r="8" spans="1:10" x14ac:dyDescent="0.25">
      <c r="A8" t="s">
        <v>152</v>
      </c>
      <c r="B8" s="7">
        <f>-'BS and IS'!B29</f>
        <v>26637.606897448997</v>
      </c>
      <c r="C8" s="7">
        <f>-'BS and IS'!C29</f>
        <v>29270.871538748004</v>
      </c>
      <c r="D8" s="7">
        <f>-'BS and IS'!D29</f>
        <v>32022.785591483003</v>
      </c>
      <c r="E8" s="7">
        <f>-'BS and IS'!E29</f>
        <v>33206.692364442999</v>
      </c>
      <c r="F8" s="7">
        <f>-'BS and IS'!F29</f>
        <v>35554.921838695001</v>
      </c>
      <c r="G8" s="14"/>
    </row>
    <row r="9" spans="1:10" x14ac:dyDescent="0.25">
      <c r="A9" t="s">
        <v>153</v>
      </c>
      <c r="B9" s="7">
        <f>B6+B7</f>
        <v>35908.063728661997</v>
      </c>
      <c r="C9" s="7">
        <f t="shared" ref="C9:F9" si="1">C6+C7</f>
        <v>30543.690423094002</v>
      </c>
      <c r="D9" s="7">
        <f t="shared" si="1"/>
        <v>27120.080074506001</v>
      </c>
      <c r="E9" s="7">
        <f t="shared" si="1"/>
        <v>23635.394073101997</v>
      </c>
      <c r="F9" s="7">
        <f t="shared" si="1"/>
        <v>28181.309136809996</v>
      </c>
      <c r="G9" s="14"/>
    </row>
    <row r="11" spans="1:10" x14ac:dyDescent="0.25">
      <c r="A11" t="s">
        <v>154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155</v>
      </c>
    </row>
    <row r="12" spans="1:10" x14ac:dyDescent="0.25">
      <c r="A12" t="s">
        <v>156</v>
      </c>
      <c r="B12" s="32">
        <f t="shared" ref="B12:B16" si="2">B3/$B$2</f>
        <v>0.85680744508381479</v>
      </c>
      <c r="C12" s="32">
        <f t="shared" ref="C12:C16" si="3">C3/$C$2</f>
        <v>0.81979156559954336</v>
      </c>
      <c r="D12" s="32">
        <f t="shared" ref="D12:D16" si="4">D3/$D$2</f>
        <v>0.81848397379565707</v>
      </c>
      <c r="E12" s="32">
        <f t="shared" ref="E12:E16" si="5">E3/$E$2</f>
        <v>0.81802661527608145</v>
      </c>
      <c r="F12" s="32">
        <f t="shared" ref="F12:F16" si="6">F3/$F$2</f>
        <v>0.86444514301885489</v>
      </c>
      <c r="G12" s="32">
        <f>AVERAGE(Table6[[#This Row],[2016]:[2020]])</f>
        <v>0.83551094855479024</v>
      </c>
    </row>
    <row r="13" spans="1:10" x14ac:dyDescent="0.25">
      <c r="A13" t="s">
        <v>157</v>
      </c>
      <c r="B13" s="32">
        <f t="shared" si="2"/>
        <v>0.80440580022843167</v>
      </c>
      <c r="C13" s="32">
        <f t="shared" si="3"/>
        <v>0.7649980749848404</v>
      </c>
      <c r="D13" s="32">
        <f t="shared" si="4"/>
        <v>0.76866868319528203</v>
      </c>
      <c r="E13" s="32">
        <f t="shared" si="5"/>
        <v>0.77443448297076334</v>
      </c>
      <c r="F13" s="32">
        <f t="shared" si="6"/>
        <v>0.82215604393126573</v>
      </c>
      <c r="G13" s="32">
        <f>AVERAGE(Table6[[#This Row],[2016]:[2020]])</f>
        <v>0.78693261706211659</v>
      </c>
    </row>
    <row r="14" spans="1:10" x14ac:dyDescent="0.25">
      <c r="A14" t="s">
        <v>158</v>
      </c>
      <c r="B14" s="32">
        <f t="shared" si="2"/>
        <v>5.2401644855383192E-2</v>
      </c>
      <c r="C14" s="32">
        <f t="shared" si="3"/>
        <v>5.47934906147029E-2</v>
      </c>
      <c r="D14" s="32">
        <f t="shared" si="4"/>
        <v>4.9815290600375005E-2</v>
      </c>
      <c r="E14" s="32">
        <f t="shared" si="5"/>
        <v>4.3592132305318096E-2</v>
      </c>
      <c r="F14" s="32">
        <f t="shared" si="6"/>
        <v>4.2289099087589113E-2</v>
      </c>
      <c r="G14" s="32">
        <f>AVERAGE(Table6[[#This Row],[2016]:[2020]])</f>
        <v>4.8578331492673654E-2</v>
      </c>
    </row>
    <row r="15" spans="1:10" x14ac:dyDescent="0.25">
      <c r="A15" t="s">
        <v>214</v>
      </c>
      <c r="B15" s="32">
        <f t="shared" si="2"/>
        <v>0.31662489920816916</v>
      </c>
      <c r="C15" s="32">
        <f t="shared" si="3"/>
        <v>0.23477352714294594</v>
      </c>
      <c r="D15" s="32">
        <f t="shared" si="4"/>
        <v>0.11256044612276118</v>
      </c>
      <c r="E15" s="32">
        <f t="shared" si="5"/>
        <v>0.10379961943910339</v>
      </c>
      <c r="F15" s="32">
        <f t="shared" si="6"/>
        <v>0.13109398087284316</v>
      </c>
      <c r="G15" s="32">
        <f>AVERAGE(Table6[[#This Row],[2016]:[2020]])</f>
        <v>0.1797704945571646</v>
      </c>
    </row>
    <row r="16" spans="1:10" x14ac:dyDescent="0.25">
      <c r="A16" t="s">
        <v>215</v>
      </c>
      <c r="B16" s="32">
        <f t="shared" si="2"/>
        <v>0.29120139761990538</v>
      </c>
      <c r="C16" s="32">
        <f t="shared" si="3"/>
        <v>0.23860736113349684</v>
      </c>
      <c r="D16" s="32">
        <f t="shared" si="4"/>
        <v>0.24611599184657432</v>
      </c>
      <c r="E16" s="32">
        <f t="shared" si="5"/>
        <v>0.21131671184918821</v>
      </c>
      <c r="F16" s="32">
        <f t="shared" si="6"/>
        <v>0.3083123386424213</v>
      </c>
      <c r="G16" s="32">
        <f>AVERAGE(Table6[[#This Row],[2016]:[2020]])</f>
        <v>0.25911076021831719</v>
      </c>
    </row>
    <row r="17" spans="1:7" x14ac:dyDescent="0.25">
      <c r="A17" t="s">
        <v>161</v>
      </c>
      <c r="B17" s="32">
        <f>B8/B7</f>
        <v>1.5484216984709063</v>
      </c>
      <c r="C17" s="32">
        <f t="shared" ref="C17:F17" si="7">C8/C7</f>
        <v>1.9012578798258317</v>
      </c>
      <c r="D17" s="32">
        <f t="shared" si="7"/>
        <v>1.7208029997385799</v>
      </c>
      <c r="E17" s="32">
        <f t="shared" si="7"/>
        <v>2.0950762725681527</v>
      </c>
      <c r="F17" s="32">
        <f t="shared" si="7"/>
        <v>1.798100481681344</v>
      </c>
      <c r="G17" s="32">
        <f>AVERAGE(Table6[[#This Row],[2016]:[2020]])</f>
        <v>1.8127318664569629</v>
      </c>
    </row>
    <row r="18" spans="1:7" x14ac:dyDescent="0.25">
      <c r="A18" t="s">
        <v>162</v>
      </c>
      <c r="B18" s="32"/>
      <c r="C18" s="32">
        <f>(C9-B9)/B9</f>
        <v>-0.14939188439966272</v>
      </c>
      <c r="D18" s="32">
        <f t="shared" ref="D18:F18" si="8">(D9-C9)/C9</f>
        <v>-0.11208895523637899</v>
      </c>
      <c r="E18" s="32">
        <f t="shared" si="8"/>
        <v>-0.12849099235071038</v>
      </c>
      <c r="F18" s="32">
        <f t="shared" si="8"/>
        <v>0.19233506535359304</v>
      </c>
      <c r="G18" s="32">
        <f>AVERAGE(Table6[[#This Row],[2016]:[2020]])</f>
        <v>-4.9409191658289768E-2</v>
      </c>
    </row>
    <row r="19" spans="1:7" x14ac:dyDescent="0.25">
      <c r="A19" t="s">
        <v>163</v>
      </c>
      <c r="B19" s="32"/>
      <c r="C19" s="32">
        <f>(C2-B2)/B2</f>
        <v>9.2190229393738568E-2</v>
      </c>
      <c r="D19" s="32">
        <f t="shared" ref="D19:F19" si="9">(D2-C2)/C2</f>
        <v>0.1718643172111626</v>
      </c>
      <c r="E19" s="32">
        <f t="shared" si="9"/>
        <v>-8.0179429486391795E-3</v>
      </c>
      <c r="F19" s="32">
        <f t="shared" si="9"/>
        <v>-0.14492751976099555</v>
      </c>
      <c r="G19" s="32">
        <f>AVERAGE(Table6[[#This Row],[2016]:[2020]])</f>
        <v>2.7777270973816617E-2</v>
      </c>
    </row>
    <row r="21" spans="1:7" x14ac:dyDescent="0.25">
      <c r="B21" s="22"/>
      <c r="C21" s="22"/>
      <c r="D21" s="22"/>
      <c r="E21" s="22"/>
      <c r="F21" s="22"/>
    </row>
  </sheetData>
  <pageMargins left="0.7" right="0.7" top="0.75" bottom="0.75" header="0.3" footer="0.3"/>
  <ignoredErrors>
    <ignoredError sqref="C18:F18 B2:B3 C19:F19 B9" calculatedColumn="1"/>
  </ignoredErrors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69DCC7D3-B977-4C26-8B9B-FE821C796EC3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B050"/>
          <x14:colorLow theme="4"/>
          <x14:sparklines>
            <x14:sparkline>
              <xm:f>Historical!B2:F2</xm:f>
              <xm:sqref>G2</xm:sqref>
            </x14:sparkline>
            <x14:sparkline>
              <xm:f>Historical!B3:F3</xm:f>
              <xm:sqref>G3</xm:sqref>
            </x14:sparkline>
            <x14:sparkline>
              <xm:f>Historical!B4:F4</xm:f>
              <xm:sqref>G4</xm:sqref>
            </x14:sparkline>
            <x14:sparkline>
              <xm:f>Historical!B5:F5</xm:f>
              <xm:sqref>G5</xm:sqref>
            </x14:sparkline>
            <x14:sparkline>
              <xm:f>Historical!B6:F6</xm:f>
              <xm:sqref>G6</xm:sqref>
            </x14:sparkline>
            <x14:sparkline>
              <xm:f>Historical!B7:F7</xm:f>
              <xm:sqref>G7</xm:sqref>
            </x14:sparkline>
            <x14:sparkline>
              <xm:f>Historical!B8:F8</xm:f>
              <xm:sqref>G8</xm:sqref>
            </x14:sparkline>
            <x14:sparkline>
              <xm:f>Historical!B9:F9</xm:f>
              <xm:sqref>G9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DE3D-6BDD-4454-920F-2FF7A64535C3}">
  <dimension ref="A1:R1252"/>
  <sheetViews>
    <sheetView topLeftCell="A79" zoomScale="106" zoomScaleNormal="106" workbookViewId="0">
      <selection activeCell="C12" sqref="C12"/>
    </sheetView>
  </sheetViews>
  <sheetFormatPr defaultRowHeight="15" x14ac:dyDescent="0.25"/>
  <cols>
    <col min="1" max="1" width="12.7109375" customWidth="1"/>
    <col min="2" max="2" width="18.42578125" style="19" customWidth="1"/>
    <col min="3" max="3" width="19.42578125" style="19" customWidth="1"/>
    <col min="4" max="4" width="27.85546875" style="19" customWidth="1"/>
    <col min="5" max="5" width="8.42578125" style="19" customWidth="1"/>
    <col min="6" max="6" width="6.85546875" style="19" customWidth="1"/>
    <col min="7" max="7" width="5.28515625" customWidth="1"/>
    <col min="8" max="8" width="18.28515625" customWidth="1"/>
    <col min="9" max="9" width="11.140625" customWidth="1"/>
    <col min="10" max="10" width="10.28515625" customWidth="1"/>
    <col min="11" max="11" width="14.140625" customWidth="1"/>
    <col min="12" max="13" width="10.7109375" customWidth="1"/>
    <col min="14" max="14" width="10.5703125" customWidth="1"/>
  </cols>
  <sheetData>
    <row r="1" spans="1:18" x14ac:dyDescent="0.25">
      <c r="A1" t="s">
        <v>245</v>
      </c>
      <c r="B1" s="19" t="s">
        <v>246</v>
      </c>
      <c r="C1" s="19" t="s">
        <v>247</v>
      </c>
      <c r="D1" s="19" t="s">
        <v>248</v>
      </c>
      <c r="E1" t="s">
        <v>164</v>
      </c>
      <c r="F1" t="s">
        <v>165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5">
      <c r="A2" s="18">
        <v>44196</v>
      </c>
      <c r="B2" s="19">
        <v>-3.5000000000000001E-3</v>
      </c>
      <c r="C2" s="19">
        <v>5.7999999999999996E-3</v>
      </c>
      <c r="D2" s="19">
        <v>2.4510000000000001E-2</v>
      </c>
      <c r="E2" s="19">
        <v>5.7328493150684929E-3</v>
      </c>
      <c r="F2" s="19">
        <v>-3.5671506849315067E-3</v>
      </c>
      <c r="H2" t="s">
        <v>166</v>
      </c>
      <c r="Q2" s="27"/>
      <c r="R2" s="27"/>
    </row>
    <row r="3" spans="1:18" ht="15.75" thickBot="1" x14ac:dyDescent="0.3">
      <c r="A3" s="18">
        <v>44195</v>
      </c>
      <c r="B3" s="19">
        <v>-2.3E-3</v>
      </c>
      <c r="C3" s="19">
        <v>-1.8E-3</v>
      </c>
      <c r="D3" s="19">
        <v>2.419E-2</v>
      </c>
      <c r="E3" s="19">
        <v>-1.8662739726027398E-3</v>
      </c>
      <c r="F3" s="19">
        <v>-2.3662739726027396E-3</v>
      </c>
      <c r="Q3" s="27"/>
      <c r="R3" s="27"/>
    </row>
    <row r="4" spans="1:18" x14ac:dyDescent="0.25">
      <c r="A4" s="18">
        <v>44194</v>
      </c>
      <c r="B4" s="19">
        <v>2.3E-3</v>
      </c>
      <c r="C4" s="19">
        <v>7.4999999999999997E-3</v>
      </c>
      <c r="D4" s="19">
        <v>2.3099999999999999E-2</v>
      </c>
      <c r="E4" s="19">
        <v>7.4367123287671227E-3</v>
      </c>
      <c r="F4" s="19">
        <v>2.2367123287671234E-3</v>
      </c>
      <c r="H4" s="54" t="s">
        <v>167</v>
      </c>
      <c r="I4" s="54"/>
      <c r="Q4" s="27"/>
      <c r="R4" s="27"/>
    </row>
    <row r="5" spans="1:18" x14ac:dyDescent="0.25">
      <c r="A5" s="18">
        <v>44193</v>
      </c>
      <c r="B5" s="19">
        <v>3.2099999999999997E-2</v>
      </c>
      <c r="C5" s="19">
        <v>6.4000000000000003E-3</v>
      </c>
      <c r="D5" s="19">
        <v>2.3220000000000001E-2</v>
      </c>
      <c r="E5" s="19">
        <v>6.3363835616438357E-3</v>
      </c>
      <c r="F5" s="19">
        <v>3.203638356164383E-2</v>
      </c>
      <c r="H5" s="51" t="s">
        <v>168</v>
      </c>
      <c r="I5" s="51">
        <v>0.67506884955625357</v>
      </c>
      <c r="Q5" s="27"/>
      <c r="R5" s="27"/>
    </row>
    <row r="6" spans="1:18" x14ac:dyDescent="0.25">
      <c r="A6" s="18">
        <v>44190</v>
      </c>
      <c r="B6" s="19">
        <v>3.5999999999999999E-3</v>
      </c>
      <c r="C6" s="19">
        <v>1.5800000000000002E-2</v>
      </c>
      <c r="D6" s="19">
        <v>2.307E-2</v>
      </c>
      <c r="E6" s="19">
        <v>1.5736794520547947E-2</v>
      </c>
      <c r="F6" s="19">
        <v>3.5367945205479452E-3</v>
      </c>
      <c r="H6" s="51" t="s">
        <v>169</v>
      </c>
      <c r="I6" s="51">
        <v>0.45571795164120371</v>
      </c>
      <c r="Q6" s="27"/>
      <c r="R6" s="27"/>
    </row>
    <row r="7" spans="1:18" x14ac:dyDescent="0.25">
      <c r="A7" s="18">
        <v>44189</v>
      </c>
      <c r="B7" s="19">
        <v>-9.4000000000000004E-3</v>
      </c>
      <c r="C7" s="19">
        <v>-1.0500000000000001E-2</v>
      </c>
      <c r="D7" s="19">
        <v>2.2839999999999999E-2</v>
      </c>
      <c r="E7" s="19">
        <v>-1.0562575342465755E-2</v>
      </c>
      <c r="F7" s="19">
        <v>-9.4625753424657545E-3</v>
      </c>
      <c r="H7" s="51" t="s">
        <v>170</v>
      </c>
      <c r="I7" s="51">
        <v>0.45528217738311016</v>
      </c>
      <c r="Q7" s="27"/>
      <c r="R7" s="27"/>
    </row>
    <row r="8" spans="1:18" x14ac:dyDescent="0.25">
      <c r="A8" s="18">
        <v>44188</v>
      </c>
      <c r="B8" s="19">
        <v>-7.0000000000000001E-3</v>
      </c>
      <c r="C8" s="19">
        <v>-4.1999999999999997E-3</v>
      </c>
      <c r="D8" s="19">
        <v>2.3019999999999999E-2</v>
      </c>
      <c r="E8" s="19">
        <v>-4.2630684931506844E-3</v>
      </c>
      <c r="F8" s="19">
        <v>-7.0630684931506848E-3</v>
      </c>
      <c r="H8" s="51" t="s">
        <v>171</v>
      </c>
      <c r="I8" s="51">
        <v>1.688038996117764E-2</v>
      </c>
      <c r="Q8" s="27"/>
      <c r="R8" s="27"/>
    </row>
    <row r="9" spans="1:18" ht="15.75" thickBot="1" x14ac:dyDescent="0.3">
      <c r="A9" s="18">
        <v>44187</v>
      </c>
      <c r="B9" s="19">
        <v>-1.1599999999999999E-2</v>
      </c>
      <c r="C9" s="19">
        <v>2.2000000000000001E-3</v>
      </c>
      <c r="D9" s="19">
        <v>2.2929999999999999E-2</v>
      </c>
      <c r="E9" s="19">
        <v>2.1371780821917812E-3</v>
      </c>
      <c r="F9" s="19">
        <v>-1.1662821917808219E-2</v>
      </c>
      <c r="H9" s="52" t="s">
        <v>172</v>
      </c>
      <c r="I9" s="52">
        <v>1251</v>
      </c>
      <c r="Q9" s="27"/>
      <c r="R9" s="27"/>
    </row>
    <row r="10" spans="1:18" x14ac:dyDescent="0.25">
      <c r="A10" s="18">
        <v>44186</v>
      </c>
      <c r="B10" s="19">
        <v>1.6500000000000001E-2</v>
      </c>
      <c r="C10" s="19">
        <v>1.2800000000000001E-2</v>
      </c>
      <c r="D10" s="19">
        <v>2.3369999999999998E-2</v>
      </c>
      <c r="E10" s="19">
        <v>1.2735972602739726E-2</v>
      </c>
      <c r="F10" s="19">
        <v>1.6435972602739726E-2</v>
      </c>
      <c r="Q10" s="27"/>
      <c r="R10" s="27"/>
    </row>
    <row r="11" spans="1:18" ht="15.75" thickBot="1" x14ac:dyDescent="0.3">
      <c r="A11" s="18">
        <v>44183</v>
      </c>
      <c r="B11" s="19">
        <v>9.4999999999999998E-3</v>
      </c>
      <c r="C11" s="19">
        <v>1.49E-2</v>
      </c>
      <c r="D11" s="19">
        <v>2.3300000000000001E-2</v>
      </c>
      <c r="E11" s="19">
        <v>1.4836164383561643E-2</v>
      </c>
      <c r="F11" s="19">
        <v>9.4361643835616429E-3</v>
      </c>
      <c r="H11" t="s">
        <v>173</v>
      </c>
      <c r="Q11" s="27"/>
      <c r="R11" s="27"/>
    </row>
    <row r="12" spans="1:18" x14ac:dyDescent="0.25">
      <c r="A12" s="18">
        <v>44182</v>
      </c>
      <c r="B12" s="19">
        <v>-1.9800000000000002E-2</v>
      </c>
      <c r="C12" s="19">
        <v>-1.43E-2</v>
      </c>
      <c r="D12" s="19">
        <v>2.315E-2</v>
      </c>
      <c r="E12" s="19">
        <v>-1.4363424657534247E-2</v>
      </c>
      <c r="F12" s="19">
        <v>-1.9863424657534247E-2</v>
      </c>
      <c r="H12" s="53"/>
      <c r="I12" s="53" t="s">
        <v>174</v>
      </c>
      <c r="J12" s="53" t="s">
        <v>175</v>
      </c>
      <c r="K12" s="53" t="s">
        <v>176</v>
      </c>
      <c r="L12" s="53" t="s">
        <v>177</v>
      </c>
      <c r="M12" s="53" t="s">
        <v>178</v>
      </c>
      <c r="Q12" s="27"/>
      <c r="R12" s="27"/>
    </row>
    <row r="13" spans="1:18" x14ac:dyDescent="0.25">
      <c r="A13" s="18">
        <v>44181</v>
      </c>
      <c r="B13" s="19">
        <v>4.7000000000000002E-3</v>
      </c>
      <c r="C13" s="19">
        <v>1.11E-2</v>
      </c>
      <c r="D13" s="19">
        <v>2.3220000000000001E-2</v>
      </c>
      <c r="E13" s="19">
        <v>1.1036383561643836E-2</v>
      </c>
      <c r="F13" s="19">
        <v>4.6363835616438356E-3</v>
      </c>
      <c r="H13" s="51" t="s">
        <v>179</v>
      </c>
      <c r="I13" s="51">
        <v>1</v>
      </c>
      <c r="J13" s="51">
        <v>0.29798850745586231</v>
      </c>
      <c r="K13" s="51">
        <v>0.29798850745586231</v>
      </c>
      <c r="L13" s="51">
        <v>1045.7661121034189</v>
      </c>
      <c r="M13" s="51">
        <v>3.5148337807993841E-167</v>
      </c>
      <c r="Q13" s="27"/>
      <c r="R13" s="27"/>
    </row>
    <row r="14" spans="1:18" x14ac:dyDescent="0.25">
      <c r="A14" s="18">
        <v>44180</v>
      </c>
      <c r="B14" s="19">
        <v>-1.84E-2</v>
      </c>
      <c r="C14" s="19">
        <v>-8.3000000000000001E-3</v>
      </c>
      <c r="D14" s="19">
        <v>2.2960000000000001E-2</v>
      </c>
      <c r="E14" s="19">
        <v>-8.3629041095890418E-3</v>
      </c>
      <c r="F14" s="19">
        <v>-1.8462904109589041E-2</v>
      </c>
      <c r="H14" s="51" t="s">
        <v>180</v>
      </c>
      <c r="I14" s="51">
        <v>1249</v>
      </c>
      <c r="J14" s="51">
        <v>0.35589950898654216</v>
      </c>
      <c r="K14" s="51">
        <v>2.8494756524142687E-4</v>
      </c>
      <c r="L14" s="51"/>
      <c r="M14" s="51"/>
      <c r="Q14" s="27"/>
      <c r="R14" s="27"/>
    </row>
    <row r="15" spans="1:18" ht="15.75" thickBot="1" x14ac:dyDescent="0.3">
      <c r="A15" s="18">
        <v>44179</v>
      </c>
      <c r="B15" s="19">
        <v>1.0500000000000001E-2</v>
      </c>
      <c r="C15" s="19">
        <v>1.7299999999999999E-2</v>
      </c>
      <c r="D15" s="19">
        <v>2.3460000000000002E-2</v>
      </c>
      <c r="E15" s="19">
        <v>1.7235726027397261E-2</v>
      </c>
      <c r="F15" s="19">
        <v>1.0435726027397261E-2</v>
      </c>
      <c r="H15" s="52" t="s">
        <v>181</v>
      </c>
      <c r="I15" s="52">
        <v>1250</v>
      </c>
      <c r="J15" s="52">
        <v>0.65388801644240446</v>
      </c>
      <c r="K15" s="52"/>
      <c r="L15" s="52"/>
      <c r="M15" s="52"/>
      <c r="Q15" s="27"/>
      <c r="R15" s="27"/>
    </row>
    <row r="16" spans="1:18" ht="15.75" thickBot="1" x14ac:dyDescent="0.3">
      <c r="A16" s="18">
        <v>44176</v>
      </c>
      <c r="B16" s="19">
        <v>2.01E-2</v>
      </c>
      <c r="C16" s="19">
        <v>1.46E-2</v>
      </c>
      <c r="D16" s="19">
        <v>2.3709999999999998E-2</v>
      </c>
      <c r="E16" s="19">
        <v>1.453504109589041E-2</v>
      </c>
      <c r="F16" s="19">
        <v>2.003504109589041E-2</v>
      </c>
      <c r="Q16" s="27"/>
      <c r="R16" s="27"/>
    </row>
    <row r="17" spans="1:18" x14ac:dyDescent="0.25">
      <c r="A17" s="18">
        <v>44175</v>
      </c>
      <c r="B17" s="19">
        <v>-1.9699999999999999E-2</v>
      </c>
      <c r="C17" s="19">
        <v>-7.9000000000000008E-3</v>
      </c>
      <c r="D17" s="19">
        <v>2.3390000000000001E-2</v>
      </c>
      <c r="E17" s="19">
        <v>-7.9640821917808229E-3</v>
      </c>
      <c r="F17" s="19">
        <v>-1.9764082191780819E-2</v>
      </c>
      <c r="H17" s="53"/>
      <c r="I17" s="53" t="s">
        <v>182</v>
      </c>
      <c r="J17" s="53" t="s">
        <v>171</v>
      </c>
      <c r="K17" s="53" t="s">
        <v>183</v>
      </c>
      <c r="L17" s="53" t="s">
        <v>184</v>
      </c>
      <c r="M17" s="53" t="s">
        <v>185</v>
      </c>
      <c r="N17" s="53" t="s">
        <v>186</v>
      </c>
      <c r="O17" s="53" t="s">
        <v>187</v>
      </c>
      <c r="P17" s="53" t="s">
        <v>188</v>
      </c>
      <c r="Q17" s="27"/>
      <c r="R17" s="27"/>
    </row>
    <row r="18" spans="1:18" x14ac:dyDescent="0.25">
      <c r="A18" s="18">
        <v>44174</v>
      </c>
      <c r="B18" s="19">
        <v>0</v>
      </c>
      <c r="C18" s="19">
        <v>9.5999999999999992E-3</v>
      </c>
      <c r="D18" s="19">
        <v>2.392E-2</v>
      </c>
      <c r="E18" s="19">
        <v>9.5344657534246566E-3</v>
      </c>
      <c r="F18" s="19">
        <v>-6.553424657534246E-5</v>
      </c>
      <c r="H18" s="51" t="s">
        <v>189</v>
      </c>
      <c r="I18" s="51">
        <v>1.8845742914333182E-4</v>
      </c>
      <c r="J18" s="51">
        <v>4.7766632032028811E-4</v>
      </c>
      <c r="K18" s="51">
        <v>0.39453782091432793</v>
      </c>
      <c r="L18" s="51">
        <v>0.69325136733633141</v>
      </c>
      <c r="M18" s="51">
        <v>-7.4865946923209062E-4</v>
      </c>
      <c r="N18" s="51">
        <v>1.1255743275187542E-3</v>
      </c>
      <c r="O18" s="51">
        <v>-7.4865946923209062E-4</v>
      </c>
      <c r="P18" s="51">
        <v>1.1255743275187542E-3</v>
      </c>
      <c r="Q18" s="27"/>
      <c r="R18" s="27"/>
    </row>
    <row r="19" spans="1:18" ht="15.75" thickBot="1" x14ac:dyDescent="0.3">
      <c r="A19" s="18">
        <v>44173</v>
      </c>
      <c r="B19" s="19">
        <v>-2.3E-3</v>
      </c>
      <c r="C19" s="19">
        <v>-6.9999999999999999E-4</v>
      </c>
      <c r="D19" s="19">
        <v>2.385E-2</v>
      </c>
      <c r="E19" s="19">
        <v>-7.6534246575342467E-4</v>
      </c>
      <c r="F19" s="19">
        <v>-2.3653424657534244E-3</v>
      </c>
      <c r="H19" s="52" t="s">
        <v>190</v>
      </c>
      <c r="I19" s="52">
        <v>1.451121238147951</v>
      </c>
      <c r="J19" s="52">
        <v>4.4873135427008881E-2</v>
      </c>
      <c r="K19" s="52">
        <v>32.338307192916353</v>
      </c>
      <c r="L19" s="52">
        <v>3.5148337807935837E-167</v>
      </c>
      <c r="M19" s="52">
        <v>1.3630861984081966</v>
      </c>
      <c r="N19" s="52">
        <v>1.5391562778877055</v>
      </c>
      <c r="O19" s="52">
        <v>1.3630861984081966</v>
      </c>
      <c r="P19" s="52">
        <v>1.5391562778877055</v>
      </c>
      <c r="Q19" s="27"/>
      <c r="R19" s="27"/>
    </row>
    <row r="20" spans="1:18" x14ac:dyDescent="0.25">
      <c r="A20" s="18">
        <v>44172</v>
      </c>
      <c r="B20" s="19">
        <v>9.4000000000000004E-3</v>
      </c>
      <c r="C20" s="19">
        <v>8.3000000000000001E-3</v>
      </c>
      <c r="D20" s="19">
        <v>2.3609999999999999E-2</v>
      </c>
      <c r="E20" s="19">
        <v>8.2353150684931504E-3</v>
      </c>
      <c r="F20" s="19">
        <v>9.3353150684931507E-3</v>
      </c>
      <c r="Q20" s="27"/>
      <c r="R20" s="27"/>
    </row>
    <row r="21" spans="1:18" x14ac:dyDescent="0.25">
      <c r="A21" s="18">
        <v>44169</v>
      </c>
      <c r="B21" s="19">
        <v>1.18E-2</v>
      </c>
      <c r="C21" s="19">
        <v>1.6999999999999999E-3</v>
      </c>
      <c r="D21" s="19">
        <v>2.3789999999999999E-2</v>
      </c>
      <c r="E21" s="19">
        <v>1.634821917808219E-3</v>
      </c>
      <c r="F21" s="19">
        <v>1.1734821917808219E-2</v>
      </c>
      <c r="H21" s="25" t="s">
        <v>191</v>
      </c>
      <c r="I21" s="25" t="s">
        <v>249</v>
      </c>
      <c r="K21" s="5" t="s">
        <v>192</v>
      </c>
      <c r="L21" s="57" t="s">
        <v>249</v>
      </c>
      <c r="P21" s="27"/>
      <c r="Q21" s="27"/>
    </row>
    <row r="22" spans="1:18" x14ac:dyDescent="0.25">
      <c r="A22" s="18">
        <v>44168</v>
      </c>
      <c r="B22" s="19">
        <v>6.0000000000000001E-3</v>
      </c>
      <c r="C22" s="19">
        <v>5.4000000000000003E-3</v>
      </c>
      <c r="D22" s="19">
        <v>2.3939999999999999E-2</v>
      </c>
      <c r="E22" s="19">
        <v>5.3344109589041101E-3</v>
      </c>
      <c r="F22" s="19">
        <v>5.93441095890411E-3</v>
      </c>
      <c r="H22" t="s">
        <v>193</v>
      </c>
      <c r="I22" s="20">
        <f>D2</f>
        <v>2.4510000000000001E-2</v>
      </c>
      <c r="K22" t="s">
        <v>194</v>
      </c>
      <c r="L22" s="7">
        <f>-'BS and IS'!N10</f>
        <v>101.218192497</v>
      </c>
      <c r="P22" s="27"/>
      <c r="Q22" s="27"/>
    </row>
    <row r="23" spans="1:18" x14ac:dyDescent="0.25">
      <c r="A23" s="18">
        <v>44167</v>
      </c>
      <c r="B23" s="19">
        <v>6.0000000000000001E-3</v>
      </c>
      <c r="C23" s="19">
        <v>5.4000000000000003E-3</v>
      </c>
      <c r="D23" s="19">
        <v>2.4199999999999999E-2</v>
      </c>
      <c r="E23" s="19">
        <v>5.3336986301369864E-3</v>
      </c>
      <c r="F23" s="19">
        <v>5.9336986301369863E-3</v>
      </c>
      <c r="H23" t="s">
        <v>195</v>
      </c>
      <c r="I23" s="56">
        <f>AVERAGE(Capm_data[%Change in VNIndex])*252-AVERAGE(Capm_data[Rate of return of Bond 10-year])</f>
        <v>9.5775755395683379E-2</v>
      </c>
      <c r="K23" t="s">
        <v>196</v>
      </c>
      <c r="L23" s="7">
        <f>M28</f>
        <v>1017.47</v>
      </c>
      <c r="N23" s="27"/>
      <c r="O23" s="27"/>
      <c r="P23" s="27"/>
      <c r="Q23" s="27"/>
    </row>
    <row r="24" spans="1:18" x14ac:dyDescent="0.25">
      <c r="A24" s="18">
        <v>44166</v>
      </c>
      <c r="B24" s="19">
        <v>0</v>
      </c>
      <c r="C24" s="19">
        <v>5.7999999999999996E-3</v>
      </c>
      <c r="D24" s="19">
        <v>2.4199999999999999E-2</v>
      </c>
      <c r="E24" s="19">
        <v>5.7336986301369857E-3</v>
      </c>
      <c r="F24" s="19">
        <v>-6.6301369863013698E-5</v>
      </c>
      <c r="H24" t="s">
        <v>197</v>
      </c>
      <c r="I24" s="21">
        <f>I19</f>
        <v>1.451121238147951</v>
      </c>
      <c r="K24" t="s">
        <v>192</v>
      </c>
      <c r="L24" s="14">
        <f>L22/L23</f>
        <v>9.9480272142667595E-2</v>
      </c>
      <c r="N24" s="27"/>
      <c r="O24" s="27"/>
      <c r="P24" s="27"/>
      <c r="Q24" s="27"/>
    </row>
    <row r="25" spans="1:18" x14ac:dyDescent="0.25">
      <c r="A25" s="18">
        <v>44165</v>
      </c>
      <c r="B25" s="19">
        <v>0</v>
      </c>
      <c r="C25" s="19">
        <v>-7.1000000000000004E-3</v>
      </c>
      <c r="D25" s="19">
        <v>2.4209999999999999E-2</v>
      </c>
      <c r="E25" s="19">
        <v>-7.1663287671232881E-3</v>
      </c>
      <c r="F25" s="19">
        <v>-6.6328767123287669E-5</v>
      </c>
      <c r="H25" t="s">
        <v>198</v>
      </c>
      <c r="I25" s="20">
        <f>I22+I23*I24</f>
        <v>0.16349223275433936</v>
      </c>
      <c r="K25" t="s">
        <v>199</v>
      </c>
      <c r="L25" s="14">
        <f>L24*(1-'BS and IS'!N21/'BS and IS'!N18)</f>
        <v>0.11948260729786073</v>
      </c>
      <c r="N25" s="27"/>
      <c r="O25" s="27"/>
      <c r="P25" s="27"/>
      <c r="Q25" s="27"/>
    </row>
    <row r="26" spans="1:18" x14ac:dyDescent="0.25">
      <c r="A26" s="18">
        <v>44162</v>
      </c>
      <c r="B26" s="19">
        <v>2.3999999999999998E-3</v>
      </c>
      <c r="C26" s="19">
        <v>4.1999999999999997E-3</v>
      </c>
      <c r="D26" s="19">
        <v>2.4340000000000001E-2</v>
      </c>
      <c r="E26" s="19">
        <v>4.1333150684931506E-3</v>
      </c>
      <c r="F26" s="19">
        <v>2.3333150684931503E-3</v>
      </c>
      <c r="O26" s="27"/>
      <c r="P26" s="27"/>
      <c r="Q26" s="27"/>
      <c r="R26" s="27"/>
    </row>
    <row r="27" spans="1:18" x14ac:dyDescent="0.25">
      <c r="A27" s="18">
        <v>44161</v>
      </c>
      <c r="B27" s="19">
        <v>7.3000000000000001E-3</v>
      </c>
      <c r="C27" s="19">
        <v>6.0000000000000001E-3</v>
      </c>
      <c r="D27" s="19">
        <v>2.3800000000000002E-2</v>
      </c>
      <c r="E27" s="19">
        <v>5.9347945205479452E-3</v>
      </c>
      <c r="F27" s="19">
        <v>7.2347945205479451E-3</v>
      </c>
      <c r="H27" s="5" t="s">
        <v>200</v>
      </c>
      <c r="I27" s="5" t="s">
        <v>1</v>
      </c>
      <c r="J27" s="5" t="s">
        <v>2</v>
      </c>
      <c r="K27" s="5" t="s">
        <v>3</v>
      </c>
      <c r="L27" s="5" t="s">
        <v>4</v>
      </c>
      <c r="M27" s="5" t="s">
        <v>5</v>
      </c>
      <c r="N27" s="5" t="s">
        <v>155</v>
      </c>
      <c r="O27" s="27"/>
      <c r="P27" s="27"/>
      <c r="Q27" s="27"/>
      <c r="R27" s="27"/>
    </row>
    <row r="28" spans="1:18" x14ac:dyDescent="0.25">
      <c r="A28" s="18">
        <v>44160</v>
      </c>
      <c r="B28" s="19">
        <v>2.3999999999999998E-3</v>
      </c>
      <c r="C28" s="19">
        <v>4.1999999999999997E-3</v>
      </c>
      <c r="D28" s="19">
        <v>2.4930000000000001E-2</v>
      </c>
      <c r="E28" s="19">
        <v>4.1316986301369856E-3</v>
      </c>
      <c r="F28" s="19">
        <v>2.3316986301369861E-3</v>
      </c>
      <c r="H28" t="s">
        <v>201</v>
      </c>
      <c r="I28" s="7">
        <f>'BS and IS'!B49+'BS and IS'!B55</f>
        <v>7546.2142559549993</v>
      </c>
      <c r="J28" s="7">
        <f>'BS and IS'!C49</f>
        <v>1737.699131097</v>
      </c>
      <c r="K28" s="7">
        <f>'BS and IS'!D49</f>
        <v>1489.867272234</v>
      </c>
      <c r="L28" s="7">
        <f>'BS and IS'!E49</f>
        <v>1340.5678501259999</v>
      </c>
      <c r="M28" s="7">
        <f>'BS and IS'!F49</f>
        <v>1017.47</v>
      </c>
      <c r="O28" s="27"/>
      <c r="P28" s="27"/>
      <c r="Q28" s="27"/>
      <c r="R28" s="27"/>
    </row>
    <row r="29" spans="1:18" x14ac:dyDescent="0.25">
      <c r="A29" s="18">
        <v>44159</v>
      </c>
      <c r="B29" s="19">
        <v>-1.2E-2</v>
      </c>
      <c r="C29" s="19">
        <v>1.6000000000000001E-3</v>
      </c>
      <c r="D29" s="19">
        <v>2.5139999999999999E-2</v>
      </c>
      <c r="E29" s="19">
        <v>1.5311232876712329E-3</v>
      </c>
      <c r="F29" s="19">
        <v>-1.2068876712328768E-2</v>
      </c>
      <c r="H29" t="s">
        <v>202</v>
      </c>
      <c r="I29" s="7">
        <f>'BS and IS'!B59</f>
        <v>40843.847878227003</v>
      </c>
      <c r="J29" s="7">
        <f>'BS and IS'!C59</f>
        <v>43271.508764810998</v>
      </c>
      <c r="K29" s="7">
        <f>'BS and IS'!D59</f>
        <v>46867.125112613998</v>
      </c>
      <c r="L29" s="7">
        <f>'BS and IS'!E59</f>
        <v>49614.531357631</v>
      </c>
      <c r="M29" s="7">
        <f>'BS and IS'!F59</f>
        <v>49499.680985453997</v>
      </c>
      <c r="O29" s="27"/>
      <c r="P29" s="27"/>
      <c r="Q29" s="27"/>
      <c r="R29" s="27"/>
    </row>
    <row r="30" spans="1:18" x14ac:dyDescent="0.25">
      <c r="A30" s="18">
        <v>44158</v>
      </c>
      <c r="B30" s="19">
        <v>2.0799999999999999E-2</v>
      </c>
      <c r="C30" s="19">
        <v>4.1999999999999997E-3</v>
      </c>
      <c r="D30" s="19">
        <v>2.53E-2</v>
      </c>
      <c r="E30" s="19">
        <v>4.130684931506849E-3</v>
      </c>
      <c r="F30" s="19">
        <v>2.073068493150685E-2</v>
      </c>
      <c r="H30" t="s">
        <v>203</v>
      </c>
      <c r="I30" s="7">
        <f>I28+I29</f>
        <v>48390.062134182001</v>
      </c>
      <c r="J30" s="7">
        <f>J28+J29</f>
        <v>45009.207895907995</v>
      </c>
      <c r="K30" s="7">
        <f>K28+K29</f>
        <v>48356.992384847996</v>
      </c>
      <c r="L30" s="7">
        <f>L28+L29</f>
        <v>50955.099207756997</v>
      </c>
      <c r="M30" s="7">
        <f>M28+M29</f>
        <v>50517.150985453998</v>
      </c>
      <c r="O30" s="27"/>
      <c r="P30" s="27"/>
      <c r="Q30" s="27"/>
      <c r="R30" s="27"/>
    </row>
    <row r="31" spans="1:18" x14ac:dyDescent="0.25">
      <c r="A31" s="18">
        <v>44155</v>
      </c>
      <c r="B31" s="19">
        <v>-3.7000000000000002E-3</v>
      </c>
      <c r="C31" s="19">
        <v>6.8999999999999999E-3</v>
      </c>
      <c r="D31" s="19">
        <v>2.5360000000000001E-2</v>
      </c>
      <c r="E31" s="19">
        <v>6.8305205479452053E-3</v>
      </c>
      <c r="F31" s="19">
        <v>-3.7694794520547947E-3</v>
      </c>
      <c r="H31" t="s">
        <v>204</v>
      </c>
      <c r="I31" s="19">
        <f>I28/I30</f>
        <v>0.15594553764014427</v>
      </c>
      <c r="J31" s="19">
        <f>J28/J30</f>
        <v>3.8607636355559652E-2</v>
      </c>
      <c r="K31" s="19">
        <f>K28/K30</f>
        <v>3.0809758811650774E-2</v>
      </c>
      <c r="L31" s="19">
        <f>L28/L30</f>
        <v>2.6308806595786643E-2</v>
      </c>
      <c r="M31" s="19">
        <f>M28/M30</f>
        <v>2.0141080408374024E-2</v>
      </c>
      <c r="N31" s="19">
        <f>AVERAGE(I31:M31)</f>
        <v>5.436256396230308E-2</v>
      </c>
      <c r="O31" s="27"/>
      <c r="P31" s="27"/>
      <c r="Q31" s="27"/>
      <c r="R31" s="27"/>
    </row>
    <row r="32" spans="1:18" x14ac:dyDescent="0.25">
      <c r="A32" s="18">
        <v>44154</v>
      </c>
      <c r="B32" s="19">
        <v>2.63E-2</v>
      </c>
      <c r="C32" s="19">
        <v>0.01</v>
      </c>
      <c r="D32" s="19">
        <v>2.5420000000000002E-2</v>
      </c>
      <c r="E32" s="19">
        <v>9.9303561643835619E-3</v>
      </c>
      <c r="F32" s="19">
        <v>2.6230356164383562E-2</v>
      </c>
      <c r="H32" t="s">
        <v>205</v>
      </c>
      <c r="I32" s="19">
        <f>I29/I30</f>
        <v>0.84405446235985582</v>
      </c>
      <c r="J32" s="19">
        <f>J29/J30</f>
        <v>0.96139236364444036</v>
      </c>
      <c r="K32" s="19">
        <f>K29/K30</f>
        <v>0.96919024118834929</v>
      </c>
      <c r="L32" s="19">
        <f>L29/L30</f>
        <v>0.9736911934042134</v>
      </c>
      <c r="M32" s="19">
        <f>M29/M30</f>
        <v>0.97985891959162597</v>
      </c>
      <c r="N32" s="20">
        <f>AVERAGE(I32:M32)</f>
        <v>0.9456374360376969</v>
      </c>
      <c r="O32" s="27"/>
      <c r="P32" s="27"/>
      <c r="Q32" s="27"/>
      <c r="R32" s="27"/>
    </row>
    <row r="33" spans="1:18" ht="15.75" thickBot="1" x14ac:dyDescent="0.3">
      <c r="A33" s="18">
        <v>44153</v>
      </c>
      <c r="B33" s="19">
        <v>5.96E-2</v>
      </c>
      <c r="C33" s="19">
        <v>4.7999999999999996E-3</v>
      </c>
      <c r="D33" s="19">
        <v>2.538E-2</v>
      </c>
      <c r="E33" s="19">
        <v>4.7304657534246574E-3</v>
      </c>
      <c r="F33" s="19">
        <v>5.9530465753424661E-2</v>
      </c>
      <c r="O33" s="27"/>
      <c r="P33" s="27"/>
      <c r="Q33" s="27"/>
      <c r="R33" s="27"/>
    </row>
    <row r="34" spans="1:18" ht="18" thickBot="1" x14ac:dyDescent="0.35">
      <c r="A34" s="18">
        <v>44152</v>
      </c>
      <c r="B34" s="19">
        <v>4.1399999999999999E-2</v>
      </c>
      <c r="C34" s="19">
        <v>1.9E-2</v>
      </c>
      <c r="D34" s="19">
        <v>2.5680000000000001E-2</v>
      </c>
      <c r="E34" s="19">
        <v>1.8929643835616437E-2</v>
      </c>
      <c r="F34" s="19">
        <v>4.1329643835616436E-2</v>
      </c>
      <c r="H34" s="58" t="s">
        <v>206</v>
      </c>
      <c r="I34" s="59">
        <f>N31*L25+N32*I25</f>
        <v>0.16109975667550452</v>
      </c>
      <c r="O34" s="27"/>
      <c r="P34" s="27"/>
      <c r="Q34" s="27"/>
      <c r="R34" s="27"/>
    </row>
    <row r="35" spans="1:18" x14ac:dyDescent="0.25">
      <c r="A35" s="18">
        <v>44151</v>
      </c>
      <c r="B35" s="19">
        <v>-1.3599999999999999E-2</v>
      </c>
      <c r="C35" s="19">
        <v>-1.6E-2</v>
      </c>
      <c r="D35" s="19">
        <v>2.564E-2</v>
      </c>
      <c r="E35" s="19">
        <v>-1.6070246575342464E-2</v>
      </c>
      <c r="F35" s="19">
        <v>-1.3670246575342465E-2</v>
      </c>
      <c r="H35" s="55"/>
      <c r="I35" s="55"/>
      <c r="J35" s="55"/>
      <c r="K35" s="55"/>
      <c r="L35" s="55"/>
      <c r="M35" s="55"/>
      <c r="N35" s="55"/>
      <c r="O35" s="55"/>
      <c r="P35" s="55"/>
      <c r="Q35" s="27"/>
      <c r="R35" s="27"/>
    </row>
    <row r="36" spans="1:18" x14ac:dyDescent="0.25">
      <c r="A36" s="18">
        <v>44148</v>
      </c>
      <c r="B36" s="19">
        <v>1.4E-3</v>
      </c>
      <c r="C36" s="19">
        <v>7.3000000000000001E-3</v>
      </c>
      <c r="D36" s="19">
        <v>2.5760000000000002E-2</v>
      </c>
      <c r="E36" s="19">
        <v>7.2294246575342466E-3</v>
      </c>
      <c r="F36" s="19">
        <v>1.3294246575342465E-3</v>
      </c>
      <c r="H36" s="51"/>
      <c r="J36" s="51"/>
      <c r="K36" s="51"/>
      <c r="L36" s="51"/>
      <c r="M36" s="51"/>
      <c r="N36" s="51"/>
      <c r="O36" s="51"/>
      <c r="P36" s="51"/>
      <c r="Q36" s="27"/>
      <c r="R36" s="27"/>
    </row>
    <row r="37" spans="1:18" x14ac:dyDescent="0.25">
      <c r="A37" s="18">
        <v>44147</v>
      </c>
      <c r="B37" s="19">
        <v>2.7000000000000001E-3</v>
      </c>
      <c r="C37" s="19">
        <v>7.4000000000000003E-3</v>
      </c>
      <c r="D37" s="19">
        <v>2.5700000000000001E-2</v>
      </c>
      <c r="E37" s="19">
        <v>7.3295890410958906E-3</v>
      </c>
      <c r="F37" s="19">
        <v>2.6295890410958905E-3</v>
      </c>
      <c r="H37" s="51"/>
      <c r="I37" s="51"/>
      <c r="J37" s="51"/>
      <c r="K37" s="51"/>
      <c r="L37" s="51"/>
      <c r="M37" s="51"/>
      <c r="N37" s="51"/>
      <c r="O37" s="51"/>
      <c r="P37" s="51"/>
      <c r="Q37" s="27"/>
      <c r="R37" s="27"/>
    </row>
    <row r="38" spans="1:18" x14ac:dyDescent="0.25">
      <c r="A38" s="18">
        <v>44146</v>
      </c>
      <c r="B38" s="19">
        <v>1.3899999999999999E-2</v>
      </c>
      <c r="C38" s="19">
        <v>2.9999999999999997E-4</v>
      </c>
      <c r="D38" s="19">
        <v>2.554E-2</v>
      </c>
      <c r="E38" s="19">
        <v>2.3002739726027394E-4</v>
      </c>
      <c r="F38" s="19">
        <v>1.3830027397260273E-2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x14ac:dyDescent="0.25">
      <c r="A39" s="18">
        <v>44145</v>
      </c>
      <c r="B39" s="19">
        <v>1.12E-2</v>
      </c>
      <c r="C39" s="19">
        <v>-1E-4</v>
      </c>
      <c r="D39" s="19">
        <v>2.5770000000000001E-2</v>
      </c>
      <c r="E39" s="19">
        <v>-1.706027397260274E-4</v>
      </c>
      <c r="F39" s="19">
        <v>1.1129397260273972E-2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x14ac:dyDescent="0.25">
      <c r="A40" s="18">
        <v>44144</v>
      </c>
      <c r="B40" s="19">
        <v>8.5000000000000006E-3</v>
      </c>
      <c r="C40" s="19">
        <v>1.46E-2</v>
      </c>
      <c r="D40" s="19">
        <v>2.589E-2</v>
      </c>
      <c r="E40" s="19">
        <v>1.4529068493150684E-2</v>
      </c>
      <c r="F40" s="19">
        <v>8.4290684931506848E-3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x14ac:dyDescent="0.25">
      <c r="A41" s="18">
        <v>44141</v>
      </c>
      <c r="B41" s="19">
        <v>-9.7999999999999997E-3</v>
      </c>
      <c r="C41" s="19">
        <v>5.9999999999999995E-4</v>
      </c>
      <c r="D41" s="19">
        <v>2.5749999999999999E-2</v>
      </c>
      <c r="E41" s="19">
        <v>5.2945205479452051E-4</v>
      </c>
      <c r="F41" s="19">
        <v>-9.8705479452054785E-3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x14ac:dyDescent="0.25">
      <c r="A42" s="18">
        <v>44140</v>
      </c>
      <c r="B42" s="19">
        <v>-5.5999999999999999E-3</v>
      </c>
      <c r="C42" s="19">
        <v>-2.0999999999999999E-3</v>
      </c>
      <c r="D42" s="19">
        <v>2.5569999999999999E-2</v>
      </c>
      <c r="E42" s="19">
        <v>-2.1700547945205477E-3</v>
      </c>
      <c r="F42" s="19">
        <v>-5.6700547945205482E-3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x14ac:dyDescent="0.25">
      <c r="A43" s="18">
        <v>44139</v>
      </c>
      <c r="B43" s="19">
        <v>2.4199999999999999E-2</v>
      </c>
      <c r="C43" s="19">
        <v>4.7000000000000002E-3</v>
      </c>
      <c r="D43" s="19">
        <v>2.5919999999999999E-2</v>
      </c>
      <c r="E43" s="19">
        <v>4.628986301369863E-3</v>
      </c>
      <c r="F43" s="19">
        <v>2.4128986301369861E-2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 x14ac:dyDescent="0.25">
      <c r="A44" s="18">
        <v>44138</v>
      </c>
      <c r="B44" s="19">
        <v>7.1999999999999998E-3</v>
      </c>
      <c r="C44" s="19">
        <v>1.9E-3</v>
      </c>
      <c r="D44" s="19">
        <v>2.5919999999999999E-2</v>
      </c>
      <c r="E44" s="19">
        <v>1.828986301369863E-3</v>
      </c>
      <c r="F44" s="19">
        <v>7.1289863013698626E-3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x14ac:dyDescent="0.25">
      <c r="A45" s="18">
        <v>44137</v>
      </c>
      <c r="B45" s="19">
        <v>-9.9000000000000008E-3</v>
      </c>
      <c r="C45" s="19">
        <v>8.8999999999999999E-3</v>
      </c>
      <c r="D45" s="19">
        <v>2.5999999999999999E-2</v>
      </c>
      <c r="E45" s="19">
        <v>8.8287671232876713E-3</v>
      </c>
      <c r="F45" s="19">
        <v>-9.9712328767123295E-3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x14ac:dyDescent="0.25">
      <c r="A46" s="18">
        <v>44134</v>
      </c>
      <c r="B46" s="19">
        <v>-8.5000000000000006E-3</v>
      </c>
      <c r="C46" s="19">
        <v>7.0000000000000001E-3</v>
      </c>
      <c r="D46" s="19">
        <v>2.5739999999999999E-2</v>
      </c>
      <c r="E46" s="19">
        <v>6.9294794520547943E-3</v>
      </c>
      <c r="F46" s="19">
        <v>-8.5705205479452064E-3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1:18" x14ac:dyDescent="0.25">
      <c r="A47" s="18">
        <v>44133</v>
      </c>
      <c r="B47" s="19">
        <v>-1.2500000000000001E-2</v>
      </c>
      <c r="C47" s="19">
        <v>-2.0999999999999999E-3</v>
      </c>
      <c r="D47" s="19">
        <v>2.6040000000000001E-2</v>
      </c>
      <c r="E47" s="19">
        <v>-2.1713424657534247E-3</v>
      </c>
      <c r="F47" s="19">
        <v>-1.2571342465753425E-2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25">
      <c r="A48" s="18">
        <v>44132</v>
      </c>
      <c r="B48" s="19">
        <v>-1.4E-3</v>
      </c>
      <c r="C48" s="19">
        <v>-2.69E-2</v>
      </c>
      <c r="D48" s="19">
        <v>2.5690000000000001E-2</v>
      </c>
      <c r="E48" s="19">
        <v>-2.6970383561643836E-2</v>
      </c>
      <c r="F48" s="19">
        <v>-1.4703835616438356E-3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1:18" x14ac:dyDescent="0.25">
      <c r="A49" s="18">
        <v>44131</v>
      </c>
      <c r="B49" s="19">
        <v>0</v>
      </c>
      <c r="C49" s="19">
        <v>-4.5999999999999999E-3</v>
      </c>
      <c r="D49" s="19">
        <v>2.546E-2</v>
      </c>
      <c r="E49" s="19">
        <v>-4.6697534246575344E-3</v>
      </c>
      <c r="F49" s="19">
        <v>-6.9753424657534243E-5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1:18" x14ac:dyDescent="0.25">
      <c r="A50" s="18">
        <v>44130</v>
      </c>
      <c r="B50" s="19">
        <v>-2.0400000000000001E-2</v>
      </c>
      <c r="C50" s="19">
        <v>-1.09E-2</v>
      </c>
      <c r="D50" s="19">
        <v>2.5510000000000001E-2</v>
      </c>
      <c r="E50" s="19">
        <v>-1.0969890410958904E-2</v>
      </c>
      <c r="F50" s="19">
        <v>-2.0469890410958907E-2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25">
      <c r="A51" s="18">
        <v>44127</v>
      </c>
      <c r="B51" s="19">
        <v>-2.7000000000000001E-3</v>
      </c>
      <c r="C51" s="19">
        <v>1.2E-2</v>
      </c>
      <c r="D51" s="19">
        <v>2.5530000000000001E-2</v>
      </c>
      <c r="E51" s="19">
        <v>1.1930054794520549E-2</v>
      </c>
      <c r="F51" s="19">
        <v>-2.7699452054794522E-3</v>
      </c>
    </row>
    <row r="52" spans="1:18" x14ac:dyDescent="0.25">
      <c r="A52" s="18">
        <v>44126</v>
      </c>
      <c r="B52" s="19">
        <v>1.9400000000000001E-2</v>
      </c>
      <c r="C52" s="19">
        <v>1.1599999999999999E-2</v>
      </c>
      <c r="D52" s="19">
        <v>2.563E-2</v>
      </c>
      <c r="E52" s="19">
        <v>1.1529780821917808E-2</v>
      </c>
      <c r="F52" s="19">
        <v>1.9329780821917809E-2</v>
      </c>
    </row>
    <row r="53" spans="1:18" x14ac:dyDescent="0.25">
      <c r="A53" s="18">
        <v>44125</v>
      </c>
      <c r="B53" s="19">
        <v>-4.1000000000000003E-3</v>
      </c>
      <c r="C53" s="19">
        <v>-5.7000000000000002E-3</v>
      </c>
      <c r="D53" s="19">
        <v>2.5610000000000001E-2</v>
      </c>
      <c r="E53" s="19">
        <v>-5.7701643835616438E-3</v>
      </c>
      <c r="F53" s="19">
        <v>-4.1701643835616439E-3</v>
      </c>
    </row>
    <row r="54" spans="1:18" x14ac:dyDescent="0.25">
      <c r="A54" s="18">
        <v>44124</v>
      </c>
      <c r="B54" s="19">
        <v>-1.89E-2</v>
      </c>
      <c r="C54" s="19">
        <v>8.0000000000000004E-4</v>
      </c>
      <c r="D54" s="19">
        <v>2.5399999999999999E-2</v>
      </c>
      <c r="E54" s="19">
        <v>7.3041095890410968E-4</v>
      </c>
      <c r="F54" s="19">
        <v>-1.8969589041095889E-2</v>
      </c>
    </row>
    <row r="55" spans="1:18" x14ac:dyDescent="0.25">
      <c r="A55" s="18">
        <v>44123</v>
      </c>
      <c r="B55" s="19">
        <v>-1.8599999999999998E-2</v>
      </c>
      <c r="C55" s="19">
        <v>4.0000000000000002E-4</v>
      </c>
      <c r="D55" s="19">
        <v>2.5669999999999998E-2</v>
      </c>
      <c r="E55" s="19">
        <v>3.2967123287671235E-4</v>
      </c>
      <c r="F55" s="19">
        <v>-1.8670328767123285E-2</v>
      </c>
    </row>
    <row r="56" spans="1:18" x14ac:dyDescent="0.25">
      <c r="A56" s="18">
        <v>44120</v>
      </c>
      <c r="B56" s="19">
        <v>5.3E-3</v>
      </c>
      <c r="C56" s="19">
        <v>5.9999999999999995E-4</v>
      </c>
      <c r="D56" s="19">
        <v>2.5489999999999999E-2</v>
      </c>
      <c r="E56" s="19">
        <v>5.3016438356164378E-4</v>
      </c>
      <c r="F56" s="19">
        <v>5.2301643835616441E-3</v>
      </c>
    </row>
    <row r="57" spans="1:18" x14ac:dyDescent="0.25">
      <c r="A57" s="18">
        <v>44119</v>
      </c>
      <c r="B57" s="19">
        <v>-2.7000000000000001E-3</v>
      </c>
      <c r="C57" s="19">
        <v>2.7000000000000001E-3</v>
      </c>
      <c r="D57" s="19">
        <v>2.5389999999999999E-2</v>
      </c>
      <c r="E57" s="19">
        <v>2.6304383561643837E-3</v>
      </c>
      <c r="F57" s="19">
        <v>-2.7695616438356166E-3</v>
      </c>
    </row>
    <row r="58" spans="1:18" x14ac:dyDescent="0.25">
      <c r="A58" s="18">
        <v>44118</v>
      </c>
      <c r="B58" s="19">
        <v>2.7000000000000001E-3</v>
      </c>
      <c r="C58" s="19">
        <v>1.11E-2</v>
      </c>
      <c r="D58" s="19">
        <v>2.5409999999999999E-2</v>
      </c>
      <c r="E58" s="19">
        <v>1.1030383561643837E-2</v>
      </c>
      <c r="F58" s="19">
        <v>2.6303835616438356E-3</v>
      </c>
    </row>
    <row r="59" spans="1:18" x14ac:dyDescent="0.25">
      <c r="A59" s="18">
        <v>44117</v>
      </c>
      <c r="B59" s="19">
        <v>0</v>
      </c>
      <c r="C59" s="19">
        <v>4.4000000000000003E-3</v>
      </c>
      <c r="D59" s="19">
        <v>2.545E-2</v>
      </c>
      <c r="E59" s="19">
        <v>4.3302739726027396E-3</v>
      </c>
      <c r="F59" s="19">
        <v>-6.9726027397260272E-5</v>
      </c>
    </row>
    <row r="60" spans="1:18" x14ac:dyDescent="0.25">
      <c r="A60" s="18">
        <v>44116</v>
      </c>
      <c r="B60" s="19">
        <v>9.4000000000000004E-3</v>
      </c>
      <c r="C60" s="19">
        <v>2E-3</v>
      </c>
      <c r="D60" s="19">
        <v>2.5389999999999999E-2</v>
      </c>
      <c r="E60" s="19">
        <v>1.9304383561643836E-3</v>
      </c>
      <c r="F60" s="19">
        <v>9.3304383561643844E-3</v>
      </c>
    </row>
    <row r="61" spans="1:18" x14ac:dyDescent="0.25">
      <c r="A61" s="18">
        <v>44113</v>
      </c>
      <c r="B61" s="19">
        <v>-4.0000000000000001E-3</v>
      </c>
      <c r="C61" s="19">
        <v>5.5999999999999999E-3</v>
      </c>
      <c r="D61" s="19">
        <v>2.529E-2</v>
      </c>
      <c r="E61" s="19">
        <v>5.530712328767123E-3</v>
      </c>
      <c r="F61" s="19">
        <v>-4.069287671232877E-3</v>
      </c>
    </row>
    <row r="62" spans="1:18" x14ac:dyDescent="0.25">
      <c r="A62" s="18">
        <v>44112</v>
      </c>
      <c r="B62" s="19">
        <v>6.7000000000000002E-3</v>
      </c>
      <c r="C62" s="19">
        <v>-1E-3</v>
      </c>
      <c r="D62" s="19">
        <v>2.5000000000000001E-2</v>
      </c>
      <c r="E62" s="19">
        <v>-1.0684931506849315E-3</v>
      </c>
      <c r="F62" s="19">
        <v>6.6315068493150685E-3</v>
      </c>
    </row>
    <row r="63" spans="1:18" x14ac:dyDescent="0.25">
      <c r="A63" s="18">
        <v>44111</v>
      </c>
      <c r="B63" s="19">
        <v>2.2100000000000002E-2</v>
      </c>
      <c r="C63" s="19">
        <v>4.4000000000000003E-3</v>
      </c>
      <c r="D63" s="19">
        <v>2.5020000000000001E-2</v>
      </c>
      <c r="E63" s="19">
        <v>4.3314520547945209E-3</v>
      </c>
      <c r="F63" s="19">
        <v>2.2031452054794523E-2</v>
      </c>
    </row>
    <row r="64" spans="1:18" x14ac:dyDescent="0.25">
      <c r="A64" s="18">
        <v>44110</v>
      </c>
      <c r="B64" s="19">
        <v>0</v>
      </c>
      <c r="C64" s="19">
        <v>1.1000000000000001E-3</v>
      </c>
      <c r="D64" s="19">
        <v>2.5170000000000001E-2</v>
      </c>
      <c r="E64" s="19">
        <v>1.031041095890411E-3</v>
      </c>
      <c r="F64" s="19">
        <v>-6.8958904109589047E-5</v>
      </c>
    </row>
    <row r="65" spans="1:6" x14ac:dyDescent="0.25">
      <c r="A65" s="18">
        <v>44109</v>
      </c>
      <c r="B65" s="19">
        <v>8.3000000000000001E-3</v>
      </c>
      <c r="C65" s="19">
        <v>5.1999999999999998E-3</v>
      </c>
      <c r="D65" s="19">
        <v>2.4879999999999999E-2</v>
      </c>
      <c r="E65" s="19">
        <v>5.1318356164383556E-3</v>
      </c>
      <c r="F65" s="19">
        <v>8.2318356164383568E-3</v>
      </c>
    </row>
    <row r="66" spans="1:6" x14ac:dyDescent="0.25">
      <c r="A66" s="18">
        <v>44106</v>
      </c>
      <c r="B66" s="19">
        <v>-6.8999999999999999E-3</v>
      </c>
      <c r="C66" s="19">
        <v>-4.5999999999999999E-3</v>
      </c>
      <c r="D66" s="19">
        <v>2.4580000000000001E-2</v>
      </c>
      <c r="E66" s="19">
        <v>-4.6673424657534242E-3</v>
      </c>
      <c r="F66" s="19">
        <v>-6.9673424657534242E-3</v>
      </c>
    </row>
    <row r="67" spans="1:6" x14ac:dyDescent="0.25">
      <c r="A67" s="18">
        <v>44105</v>
      </c>
      <c r="B67" s="19">
        <v>1.54E-2</v>
      </c>
      <c r="C67" s="19">
        <v>9.7999999999999997E-3</v>
      </c>
      <c r="D67" s="19">
        <v>2.5260000000000001E-2</v>
      </c>
      <c r="E67" s="19">
        <v>9.7307945205479442E-3</v>
      </c>
      <c r="F67" s="19">
        <v>1.5330794520547945E-2</v>
      </c>
    </row>
    <row r="68" spans="1:6" x14ac:dyDescent="0.25">
      <c r="A68" s="18">
        <v>44104</v>
      </c>
      <c r="B68" s="19">
        <v>-2.8E-3</v>
      </c>
      <c r="C68" s="19">
        <v>1.4E-3</v>
      </c>
      <c r="D68" s="19">
        <v>2.743E-2</v>
      </c>
      <c r="E68" s="19">
        <v>1.3248493150684931E-3</v>
      </c>
      <c r="F68" s="19">
        <v>-2.8751506849315068E-3</v>
      </c>
    </row>
    <row r="69" spans="1:6" x14ac:dyDescent="0.25">
      <c r="A69" s="18">
        <v>44103</v>
      </c>
      <c r="B69" s="19">
        <v>-9.7000000000000003E-3</v>
      </c>
      <c r="C69" s="19">
        <v>-9.2999999999999992E-3</v>
      </c>
      <c r="D69" s="19">
        <v>2.7560000000000001E-2</v>
      </c>
      <c r="E69" s="19">
        <v>-9.3755068493150684E-3</v>
      </c>
      <c r="F69" s="19">
        <v>-9.7755068493150694E-3</v>
      </c>
    </row>
    <row r="70" spans="1:6" x14ac:dyDescent="0.25">
      <c r="A70" s="18">
        <v>44102</v>
      </c>
      <c r="B70" s="19">
        <v>-1.23E-2</v>
      </c>
      <c r="C70" s="19">
        <v>4.7000000000000002E-3</v>
      </c>
      <c r="D70" s="19">
        <v>2.767E-2</v>
      </c>
      <c r="E70" s="19">
        <v>4.6241917808219181E-3</v>
      </c>
      <c r="F70" s="19">
        <v>-1.2375808219178082E-2</v>
      </c>
    </row>
    <row r="71" spans="1:6" x14ac:dyDescent="0.25">
      <c r="A71" s="18">
        <v>44099</v>
      </c>
      <c r="B71" s="19">
        <v>-5.4000000000000003E-3</v>
      </c>
      <c r="C71" s="19">
        <v>-2.9999999999999997E-4</v>
      </c>
      <c r="D71" s="19">
        <v>2.7709999999999999E-2</v>
      </c>
      <c r="E71" s="19">
        <v>-3.7591780821917802E-4</v>
      </c>
      <c r="F71" s="19">
        <v>-5.4759178082191785E-3</v>
      </c>
    </row>
    <row r="72" spans="1:6" x14ac:dyDescent="0.25">
      <c r="A72" s="18">
        <v>44098</v>
      </c>
      <c r="B72" s="19">
        <v>1.0999999999999999E-2</v>
      </c>
      <c r="C72" s="19">
        <v>-4.3E-3</v>
      </c>
      <c r="D72" s="19">
        <v>2.793E-2</v>
      </c>
      <c r="E72" s="19">
        <v>-4.3765205479452058E-3</v>
      </c>
      <c r="F72" s="19">
        <v>1.0923479452054794E-2</v>
      </c>
    </row>
    <row r="73" spans="1:6" x14ac:dyDescent="0.25">
      <c r="A73" s="18">
        <v>44097</v>
      </c>
      <c r="B73" s="19">
        <v>1.11E-2</v>
      </c>
      <c r="C73" s="19">
        <v>7.0000000000000001E-3</v>
      </c>
      <c r="D73" s="19">
        <v>2.775E-2</v>
      </c>
      <c r="E73" s="19">
        <v>6.9239726027397258E-3</v>
      </c>
      <c r="F73" s="19">
        <v>1.1023972602739726E-2</v>
      </c>
    </row>
    <row r="74" spans="1:6" x14ac:dyDescent="0.25">
      <c r="A74" s="18">
        <v>44096</v>
      </c>
      <c r="B74" s="19">
        <v>-1.24E-2</v>
      </c>
      <c r="C74" s="19">
        <v>-1.9E-3</v>
      </c>
      <c r="D74" s="19">
        <v>2.7720000000000002E-2</v>
      </c>
      <c r="E74" s="19">
        <v>-1.9759452054794522E-3</v>
      </c>
      <c r="F74" s="19">
        <v>-1.2475945205479452E-2</v>
      </c>
    </row>
    <row r="75" spans="1:6" x14ac:dyDescent="0.25">
      <c r="A75" s="18">
        <v>44095</v>
      </c>
      <c r="B75" s="19">
        <v>4.1000000000000003E-3</v>
      </c>
      <c r="C75" s="19">
        <v>7.7999999999999996E-3</v>
      </c>
      <c r="D75" s="19">
        <v>2.777E-2</v>
      </c>
      <c r="E75" s="19">
        <v>7.7239178082191776E-3</v>
      </c>
      <c r="F75" s="19">
        <v>4.0239178082191783E-3</v>
      </c>
    </row>
    <row r="76" spans="1:6" x14ac:dyDescent="0.25">
      <c r="A76" s="18">
        <v>44092</v>
      </c>
      <c r="B76" s="19">
        <v>1.12E-2</v>
      </c>
      <c r="C76" s="19">
        <v>7.7000000000000002E-3</v>
      </c>
      <c r="D76" s="19">
        <v>2.8029999999999999E-2</v>
      </c>
      <c r="E76" s="19">
        <v>7.6232054794520554E-3</v>
      </c>
      <c r="F76" s="19">
        <v>1.1123205479452055E-2</v>
      </c>
    </row>
    <row r="77" spans="1:6" x14ac:dyDescent="0.25">
      <c r="A77" s="18">
        <v>44091</v>
      </c>
      <c r="B77" s="19">
        <v>-4.1999999999999997E-3</v>
      </c>
      <c r="C77" s="19">
        <v>-3.8E-3</v>
      </c>
      <c r="D77" s="19">
        <v>2.8199999999999999E-2</v>
      </c>
      <c r="E77" s="19">
        <v>-3.8772602739726028E-3</v>
      </c>
      <c r="F77" s="19">
        <v>-4.2772602739726022E-3</v>
      </c>
    </row>
    <row r="78" spans="1:6" x14ac:dyDescent="0.25">
      <c r="A78" s="18">
        <v>44090</v>
      </c>
      <c r="B78" s="19">
        <v>-4.1000000000000003E-3</v>
      </c>
      <c r="C78" s="19">
        <v>1.4E-3</v>
      </c>
      <c r="D78" s="19">
        <v>2.8240000000000001E-2</v>
      </c>
      <c r="E78" s="19">
        <v>1.3226301369863014E-3</v>
      </c>
      <c r="F78" s="19">
        <v>-4.1773698630136989E-3</v>
      </c>
    </row>
    <row r="79" spans="1:6" x14ac:dyDescent="0.25">
      <c r="A79" s="18">
        <v>44089</v>
      </c>
      <c r="B79" s="19">
        <v>1.26E-2</v>
      </c>
      <c r="C79" s="19">
        <v>1.9E-3</v>
      </c>
      <c r="D79" s="19">
        <v>2.8340000000000001E-2</v>
      </c>
      <c r="E79" s="19">
        <v>1.8223561643835617E-3</v>
      </c>
      <c r="F79" s="19">
        <v>1.2522356164383562E-2</v>
      </c>
    </row>
    <row r="80" spans="1:6" x14ac:dyDescent="0.25">
      <c r="A80" s="18">
        <v>44088</v>
      </c>
      <c r="B80" s="19">
        <v>-5.5999999999999999E-3</v>
      </c>
      <c r="C80" s="19">
        <v>6.3E-3</v>
      </c>
      <c r="D80" s="19">
        <v>2.843E-2</v>
      </c>
      <c r="E80" s="19">
        <v>6.2221095890410963E-3</v>
      </c>
      <c r="F80" s="19">
        <v>-5.6778904109589037E-3</v>
      </c>
    </row>
    <row r="81" spans="1:6" x14ac:dyDescent="0.25">
      <c r="A81" s="18">
        <v>44085</v>
      </c>
      <c r="B81" s="19">
        <v>-2.8E-3</v>
      </c>
      <c r="C81" s="19">
        <v>2.0000000000000001E-4</v>
      </c>
      <c r="D81" s="19">
        <v>2.878E-2</v>
      </c>
      <c r="E81" s="19">
        <v>1.2115068493150686E-4</v>
      </c>
      <c r="F81" s="19">
        <v>-2.8788493150684932E-3</v>
      </c>
    </row>
    <row r="82" spans="1:6" x14ac:dyDescent="0.25">
      <c r="A82" s="18">
        <v>44084</v>
      </c>
      <c r="B82" s="19">
        <v>4.1999999999999997E-3</v>
      </c>
      <c r="C82" s="19">
        <v>-5.9999999999999995E-4</v>
      </c>
      <c r="D82" s="19">
        <v>2.904E-2</v>
      </c>
      <c r="E82" s="19">
        <v>-6.7956164383561641E-4</v>
      </c>
      <c r="F82" s="19">
        <v>4.1204383561643833E-3</v>
      </c>
    </row>
    <row r="83" spans="1:6" x14ac:dyDescent="0.25">
      <c r="A83" s="18">
        <v>44083</v>
      </c>
      <c r="B83" s="19">
        <v>-4.1999999999999997E-3</v>
      </c>
      <c r="C83" s="19">
        <v>-8.9999999999999998E-4</v>
      </c>
      <c r="D83" s="19">
        <v>2.9180000000000001E-2</v>
      </c>
      <c r="E83" s="19">
        <v>-9.7994520547945211E-4</v>
      </c>
      <c r="F83" s="19">
        <v>-4.2799452054794514E-3</v>
      </c>
    </row>
    <row r="84" spans="1:6" x14ac:dyDescent="0.25">
      <c r="A84" s="18">
        <v>44082</v>
      </c>
      <c r="B84" s="19">
        <v>0</v>
      </c>
      <c r="C84" s="19">
        <v>2.0999999999999999E-3</v>
      </c>
      <c r="D84" s="19">
        <v>2.9139999999999999E-2</v>
      </c>
      <c r="E84" s="19">
        <v>2.0201643835616439E-3</v>
      </c>
      <c r="F84" s="19">
        <v>-7.9835616438356168E-5</v>
      </c>
    </row>
    <row r="85" spans="1:6" x14ac:dyDescent="0.25">
      <c r="A85" s="18">
        <v>44081</v>
      </c>
      <c r="B85" s="19">
        <v>-3.49E-2</v>
      </c>
      <c r="C85" s="19">
        <v>-1.47E-2</v>
      </c>
      <c r="D85" s="19">
        <v>2.9219999999999999E-2</v>
      </c>
      <c r="E85" s="19">
        <v>-1.4780054794520547E-2</v>
      </c>
      <c r="F85" s="19">
        <v>-3.498005479452055E-2</v>
      </c>
    </row>
    <row r="86" spans="1:6" x14ac:dyDescent="0.25">
      <c r="A86" s="18">
        <v>44078</v>
      </c>
      <c r="B86" s="19">
        <v>-1.5800000000000002E-2</v>
      </c>
      <c r="C86" s="19">
        <v>-2.7000000000000001E-3</v>
      </c>
      <c r="D86" s="19">
        <v>2.9139999999999999E-2</v>
      </c>
      <c r="E86" s="19">
        <v>-2.7798356164383561E-3</v>
      </c>
      <c r="F86" s="19">
        <v>-1.5879835616438357E-2</v>
      </c>
    </row>
    <row r="87" spans="1:6" x14ac:dyDescent="0.25">
      <c r="A87" s="18">
        <v>44077</v>
      </c>
      <c r="B87" s="19">
        <v>5.3E-3</v>
      </c>
      <c r="C87" s="19">
        <v>1.37E-2</v>
      </c>
      <c r="D87" s="19">
        <v>2.9219999999999999E-2</v>
      </c>
      <c r="E87" s="19">
        <v>1.3619945205479453E-2</v>
      </c>
      <c r="F87" s="19">
        <v>5.2199452054794522E-3</v>
      </c>
    </row>
    <row r="88" spans="1:6" x14ac:dyDescent="0.25">
      <c r="A88" s="18">
        <v>44075</v>
      </c>
      <c r="B88" s="19">
        <v>1.7500000000000002E-2</v>
      </c>
      <c r="C88" s="19">
        <v>1.14E-2</v>
      </c>
      <c r="D88" s="19">
        <v>2.9100000000000001E-2</v>
      </c>
      <c r="E88" s="19">
        <v>1.132027397260274E-2</v>
      </c>
      <c r="F88" s="19">
        <v>1.7420273972602741E-2</v>
      </c>
    </row>
    <row r="89" spans="1:6" x14ac:dyDescent="0.25">
      <c r="A89" s="18">
        <v>44074</v>
      </c>
      <c r="B89" s="19">
        <v>-1.2999999999999999E-3</v>
      </c>
      <c r="C89" s="19">
        <v>3.0000000000000001E-3</v>
      </c>
      <c r="D89" s="19">
        <v>2.8729999999999999E-2</v>
      </c>
      <c r="E89" s="19">
        <v>2.9212876712328768E-3</v>
      </c>
      <c r="F89" s="19">
        <v>-1.3787123287671232E-3</v>
      </c>
    </row>
    <row r="90" spans="1:6" x14ac:dyDescent="0.25">
      <c r="A90" s="18">
        <v>44071</v>
      </c>
      <c r="B90" s="19">
        <v>1.6400000000000001E-2</v>
      </c>
      <c r="C90" s="19">
        <v>4.8999999999999998E-3</v>
      </c>
      <c r="D90" s="19">
        <v>2.8819999999999998E-2</v>
      </c>
      <c r="E90" s="19">
        <v>4.8210410958904109E-3</v>
      </c>
      <c r="F90" s="19">
        <v>1.6321041095890412E-2</v>
      </c>
    </row>
    <row r="91" spans="1:6" x14ac:dyDescent="0.25">
      <c r="A91" s="18">
        <v>44070</v>
      </c>
      <c r="B91" s="19">
        <v>-6.7999999999999996E-3</v>
      </c>
      <c r="C91" s="19">
        <v>1.4E-3</v>
      </c>
      <c r="D91" s="19">
        <v>2.8899999999999999E-2</v>
      </c>
      <c r="E91" s="19">
        <v>1.3208219178082192E-3</v>
      </c>
      <c r="F91" s="19">
        <v>-6.8791780821917808E-3</v>
      </c>
    </row>
    <row r="92" spans="1:6" x14ac:dyDescent="0.25">
      <c r="A92" s="18">
        <v>44069</v>
      </c>
      <c r="B92" s="19">
        <v>-4.1000000000000003E-3</v>
      </c>
      <c r="C92" s="19">
        <v>-6.9999999999999999E-4</v>
      </c>
      <c r="D92" s="19">
        <v>2.8930000000000001E-2</v>
      </c>
      <c r="E92" s="19">
        <v>-7.7926027397260279E-4</v>
      </c>
      <c r="F92" s="19">
        <v>-4.179260273972603E-3</v>
      </c>
    </row>
    <row r="93" spans="1:6" x14ac:dyDescent="0.25">
      <c r="A93" s="18">
        <v>44068</v>
      </c>
      <c r="B93" s="19">
        <v>1.0999999999999999E-2</v>
      </c>
      <c r="C93" s="19">
        <v>6.3E-3</v>
      </c>
      <c r="D93" s="19">
        <v>2.896E-2</v>
      </c>
      <c r="E93" s="19">
        <v>6.220657534246575E-3</v>
      </c>
      <c r="F93" s="19">
        <v>1.0920657534246574E-2</v>
      </c>
    </row>
    <row r="94" spans="1:6" x14ac:dyDescent="0.25">
      <c r="A94" s="18">
        <v>44067</v>
      </c>
      <c r="B94" s="19">
        <v>1.3899999999999999E-2</v>
      </c>
      <c r="C94" s="19">
        <v>1.6299999999999999E-2</v>
      </c>
      <c r="D94" s="19">
        <v>2.9000000000000001E-2</v>
      </c>
      <c r="E94" s="19">
        <v>1.6220547945205478E-2</v>
      </c>
      <c r="F94" s="19">
        <v>1.3820547945205479E-2</v>
      </c>
    </row>
    <row r="95" spans="1:6" x14ac:dyDescent="0.25">
      <c r="A95" s="18">
        <v>44064</v>
      </c>
      <c r="B95" s="19">
        <v>1.41E-2</v>
      </c>
      <c r="C95" s="19">
        <v>7.7000000000000002E-3</v>
      </c>
      <c r="D95" s="19">
        <v>2.886E-2</v>
      </c>
      <c r="E95" s="19">
        <v>7.6209315068493152E-3</v>
      </c>
      <c r="F95" s="19">
        <v>1.4020931506849315E-2</v>
      </c>
    </row>
    <row r="96" spans="1:6" x14ac:dyDescent="0.25">
      <c r="A96" s="18">
        <v>44063</v>
      </c>
      <c r="B96" s="19">
        <v>-1.5299999999999999E-2</v>
      </c>
      <c r="C96" s="19">
        <v>-3.5000000000000001E-3</v>
      </c>
      <c r="D96" s="19">
        <v>2.9020000000000001E-2</v>
      </c>
      <c r="E96" s="19">
        <v>-3.5795068493150685E-3</v>
      </c>
      <c r="F96" s="19">
        <v>-1.5379506849315067E-2</v>
      </c>
    </row>
    <row r="97" spans="1:6" x14ac:dyDescent="0.25">
      <c r="A97" s="18">
        <v>44062</v>
      </c>
      <c r="B97" s="19">
        <v>2.8E-3</v>
      </c>
      <c r="C97" s="19">
        <v>5.5999999999999999E-3</v>
      </c>
      <c r="D97" s="19">
        <v>2.894E-2</v>
      </c>
      <c r="E97" s="19">
        <v>5.5207123287671234E-3</v>
      </c>
      <c r="F97" s="19">
        <v>2.7207123287671235E-3</v>
      </c>
    </row>
    <row r="98" spans="1:6" x14ac:dyDescent="0.25">
      <c r="A98" s="18">
        <v>44061</v>
      </c>
      <c r="B98" s="19">
        <v>-1.4E-3</v>
      </c>
      <c r="C98" s="19">
        <v>-4.4000000000000003E-3</v>
      </c>
      <c r="D98" s="19">
        <v>2.8879999999999999E-2</v>
      </c>
      <c r="E98" s="19">
        <v>-4.479123287671233E-3</v>
      </c>
      <c r="F98" s="19">
        <v>-1.4791232876712329E-3</v>
      </c>
    </row>
    <row r="99" spans="1:6" x14ac:dyDescent="0.25">
      <c r="A99" s="18">
        <v>44060</v>
      </c>
      <c r="B99" s="19">
        <v>-4.1000000000000003E-3</v>
      </c>
      <c r="C99" s="19">
        <v>-6.9999999999999999E-4</v>
      </c>
      <c r="D99" s="19">
        <v>2.8879999999999999E-2</v>
      </c>
      <c r="E99" s="19">
        <v>-7.7912328767123281E-4</v>
      </c>
      <c r="F99" s="19">
        <v>-4.1791232876712331E-3</v>
      </c>
    </row>
    <row r="100" spans="1:6" x14ac:dyDescent="0.25">
      <c r="A100" s="18">
        <v>44057</v>
      </c>
      <c r="B100" s="19">
        <v>-4.1000000000000003E-3</v>
      </c>
      <c r="C100" s="19">
        <v>-5.0000000000000001E-3</v>
      </c>
      <c r="D100" s="19">
        <v>2.8889999999999999E-2</v>
      </c>
      <c r="E100" s="19">
        <v>-5.0791506849315066E-3</v>
      </c>
      <c r="F100" s="19">
        <v>-4.1791506849315069E-3</v>
      </c>
    </row>
    <row r="101" spans="1:6" x14ac:dyDescent="0.25">
      <c r="A101" s="18">
        <v>44056</v>
      </c>
      <c r="B101" s="19">
        <v>1.9699999999999999E-2</v>
      </c>
      <c r="C101" s="19">
        <v>9.5999999999999992E-3</v>
      </c>
      <c r="D101" s="19">
        <v>2.8969999999999999E-2</v>
      </c>
      <c r="E101" s="19">
        <v>9.5206301369863012E-3</v>
      </c>
      <c r="F101" s="19">
        <v>1.9620630136986301E-2</v>
      </c>
    </row>
    <row r="102" spans="1:6" x14ac:dyDescent="0.25">
      <c r="A102" s="18">
        <v>44055</v>
      </c>
      <c r="B102" s="19">
        <v>1.7100000000000001E-2</v>
      </c>
      <c r="C102" s="19">
        <v>4.5999999999999999E-3</v>
      </c>
      <c r="D102" s="19">
        <v>2.8670000000000001E-2</v>
      </c>
      <c r="E102" s="19">
        <v>4.5214520547945201E-3</v>
      </c>
      <c r="F102" s="19">
        <v>1.7021452054794523E-2</v>
      </c>
    </row>
    <row r="103" spans="1:6" x14ac:dyDescent="0.25">
      <c r="A103" s="18">
        <v>44054</v>
      </c>
      <c r="B103" s="19">
        <v>-7.1000000000000004E-3</v>
      </c>
      <c r="C103" s="19">
        <v>-1E-4</v>
      </c>
      <c r="D103" s="19">
        <v>2.877E-2</v>
      </c>
      <c r="E103" s="19">
        <v>-1.788219178082192E-4</v>
      </c>
      <c r="F103" s="19">
        <v>-7.1788219178082193E-3</v>
      </c>
    </row>
    <row r="104" spans="1:6" x14ac:dyDescent="0.25">
      <c r="A104" s="18">
        <v>44053</v>
      </c>
      <c r="B104" s="19">
        <v>4.3E-3</v>
      </c>
      <c r="C104" s="19">
        <v>2.0999999999999999E-3</v>
      </c>
      <c r="D104" s="19">
        <v>2.869E-2</v>
      </c>
      <c r="E104" s="19">
        <v>2.0213972602739724E-3</v>
      </c>
      <c r="F104" s="19">
        <v>4.2213972602739725E-3</v>
      </c>
    </row>
    <row r="105" spans="1:6" x14ac:dyDescent="0.25">
      <c r="A105" s="18">
        <v>44050</v>
      </c>
      <c r="B105" s="19">
        <v>1.01E-2</v>
      </c>
      <c r="C105" s="19">
        <v>1.6999999999999999E-3</v>
      </c>
      <c r="D105" s="19">
        <v>2.8850000000000001E-2</v>
      </c>
      <c r="E105" s="19">
        <v>1.6209589041095889E-3</v>
      </c>
      <c r="F105" s="19">
        <v>1.0020958904109589E-2</v>
      </c>
    </row>
    <row r="106" spans="1:6" x14ac:dyDescent="0.25">
      <c r="A106" s="18">
        <v>44049</v>
      </c>
      <c r="B106" s="19">
        <v>1.3100000000000001E-2</v>
      </c>
      <c r="C106" s="19">
        <v>2.7000000000000001E-3</v>
      </c>
      <c r="D106" s="19">
        <v>2.8709999999999999E-2</v>
      </c>
      <c r="E106" s="19">
        <v>2.621342465753425E-3</v>
      </c>
      <c r="F106" s="19">
        <v>1.3021342465753425E-2</v>
      </c>
    </row>
    <row r="107" spans="1:6" x14ac:dyDescent="0.25">
      <c r="A107" s="18">
        <v>44048</v>
      </c>
      <c r="B107" s="19">
        <v>7.3000000000000001E-3</v>
      </c>
      <c r="C107" s="19">
        <v>1.24E-2</v>
      </c>
      <c r="D107" s="19">
        <v>2.86E-2</v>
      </c>
      <c r="E107" s="19">
        <v>1.2321643835616437E-2</v>
      </c>
      <c r="F107" s="19">
        <v>7.2216438356164387E-3</v>
      </c>
    </row>
    <row r="108" spans="1:6" x14ac:dyDescent="0.25">
      <c r="A108" s="18">
        <v>44047</v>
      </c>
      <c r="B108" s="19">
        <v>1.34E-2</v>
      </c>
      <c r="C108" s="19">
        <v>1.5900000000000001E-2</v>
      </c>
      <c r="D108" s="19">
        <v>2.9010000000000001E-2</v>
      </c>
      <c r="E108" s="19">
        <v>1.5820520547945208E-2</v>
      </c>
      <c r="F108" s="19">
        <v>1.3320520547945205E-2</v>
      </c>
    </row>
    <row r="109" spans="1:6" x14ac:dyDescent="0.25">
      <c r="A109" s="18">
        <v>44046</v>
      </c>
      <c r="B109" s="19">
        <v>2.5999999999999999E-2</v>
      </c>
      <c r="C109" s="19">
        <v>2.0400000000000001E-2</v>
      </c>
      <c r="D109" s="19">
        <v>2.9700000000000001E-2</v>
      </c>
      <c r="E109" s="19">
        <v>2.0318630136986301E-2</v>
      </c>
      <c r="F109" s="19">
        <v>2.5918630136986299E-2</v>
      </c>
    </row>
    <row r="110" spans="1:6" x14ac:dyDescent="0.25">
      <c r="A110" s="18">
        <v>44043</v>
      </c>
      <c r="B110" s="19">
        <v>0</v>
      </c>
      <c r="C110" s="19">
        <v>-3.3999999999999998E-3</v>
      </c>
      <c r="D110" s="19">
        <v>2.9659999999999999E-2</v>
      </c>
      <c r="E110" s="19">
        <v>-3.4812602739726023E-3</v>
      </c>
      <c r="F110" s="19">
        <v>-8.1260273972602734E-5</v>
      </c>
    </row>
    <row r="111" spans="1:6" x14ac:dyDescent="0.25">
      <c r="A111" s="18">
        <v>44042</v>
      </c>
      <c r="B111" s="19">
        <v>3.15E-2</v>
      </c>
      <c r="C111" s="19">
        <v>1.2999999999999999E-2</v>
      </c>
      <c r="D111" s="19">
        <v>2.9870000000000001E-2</v>
      </c>
      <c r="E111" s="19">
        <v>1.2918164383561644E-2</v>
      </c>
      <c r="F111" s="19">
        <v>3.1418164383561646E-2</v>
      </c>
    </row>
    <row r="112" spans="1:6" x14ac:dyDescent="0.25">
      <c r="A112" s="18">
        <v>44041</v>
      </c>
      <c r="B112" s="19">
        <v>-6.3399999999999998E-2</v>
      </c>
      <c r="C112" s="19">
        <v>-2.7699999999999999E-2</v>
      </c>
      <c r="D112" s="19">
        <v>3.057E-2</v>
      </c>
      <c r="E112" s="19">
        <v>-2.7783753424657533E-2</v>
      </c>
      <c r="F112" s="19">
        <v>-6.3483753424657535E-2</v>
      </c>
    </row>
    <row r="113" spans="1:6" x14ac:dyDescent="0.25">
      <c r="A113" s="18">
        <v>44040</v>
      </c>
      <c r="B113" s="19">
        <v>5.9400000000000001E-2</v>
      </c>
      <c r="C113" s="19">
        <v>3.5900000000000001E-2</v>
      </c>
      <c r="D113" s="19">
        <v>2.9479999999999999E-2</v>
      </c>
      <c r="E113" s="19">
        <v>3.5819232876712327E-2</v>
      </c>
      <c r="F113" s="19">
        <v>5.9319232876712327E-2</v>
      </c>
    </row>
    <row r="114" spans="1:6" x14ac:dyDescent="0.25">
      <c r="A114" s="18">
        <v>44039</v>
      </c>
      <c r="B114" s="19">
        <v>-6.3E-2</v>
      </c>
      <c r="C114" s="19">
        <v>-5.3100000000000001E-2</v>
      </c>
      <c r="D114" s="19">
        <v>2.9069999999999999E-2</v>
      </c>
      <c r="E114" s="19">
        <v>-5.3179643835616443E-2</v>
      </c>
      <c r="F114" s="19">
        <v>-6.3079643835616442E-2</v>
      </c>
    </row>
    <row r="115" spans="1:6" x14ac:dyDescent="0.25">
      <c r="A115" s="18">
        <v>44036</v>
      </c>
      <c r="B115" s="19">
        <v>-3.9399999999999998E-2</v>
      </c>
      <c r="C115" s="19">
        <v>-3.2199999999999999E-2</v>
      </c>
      <c r="D115" s="19">
        <v>2.886E-2</v>
      </c>
      <c r="E115" s="19">
        <v>-3.2279068493150681E-2</v>
      </c>
      <c r="F115" s="19">
        <v>-3.9479068493150679E-2</v>
      </c>
    </row>
    <row r="116" spans="1:6" x14ac:dyDescent="0.25">
      <c r="A116" s="18">
        <v>44035</v>
      </c>
      <c r="B116" s="19">
        <v>1.2800000000000001E-2</v>
      </c>
      <c r="C116" s="19">
        <v>2E-3</v>
      </c>
      <c r="D116" s="19">
        <v>2.9090000000000001E-2</v>
      </c>
      <c r="E116" s="19">
        <v>1.9203013698630138E-3</v>
      </c>
      <c r="F116" s="19">
        <v>1.2720301369863015E-2</v>
      </c>
    </row>
    <row r="117" spans="1:6" x14ac:dyDescent="0.25">
      <c r="A117" s="18">
        <v>44034</v>
      </c>
      <c r="B117" s="19">
        <v>-1.1299999999999999E-2</v>
      </c>
      <c r="C117" s="19">
        <v>-7.7000000000000002E-3</v>
      </c>
      <c r="D117" s="19">
        <v>2.8670000000000001E-2</v>
      </c>
      <c r="E117" s="19">
        <v>-7.7785479452054801E-3</v>
      </c>
      <c r="F117" s="19">
        <v>-1.1378547945205479E-2</v>
      </c>
    </row>
    <row r="118" spans="1:6" x14ac:dyDescent="0.25">
      <c r="A118" s="18">
        <v>44033</v>
      </c>
      <c r="B118" s="19">
        <v>1.4E-3</v>
      </c>
      <c r="C118" s="19">
        <v>2.9999999999999997E-4</v>
      </c>
      <c r="D118" s="19">
        <v>2.8969999999999999E-2</v>
      </c>
      <c r="E118" s="19">
        <v>2.2063013698630135E-4</v>
      </c>
      <c r="F118" s="19">
        <v>1.3206301369863014E-3</v>
      </c>
    </row>
    <row r="119" spans="1:6" x14ac:dyDescent="0.25">
      <c r="A119" s="18">
        <v>44032</v>
      </c>
      <c r="B119" s="19">
        <v>-1.3899999999999999E-2</v>
      </c>
      <c r="C119" s="19">
        <v>-1.2200000000000001E-2</v>
      </c>
      <c r="D119" s="19">
        <v>2.9010000000000001E-2</v>
      </c>
      <c r="E119" s="19">
        <v>-1.2279479452054796E-2</v>
      </c>
      <c r="F119" s="19">
        <v>-1.3979479452054794E-2</v>
      </c>
    </row>
    <row r="120" spans="1:6" x14ac:dyDescent="0.25">
      <c r="A120" s="18">
        <v>44029</v>
      </c>
      <c r="B120" s="19">
        <v>-4.1999999999999997E-3</v>
      </c>
      <c r="C120" s="19">
        <v>-5.4999999999999997E-3</v>
      </c>
      <c r="D120" s="19">
        <v>2.8809999999999999E-2</v>
      </c>
      <c r="E120" s="19">
        <v>-5.5789315068493148E-3</v>
      </c>
      <c r="F120" s="19">
        <v>-4.2789315068493148E-3</v>
      </c>
    </row>
    <row r="121" spans="1:6" x14ac:dyDescent="0.25">
      <c r="A121" s="18">
        <v>44028</v>
      </c>
      <c r="B121" s="19">
        <v>1.4E-3</v>
      </c>
      <c r="C121" s="19">
        <v>8.0000000000000002E-3</v>
      </c>
      <c r="D121" s="19">
        <v>2.8910000000000002E-2</v>
      </c>
      <c r="E121" s="19">
        <v>7.9207945205479451E-3</v>
      </c>
      <c r="F121" s="19">
        <v>1.3207945205479452E-3</v>
      </c>
    </row>
    <row r="122" spans="1:6" x14ac:dyDescent="0.25">
      <c r="A122" s="18">
        <v>44027</v>
      </c>
      <c r="B122" s="19">
        <v>-1.4E-3</v>
      </c>
      <c r="C122" s="19">
        <v>2.0999999999999999E-3</v>
      </c>
      <c r="D122" s="19">
        <v>2.8299999999999999E-2</v>
      </c>
      <c r="E122" s="19">
        <v>2.0224657534246575E-3</v>
      </c>
      <c r="F122" s="19">
        <v>-1.4775342465753424E-3</v>
      </c>
    </row>
    <row r="123" spans="1:6" x14ac:dyDescent="0.25">
      <c r="A123" s="18">
        <v>44026</v>
      </c>
      <c r="B123" s="19">
        <v>-3.5999999999999997E-2</v>
      </c>
      <c r="C123" s="19">
        <v>-6.9999999999999999E-4</v>
      </c>
      <c r="D123" s="19">
        <v>2.844E-2</v>
      </c>
      <c r="E123" s="19">
        <v>-7.7791780821917804E-4</v>
      </c>
      <c r="F123" s="19">
        <v>-3.6077917808219173E-2</v>
      </c>
    </row>
    <row r="124" spans="1:6" x14ac:dyDescent="0.25">
      <c r="A124" s="18">
        <v>44025</v>
      </c>
      <c r="B124" s="19">
        <v>8.0999999999999996E-3</v>
      </c>
      <c r="C124" s="19">
        <v>-2.8999999999999998E-3</v>
      </c>
      <c r="D124" s="19">
        <v>2.911E-2</v>
      </c>
      <c r="E124" s="19">
        <v>-2.9797534246575339E-3</v>
      </c>
      <c r="F124" s="19">
        <v>8.0202465753424646E-3</v>
      </c>
    </row>
    <row r="125" spans="1:6" x14ac:dyDescent="0.25">
      <c r="A125" s="18">
        <v>44022</v>
      </c>
      <c r="B125" s="19">
        <v>-1.2E-2</v>
      </c>
      <c r="C125" s="19">
        <v>-6.0000000000000001E-3</v>
      </c>
      <c r="D125" s="19">
        <v>2.9190000000000001E-2</v>
      </c>
      <c r="E125" s="19">
        <v>-6.0799726027397265E-3</v>
      </c>
      <c r="F125" s="19">
        <v>-1.2079972602739726E-2</v>
      </c>
    </row>
    <row r="126" spans="1:6" x14ac:dyDescent="0.25">
      <c r="A126" s="18">
        <v>44021</v>
      </c>
      <c r="B126" s="19">
        <v>3.1600000000000003E-2</v>
      </c>
      <c r="C126" s="19">
        <v>1.38E-2</v>
      </c>
      <c r="D126" s="19">
        <v>2.9190000000000001E-2</v>
      </c>
      <c r="E126" s="19">
        <v>1.3720027397260274E-2</v>
      </c>
      <c r="F126" s="19">
        <v>3.1520027397260279E-2</v>
      </c>
    </row>
    <row r="127" spans="1:6" x14ac:dyDescent="0.25">
      <c r="A127" s="18">
        <v>44020</v>
      </c>
      <c r="B127" s="19">
        <v>6.8999999999999999E-3</v>
      </c>
      <c r="C127" s="19">
        <v>1.2999999999999999E-3</v>
      </c>
      <c r="D127" s="19">
        <v>2.954E-2</v>
      </c>
      <c r="E127" s="19">
        <v>1.2190684931506848E-3</v>
      </c>
      <c r="F127" s="19">
        <v>6.8190684931506845E-3</v>
      </c>
    </row>
    <row r="128" spans="1:6" x14ac:dyDescent="0.25">
      <c r="A128" s="18">
        <v>44019</v>
      </c>
      <c r="B128" s="19">
        <v>0</v>
      </c>
      <c r="C128" s="19">
        <v>2.5999999999999999E-3</v>
      </c>
      <c r="D128" s="19">
        <v>2.9569999999999999E-2</v>
      </c>
      <c r="E128" s="19">
        <v>2.5189863013698631E-3</v>
      </c>
      <c r="F128" s="19">
        <v>-8.1013698630136982E-5</v>
      </c>
    </row>
    <row r="129" spans="1:6" x14ac:dyDescent="0.25">
      <c r="A129" s="18">
        <v>44018</v>
      </c>
      <c r="B129" s="19">
        <v>2.9899999999999999E-2</v>
      </c>
      <c r="C129" s="19">
        <v>1.6E-2</v>
      </c>
      <c r="D129" s="19">
        <v>2.9929999999999998E-2</v>
      </c>
      <c r="E129" s="19">
        <v>1.5918000000000002E-2</v>
      </c>
      <c r="F129" s="19">
        <v>2.9818000000000001E-2</v>
      </c>
    </row>
    <row r="130" spans="1:6" x14ac:dyDescent="0.25">
      <c r="A130" s="18">
        <v>44015</v>
      </c>
      <c r="B130" s="19">
        <v>-2.8E-3</v>
      </c>
      <c r="C130" s="19">
        <v>6.1999999999999998E-3</v>
      </c>
      <c r="D130" s="19">
        <v>3.007E-2</v>
      </c>
      <c r="E130" s="19">
        <v>6.1176164383561641E-3</v>
      </c>
      <c r="F130" s="19">
        <v>-2.8823835616438357E-3</v>
      </c>
    </row>
    <row r="131" spans="1:6" x14ac:dyDescent="0.25">
      <c r="A131" s="18">
        <v>44014</v>
      </c>
      <c r="B131" s="19">
        <v>-7.0000000000000001E-3</v>
      </c>
      <c r="C131" s="19">
        <v>-1.2999999999999999E-3</v>
      </c>
      <c r="D131" s="19">
        <v>2.997E-2</v>
      </c>
      <c r="E131" s="19">
        <v>-1.3821095890410959E-3</v>
      </c>
      <c r="F131" s="19">
        <v>-7.0821095890410959E-3</v>
      </c>
    </row>
    <row r="132" spans="1:6" x14ac:dyDescent="0.25">
      <c r="A132" s="18">
        <v>44013</v>
      </c>
      <c r="B132" s="19">
        <v>2.9000000000000001E-2</v>
      </c>
      <c r="C132" s="19">
        <v>2.23E-2</v>
      </c>
      <c r="D132" s="19">
        <v>3.0190000000000002E-2</v>
      </c>
      <c r="E132" s="19">
        <v>2.2217287671232877E-2</v>
      </c>
      <c r="F132" s="19">
        <v>2.8917287671232878E-2</v>
      </c>
    </row>
    <row r="133" spans="1:6" x14ac:dyDescent="0.25">
      <c r="A133" s="18">
        <v>44012</v>
      </c>
      <c r="B133" s="19">
        <v>-0.01</v>
      </c>
      <c r="C133" s="19">
        <v>-5.1000000000000004E-3</v>
      </c>
      <c r="D133" s="19">
        <v>3.0329999999999999E-2</v>
      </c>
      <c r="E133" s="19">
        <v>-5.1830958904109589E-3</v>
      </c>
      <c r="F133" s="19">
        <v>-1.0083095890410959E-2</v>
      </c>
    </row>
    <row r="134" spans="1:6" x14ac:dyDescent="0.25">
      <c r="A134" s="18">
        <v>44011</v>
      </c>
      <c r="B134" s="19">
        <v>-3.4599999999999999E-2</v>
      </c>
      <c r="C134" s="19">
        <v>-2.6499999999999999E-2</v>
      </c>
      <c r="D134" s="19">
        <v>3.0429999999999999E-2</v>
      </c>
      <c r="E134" s="19">
        <v>-2.6583369863013698E-2</v>
      </c>
      <c r="F134" s="19">
        <v>-3.4683369863013701E-2</v>
      </c>
    </row>
    <row r="135" spans="1:6" x14ac:dyDescent="0.25">
      <c r="A135" s="18">
        <v>44008</v>
      </c>
      <c r="B135" s="19">
        <v>-2.8E-3</v>
      </c>
      <c r="C135" s="19">
        <v>-3.0999999999999999E-3</v>
      </c>
      <c r="D135" s="19">
        <v>3.0259999999999999E-2</v>
      </c>
      <c r="E135" s="19">
        <v>-3.1829041095890408E-3</v>
      </c>
      <c r="F135" s="19">
        <v>-2.8829041095890409E-3</v>
      </c>
    </row>
    <row r="136" spans="1:6" x14ac:dyDescent="0.25">
      <c r="A136" s="18">
        <v>44007</v>
      </c>
      <c r="B136" s="19">
        <v>-2.8E-3</v>
      </c>
      <c r="C136" s="19">
        <v>-6.0000000000000001E-3</v>
      </c>
      <c r="D136" s="19">
        <v>3.0190000000000002E-2</v>
      </c>
      <c r="E136" s="19">
        <v>-6.0827123287671234E-3</v>
      </c>
      <c r="F136" s="19">
        <v>-2.8827123287671233E-3</v>
      </c>
    </row>
    <row r="137" spans="1:6" x14ac:dyDescent="0.25">
      <c r="A137" s="18">
        <v>44006</v>
      </c>
      <c r="B137" s="19">
        <v>-1.7600000000000001E-2</v>
      </c>
      <c r="C137" s="19">
        <v>-9.7999999999999997E-3</v>
      </c>
      <c r="D137" s="19">
        <v>3.056E-2</v>
      </c>
      <c r="E137" s="19">
        <v>-9.8837260273972605E-3</v>
      </c>
      <c r="F137" s="19">
        <v>-1.7683726027397262E-2</v>
      </c>
    </row>
    <row r="138" spans="1:6" x14ac:dyDescent="0.25">
      <c r="A138" s="18">
        <v>44005</v>
      </c>
      <c r="B138" s="19">
        <v>1.09E-2</v>
      </c>
      <c r="C138" s="19">
        <v>-3.5000000000000001E-3</v>
      </c>
      <c r="D138" s="19">
        <v>3.0550000000000001E-2</v>
      </c>
      <c r="E138" s="19">
        <v>-3.5836986301369862E-3</v>
      </c>
      <c r="F138" s="19">
        <v>1.0816301369863014E-2</v>
      </c>
    </row>
    <row r="139" spans="1:6" x14ac:dyDescent="0.25">
      <c r="A139" s="18">
        <v>44004</v>
      </c>
      <c r="B139" s="19">
        <v>6.8999999999999999E-3</v>
      </c>
      <c r="C139" s="19">
        <v>3.0999999999999999E-3</v>
      </c>
      <c r="D139" s="19">
        <v>3.0620000000000001E-2</v>
      </c>
      <c r="E139" s="19">
        <v>3.0161095890410957E-3</v>
      </c>
      <c r="F139" s="19">
        <v>6.8161095890410962E-3</v>
      </c>
    </row>
    <row r="140" spans="1:6" x14ac:dyDescent="0.25">
      <c r="A140" s="18">
        <v>44001</v>
      </c>
      <c r="B140" s="19">
        <v>5.4999999999999997E-3</v>
      </c>
      <c r="C140" s="19">
        <v>1.55E-2</v>
      </c>
      <c r="D140" s="19">
        <v>3.0689999999999999E-2</v>
      </c>
      <c r="E140" s="19">
        <v>1.5415917808219179E-2</v>
      </c>
      <c r="F140" s="19">
        <v>5.4159178082191775E-3</v>
      </c>
    </row>
    <row r="141" spans="1:6" x14ac:dyDescent="0.25">
      <c r="A141" s="18">
        <v>44000</v>
      </c>
      <c r="B141" s="19">
        <v>-9.5999999999999992E-3</v>
      </c>
      <c r="C141" s="19">
        <v>1E-3</v>
      </c>
      <c r="D141" s="19">
        <v>3.039E-2</v>
      </c>
      <c r="E141" s="19">
        <v>9.1673972602739724E-4</v>
      </c>
      <c r="F141" s="19">
        <v>-9.6832602739726024E-3</v>
      </c>
    </row>
    <row r="142" spans="1:6" x14ac:dyDescent="0.25">
      <c r="A142" s="18">
        <v>43999</v>
      </c>
      <c r="B142" s="19">
        <v>-2.7000000000000001E-3</v>
      </c>
      <c r="C142" s="19">
        <v>-2E-3</v>
      </c>
      <c r="D142" s="19">
        <v>3.0710000000000001E-2</v>
      </c>
      <c r="E142" s="19">
        <v>-2.0841369863013699E-3</v>
      </c>
      <c r="F142" s="19">
        <v>-2.78413698630137E-3</v>
      </c>
    </row>
    <row r="143" spans="1:6" x14ac:dyDescent="0.25">
      <c r="A143" s="18">
        <v>43998</v>
      </c>
      <c r="B143" s="19">
        <v>1.3899999999999999E-2</v>
      </c>
      <c r="C143" s="19">
        <v>2.8400000000000002E-2</v>
      </c>
      <c r="D143" s="19">
        <v>3.0589999999999999E-2</v>
      </c>
      <c r="E143" s="19">
        <v>2.8316191780821919E-2</v>
      </c>
      <c r="F143" s="19">
        <v>1.3816191780821918E-2</v>
      </c>
    </row>
    <row r="144" spans="1:6" x14ac:dyDescent="0.25">
      <c r="A144" s="18">
        <v>43997</v>
      </c>
      <c r="B144" s="19">
        <v>-3.3500000000000002E-2</v>
      </c>
      <c r="C144" s="19">
        <v>-3.5999999999999997E-2</v>
      </c>
      <c r="D144" s="19">
        <v>3.073E-2</v>
      </c>
      <c r="E144" s="19">
        <v>-3.6084191780821916E-2</v>
      </c>
      <c r="F144" s="19">
        <v>-3.358419178082192E-2</v>
      </c>
    </row>
    <row r="145" spans="1:6" x14ac:dyDescent="0.25">
      <c r="A145" s="18">
        <v>43994</v>
      </c>
      <c r="B145" s="19">
        <v>2.75E-2</v>
      </c>
      <c r="C145" s="19">
        <v>-4.4000000000000003E-3</v>
      </c>
      <c r="D145" s="19">
        <v>3.0669999999999999E-2</v>
      </c>
      <c r="E145" s="19">
        <v>-4.484027397260274E-3</v>
      </c>
      <c r="F145" s="19">
        <v>2.7415972602739726E-2</v>
      </c>
    </row>
    <row r="146" spans="1:6" x14ac:dyDescent="0.25">
      <c r="A146" s="18">
        <v>43993</v>
      </c>
      <c r="B146" s="19">
        <v>-6.9199999999999998E-2</v>
      </c>
      <c r="C146" s="19">
        <v>-3.6299999999999999E-2</v>
      </c>
      <c r="D146" s="19">
        <v>3.0589999999999999E-2</v>
      </c>
      <c r="E146" s="19">
        <v>-3.6383808219178082E-2</v>
      </c>
      <c r="F146" s="19">
        <v>-6.9283808219178081E-2</v>
      </c>
    </row>
    <row r="147" spans="1:6" x14ac:dyDescent="0.25">
      <c r="A147" s="18">
        <v>43992</v>
      </c>
      <c r="B147" s="19">
        <v>-5.1000000000000004E-3</v>
      </c>
      <c r="C147" s="19">
        <v>5.9999999999999995E-4</v>
      </c>
      <c r="D147" s="19">
        <v>3.0800000000000001E-2</v>
      </c>
      <c r="E147" s="19">
        <v>5.1561643835616429E-4</v>
      </c>
      <c r="F147" s="19">
        <v>-5.1843835616438363E-3</v>
      </c>
    </row>
    <row r="148" spans="1:6" x14ac:dyDescent="0.25">
      <c r="A148" s="18">
        <v>43991</v>
      </c>
      <c r="B148" s="19">
        <v>-7.6E-3</v>
      </c>
      <c r="C148" s="19">
        <v>-5.0000000000000001E-4</v>
      </c>
      <c r="D148" s="19">
        <v>3.1130000000000001E-2</v>
      </c>
      <c r="E148" s="19">
        <v>-5.8528767123287677E-4</v>
      </c>
      <c r="F148" s="19">
        <v>-7.6852876712328764E-3</v>
      </c>
    </row>
    <row r="149" spans="1:6" x14ac:dyDescent="0.25">
      <c r="A149" s="18">
        <v>43990</v>
      </c>
      <c r="B149" s="19">
        <v>2.5999999999999999E-2</v>
      </c>
      <c r="C149" s="19">
        <v>1.55E-2</v>
      </c>
      <c r="D149" s="19">
        <v>3.1210000000000002E-2</v>
      </c>
      <c r="E149" s="19">
        <v>1.5414493150684931E-2</v>
      </c>
      <c r="F149" s="19">
        <v>2.591449315068493E-2</v>
      </c>
    </row>
    <row r="150" spans="1:6" x14ac:dyDescent="0.25">
      <c r="A150" s="18">
        <v>43987</v>
      </c>
      <c r="B150" s="19">
        <v>-1.2800000000000001E-2</v>
      </c>
      <c r="C150" s="19">
        <v>2.5999999999999999E-3</v>
      </c>
      <c r="D150" s="19">
        <v>3.0960000000000001E-2</v>
      </c>
      <c r="E150" s="19">
        <v>2.5151780821917806E-3</v>
      </c>
      <c r="F150" s="19">
        <v>-1.2884821917808219E-2</v>
      </c>
    </row>
    <row r="151" spans="1:6" x14ac:dyDescent="0.25">
      <c r="A151" s="18">
        <v>43986</v>
      </c>
      <c r="B151" s="19">
        <v>0</v>
      </c>
      <c r="C151" s="19">
        <v>3.0999999999999999E-3</v>
      </c>
      <c r="D151" s="19">
        <v>3.091E-2</v>
      </c>
      <c r="E151" s="19">
        <v>3.0153150684931506E-3</v>
      </c>
      <c r="F151" s="19">
        <v>-8.4684931506849321E-5</v>
      </c>
    </row>
    <row r="152" spans="1:6" x14ac:dyDescent="0.25">
      <c r="A152" s="18">
        <v>43985</v>
      </c>
      <c r="B152" s="19">
        <v>2.0899999999999998E-2</v>
      </c>
      <c r="C152" s="19">
        <v>7.3000000000000001E-3</v>
      </c>
      <c r="D152" s="19">
        <v>3.1009999999999999E-2</v>
      </c>
      <c r="E152" s="19">
        <v>7.2150410958904112E-3</v>
      </c>
      <c r="F152" s="19">
        <v>2.081504109589041E-2</v>
      </c>
    </row>
    <row r="153" spans="1:6" x14ac:dyDescent="0.25">
      <c r="A153" s="18">
        <v>43984</v>
      </c>
      <c r="B153" s="19">
        <v>1.46E-2</v>
      </c>
      <c r="C153" s="19">
        <v>-4.4000000000000003E-3</v>
      </c>
      <c r="D153" s="19">
        <v>3.1220000000000001E-2</v>
      </c>
      <c r="E153" s="19">
        <v>-4.4855342465753428E-3</v>
      </c>
      <c r="F153" s="19">
        <v>1.4514465753424658E-2</v>
      </c>
    </row>
    <row r="154" spans="1:6" x14ac:dyDescent="0.25">
      <c r="A154" s="18">
        <v>43983</v>
      </c>
      <c r="B154" s="19">
        <v>1.21E-2</v>
      </c>
      <c r="C154" s="19">
        <v>1.6400000000000001E-2</v>
      </c>
      <c r="D154" s="19">
        <v>3.1260000000000003E-2</v>
      </c>
      <c r="E154" s="19">
        <v>1.6314356164383564E-2</v>
      </c>
      <c r="F154" s="19">
        <v>1.2014356164383561E-2</v>
      </c>
    </row>
    <row r="155" spans="1:6" x14ac:dyDescent="0.25">
      <c r="A155" s="18">
        <v>43980</v>
      </c>
      <c r="B155" s="19">
        <v>6.7999999999999996E-3</v>
      </c>
      <c r="C155" s="19">
        <v>3.5999999999999999E-3</v>
      </c>
      <c r="D155" s="19">
        <v>3.1460000000000002E-2</v>
      </c>
      <c r="E155" s="19">
        <v>3.5138082191780821E-3</v>
      </c>
      <c r="F155" s="19">
        <v>6.7138082191780819E-3</v>
      </c>
    </row>
    <row r="156" spans="1:6" x14ac:dyDescent="0.25">
      <c r="A156" s="18">
        <v>43979</v>
      </c>
      <c r="B156" s="19">
        <v>-1.47E-2</v>
      </c>
      <c r="C156" s="19">
        <v>4.5999999999999999E-3</v>
      </c>
      <c r="D156" s="19">
        <v>3.1579999999999997E-2</v>
      </c>
      <c r="E156" s="19">
        <v>4.5134794520547946E-3</v>
      </c>
      <c r="F156" s="19">
        <v>-1.4786520547945206E-2</v>
      </c>
    </row>
    <row r="157" spans="1:6" x14ac:dyDescent="0.25">
      <c r="A157" s="18">
        <v>43978</v>
      </c>
      <c r="B157" s="19">
        <v>1.2999999999999999E-3</v>
      </c>
      <c r="C157" s="19">
        <v>-1.34E-2</v>
      </c>
      <c r="D157" s="19">
        <v>3.083E-2</v>
      </c>
      <c r="E157" s="19">
        <v>-1.3484465753424659E-2</v>
      </c>
      <c r="F157" s="19">
        <v>1.2155342465753425E-3</v>
      </c>
    </row>
    <row r="158" spans="1:6" x14ac:dyDescent="0.25">
      <c r="A158" s="18">
        <v>43977</v>
      </c>
      <c r="B158" s="19">
        <v>1.6299999999999999E-2</v>
      </c>
      <c r="C158" s="19">
        <v>1.17E-2</v>
      </c>
      <c r="D158" s="19">
        <v>3.0530000000000002E-2</v>
      </c>
      <c r="E158" s="19">
        <v>1.1616356164383562E-2</v>
      </c>
      <c r="F158" s="19">
        <v>1.621635616438356E-2</v>
      </c>
    </row>
    <row r="159" spans="1:6" x14ac:dyDescent="0.25">
      <c r="A159" s="18">
        <v>43976</v>
      </c>
      <c r="B159" s="19">
        <v>-2.7000000000000001E-3</v>
      </c>
      <c r="C159" s="19">
        <v>7.4000000000000003E-3</v>
      </c>
      <c r="D159" s="19">
        <v>3.058E-2</v>
      </c>
      <c r="E159" s="19">
        <v>7.3162191780821919E-3</v>
      </c>
      <c r="F159" s="19">
        <v>-2.7837808219178086E-3</v>
      </c>
    </row>
    <row r="160" spans="1:6" x14ac:dyDescent="0.25">
      <c r="A160" s="18">
        <v>43973</v>
      </c>
      <c r="B160" s="19">
        <v>-1.47E-2</v>
      </c>
      <c r="C160" s="19">
        <v>-1.1599999999999999E-2</v>
      </c>
      <c r="D160" s="19">
        <v>3.0259999999999999E-2</v>
      </c>
      <c r="E160" s="19">
        <v>-1.168290410958904E-2</v>
      </c>
      <c r="F160" s="19">
        <v>-1.478290410958904E-2</v>
      </c>
    </row>
    <row r="161" spans="1:6" x14ac:dyDescent="0.25">
      <c r="A161" s="18">
        <v>43972</v>
      </c>
      <c r="B161" s="19">
        <v>1.0800000000000001E-2</v>
      </c>
      <c r="C161" s="19">
        <v>1.15E-2</v>
      </c>
      <c r="D161" s="19">
        <v>2.9190000000000001E-2</v>
      </c>
      <c r="E161" s="19">
        <v>1.1420027397260274E-2</v>
      </c>
      <c r="F161" s="19">
        <v>1.0720027397260275E-2</v>
      </c>
    </row>
    <row r="162" spans="1:6" x14ac:dyDescent="0.25">
      <c r="A162" s="18">
        <v>43971</v>
      </c>
      <c r="B162" s="19">
        <v>-8.0000000000000002E-3</v>
      </c>
      <c r="C162" s="19">
        <v>8.3000000000000001E-3</v>
      </c>
      <c r="D162" s="19">
        <v>2.9510000000000002E-2</v>
      </c>
      <c r="E162" s="19">
        <v>8.2191506849315071E-3</v>
      </c>
      <c r="F162" s="19">
        <v>-8.0808493150684932E-3</v>
      </c>
    </row>
    <row r="163" spans="1:6" x14ac:dyDescent="0.25">
      <c r="A163" s="18">
        <v>43970</v>
      </c>
      <c r="B163" s="19">
        <v>1.77E-2</v>
      </c>
      <c r="C163" s="19">
        <v>1.06E-2</v>
      </c>
      <c r="D163" s="19">
        <v>2.921E-2</v>
      </c>
      <c r="E163" s="19">
        <v>1.0519972602739727E-2</v>
      </c>
      <c r="F163" s="19">
        <v>1.7619972602739727E-2</v>
      </c>
    </row>
    <row r="164" spans="1:6" x14ac:dyDescent="0.25">
      <c r="A164" s="18">
        <v>43969</v>
      </c>
      <c r="B164" s="19">
        <v>3.6700000000000003E-2</v>
      </c>
      <c r="C164" s="19">
        <v>1.21E-2</v>
      </c>
      <c r="D164" s="19">
        <v>2.9989999999999999E-2</v>
      </c>
      <c r="E164" s="19">
        <v>1.2017835616438356E-2</v>
      </c>
      <c r="F164" s="19">
        <v>3.661783561643836E-2</v>
      </c>
    </row>
    <row r="165" spans="1:6" x14ac:dyDescent="0.25">
      <c r="A165" s="18">
        <v>43966</v>
      </c>
      <c r="B165" s="19">
        <v>-8.3999999999999995E-3</v>
      </c>
      <c r="C165" s="19">
        <v>-6.4999999999999997E-3</v>
      </c>
      <c r="D165" s="19">
        <v>3.0099999999999998E-2</v>
      </c>
      <c r="E165" s="19">
        <v>-6.5824657534246569E-3</v>
      </c>
      <c r="F165" s="19">
        <v>-8.4824657534246575E-3</v>
      </c>
    </row>
    <row r="166" spans="1:6" x14ac:dyDescent="0.25">
      <c r="A166" s="18">
        <v>43965</v>
      </c>
      <c r="B166" s="19">
        <v>-1.24E-2</v>
      </c>
      <c r="C166" s="19">
        <v>-2.2000000000000001E-3</v>
      </c>
      <c r="D166" s="19">
        <v>0.03</v>
      </c>
      <c r="E166" s="19">
        <v>-2.2821917808219178E-3</v>
      </c>
      <c r="F166" s="19">
        <v>-1.2482191780821918E-2</v>
      </c>
    </row>
    <row r="167" spans="1:6" x14ac:dyDescent="0.25">
      <c r="A167" s="18">
        <v>43964</v>
      </c>
      <c r="B167" s="19">
        <v>-1.09E-2</v>
      </c>
      <c r="C167" s="19">
        <v>-1.2999999999999999E-3</v>
      </c>
      <c r="D167" s="19">
        <v>2.9180000000000001E-2</v>
      </c>
      <c r="E167" s="19">
        <v>-1.3799452054794521E-3</v>
      </c>
      <c r="F167" s="19">
        <v>-1.0979945205479453E-2</v>
      </c>
    </row>
    <row r="168" spans="1:6" x14ac:dyDescent="0.25">
      <c r="A168" s="18">
        <v>43963</v>
      </c>
      <c r="B168" s="19">
        <v>2.7000000000000001E-3</v>
      </c>
      <c r="C168" s="19">
        <v>8.3999999999999995E-3</v>
      </c>
      <c r="D168" s="19">
        <v>2.946E-2</v>
      </c>
      <c r="E168" s="19">
        <v>8.3192876712328764E-3</v>
      </c>
      <c r="F168" s="19">
        <v>2.6192876712328767E-3</v>
      </c>
    </row>
    <row r="169" spans="1:6" x14ac:dyDescent="0.25">
      <c r="A169" s="18">
        <v>43962</v>
      </c>
      <c r="B169" s="19">
        <v>4.8899999999999999E-2</v>
      </c>
      <c r="C169" s="19">
        <v>1.7899999999999999E-2</v>
      </c>
      <c r="D169" s="19">
        <v>2.9440000000000001E-2</v>
      </c>
      <c r="E169" s="19">
        <v>1.7819342465753424E-2</v>
      </c>
      <c r="F169" s="19">
        <v>4.8819342465753424E-2</v>
      </c>
    </row>
    <row r="170" spans="1:6" x14ac:dyDescent="0.25">
      <c r="A170" s="18">
        <v>43959</v>
      </c>
      <c r="B170" s="19">
        <v>1.3100000000000001E-2</v>
      </c>
      <c r="C170" s="19">
        <v>2.1600000000000001E-2</v>
      </c>
      <c r="D170" s="19">
        <v>3.0630000000000001E-2</v>
      </c>
      <c r="E170" s="19">
        <v>2.1516082191780823E-2</v>
      </c>
      <c r="F170" s="19">
        <v>1.3016082191780822E-2</v>
      </c>
    </row>
    <row r="171" spans="1:6" x14ac:dyDescent="0.25">
      <c r="A171" s="18">
        <v>43958</v>
      </c>
      <c r="B171" s="19">
        <v>1.5E-3</v>
      </c>
      <c r="C171" s="19">
        <v>1.78E-2</v>
      </c>
      <c r="D171" s="19">
        <v>3.1579999999999997E-2</v>
      </c>
      <c r="E171" s="19">
        <v>1.7713479452054794E-2</v>
      </c>
      <c r="F171" s="19">
        <v>1.4134794520547945E-3</v>
      </c>
    </row>
    <row r="172" spans="1:6" x14ac:dyDescent="0.25">
      <c r="A172" s="18">
        <v>43957</v>
      </c>
      <c r="B172" s="19">
        <v>4.7300000000000002E-2</v>
      </c>
      <c r="C172" s="19">
        <v>2.41E-2</v>
      </c>
      <c r="D172" s="19">
        <v>3.1099999999999999E-2</v>
      </c>
      <c r="E172" s="19">
        <v>2.4014794520547944E-2</v>
      </c>
      <c r="F172" s="19">
        <v>4.7214794520547949E-2</v>
      </c>
    </row>
    <row r="173" spans="1:6" x14ac:dyDescent="0.25">
      <c r="A173" s="18">
        <v>43956</v>
      </c>
      <c r="B173" s="19">
        <v>2.6599999999999999E-2</v>
      </c>
      <c r="C173" s="19">
        <v>2.2000000000000001E-3</v>
      </c>
      <c r="D173" s="19">
        <v>3.024E-2</v>
      </c>
      <c r="E173" s="19">
        <v>2.1171506849315068E-3</v>
      </c>
      <c r="F173" s="19">
        <v>2.6517150684931507E-2</v>
      </c>
    </row>
    <row r="174" spans="1:6" x14ac:dyDescent="0.25">
      <c r="A174" s="18">
        <v>43955</v>
      </c>
      <c r="B174" s="19">
        <v>6.3E-3</v>
      </c>
      <c r="C174" s="19">
        <v>-8.6E-3</v>
      </c>
      <c r="D174" s="19">
        <v>3.0419999999999999E-2</v>
      </c>
      <c r="E174" s="19">
        <v>-8.6833424657534238E-3</v>
      </c>
      <c r="F174" s="19">
        <v>6.2166575342465754E-3</v>
      </c>
    </row>
    <row r="175" spans="1:6" x14ac:dyDescent="0.25">
      <c r="A175" s="18">
        <v>43950</v>
      </c>
      <c r="B175" s="19">
        <v>9.5999999999999992E-3</v>
      </c>
      <c r="C175" s="19">
        <v>2.5000000000000001E-3</v>
      </c>
      <c r="D175" s="19">
        <v>3.0499999999999999E-2</v>
      </c>
      <c r="E175" s="19">
        <v>2.4164383561643835E-3</v>
      </c>
      <c r="F175" s="19">
        <v>9.516438356164383E-3</v>
      </c>
    </row>
    <row r="176" spans="1:6" x14ac:dyDescent="0.25">
      <c r="A176" s="18">
        <v>43949</v>
      </c>
      <c r="B176" s="19">
        <v>-2.18E-2</v>
      </c>
      <c r="C176" s="19">
        <v>-4.5999999999999999E-3</v>
      </c>
      <c r="D176" s="19">
        <v>3.065E-2</v>
      </c>
      <c r="E176" s="19">
        <v>-4.683972602739726E-3</v>
      </c>
      <c r="F176" s="19">
        <v>-2.1883972602739724E-2</v>
      </c>
    </row>
    <row r="177" spans="1:6" x14ac:dyDescent="0.25">
      <c r="A177" s="18">
        <v>43948</v>
      </c>
      <c r="B177" s="19">
        <v>-1.38E-2</v>
      </c>
      <c r="C177" s="19">
        <v>-7.6E-3</v>
      </c>
      <c r="D177" s="19">
        <v>3.0960000000000001E-2</v>
      </c>
      <c r="E177" s="19">
        <v>-7.6848219178082188E-3</v>
      </c>
      <c r="F177" s="19">
        <v>-1.3884821917808219E-2</v>
      </c>
    </row>
    <row r="178" spans="1:6" x14ac:dyDescent="0.25">
      <c r="A178" s="18">
        <v>43945</v>
      </c>
      <c r="B178" s="19">
        <v>0</v>
      </c>
      <c r="C178" s="19">
        <v>3.5999999999999999E-3</v>
      </c>
      <c r="D178" s="19">
        <v>3.1969999999999998E-2</v>
      </c>
      <c r="E178" s="19">
        <v>3.5124109589041094E-3</v>
      </c>
      <c r="F178" s="19">
        <v>-8.7589041095890408E-5</v>
      </c>
    </row>
    <row r="179" spans="1:6" x14ac:dyDescent="0.25">
      <c r="A179" s="18">
        <v>43944</v>
      </c>
      <c r="B179" s="19">
        <v>2.52E-2</v>
      </c>
      <c r="C179" s="19">
        <v>6.4999999999999997E-3</v>
      </c>
      <c r="D179" s="19">
        <v>3.1829999999999997E-2</v>
      </c>
      <c r="E179" s="19">
        <v>6.4127945205479453E-3</v>
      </c>
      <c r="F179" s="19">
        <v>2.5112794520547946E-2</v>
      </c>
    </row>
    <row r="180" spans="1:6" x14ac:dyDescent="0.25">
      <c r="A180" s="18">
        <v>43943</v>
      </c>
      <c r="B180" s="19">
        <v>-1.55E-2</v>
      </c>
      <c r="C180" s="19">
        <v>2.7000000000000001E-3</v>
      </c>
      <c r="D180" s="19">
        <v>3.2460000000000003E-2</v>
      </c>
      <c r="E180" s="19">
        <v>2.611068493150685E-3</v>
      </c>
      <c r="F180" s="19">
        <v>-1.5588931506849315E-2</v>
      </c>
    </row>
    <row r="181" spans="1:6" x14ac:dyDescent="0.25">
      <c r="A181" s="18">
        <v>43942</v>
      </c>
      <c r="B181" s="19">
        <v>-6.25E-2</v>
      </c>
      <c r="C181" s="19">
        <v>-3.5400000000000001E-2</v>
      </c>
      <c r="D181" s="19">
        <v>3.2469999999999999E-2</v>
      </c>
      <c r="E181" s="19">
        <v>-3.5488958904109587E-2</v>
      </c>
      <c r="F181" s="19">
        <v>-6.2588958904109593E-2</v>
      </c>
    </row>
    <row r="182" spans="1:6" x14ac:dyDescent="0.25">
      <c r="A182" s="18">
        <v>43941</v>
      </c>
      <c r="B182" s="19">
        <v>1.6199999999999999E-2</v>
      </c>
      <c r="C182" s="19">
        <v>6.7999999999999996E-3</v>
      </c>
      <c r="D182" s="19">
        <v>3.2289999999999999E-2</v>
      </c>
      <c r="E182" s="19">
        <v>6.7115342465753425E-3</v>
      </c>
      <c r="F182" s="19">
        <v>1.611153424657534E-2</v>
      </c>
    </row>
    <row r="183" spans="1:6" x14ac:dyDescent="0.25">
      <c r="A183" s="18">
        <v>43938</v>
      </c>
      <c r="B183" s="19">
        <v>4.4999999999999997E-3</v>
      </c>
      <c r="C183" s="19">
        <v>1.14E-2</v>
      </c>
      <c r="D183" s="19">
        <v>3.2460000000000003E-2</v>
      </c>
      <c r="E183" s="19">
        <v>1.1311068493150686E-2</v>
      </c>
      <c r="F183" s="19">
        <v>4.411068493150685E-3</v>
      </c>
    </row>
    <row r="184" spans="1:6" x14ac:dyDescent="0.25">
      <c r="A184" s="18">
        <v>43937</v>
      </c>
      <c r="B184" s="19">
        <v>1.2E-2</v>
      </c>
      <c r="C184" s="19">
        <v>4.4999999999999997E-3</v>
      </c>
      <c r="D184" s="19">
        <v>3.2779999999999997E-2</v>
      </c>
      <c r="E184" s="19">
        <v>4.4101917808219175E-3</v>
      </c>
      <c r="F184" s="19">
        <v>1.1910191780821918E-2</v>
      </c>
    </row>
    <row r="185" spans="1:6" x14ac:dyDescent="0.25">
      <c r="A185" s="18">
        <v>43936</v>
      </c>
      <c r="B185" s="19">
        <v>-6.0000000000000001E-3</v>
      </c>
      <c r="C185" s="19">
        <v>1.2800000000000001E-2</v>
      </c>
      <c r="D185" s="19">
        <v>3.3059999999999999E-2</v>
      </c>
      <c r="E185" s="19">
        <v>1.2709424657534248E-2</v>
      </c>
      <c r="F185" s="19">
        <v>-6.0905753424657537E-3</v>
      </c>
    </row>
    <row r="186" spans="1:6" x14ac:dyDescent="0.25">
      <c r="A186" s="18">
        <v>43935</v>
      </c>
      <c r="B186" s="19">
        <v>-1.47E-2</v>
      </c>
      <c r="C186" s="19">
        <v>2.0999999999999999E-3</v>
      </c>
      <c r="D186" s="19">
        <v>3.2439999999999997E-2</v>
      </c>
      <c r="E186" s="19">
        <v>2.0111232876712328E-3</v>
      </c>
      <c r="F186" s="19">
        <v>-1.4788876712328767E-2</v>
      </c>
    </row>
    <row r="187" spans="1:6" x14ac:dyDescent="0.25">
      <c r="A187" s="18">
        <v>43934</v>
      </c>
      <c r="B187" s="19">
        <v>1.34E-2</v>
      </c>
      <c r="C187" s="19">
        <v>1.04E-2</v>
      </c>
      <c r="D187" s="19">
        <v>3.2190000000000003E-2</v>
      </c>
      <c r="E187" s="19">
        <v>1.0311808219178082E-2</v>
      </c>
      <c r="F187" s="19">
        <v>1.3311808219178083E-2</v>
      </c>
    </row>
    <row r="188" spans="1:6" x14ac:dyDescent="0.25">
      <c r="A188" s="18">
        <v>43931</v>
      </c>
      <c r="B188" s="19">
        <v>1.5E-3</v>
      </c>
      <c r="C188" s="19">
        <v>-3.0999999999999999E-3</v>
      </c>
      <c r="D188" s="19">
        <v>3.2239999999999998E-2</v>
      </c>
      <c r="E188" s="19">
        <v>-3.1883287671232875E-3</v>
      </c>
      <c r="F188" s="19">
        <v>1.4116712328767125E-3</v>
      </c>
    </row>
    <row r="189" spans="1:6" x14ac:dyDescent="0.25">
      <c r="A189" s="18">
        <v>43930</v>
      </c>
      <c r="B189" s="19">
        <v>6.8599999999999994E-2</v>
      </c>
      <c r="C189" s="19">
        <v>1.6500000000000001E-2</v>
      </c>
      <c r="D189" s="19">
        <v>3.1550000000000002E-2</v>
      </c>
      <c r="E189" s="19">
        <v>1.6413561643835617E-2</v>
      </c>
      <c r="F189" s="19">
        <v>6.851356164383561E-2</v>
      </c>
    </row>
    <row r="190" spans="1:6" x14ac:dyDescent="0.25">
      <c r="A190" s="18">
        <v>43929</v>
      </c>
      <c r="B190" s="19">
        <v>-3.2000000000000002E-3</v>
      </c>
      <c r="C190" s="19">
        <v>1.8E-3</v>
      </c>
      <c r="D190" s="19">
        <v>3.1419999999999997E-2</v>
      </c>
      <c r="E190" s="19">
        <v>1.7139178082191781E-3</v>
      </c>
      <c r="F190" s="19">
        <v>-3.2860821917808222E-3</v>
      </c>
    </row>
    <row r="191" spans="1:6" x14ac:dyDescent="0.25">
      <c r="A191" s="18">
        <v>43928</v>
      </c>
      <c r="B191" s="19">
        <v>-1.6000000000000001E-3</v>
      </c>
      <c r="C191" s="19">
        <v>1.35E-2</v>
      </c>
      <c r="D191" s="19">
        <v>3.1739999999999997E-2</v>
      </c>
      <c r="E191" s="19">
        <v>1.3413041095890411E-2</v>
      </c>
      <c r="F191" s="19">
        <v>-1.6869589041095892E-3</v>
      </c>
    </row>
    <row r="192" spans="1:6" x14ac:dyDescent="0.25">
      <c r="A192" s="18">
        <v>43927</v>
      </c>
      <c r="B192" s="19">
        <v>6.4199999999999993E-2</v>
      </c>
      <c r="C192" s="19">
        <v>4.9799999999999997E-2</v>
      </c>
      <c r="D192" s="19">
        <v>3.4369999999999998E-2</v>
      </c>
      <c r="E192" s="19">
        <v>4.9705835616438356E-2</v>
      </c>
      <c r="F192" s="19">
        <v>6.4105835616438345E-2</v>
      </c>
    </row>
    <row r="193" spans="1:6" x14ac:dyDescent="0.25">
      <c r="A193" s="18">
        <v>43924</v>
      </c>
      <c r="B193" s="19">
        <v>5.5300000000000002E-2</v>
      </c>
      <c r="C193" s="19">
        <v>3.1699999999999999E-2</v>
      </c>
      <c r="D193" s="19">
        <v>3.526E-2</v>
      </c>
      <c r="E193" s="19">
        <v>3.1603397260273974E-2</v>
      </c>
      <c r="F193" s="19">
        <v>5.5203397260273977E-2</v>
      </c>
    </row>
    <row r="194" spans="1:6" x14ac:dyDescent="0.25">
      <c r="A194" s="18">
        <v>43922</v>
      </c>
      <c r="B194" s="19">
        <v>2.3699999999999999E-2</v>
      </c>
      <c r="C194" s="19">
        <v>2.6700000000000002E-2</v>
      </c>
      <c r="D194" s="19">
        <v>3.6220000000000002E-2</v>
      </c>
      <c r="E194" s="19">
        <v>2.6600767123287673E-2</v>
      </c>
      <c r="F194" s="19">
        <v>2.360076712328767E-2</v>
      </c>
    </row>
    <row r="195" spans="1:6" x14ac:dyDescent="0.25">
      <c r="A195" s="18">
        <v>43921</v>
      </c>
      <c r="B195" s="19">
        <v>3.7000000000000002E-3</v>
      </c>
      <c r="C195" s="19">
        <v>4.0000000000000002E-4</v>
      </c>
      <c r="D195" s="19">
        <v>3.517E-2</v>
      </c>
      <c r="E195" s="19">
        <v>3.0364383561643838E-4</v>
      </c>
      <c r="F195" s="19">
        <v>3.6036438356164386E-3</v>
      </c>
    </row>
    <row r="196" spans="1:6" x14ac:dyDescent="0.25">
      <c r="A196" s="18">
        <v>43920</v>
      </c>
      <c r="B196" s="19">
        <v>-6.1899999999999997E-2</v>
      </c>
      <c r="C196" s="19">
        <v>-4.8599999999999997E-2</v>
      </c>
      <c r="D196" s="19">
        <v>3.5400000000000001E-2</v>
      </c>
      <c r="E196" s="19">
        <v>-4.8696986301369857E-2</v>
      </c>
      <c r="F196" s="19">
        <v>-6.1996986301369857E-2</v>
      </c>
    </row>
    <row r="197" spans="1:6" x14ac:dyDescent="0.25">
      <c r="A197" s="18">
        <v>43917</v>
      </c>
      <c r="B197" s="19">
        <v>-8.5000000000000006E-3</v>
      </c>
      <c r="C197" s="19">
        <v>2.7000000000000001E-3</v>
      </c>
      <c r="D197" s="19">
        <v>3.4540000000000001E-2</v>
      </c>
      <c r="E197" s="19">
        <v>2.6053698630136989E-3</v>
      </c>
      <c r="F197" s="19">
        <v>-8.5946301369863014E-3</v>
      </c>
    </row>
    <row r="198" spans="1:6" x14ac:dyDescent="0.25">
      <c r="A198" s="18">
        <v>43916</v>
      </c>
      <c r="B198" s="19">
        <v>-2.3300000000000001E-2</v>
      </c>
      <c r="C198" s="19">
        <v>5.7000000000000002E-3</v>
      </c>
      <c r="D198" s="19">
        <v>3.2989999999999998E-2</v>
      </c>
      <c r="E198" s="19">
        <v>5.6096164383561643E-3</v>
      </c>
      <c r="F198" s="19">
        <v>-2.3390383561643836E-2</v>
      </c>
    </row>
    <row r="199" spans="1:6" x14ac:dyDescent="0.25">
      <c r="A199" s="18">
        <v>43915</v>
      </c>
      <c r="B199" s="19">
        <v>6.9400000000000003E-2</v>
      </c>
      <c r="C199" s="19">
        <v>4.7100000000000003E-2</v>
      </c>
      <c r="D199" s="19">
        <v>2.9690000000000001E-2</v>
      </c>
      <c r="E199" s="19">
        <v>4.7018657534246576E-2</v>
      </c>
      <c r="F199" s="19">
        <v>6.9318657534246583E-2</v>
      </c>
    </row>
    <row r="200" spans="1:6" x14ac:dyDescent="0.25">
      <c r="A200" s="18">
        <v>43914</v>
      </c>
      <c r="B200" s="19">
        <v>4.2700000000000002E-2</v>
      </c>
      <c r="C200" s="19">
        <v>-1.11E-2</v>
      </c>
      <c r="D200" s="19">
        <v>3.1579999999999997E-2</v>
      </c>
      <c r="E200" s="19">
        <v>-1.1186520547945207E-2</v>
      </c>
      <c r="F200" s="19">
        <v>4.2613479452054799E-2</v>
      </c>
    </row>
    <row r="201" spans="1:6" x14ac:dyDescent="0.25">
      <c r="A201" s="18">
        <v>43913</v>
      </c>
      <c r="B201" s="19">
        <v>-6.9099999999999995E-2</v>
      </c>
      <c r="C201" s="19">
        <v>-6.08E-2</v>
      </c>
      <c r="D201" s="19">
        <v>3.1699999999999999E-2</v>
      </c>
      <c r="E201" s="19">
        <v>-6.0886849315068492E-2</v>
      </c>
      <c r="F201" s="19">
        <v>-6.9186849315068494E-2</v>
      </c>
    </row>
    <row r="202" spans="1:6" x14ac:dyDescent="0.25">
      <c r="A202" s="18">
        <v>43910</v>
      </c>
      <c r="B202" s="19">
        <v>4.7E-2</v>
      </c>
      <c r="C202" s="19">
        <v>-2.23E-2</v>
      </c>
      <c r="D202" s="19">
        <v>2.8799999999999999E-2</v>
      </c>
      <c r="E202" s="19">
        <v>-2.2378904109589041E-2</v>
      </c>
      <c r="F202" s="19">
        <v>4.6921095890410956E-2</v>
      </c>
    </row>
    <row r="203" spans="1:6" x14ac:dyDescent="0.25">
      <c r="A203" s="18">
        <v>43909</v>
      </c>
      <c r="B203" s="19">
        <v>-4.6600000000000003E-2</v>
      </c>
      <c r="C203" s="19">
        <v>-2.9100000000000001E-2</v>
      </c>
      <c r="D203" s="19">
        <v>2.845E-2</v>
      </c>
      <c r="E203" s="19">
        <v>-2.9177945205479453E-2</v>
      </c>
      <c r="F203" s="19">
        <v>-4.6677945205479451E-2</v>
      </c>
    </row>
    <row r="204" spans="1:6" x14ac:dyDescent="0.25">
      <c r="A204" s="18">
        <v>43908</v>
      </c>
      <c r="B204" s="19">
        <v>-3.0099999999999998E-2</v>
      </c>
      <c r="C204" s="19">
        <v>2.5000000000000001E-3</v>
      </c>
      <c r="D204" s="19">
        <v>2.596E-2</v>
      </c>
      <c r="E204" s="19">
        <v>2.4288767123287671E-3</v>
      </c>
      <c r="F204" s="19">
        <v>-3.0171123287671232E-2</v>
      </c>
    </row>
    <row r="205" spans="1:6" x14ac:dyDescent="0.25">
      <c r="A205" s="18">
        <v>43907</v>
      </c>
      <c r="B205" s="19">
        <v>8.3999999999999995E-3</v>
      </c>
      <c r="C205" s="19">
        <v>-2.8E-3</v>
      </c>
      <c r="D205" s="19">
        <v>2.4729999999999999E-2</v>
      </c>
      <c r="E205" s="19">
        <v>-2.8677534246575342E-3</v>
      </c>
      <c r="F205" s="19">
        <v>8.3322465753424644E-3</v>
      </c>
    </row>
    <row r="206" spans="1:6" x14ac:dyDescent="0.25">
      <c r="A206" s="18">
        <v>43906</v>
      </c>
      <c r="B206" s="19">
        <v>4.0399999999999998E-2</v>
      </c>
      <c r="C206" s="19">
        <v>-1.83E-2</v>
      </c>
      <c r="D206" s="19">
        <v>2.4240000000000001E-2</v>
      </c>
      <c r="E206" s="19">
        <v>-1.8366410958904109E-2</v>
      </c>
      <c r="F206" s="19">
        <v>4.0333589041095887E-2</v>
      </c>
    </row>
    <row r="207" spans="1:6" x14ac:dyDescent="0.25">
      <c r="A207" s="18">
        <v>43903</v>
      </c>
      <c r="B207" s="19">
        <v>-4.0399999999999998E-2</v>
      </c>
      <c r="C207" s="19">
        <v>-9.7000000000000003E-3</v>
      </c>
      <c r="D207" s="19">
        <v>2.4389999999999998E-2</v>
      </c>
      <c r="E207" s="19">
        <v>-9.7668219178082202E-3</v>
      </c>
      <c r="F207" s="19">
        <v>-4.0466821917808218E-2</v>
      </c>
    </row>
    <row r="208" spans="1:6" x14ac:dyDescent="0.25">
      <c r="A208" s="18">
        <v>43902</v>
      </c>
      <c r="B208" s="19">
        <v>-6.9000000000000006E-2</v>
      </c>
      <c r="C208" s="19">
        <v>-5.1900000000000002E-2</v>
      </c>
      <c r="D208" s="19">
        <v>2.4140000000000002E-2</v>
      </c>
      <c r="E208" s="19">
        <v>-5.196613698630137E-2</v>
      </c>
      <c r="F208" s="19">
        <v>-6.9066136986301374E-2</v>
      </c>
    </row>
    <row r="209" spans="1:6" x14ac:dyDescent="0.25">
      <c r="A209" s="18">
        <v>43901</v>
      </c>
      <c r="B209" s="19">
        <v>-6.8599999999999994E-2</v>
      </c>
      <c r="C209" s="19">
        <v>-3.1199999999999999E-2</v>
      </c>
      <c r="D209" s="19">
        <v>2.3019999999999999E-2</v>
      </c>
      <c r="E209" s="19">
        <v>-3.1263068493150685E-2</v>
      </c>
      <c r="F209" s="19">
        <v>-6.8663068493150681E-2</v>
      </c>
    </row>
    <row r="210" spans="1:6" x14ac:dyDescent="0.25">
      <c r="A210" s="18">
        <v>43900</v>
      </c>
      <c r="B210" s="19">
        <v>-4.99E-2</v>
      </c>
      <c r="C210" s="19">
        <v>2.3999999999999998E-3</v>
      </c>
      <c r="D210" s="19">
        <v>2.3380000000000001E-2</v>
      </c>
      <c r="E210" s="19">
        <v>2.3359452054794519E-3</v>
      </c>
      <c r="F210" s="19">
        <v>-4.9964054794520547E-2</v>
      </c>
    </row>
    <row r="211" spans="1:6" x14ac:dyDescent="0.25">
      <c r="A211" s="18">
        <v>43899</v>
      </c>
      <c r="B211" s="19">
        <v>-6.9699999999999998E-2</v>
      </c>
      <c r="C211" s="19">
        <v>-6.2799999999999995E-2</v>
      </c>
      <c r="D211" s="19">
        <v>2.2349999999999998E-2</v>
      </c>
      <c r="E211" s="19">
        <v>-6.2861232876712317E-2</v>
      </c>
      <c r="F211" s="19">
        <v>-6.976123287671232E-2</v>
      </c>
    </row>
    <row r="212" spans="1:6" x14ac:dyDescent="0.25">
      <c r="A212" s="18">
        <v>43896</v>
      </c>
      <c r="B212" s="19">
        <v>-7.7000000000000002E-3</v>
      </c>
      <c r="C212" s="19">
        <v>-2.0999999999999999E-3</v>
      </c>
      <c r="D212" s="19">
        <v>2.3400000000000001E-2</v>
      </c>
      <c r="E212" s="19">
        <v>-2.1641095890410958E-3</v>
      </c>
      <c r="F212" s="19">
        <v>-7.7641095890410962E-3</v>
      </c>
    </row>
    <row r="213" spans="1:6" x14ac:dyDescent="0.25">
      <c r="A213" s="18">
        <v>43895</v>
      </c>
      <c r="B213" s="19">
        <v>0</v>
      </c>
      <c r="C213" s="19">
        <v>4.4000000000000003E-3</v>
      </c>
      <c r="D213" s="19">
        <v>2.4629999999999999E-2</v>
      </c>
      <c r="E213" s="19">
        <v>4.332520547945206E-3</v>
      </c>
      <c r="F213" s="19">
        <v>-6.7479452054794513E-5</v>
      </c>
    </row>
    <row r="214" spans="1:6" x14ac:dyDescent="0.25">
      <c r="A214" s="18">
        <v>43894</v>
      </c>
      <c r="B214" s="19">
        <v>-2.3800000000000002E-2</v>
      </c>
      <c r="C214" s="19">
        <v>-1.4E-3</v>
      </c>
      <c r="D214" s="19">
        <v>2.5559999999999999E-2</v>
      </c>
      <c r="E214" s="19">
        <v>-1.470027397260274E-3</v>
      </c>
      <c r="F214" s="19">
        <v>-2.3870027397260275E-2</v>
      </c>
    </row>
    <row r="215" spans="1:6" x14ac:dyDescent="0.25">
      <c r="A215" s="18">
        <v>43893</v>
      </c>
      <c r="B215" s="19">
        <v>1.2699999999999999E-2</v>
      </c>
      <c r="C215" s="19">
        <v>7.0000000000000001E-3</v>
      </c>
      <c r="D215" s="19">
        <v>2.7539999999999999E-2</v>
      </c>
      <c r="E215" s="19">
        <v>6.9245479452054795E-3</v>
      </c>
      <c r="F215" s="19">
        <v>1.262454794520548E-2</v>
      </c>
    </row>
    <row r="216" spans="1:6" x14ac:dyDescent="0.25">
      <c r="A216" s="18">
        <v>43892</v>
      </c>
      <c r="B216" s="19">
        <v>4.2200000000000001E-2</v>
      </c>
      <c r="C216" s="19">
        <v>2.5000000000000001E-3</v>
      </c>
      <c r="D216" s="19">
        <v>2.8060000000000002E-2</v>
      </c>
      <c r="E216" s="19">
        <v>2.4231232876712329E-3</v>
      </c>
      <c r="F216" s="19">
        <v>4.2123123287671232E-2</v>
      </c>
    </row>
    <row r="217" spans="1:6" x14ac:dyDescent="0.25">
      <c r="A217" s="18">
        <v>43889</v>
      </c>
      <c r="B217" s="19">
        <v>-4.0500000000000001E-2</v>
      </c>
      <c r="C217" s="19">
        <v>-1.8100000000000002E-2</v>
      </c>
      <c r="D217" s="19">
        <v>2.8559999999999999E-2</v>
      </c>
      <c r="E217" s="19">
        <v>-1.8178246575342467E-2</v>
      </c>
      <c r="F217" s="19">
        <v>-4.0578246575342466E-2</v>
      </c>
    </row>
    <row r="218" spans="1:6" x14ac:dyDescent="0.25">
      <c r="A218" s="18">
        <v>43888</v>
      </c>
      <c r="B218" s="19">
        <v>-1.1299999999999999E-2</v>
      </c>
      <c r="C218" s="19">
        <v>2.8E-3</v>
      </c>
      <c r="D218" s="19">
        <v>2.8969999999999999E-2</v>
      </c>
      <c r="E218" s="19">
        <v>2.7206301369863016E-3</v>
      </c>
      <c r="F218" s="19">
        <v>-1.1379369863013697E-2</v>
      </c>
    </row>
    <row r="219" spans="1:6" x14ac:dyDescent="0.25">
      <c r="A219" s="18">
        <v>43887</v>
      </c>
      <c r="B219" s="19">
        <v>-3.73E-2</v>
      </c>
      <c r="C219" s="19">
        <v>-1.5100000000000001E-2</v>
      </c>
      <c r="D219" s="19">
        <v>2.8639999999999999E-2</v>
      </c>
      <c r="E219" s="19">
        <v>-1.5178465753424658E-2</v>
      </c>
      <c r="F219" s="19">
        <v>-3.7378465753424656E-2</v>
      </c>
    </row>
    <row r="220" spans="1:6" x14ac:dyDescent="0.25">
      <c r="A220" s="18">
        <v>43886</v>
      </c>
      <c r="B220" s="19">
        <v>-1.0699999999999999E-2</v>
      </c>
      <c r="C220" s="19">
        <v>7.0000000000000001E-3</v>
      </c>
      <c r="D220" s="19">
        <v>2.8799999999999999E-2</v>
      </c>
      <c r="E220" s="19">
        <v>6.9210958904109589E-3</v>
      </c>
      <c r="F220" s="19">
        <v>-1.077890410958904E-2</v>
      </c>
    </row>
    <row r="221" spans="1:6" x14ac:dyDescent="0.25">
      <c r="A221" s="18">
        <v>43885</v>
      </c>
      <c r="B221" s="19">
        <v>-1.7600000000000001E-2</v>
      </c>
      <c r="C221" s="19">
        <v>-3.1899999999999998E-2</v>
      </c>
      <c r="D221" s="19">
        <v>2.9559999999999999E-2</v>
      </c>
      <c r="E221" s="19">
        <v>-3.1980986301369863E-2</v>
      </c>
      <c r="F221" s="19">
        <v>-1.7680986301369866E-2</v>
      </c>
    </row>
    <row r="222" spans="1:6" x14ac:dyDescent="0.25">
      <c r="A222" s="18">
        <v>43882</v>
      </c>
      <c r="B222" s="19">
        <v>1.1999999999999999E-3</v>
      </c>
      <c r="C222" s="19">
        <v>-5.4000000000000003E-3</v>
      </c>
      <c r="D222" s="19">
        <v>2.877E-2</v>
      </c>
      <c r="E222" s="19">
        <v>-5.4788219178082192E-3</v>
      </c>
      <c r="F222" s="19">
        <v>1.1211780821917807E-3</v>
      </c>
    </row>
    <row r="223" spans="1:6" x14ac:dyDescent="0.25">
      <c r="A223" s="18">
        <v>43881</v>
      </c>
      <c r="B223" s="19">
        <v>0</v>
      </c>
      <c r="C223" s="19">
        <v>1.01E-2</v>
      </c>
      <c r="D223" s="19">
        <v>2.8389999999999999E-2</v>
      </c>
      <c r="E223" s="19">
        <v>1.0022219178082192E-2</v>
      </c>
      <c r="F223" s="19">
        <v>-7.7780821917808218E-5</v>
      </c>
    </row>
    <row r="224" spans="1:6" x14ac:dyDescent="0.25">
      <c r="A224" s="18">
        <v>43880</v>
      </c>
      <c r="B224" s="19">
        <v>-8.0999999999999996E-3</v>
      </c>
      <c r="C224" s="19">
        <v>8.9999999999999998E-4</v>
      </c>
      <c r="D224" s="19">
        <v>2.8500000000000001E-2</v>
      </c>
      <c r="E224" s="19">
        <v>8.2191780821917802E-4</v>
      </c>
      <c r="F224" s="19">
        <v>-8.1780821917808218E-3</v>
      </c>
    </row>
    <row r="225" spans="1:6" x14ac:dyDescent="0.25">
      <c r="A225" s="18">
        <v>43879</v>
      </c>
      <c r="B225" s="19">
        <v>-1.49E-2</v>
      </c>
      <c r="C225" s="19">
        <v>-7.3000000000000001E-3</v>
      </c>
      <c r="D225" s="19">
        <v>2.835E-2</v>
      </c>
      <c r="E225" s="19">
        <v>-7.3776712328767124E-3</v>
      </c>
      <c r="F225" s="19">
        <v>-1.4977671232876712E-2</v>
      </c>
    </row>
    <row r="226" spans="1:6" x14ac:dyDescent="0.25">
      <c r="A226" s="18">
        <v>43878</v>
      </c>
      <c r="B226" s="19">
        <v>-1.3599999999999999E-2</v>
      </c>
      <c r="C226" s="19">
        <v>-2.8999999999999998E-3</v>
      </c>
      <c r="D226" s="19">
        <v>2.8230000000000002E-2</v>
      </c>
      <c r="E226" s="19">
        <v>-2.9773424657534246E-3</v>
      </c>
      <c r="F226" s="19">
        <v>-1.3677342465753424E-2</v>
      </c>
    </row>
    <row r="227" spans="1:6" x14ac:dyDescent="0.25">
      <c r="A227" s="18">
        <v>43875</v>
      </c>
      <c r="B227" s="19">
        <v>1.14E-2</v>
      </c>
      <c r="C227" s="19">
        <v>-8.0000000000000004E-4</v>
      </c>
      <c r="D227" s="19">
        <v>2.9749999999999999E-2</v>
      </c>
      <c r="E227" s="19">
        <v>-8.8150684931506858E-4</v>
      </c>
      <c r="F227" s="19">
        <v>1.1318493150684932E-2</v>
      </c>
    </row>
    <row r="228" spans="1:6" x14ac:dyDescent="0.25">
      <c r="A228" s="18">
        <v>43874</v>
      </c>
      <c r="B228" s="19">
        <v>1.7399999999999999E-2</v>
      </c>
      <c r="C228" s="19">
        <v>5.9999999999999995E-4</v>
      </c>
      <c r="D228" s="19">
        <v>3.09E-2</v>
      </c>
      <c r="E228" s="19">
        <v>5.1534246575342456E-4</v>
      </c>
      <c r="F228" s="19">
        <v>1.7315342465753423E-2</v>
      </c>
    </row>
    <row r="229" spans="1:6" x14ac:dyDescent="0.25">
      <c r="A229" s="18">
        <v>43873</v>
      </c>
      <c r="B229" s="19">
        <v>4.7000000000000002E-3</v>
      </c>
      <c r="C229" s="19">
        <v>3.2000000000000002E-3</v>
      </c>
      <c r="D229" s="19">
        <v>3.0269999999999998E-2</v>
      </c>
      <c r="E229" s="19">
        <v>3.117068493150685E-3</v>
      </c>
      <c r="F229" s="19">
        <v>4.6170684931506854E-3</v>
      </c>
    </row>
    <row r="230" spans="1:6" x14ac:dyDescent="0.25">
      <c r="A230" s="18">
        <v>43872</v>
      </c>
      <c r="B230" s="19">
        <v>-1.38E-2</v>
      </c>
      <c r="C230" s="19">
        <v>4.1999999999999997E-3</v>
      </c>
      <c r="D230" s="19">
        <v>3.0720000000000001E-2</v>
      </c>
      <c r="E230" s="19">
        <v>4.1158356164383561E-3</v>
      </c>
      <c r="F230" s="19">
        <v>-1.3884164383561643E-2</v>
      </c>
    </row>
    <row r="231" spans="1:6" x14ac:dyDescent="0.25">
      <c r="A231" s="18">
        <v>43871</v>
      </c>
      <c r="B231" s="19">
        <v>9.2999999999999992E-3</v>
      </c>
      <c r="C231" s="19">
        <v>-1.0699999999999999E-2</v>
      </c>
      <c r="D231" s="19">
        <v>3.075E-2</v>
      </c>
      <c r="E231" s="19">
        <v>-1.0784246575342465E-2</v>
      </c>
      <c r="F231" s="19">
        <v>9.2157534246575332E-3</v>
      </c>
    </row>
    <row r="232" spans="1:6" x14ac:dyDescent="0.25">
      <c r="A232" s="18">
        <v>43868</v>
      </c>
      <c r="B232" s="19">
        <v>1.1999999999999999E-3</v>
      </c>
      <c r="C232" s="19">
        <v>2.3999999999999998E-3</v>
      </c>
      <c r="D232" s="19">
        <v>3.0460000000000001E-2</v>
      </c>
      <c r="E232" s="19">
        <v>2.3165479452054794E-3</v>
      </c>
      <c r="F232" s="19">
        <v>1.1165479452054793E-3</v>
      </c>
    </row>
    <row r="233" spans="1:6" x14ac:dyDescent="0.25">
      <c r="A233" s="18">
        <v>43867</v>
      </c>
      <c r="B233" s="19">
        <v>5.2699999999999997E-2</v>
      </c>
      <c r="C233" s="19">
        <v>1.3599999999999999E-2</v>
      </c>
      <c r="D233" s="19">
        <v>3.0130000000000001E-2</v>
      </c>
      <c r="E233" s="19">
        <v>1.3517452054794521E-2</v>
      </c>
      <c r="F233" s="19">
        <v>5.2617452054794518E-2</v>
      </c>
    </row>
    <row r="234" spans="1:6" x14ac:dyDescent="0.25">
      <c r="A234" s="18">
        <v>43866</v>
      </c>
      <c r="B234" s="19">
        <v>-4.8999999999999998E-3</v>
      </c>
      <c r="C234" s="19">
        <v>-3.3999999999999998E-3</v>
      </c>
      <c r="D234" s="19">
        <v>3.0679999999999999E-2</v>
      </c>
      <c r="E234" s="19">
        <v>-3.4840547945205478E-3</v>
      </c>
      <c r="F234" s="19">
        <v>-4.9840547945205474E-3</v>
      </c>
    </row>
    <row r="235" spans="1:6" x14ac:dyDescent="0.25">
      <c r="A235" s="18">
        <v>43865</v>
      </c>
      <c r="B235" s="19">
        <v>-1.44E-2</v>
      </c>
      <c r="C235" s="19">
        <v>1E-3</v>
      </c>
      <c r="D235" s="19">
        <v>3.1280000000000002E-2</v>
      </c>
      <c r="E235" s="19">
        <v>9.1430136986301366E-4</v>
      </c>
      <c r="F235" s="19">
        <v>-1.4485698630136986E-2</v>
      </c>
    </row>
    <row r="236" spans="1:6" x14ac:dyDescent="0.25">
      <c r="A236" s="18">
        <v>43864</v>
      </c>
      <c r="B236" s="19">
        <v>-3.8199999999999998E-2</v>
      </c>
      <c r="C236" s="19">
        <v>-9.1000000000000004E-3</v>
      </c>
      <c r="D236" s="19">
        <v>3.3279999999999997E-2</v>
      </c>
      <c r="E236" s="19">
        <v>-9.1911780821917807E-3</v>
      </c>
      <c r="F236" s="19">
        <v>-3.8291178082191776E-2</v>
      </c>
    </row>
    <row r="237" spans="1:6" x14ac:dyDescent="0.25">
      <c r="A237" s="18">
        <v>43861</v>
      </c>
      <c r="B237" s="19">
        <v>-5.9799999999999999E-2</v>
      </c>
      <c r="C237" s="19">
        <v>-2.3900000000000001E-2</v>
      </c>
      <c r="D237" s="19">
        <v>3.1570000000000001E-2</v>
      </c>
      <c r="E237" s="19">
        <v>-2.3986493150684931E-2</v>
      </c>
      <c r="F237" s="19">
        <v>-5.9886493150684929E-2</v>
      </c>
    </row>
    <row r="238" spans="1:6" x14ac:dyDescent="0.25">
      <c r="A238" s="18">
        <v>43860</v>
      </c>
      <c r="B238" s="19">
        <v>-3.0599999999999999E-2</v>
      </c>
      <c r="C238" s="19">
        <v>-3.2199999999999999E-2</v>
      </c>
      <c r="D238" s="19">
        <v>3.1440000000000003E-2</v>
      </c>
      <c r="E238" s="19">
        <v>-3.2286136986301367E-2</v>
      </c>
      <c r="F238" s="19">
        <v>-3.068613698630137E-2</v>
      </c>
    </row>
    <row r="239" spans="1:6" x14ac:dyDescent="0.25">
      <c r="A239" s="18">
        <v>43852</v>
      </c>
      <c r="B239" s="19">
        <v>0</v>
      </c>
      <c r="C239" s="19">
        <v>5.1999999999999998E-3</v>
      </c>
      <c r="D239" s="19">
        <v>3.1109999999999999E-2</v>
      </c>
      <c r="E239" s="19">
        <v>5.114767123287671E-3</v>
      </c>
      <c r="F239" s="19">
        <v>-8.5232876712328765E-5</v>
      </c>
    </row>
    <row r="240" spans="1:6" x14ac:dyDescent="0.25">
      <c r="A240" s="18">
        <v>43851</v>
      </c>
      <c r="B240" s="19">
        <v>1.61E-2</v>
      </c>
      <c r="C240" s="19">
        <v>7.9000000000000008E-3</v>
      </c>
      <c r="D240" s="19">
        <v>3.0720000000000001E-2</v>
      </c>
      <c r="E240" s="19">
        <v>7.8158356164383571E-3</v>
      </c>
      <c r="F240" s="19">
        <v>1.6015835616438354E-2</v>
      </c>
    </row>
    <row r="241" spans="1:6" x14ac:dyDescent="0.25">
      <c r="A241" s="18">
        <v>43850</v>
      </c>
      <c r="B241" s="19">
        <v>2.0999999999999999E-3</v>
      </c>
      <c r="C241" s="19">
        <v>-2.9999999999999997E-4</v>
      </c>
      <c r="D241" s="19">
        <v>2.9440000000000001E-2</v>
      </c>
      <c r="E241" s="19">
        <v>-3.8065753424657532E-4</v>
      </c>
      <c r="F241" s="19">
        <v>2.0193424657534245E-3</v>
      </c>
    </row>
    <row r="242" spans="1:6" x14ac:dyDescent="0.25">
      <c r="A242" s="18">
        <v>43847</v>
      </c>
      <c r="B242" s="19">
        <v>-1.1000000000000001E-3</v>
      </c>
      <c r="C242" s="19">
        <v>4.7999999999999996E-3</v>
      </c>
      <c r="D242" s="19">
        <v>2.8459999999999999E-2</v>
      </c>
      <c r="E242" s="19">
        <v>4.7220273972602735E-3</v>
      </c>
      <c r="F242" s="19">
        <v>-1.1779726027397262E-3</v>
      </c>
    </row>
    <row r="243" spans="1:6" x14ac:dyDescent="0.25">
      <c r="A243" s="18">
        <v>43846</v>
      </c>
      <c r="B243" s="19">
        <v>-7.4000000000000003E-3</v>
      </c>
      <c r="C243" s="19">
        <v>7.0000000000000001E-3</v>
      </c>
      <c r="D243" s="19">
        <v>2.8760000000000001E-2</v>
      </c>
      <c r="E243" s="19">
        <v>6.921205479452055E-3</v>
      </c>
      <c r="F243" s="19">
        <v>-7.4787945205479454E-3</v>
      </c>
    </row>
    <row r="244" spans="1:6" x14ac:dyDescent="0.25">
      <c r="A244" s="18">
        <v>43845</v>
      </c>
      <c r="B244" s="19">
        <v>-9.4999999999999998E-3</v>
      </c>
      <c r="C244" s="19">
        <v>5.9999999999999995E-4</v>
      </c>
      <c r="D244" s="19">
        <v>2.9229999999999999E-2</v>
      </c>
      <c r="E244" s="19">
        <v>5.1991780821917806E-4</v>
      </c>
      <c r="F244" s="19">
        <v>-9.5800821917808223E-3</v>
      </c>
    </row>
    <row r="245" spans="1:6" x14ac:dyDescent="0.25">
      <c r="A245" s="18">
        <v>43844</v>
      </c>
      <c r="B245" s="19">
        <v>-4.1999999999999997E-3</v>
      </c>
      <c r="C245" s="19">
        <v>1.1999999999999999E-3</v>
      </c>
      <c r="D245" s="19">
        <v>3.0349999999999999E-2</v>
      </c>
      <c r="E245" s="19">
        <v>1.1168493150684931E-3</v>
      </c>
      <c r="F245" s="19">
        <v>-4.2831506849315068E-3</v>
      </c>
    </row>
    <row r="246" spans="1:6" x14ac:dyDescent="0.25">
      <c r="A246" s="18">
        <v>43843</v>
      </c>
      <c r="B246" s="19">
        <v>-6.3E-3</v>
      </c>
      <c r="C246" s="19">
        <v>-2.8E-3</v>
      </c>
      <c r="D246" s="19">
        <v>3.0679999999999999E-2</v>
      </c>
      <c r="E246" s="19">
        <v>-2.8840547945205479E-3</v>
      </c>
      <c r="F246" s="19">
        <v>-6.3840547945205476E-3</v>
      </c>
    </row>
    <row r="247" spans="1:6" x14ac:dyDescent="0.25">
      <c r="A247" s="18">
        <v>43840</v>
      </c>
      <c r="B247" s="19">
        <v>7.4000000000000003E-3</v>
      </c>
      <c r="C247" s="19">
        <v>8.6999999999999994E-3</v>
      </c>
      <c r="D247" s="19">
        <v>3.075E-2</v>
      </c>
      <c r="E247" s="19">
        <v>8.6157534246575334E-3</v>
      </c>
      <c r="F247" s="19">
        <v>7.3157534246575343E-3</v>
      </c>
    </row>
    <row r="248" spans="1:6" x14ac:dyDescent="0.25">
      <c r="A248" s="18">
        <v>43839</v>
      </c>
      <c r="B248" s="19">
        <v>-1.8599999999999998E-2</v>
      </c>
      <c r="C248" s="19">
        <v>1.18E-2</v>
      </c>
      <c r="D248" s="19">
        <v>3.0779999999999998E-2</v>
      </c>
      <c r="E248" s="19">
        <v>1.1715671232876711E-2</v>
      </c>
      <c r="F248" s="19">
        <v>-1.8684328767123285E-2</v>
      </c>
    </row>
    <row r="249" spans="1:6" x14ac:dyDescent="0.25">
      <c r="A249" s="18">
        <v>43838</v>
      </c>
      <c r="B249" s="19">
        <v>-1E-3</v>
      </c>
      <c r="C249" s="19">
        <v>-1.03E-2</v>
      </c>
      <c r="D249" s="19">
        <v>3.1150000000000001E-2</v>
      </c>
      <c r="E249" s="19">
        <v>-1.0385342465753424E-2</v>
      </c>
      <c r="F249" s="19">
        <v>-1.0853424657534248E-3</v>
      </c>
    </row>
    <row r="250" spans="1:6" x14ac:dyDescent="0.25">
      <c r="A250" s="18">
        <v>43837</v>
      </c>
      <c r="B250" s="19">
        <v>-7.1999999999999998E-3</v>
      </c>
      <c r="C250" s="19">
        <v>3.2000000000000002E-3</v>
      </c>
      <c r="D250" s="19">
        <v>3.1690000000000003E-2</v>
      </c>
      <c r="E250" s="19">
        <v>3.113178082191781E-3</v>
      </c>
      <c r="F250" s="19">
        <v>-7.2868219178082189E-3</v>
      </c>
    </row>
    <row r="251" spans="1:6" x14ac:dyDescent="0.25">
      <c r="A251" s="18">
        <v>43836</v>
      </c>
      <c r="B251" s="19">
        <v>3.1600000000000003E-2</v>
      </c>
      <c r="C251" s="19">
        <v>-9.7000000000000003E-3</v>
      </c>
      <c r="D251" s="19">
        <v>3.2120000000000003E-2</v>
      </c>
      <c r="E251" s="19">
        <v>-9.7879999999999998E-3</v>
      </c>
      <c r="F251" s="19">
        <v>3.1512000000000005E-2</v>
      </c>
    </row>
    <row r="252" spans="1:6" x14ac:dyDescent="0.25">
      <c r="A252" s="18">
        <v>43833</v>
      </c>
      <c r="B252" s="19">
        <v>2.0999999999999999E-3</v>
      </c>
      <c r="C252" s="19">
        <v>-1.6000000000000001E-3</v>
      </c>
      <c r="D252" s="19">
        <v>3.3750000000000002E-2</v>
      </c>
      <c r="E252" s="19">
        <v>-1.6924657534246577E-3</v>
      </c>
      <c r="F252" s="19">
        <v>2.0075342465753422E-3</v>
      </c>
    </row>
    <row r="253" spans="1:6" x14ac:dyDescent="0.25">
      <c r="A253" s="18">
        <v>43832</v>
      </c>
      <c r="B253" s="19">
        <v>9.5999999999999992E-3</v>
      </c>
      <c r="C253" s="19">
        <v>5.8999999999999999E-3</v>
      </c>
      <c r="D253" s="19">
        <v>3.4169999999999999E-2</v>
      </c>
      <c r="E253" s="19">
        <v>5.8063835616438356E-3</v>
      </c>
      <c r="F253" s="19">
        <v>9.5063835616438341E-3</v>
      </c>
    </row>
    <row r="254" spans="1:6" x14ac:dyDescent="0.25">
      <c r="A254" s="18">
        <v>43830</v>
      </c>
      <c r="B254" s="19">
        <v>-2.8000000000000001E-2</v>
      </c>
      <c r="C254" s="19">
        <v>-4.1999999999999997E-3</v>
      </c>
      <c r="D254" s="19">
        <v>3.3779999999999998E-2</v>
      </c>
      <c r="E254" s="19">
        <v>-4.2925479452054788E-3</v>
      </c>
      <c r="F254" s="19">
        <v>-2.8092547945205479E-2</v>
      </c>
    </row>
    <row r="255" spans="1:6" x14ac:dyDescent="0.25">
      <c r="A255" s="18">
        <v>43829</v>
      </c>
      <c r="B255" s="19">
        <v>-6.1999999999999998E-3</v>
      </c>
      <c r="C255" s="19">
        <v>1.6000000000000001E-3</v>
      </c>
      <c r="D255" s="19">
        <v>3.3860000000000001E-2</v>
      </c>
      <c r="E255" s="19">
        <v>1.5072328767123289E-3</v>
      </c>
      <c r="F255" s="19">
        <v>-6.2927671232876712E-3</v>
      </c>
    </row>
    <row r="256" spans="1:6" x14ac:dyDescent="0.25">
      <c r="A256" s="18">
        <v>43826</v>
      </c>
      <c r="B256" s="19">
        <v>8.3000000000000001E-3</v>
      </c>
      <c r="C256" s="19">
        <v>5.1000000000000004E-3</v>
      </c>
      <c r="D256" s="19">
        <v>3.3700000000000001E-2</v>
      </c>
      <c r="E256" s="19">
        <v>5.0076712328767127E-3</v>
      </c>
      <c r="F256" s="19">
        <v>8.2076712328767124E-3</v>
      </c>
    </row>
    <row r="257" spans="1:6" x14ac:dyDescent="0.25">
      <c r="A257" s="18">
        <v>43825</v>
      </c>
      <c r="B257" s="19">
        <v>-7.1999999999999998E-3</v>
      </c>
      <c r="C257" s="19">
        <v>-2.3999999999999998E-3</v>
      </c>
      <c r="D257" s="19">
        <v>3.3750000000000002E-2</v>
      </c>
      <c r="E257" s="19">
        <v>-2.4924657534246574E-3</v>
      </c>
      <c r="F257" s="19">
        <v>-7.2924657534246574E-3</v>
      </c>
    </row>
    <row r="258" spans="1:6" x14ac:dyDescent="0.25">
      <c r="A258" s="18">
        <v>43824</v>
      </c>
      <c r="B258" s="19">
        <v>6.1999999999999998E-3</v>
      </c>
      <c r="C258" s="19">
        <v>2.0999999999999999E-3</v>
      </c>
      <c r="D258" s="19">
        <v>3.422E-2</v>
      </c>
      <c r="E258" s="19">
        <v>2.0062465753424657E-3</v>
      </c>
      <c r="F258" s="19">
        <v>6.1062465753424656E-3</v>
      </c>
    </row>
    <row r="259" spans="1:6" x14ac:dyDescent="0.25">
      <c r="A259" s="18">
        <v>43823</v>
      </c>
      <c r="B259" s="19">
        <v>5.1999999999999998E-3</v>
      </c>
      <c r="C259" s="19">
        <v>-5.9999999999999995E-4</v>
      </c>
      <c r="D259" s="19">
        <v>3.456E-2</v>
      </c>
      <c r="E259" s="19">
        <v>-6.9468493150684929E-4</v>
      </c>
      <c r="F259" s="19">
        <v>5.1053150684931504E-3</v>
      </c>
    </row>
    <row r="260" spans="1:6" x14ac:dyDescent="0.25">
      <c r="A260" s="18">
        <v>43822</v>
      </c>
      <c r="B260" s="19">
        <v>-2.0999999999999999E-3</v>
      </c>
      <c r="C260" s="19">
        <v>3.2000000000000002E-3</v>
      </c>
      <c r="D260" s="19">
        <v>3.4840000000000003E-2</v>
      </c>
      <c r="E260" s="19">
        <v>3.1045479452054795E-3</v>
      </c>
      <c r="F260" s="19">
        <v>-2.1954520547945206E-3</v>
      </c>
    </row>
    <row r="261" spans="1:6" x14ac:dyDescent="0.25">
      <c r="A261" s="18">
        <v>43819</v>
      </c>
      <c r="B261" s="19">
        <v>2.0999999999999999E-3</v>
      </c>
      <c r="C261" s="19">
        <v>4.4000000000000003E-3</v>
      </c>
      <c r="D261" s="19">
        <v>3.4889999999999997E-2</v>
      </c>
      <c r="E261" s="19">
        <v>4.3044109589041096E-3</v>
      </c>
      <c r="F261" s="19">
        <v>2.0044109589041096E-3</v>
      </c>
    </row>
    <row r="262" spans="1:6" x14ac:dyDescent="0.25">
      <c r="A262" s="18">
        <v>43818</v>
      </c>
      <c r="B262" s="19">
        <v>3.0999999999999999E-3</v>
      </c>
      <c r="C262" s="19">
        <v>1.1999999999999999E-3</v>
      </c>
      <c r="D262" s="19">
        <v>3.492E-2</v>
      </c>
      <c r="E262" s="19">
        <v>1.1043287671232875E-3</v>
      </c>
      <c r="F262" s="19">
        <v>3.0043287671232878E-3</v>
      </c>
    </row>
    <row r="263" spans="1:6" x14ac:dyDescent="0.25">
      <c r="A263" s="18">
        <v>43817</v>
      </c>
      <c r="B263" s="19">
        <v>-2.0500000000000001E-2</v>
      </c>
      <c r="C263" s="19">
        <v>-3.0000000000000001E-3</v>
      </c>
      <c r="D263" s="19">
        <v>3.508E-2</v>
      </c>
      <c r="E263" s="19">
        <v>-3.0961095890410959E-3</v>
      </c>
      <c r="F263" s="19">
        <v>-2.0596109589041095E-2</v>
      </c>
    </row>
    <row r="264" spans="1:6" x14ac:dyDescent="0.25">
      <c r="A264" s="18">
        <v>43816</v>
      </c>
      <c r="B264" s="19">
        <v>-7.1000000000000004E-3</v>
      </c>
      <c r="C264" s="19">
        <v>-7.7000000000000002E-3</v>
      </c>
      <c r="D264" s="19">
        <v>3.5020000000000003E-2</v>
      </c>
      <c r="E264" s="19">
        <v>-7.7959452054794523E-3</v>
      </c>
      <c r="F264" s="19">
        <v>-7.1959452054794525E-3</v>
      </c>
    </row>
    <row r="265" spans="1:6" x14ac:dyDescent="0.25">
      <c r="A265" s="18">
        <v>43815</v>
      </c>
      <c r="B265" s="19">
        <v>2E-3</v>
      </c>
      <c r="C265" s="19">
        <v>-4.8999999999999998E-3</v>
      </c>
      <c r="D265" s="19">
        <v>3.5099999999999999E-2</v>
      </c>
      <c r="E265" s="19">
        <v>-4.9961643835616434E-3</v>
      </c>
      <c r="F265" s="19">
        <v>1.9038356164383563E-3</v>
      </c>
    </row>
    <row r="266" spans="1:6" x14ac:dyDescent="0.25">
      <c r="A266" s="18">
        <v>43812</v>
      </c>
      <c r="B266" s="19">
        <v>1E-3</v>
      </c>
      <c r="C266" s="19">
        <v>-2.0999999999999999E-3</v>
      </c>
      <c r="D266" s="19">
        <v>3.5060000000000001E-2</v>
      </c>
      <c r="E266" s="19">
        <v>-2.1960547945205477E-3</v>
      </c>
      <c r="F266" s="19">
        <v>9.039452054794521E-4</v>
      </c>
    </row>
    <row r="267" spans="1:6" x14ac:dyDescent="0.25">
      <c r="A267" s="18">
        <v>43811</v>
      </c>
      <c r="B267" s="19">
        <v>-2E-3</v>
      </c>
      <c r="C267" s="19">
        <v>6.6E-3</v>
      </c>
      <c r="D267" s="19">
        <v>3.5200000000000002E-2</v>
      </c>
      <c r="E267" s="19">
        <v>6.5035616438356165E-3</v>
      </c>
      <c r="F267" s="19">
        <v>-2.0964383561643835E-3</v>
      </c>
    </row>
    <row r="268" spans="1:6" x14ac:dyDescent="0.25">
      <c r="A268" s="18">
        <v>43810</v>
      </c>
      <c r="B268" s="19">
        <v>2E-3</v>
      </c>
      <c r="C268" s="19">
        <v>1.5E-3</v>
      </c>
      <c r="D268" s="19">
        <v>3.5130000000000002E-2</v>
      </c>
      <c r="E268" s="19">
        <v>1.4037534246575342E-3</v>
      </c>
      <c r="F268" s="19">
        <v>1.9037534246575342E-3</v>
      </c>
    </row>
    <row r="269" spans="1:6" x14ac:dyDescent="0.25">
      <c r="A269" s="18">
        <v>43809</v>
      </c>
      <c r="B269" s="19">
        <v>-1.9E-2</v>
      </c>
      <c r="C269" s="19">
        <v>-6.0000000000000001E-3</v>
      </c>
      <c r="D269" s="19">
        <v>3.5150000000000001E-2</v>
      </c>
      <c r="E269" s="19">
        <v>-6.0963013698630136E-3</v>
      </c>
      <c r="F269" s="19">
        <v>-1.9096301369863015E-2</v>
      </c>
    </row>
    <row r="270" spans="1:6" x14ac:dyDescent="0.25">
      <c r="A270" s="18">
        <v>43808</v>
      </c>
      <c r="B270" s="19">
        <v>1.84E-2</v>
      </c>
      <c r="C270" s="19">
        <v>2.5999999999999999E-3</v>
      </c>
      <c r="D270" s="19">
        <v>3.5139999999999998E-2</v>
      </c>
      <c r="E270" s="19">
        <v>2.5037260273972602E-3</v>
      </c>
      <c r="F270" s="19">
        <v>1.8303726027397261E-2</v>
      </c>
    </row>
    <row r="271" spans="1:6" x14ac:dyDescent="0.25">
      <c r="A271" s="18">
        <v>43805</v>
      </c>
      <c r="B271" s="19">
        <v>0</v>
      </c>
      <c r="C271" s="19">
        <v>2.9999999999999997E-4</v>
      </c>
      <c r="D271" s="19">
        <v>3.5029999999999999E-2</v>
      </c>
      <c r="E271" s="19">
        <v>2.0402739726027396E-4</v>
      </c>
      <c r="F271" s="19">
        <v>-9.5972602739726018E-5</v>
      </c>
    </row>
    <row r="272" spans="1:6" x14ac:dyDescent="0.25">
      <c r="A272" s="18">
        <v>43804</v>
      </c>
      <c r="B272" s="19">
        <v>-1.3100000000000001E-2</v>
      </c>
      <c r="C272" s="19">
        <v>-2.7000000000000001E-3</v>
      </c>
      <c r="D272" s="19">
        <v>3.5159999999999997E-2</v>
      </c>
      <c r="E272" s="19">
        <v>-2.7963287671232879E-3</v>
      </c>
      <c r="F272" s="19">
        <v>-1.3196328767123289E-2</v>
      </c>
    </row>
    <row r="273" spans="1:6" x14ac:dyDescent="0.25">
      <c r="A273" s="18">
        <v>43803</v>
      </c>
      <c r="B273" s="19">
        <v>2.1600000000000001E-2</v>
      </c>
      <c r="C273" s="19">
        <v>1.3100000000000001E-2</v>
      </c>
      <c r="D273" s="19">
        <v>3.542E-2</v>
      </c>
      <c r="E273" s="19">
        <v>1.300295890410959E-2</v>
      </c>
      <c r="F273" s="19">
        <v>2.1502958904109592E-2</v>
      </c>
    </row>
    <row r="274" spans="1:6" x14ac:dyDescent="0.25">
      <c r="A274" s="18">
        <v>43802</v>
      </c>
      <c r="B274" s="19">
        <v>-8.2000000000000007E-3</v>
      </c>
      <c r="C274" s="19">
        <v>-6.1000000000000004E-3</v>
      </c>
      <c r="D274" s="19">
        <v>3.5430000000000003E-2</v>
      </c>
      <c r="E274" s="19">
        <v>-6.1970684931506852E-3</v>
      </c>
      <c r="F274" s="19">
        <v>-8.2970684931506864E-3</v>
      </c>
    </row>
    <row r="275" spans="1:6" x14ac:dyDescent="0.25">
      <c r="A275" s="18">
        <v>43801</v>
      </c>
      <c r="B275" s="19">
        <v>-2.4899999999999999E-2</v>
      </c>
      <c r="C275" s="19">
        <v>-1.18E-2</v>
      </c>
      <c r="D275" s="19">
        <v>3.5450000000000002E-2</v>
      </c>
      <c r="E275" s="19">
        <v>-1.1897123287671233E-2</v>
      </c>
      <c r="F275" s="19">
        <v>-2.499712328767123E-2</v>
      </c>
    </row>
    <row r="276" spans="1:6" x14ac:dyDescent="0.25">
      <c r="A276" s="18">
        <v>43798</v>
      </c>
      <c r="B276" s="19">
        <v>-3.0000000000000001E-3</v>
      </c>
      <c r="C276" s="19">
        <v>4.0000000000000002E-4</v>
      </c>
      <c r="D276" s="19">
        <v>3.5680000000000003E-2</v>
      </c>
      <c r="E276" s="19">
        <v>3.0224657534246577E-4</v>
      </c>
      <c r="F276" s="19">
        <v>-3.0977534246575344E-3</v>
      </c>
    </row>
    <row r="277" spans="1:6" x14ac:dyDescent="0.25">
      <c r="A277" s="18">
        <v>43797</v>
      </c>
      <c r="B277" s="19">
        <v>-1.18E-2</v>
      </c>
      <c r="C277" s="19">
        <v>-8.0000000000000002E-3</v>
      </c>
      <c r="D277" s="19">
        <v>3.5389999999999998E-2</v>
      </c>
      <c r="E277" s="19">
        <v>-8.0969589041095889E-3</v>
      </c>
      <c r="F277" s="19">
        <v>-1.1896958904109588E-2</v>
      </c>
    </row>
    <row r="278" spans="1:6" x14ac:dyDescent="0.25">
      <c r="A278" s="18">
        <v>43796</v>
      </c>
      <c r="B278" s="19">
        <v>0</v>
      </c>
      <c r="C278" s="19">
        <v>1.4E-3</v>
      </c>
      <c r="D278" s="19">
        <v>3.5430000000000003E-2</v>
      </c>
      <c r="E278" s="19">
        <v>1.3029315068493151E-3</v>
      </c>
      <c r="F278" s="19">
        <v>-9.7068493150684934E-5</v>
      </c>
    </row>
    <row r="279" spans="1:6" x14ac:dyDescent="0.25">
      <c r="A279" s="18">
        <v>43795</v>
      </c>
      <c r="B279" s="19">
        <v>-1.0699999999999999E-2</v>
      </c>
      <c r="C279" s="19">
        <v>5.0000000000000001E-4</v>
      </c>
      <c r="D279" s="19">
        <v>3.7069999999999999E-2</v>
      </c>
      <c r="E279" s="19">
        <v>3.9843835616438356E-4</v>
      </c>
      <c r="F279" s="19">
        <v>-1.0801561643835616E-2</v>
      </c>
    </row>
    <row r="280" spans="1:6" x14ac:dyDescent="0.25">
      <c r="A280" s="18">
        <v>43794</v>
      </c>
      <c r="B280" s="19">
        <v>0</v>
      </c>
      <c r="C280" s="19">
        <v>-1.5E-3</v>
      </c>
      <c r="D280" s="19">
        <v>3.6790000000000003E-2</v>
      </c>
      <c r="E280" s="19">
        <v>-1.6007945205479452E-3</v>
      </c>
      <c r="F280" s="19">
        <v>-1.0079452054794521E-4</v>
      </c>
    </row>
    <row r="281" spans="1:6" x14ac:dyDescent="0.25">
      <c r="A281" s="18">
        <v>43791</v>
      </c>
      <c r="B281" s="19">
        <v>-9.5999999999999992E-3</v>
      </c>
      <c r="C281" s="19">
        <v>-1.0200000000000001E-2</v>
      </c>
      <c r="D281" s="19">
        <v>3.6830000000000002E-2</v>
      </c>
      <c r="E281" s="19">
        <v>-1.0300904109589042E-2</v>
      </c>
      <c r="F281" s="19">
        <v>-9.7009041095890407E-3</v>
      </c>
    </row>
    <row r="282" spans="1:6" x14ac:dyDescent="0.25">
      <c r="A282" s="18">
        <v>43790</v>
      </c>
      <c r="B282" s="19">
        <v>-8.6E-3</v>
      </c>
      <c r="C282" s="19">
        <v>-1.2699999999999999E-2</v>
      </c>
      <c r="D282" s="19">
        <v>3.6920000000000001E-2</v>
      </c>
      <c r="E282" s="19">
        <v>-1.2801150684931506E-2</v>
      </c>
      <c r="F282" s="19">
        <v>-8.7011506849315069E-3</v>
      </c>
    </row>
    <row r="283" spans="1:6" x14ac:dyDescent="0.25">
      <c r="A283" s="18">
        <v>43789</v>
      </c>
      <c r="B283" s="19">
        <v>-2.3300000000000001E-2</v>
      </c>
      <c r="C283" s="19">
        <v>-7.7000000000000002E-3</v>
      </c>
      <c r="D283" s="19">
        <v>3.6810000000000002E-2</v>
      </c>
      <c r="E283" s="19">
        <v>-7.8008493150684933E-3</v>
      </c>
      <c r="F283" s="19">
        <v>-2.3400849315068493E-2</v>
      </c>
    </row>
    <row r="284" spans="1:6" x14ac:dyDescent="0.25">
      <c r="A284" s="18">
        <v>43788</v>
      </c>
      <c r="B284" s="19">
        <v>-9.1999999999999998E-3</v>
      </c>
      <c r="C284" s="19">
        <v>5.4000000000000003E-3</v>
      </c>
      <c r="D284" s="19">
        <v>3.6339999999999997E-2</v>
      </c>
      <c r="E284" s="19">
        <v>5.3004383561643838E-3</v>
      </c>
      <c r="F284" s="19">
        <v>-9.2995616438356164E-3</v>
      </c>
    </row>
    <row r="285" spans="1:6" x14ac:dyDescent="0.25">
      <c r="A285" s="18">
        <v>43787</v>
      </c>
      <c r="B285" s="19">
        <v>4.5999999999999999E-3</v>
      </c>
      <c r="C285" s="19">
        <v>-7.0000000000000001E-3</v>
      </c>
      <c r="D285" s="19">
        <v>3.6639999999999999E-2</v>
      </c>
      <c r="E285" s="19">
        <v>-7.1003835616438356E-3</v>
      </c>
      <c r="F285" s="19">
        <v>4.4996164383561644E-3</v>
      </c>
    </row>
    <row r="286" spans="1:6" x14ac:dyDescent="0.25">
      <c r="A286" s="18">
        <v>43784</v>
      </c>
      <c r="B286" s="19">
        <v>1.41E-2</v>
      </c>
      <c r="C286" s="19">
        <v>-2.2000000000000001E-3</v>
      </c>
      <c r="D286" s="19">
        <v>3.712E-2</v>
      </c>
      <c r="E286" s="19">
        <v>-2.3016986301369865E-3</v>
      </c>
      <c r="F286" s="19">
        <v>1.3998301369863013E-2</v>
      </c>
    </row>
    <row r="287" spans="1:6" x14ac:dyDescent="0.25">
      <c r="A287" s="18">
        <v>43783</v>
      </c>
      <c r="B287" s="19">
        <v>1.43E-2</v>
      </c>
      <c r="C287" s="19">
        <v>-5.0000000000000001E-4</v>
      </c>
      <c r="D287" s="19">
        <v>3.6990000000000002E-2</v>
      </c>
      <c r="E287" s="19">
        <v>-6.013424657534247E-4</v>
      </c>
      <c r="F287" s="19">
        <v>1.4198657534246576E-2</v>
      </c>
    </row>
    <row r="288" spans="1:6" x14ac:dyDescent="0.25">
      <c r="A288" s="18">
        <v>43782</v>
      </c>
      <c r="B288" s="19">
        <v>0</v>
      </c>
      <c r="C288" s="19">
        <v>-5.4999999999999997E-3</v>
      </c>
      <c r="D288" s="19">
        <v>3.78E-2</v>
      </c>
      <c r="E288" s="19">
        <v>-5.6035616438356159E-3</v>
      </c>
      <c r="F288" s="19">
        <v>-1.0356164383561643E-4</v>
      </c>
    </row>
    <row r="289" spans="1:6" x14ac:dyDescent="0.25">
      <c r="A289" s="18">
        <v>43781</v>
      </c>
      <c r="B289" s="19">
        <v>6.7000000000000002E-3</v>
      </c>
      <c r="C289" s="19">
        <v>1.6000000000000001E-3</v>
      </c>
      <c r="D289" s="19">
        <v>3.7569999999999999E-2</v>
      </c>
      <c r="E289" s="19">
        <v>1.4970684931506851E-3</v>
      </c>
      <c r="F289" s="19">
        <v>6.5970684931506854E-3</v>
      </c>
    </row>
    <row r="290" spans="1:6" x14ac:dyDescent="0.25">
      <c r="A290" s="18">
        <v>43780</v>
      </c>
      <c r="B290" s="19">
        <v>-1.32E-2</v>
      </c>
      <c r="C290" s="19">
        <v>-5.5999999999999999E-3</v>
      </c>
      <c r="D290" s="19">
        <v>3.7400000000000003E-2</v>
      </c>
      <c r="E290" s="19">
        <v>-5.7024657534246572E-3</v>
      </c>
      <c r="F290" s="19">
        <v>-1.3302465753424657E-2</v>
      </c>
    </row>
    <row r="291" spans="1:6" x14ac:dyDescent="0.25">
      <c r="A291" s="18">
        <v>43777</v>
      </c>
      <c r="B291" s="19">
        <v>-3.8E-3</v>
      </c>
      <c r="C291" s="19">
        <v>-1.5E-3</v>
      </c>
      <c r="D291" s="19">
        <v>3.7280000000000001E-2</v>
      </c>
      <c r="E291" s="19">
        <v>-1.6021369863013699E-3</v>
      </c>
      <c r="F291" s="19">
        <v>-3.9021369863013701E-3</v>
      </c>
    </row>
    <row r="292" spans="1:6" x14ac:dyDescent="0.25">
      <c r="A292" s="18">
        <v>43776</v>
      </c>
      <c r="B292" s="19">
        <v>2.8E-3</v>
      </c>
      <c r="C292" s="19">
        <v>-8.9999999999999998E-4</v>
      </c>
      <c r="D292" s="19">
        <v>3.7229999999999999E-2</v>
      </c>
      <c r="E292" s="19">
        <v>-1.0020000000000001E-3</v>
      </c>
      <c r="F292" s="19">
        <v>2.6979999999999999E-3</v>
      </c>
    </row>
    <row r="293" spans="1:6" x14ac:dyDescent="0.25">
      <c r="A293" s="18">
        <v>43775</v>
      </c>
      <c r="B293" s="19">
        <v>-1.12E-2</v>
      </c>
      <c r="C293" s="19">
        <v>5.9999999999999995E-4</v>
      </c>
      <c r="D293" s="19">
        <v>3.7449999999999997E-2</v>
      </c>
      <c r="E293" s="19">
        <v>4.9739726027397252E-4</v>
      </c>
      <c r="F293" s="19">
        <v>-1.1302602739726027E-2</v>
      </c>
    </row>
    <row r="294" spans="1:6" x14ac:dyDescent="0.25">
      <c r="A294" s="18">
        <v>43774</v>
      </c>
      <c r="B294" s="19">
        <v>1.4200000000000001E-2</v>
      </c>
      <c r="C294" s="19">
        <v>1.9E-3</v>
      </c>
      <c r="D294" s="19">
        <v>3.7560000000000003E-2</v>
      </c>
      <c r="E294" s="19">
        <v>1.7970958904109588E-3</v>
      </c>
      <c r="F294" s="19">
        <v>1.4097095890410959E-2</v>
      </c>
    </row>
    <row r="295" spans="1:6" x14ac:dyDescent="0.25">
      <c r="A295" s="18">
        <v>43773</v>
      </c>
      <c r="B295" s="19">
        <v>9.5999999999999992E-3</v>
      </c>
      <c r="C295" s="19">
        <v>6.7000000000000002E-3</v>
      </c>
      <c r="D295" s="19">
        <v>3.737E-2</v>
      </c>
      <c r="E295" s="19">
        <v>6.5976164383561645E-3</v>
      </c>
      <c r="F295" s="19">
        <v>9.4976164383561643E-3</v>
      </c>
    </row>
    <row r="296" spans="1:6" x14ac:dyDescent="0.25">
      <c r="A296" s="18">
        <v>43770</v>
      </c>
      <c r="B296" s="19">
        <v>9.7000000000000003E-3</v>
      </c>
      <c r="C296" s="19">
        <v>1.6799999999999999E-2</v>
      </c>
      <c r="D296" s="19">
        <v>3.6589999999999998E-2</v>
      </c>
      <c r="E296" s="19">
        <v>1.6699753424657533E-2</v>
      </c>
      <c r="F296" s="19">
        <v>9.5997534246575339E-3</v>
      </c>
    </row>
    <row r="297" spans="1:6" x14ac:dyDescent="0.25">
      <c r="A297" s="18">
        <v>43769</v>
      </c>
      <c r="B297" s="19">
        <v>2.8999999999999998E-3</v>
      </c>
      <c r="C297" s="19">
        <v>-2.0999999999999999E-3</v>
      </c>
      <c r="D297" s="19">
        <v>3.6490000000000002E-2</v>
      </c>
      <c r="E297" s="19">
        <v>-2.1999726027397259E-3</v>
      </c>
      <c r="F297" s="19">
        <v>2.8000273972602738E-3</v>
      </c>
    </row>
    <row r="298" spans="1:6" x14ac:dyDescent="0.25">
      <c r="A298" s="18">
        <v>43768</v>
      </c>
      <c r="B298" s="19">
        <v>9.7999999999999997E-3</v>
      </c>
      <c r="C298" s="19">
        <v>5.0000000000000001E-3</v>
      </c>
      <c r="D298" s="19">
        <v>3.6330000000000001E-2</v>
      </c>
      <c r="E298" s="19">
        <v>4.9004657534246574E-3</v>
      </c>
      <c r="F298" s="19">
        <v>9.7004657534246579E-3</v>
      </c>
    </row>
    <row r="299" spans="1:6" x14ac:dyDescent="0.25">
      <c r="A299" s="18">
        <v>43767</v>
      </c>
      <c r="B299" s="19">
        <v>-6.7999999999999996E-3</v>
      </c>
      <c r="C299" s="19">
        <v>-5.9999999999999995E-4</v>
      </c>
      <c r="D299" s="19">
        <v>3.637E-2</v>
      </c>
      <c r="E299" s="19">
        <v>-6.9964383561643825E-4</v>
      </c>
      <c r="F299" s="19">
        <v>-6.8996438356164376E-3</v>
      </c>
    </row>
    <row r="300" spans="1:6" x14ac:dyDescent="0.25">
      <c r="A300" s="18">
        <v>43766</v>
      </c>
      <c r="B300" s="19">
        <v>3.8999999999999998E-3</v>
      </c>
      <c r="C300" s="19">
        <v>-1E-4</v>
      </c>
      <c r="D300" s="19">
        <v>3.7310000000000003E-2</v>
      </c>
      <c r="E300" s="19">
        <v>-2.022191780821918E-4</v>
      </c>
      <c r="F300" s="19">
        <v>3.7977808219178079E-3</v>
      </c>
    </row>
    <row r="301" spans="1:6" x14ac:dyDescent="0.25">
      <c r="A301" s="18">
        <v>43763</v>
      </c>
      <c r="B301" s="19">
        <v>1E-3</v>
      </c>
      <c r="C301" s="19">
        <v>3.0000000000000001E-3</v>
      </c>
      <c r="D301" s="19">
        <v>3.6880000000000003E-2</v>
      </c>
      <c r="E301" s="19">
        <v>2.8989589041095889E-3</v>
      </c>
      <c r="F301" s="19">
        <v>8.9895890410958911E-4</v>
      </c>
    </row>
    <row r="302" spans="1:6" x14ac:dyDescent="0.25">
      <c r="A302" s="18">
        <v>43762</v>
      </c>
      <c r="B302" s="19">
        <v>1.1900000000000001E-2</v>
      </c>
      <c r="C302" s="19">
        <v>5.8999999999999999E-3</v>
      </c>
      <c r="D302" s="19">
        <v>3.5869999999999999E-2</v>
      </c>
      <c r="E302" s="19">
        <v>5.8017260273972599E-3</v>
      </c>
      <c r="F302" s="19">
        <v>1.1801726027397262E-2</v>
      </c>
    </row>
    <row r="303" spans="1:6" x14ac:dyDescent="0.25">
      <c r="A303" s="18">
        <v>43761</v>
      </c>
      <c r="B303" s="19">
        <v>-2E-3</v>
      </c>
      <c r="C303" s="19">
        <v>5.9999999999999995E-4</v>
      </c>
      <c r="D303" s="19">
        <v>3.5470000000000002E-2</v>
      </c>
      <c r="E303" s="19">
        <v>5.0282191780821916E-4</v>
      </c>
      <c r="F303" s="19">
        <v>-2.097178082191781E-3</v>
      </c>
    </row>
    <row r="304" spans="1:6" x14ac:dyDescent="0.25">
      <c r="A304" s="18">
        <v>43760</v>
      </c>
      <c r="B304" s="19">
        <v>2E-3</v>
      </c>
      <c r="C304" s="19">
        <v>3.7000000000000002E-3</v>
      </c>
      <c r="D304" s="19">
        <v>3.6060000000000002E-2</v>
      </c>
      <c r="E304" s="19">
        <v>3.601205479452055E-3</v>
      </c>
      <c r="F304" s="19">
        <v>1.9012054794520549E-3</v>
      </c>
    </row>
    <row r="305" spans="1:6" x14ac:dyDescent="0.25">
      <c r="A305" s="18">
        <v>43759</v>
      </c>
      <c r="B305" s="19">
        <v>2E-3</v>
      </c>
      <c r="C305" s="19">
        <v>-5.7000000000000002E-3</v>
      </c>
      <c r="D305" s="19">
        <v>3.6479999999999999E-2</v>
      </c>
      <c r="E305" s="19">
        <v>-5.799945205479452E-3</v>
      </c>
      <c r="F305" s="19">
        <v>1.9000547945205481E-3</v>
      </c>
    </row>
    <row r="306" spans="1:6" x14ac:dyDescent="0.25">
      <c r="A306" s="18">
        <v>43756</v>
      </c>
      <c r="B306" s="19">
        <v>0</v>
      </c>
      <c r="C306" s="19">
        <v>-5.9999999999999995E-4</v>
      </c>
      <c r="D306" s="19">
        <v>3.6830000000000002E-2</v>
      </c>
      <c r="E306" s="19">
        <v>-7.0090410958904099E-4</v>
      </c>
      <c r="F306" s="19">
        <v>-1.009041095890411E-4</v>
      </c>
    </row>
    <row r="307" spans="1:6" x14ac:dyDescent="0.25">
      <c r="A307" s="18">
        <v>43755</v>
      </c>
      <c r="B307" s="19">
        <v>-2E-3</v>
      </c>
      <c r="C307" s="19">
        <v>-4.7000000000000002E-3</v>
      </c>
      <c r="D307" s="19">
        <v>3.746E-2</v>
      </c>
      <c r="E307" s="19">
        <v>-4.8026301369863012E-3</v>
      </c>
      <c r="F307" s="19">
        <v>-2.1026301369863015E-3</v>
      </c>
    </row>
    <row r="308" spans="1:6" x14ac:dyDescent="0.25">
      <c r="A308" s="18">
        <v>43754</v>
      </c>
      <c r="B308" s="19">
        <v>0</v>
      </c>
      <c r="C308" s="19">
        <v>1.4E-3</v>
      </c>
      <c r="D308" s="19">
        <v>3.8379999999999997E-2</v>
      </c>
      <c r="E308" s="19">
        <v>1.2948493150684933E-3</v>
      </c>
      <c r="F308" s="19">
        <v>-1.0515068493150684E-4</v>
      </c>
    </row>
    <row r="309" spans="1:6" x14ac:dyDescent="0.25">
      <c r="A309" s="18">
        <v>43753</v>
      </c>
      <c r="B309" s="19">
        <v>-7.7999999999999996E-3</v>
      </c>
      <c r="C309" s="19">
        <v>-5.0000000000000001E-4</v>
      </c>
      <c r="D309" s="19">
        <v>3.8789999999999998E-2</v>
      </c>
      <c r="E309" s="19">
        <v>-6.0627397260273972E-4</v>
      </c>
      <c r="F309" s="19">
        <v>-7.9062739726027398E-3</v>
      </c>
    </row>
    <row r="310" spans="1:6" x14ac:dyDescent="0.25">
      <c r="A310" s="18">
        <v>43752</v>
      </c>
      <c r="B310" s="19">
        <v>-2.8999999999999998E-3</v>
      </c>
      <c r="C310" s="19">
        <v>1.6999999999999999E-3</v>
      </c>
      <c r="D310" s="19">
        <v>3.9019999999999999E-2</v>
      </c>
      <c r="E310" s="19">
        <v>1.5930958904109588E-3</v>
      </c>
      <c r="F310" s="19">
        <v>-3.0069041095890409E-3</v>
      </c>
    </row>
    <row r="311" spans="1:6" x14ac:dyDescent="0.25">
      <c r="A311" s="18">
        <v>43749</v>
      </c>
      <c r="B311" s="19">
        <v>1.1900000000000001E-2</v>
      </c>
      <c r="C311" s="19">
        <v>4.4999999999999997E-3</v>
      </c>
      <c r="D311" s="19">
        <v>3.9190000000000003E-2</v>
      </c>
      <c r="E311" s="19">
        <v>4.3926301369863014E-3</v>
      </c>
      <c r="F311" s="19">
        <v>1.1792630136986303E-2</v>
      </c>
    </row>
    <row r="312" spans="1:6" x14ac:dyDescent="0.25">
      <c r="A312" s="18">
        <v>43748</v>
      </c>
      <c r="B312" s="19">
        <v>8.0000000000000002E-3</v>
      </c>
      <c r="C312" s="19">
        <v>-5.0000000000000001E-4</v>
      </c>
      <c r="D312" s="19">
        <v>3.9269999999999999E-2</v>
      </c>
      <c r="E312" s="19">
        <v>-6.0758904109589043E-4</v>
      </c>
      <c r="F312" s="19">
        <v>7.8924109589041096E-3</v>
      </c>
    </row>
    <row r="313" spans="1:6" x14ac:dyDescent="0.25">
      <c r="A313" s="18">
        <v>43747</v>
      </c>
      <c r="B313" s="19">
        <v>4.0000000000000001E-3</v>
      </c>
      <c r="C313" s="19">
        <v>-4.0000000000000002E-4</v>
      </c>
      <c r="D313" s="19">
        <v>3.9600000000000003E-2</v>
      </c>
      <c r="E313" s="19">
        <v>-5.0849315068493149E-4</v>
      </c>
      <c r="F313" s="19">
        <v>3.8915068493150687E-3</v>
      </c>
    </row>
    <row r="314" spans="1:6" x14ac:dyDescent="0.25">
      <c r="A314" s="18">
        <v>43746</v>
      </c>
      <c r="B314" s="19">
        <v>-7.9000000000000008E-3</v>
      </c>
      <c r="C314" s="19">
        <v>5.1999999999999998E-3</v>
      </c>
      <c r="D314" s="19">
        <v>3.9759999999999997E-2</v>
      </c>
      <c r="E314" s="19">
        <v>5.091068493150685E-3</v>
      </c>
      <c r="F314" s="19">
        <v>-8.0089315068493164E-3</v>
      </c>
    </row>
    <row r="315" spans="1:6" x14ac:dyDescent="0.25">
      <c r="A315" s="18">
        <v>43745</v>
      </c>
      <c r="B315" s="19">
        <v>2E-3</v>
      </c>
      <c r="C315" s="19">
        <v>-4.5999999999999999E-3</v>
      </c>
      <c r="D315" s="19">
        <v>3.993E-2</v>
      </c>
      <c r="E315" s="19">
        <v>-4.7093972602739722E-3</v>
      </c>
      <c r="F315" s="19">
        <v>1.8906027397260275E-3</v>
      </c>
    </row>
    <row r="316" spans="1:6" x14ac:dyDescent="0.25">
      <c r="A316" s="18">
        <v>43742</v>
      </c>
      <c r="B316" s="19">
        <v>-1.47E-2</v>
      </c>
      <c r="C316" s="19">
        <v>-2.0999999999999999E-3</v>
      </c>
      <c r="D316" s="19">
        <v>3.9989999999999998E-2</v>
      </c>
      <c r="E316" s="19">
        <v>-2.2095616438356164E-3</v>
      </c>
      <c r="F316" s="19">
        <v>-1.4809561643835616E-2</v>
      </c>
    </row>
    <row r="317" spans="1:6" x14ac:dyDescent="0.25">
      <c r="A317" s="18">
        <v>43741</v>
      </c>
      <c r="B317" s="19">
        <v>-1.4500000000000001E-2</v>
      </c>
      <c r="C317" s="19">
        <v>-1.5E-3</v>
      </c>
      <c r="D317" s="19">
        <v>4.0160000000000001E-2</v>
      </c>
      <c r="E317" s="19">
        <v>-1.6100273972602739E-3</v>
      </c>
      <c r="F317" s="19">
        <v>-1.4610027397260274E-2</v>
      </c>
    </row>
    <row r="318" spans="1:6" x14ac:dyDescent="0.25">
      <c r="A318" s="18">
        <v>43740</v>
      </c>
      <c r="B318" s="19">
        <v>-2.5399999999999999E-2</v>
      </c>
      <c r="C318" s="19">
        <v>-8.3999999999999995E-3</v>
      </c>
      <c r="D318" s="19">
        <v>0.04</v>
      </c>
      <c r="E318" s="19">
        <v>-8.5095890410958903E-3</v>
      </c>
      <c r="F318" s="19">
        <v>-2.550958904109589E-2</v>
      </c>
    </row>
    <row r="319" spans="1:6" x14ac:dyDescent="0.25">
      <c r="A319" s="18">
        <v>43739</v>
      </c>
      <c r="B319" s="19">
        <v>-8.9999999999999998E-4</v>
      </c>
      <c r="C319" s="19">
        <v>3.0000000000000001E-3</v>
      </c>
      <c r="D319" s="19">
        <v>4.0259999999999997E-2</v>
      </c>
      <c r="E319" s="19">
        <v>2.8896986301369864E-3</v>
      </c>
      <c r="F319" s="19">
        <v>-1.0103013698630136E-3</v>
      </c>
    </row>
    <row r="320" spans="1:6" x14ac:dyDescent="0.25">
      <c r="A320" s="18">
        <v>43738</v>
      </c>
      <c r="B320" s="19">
        <v>1.24E-2</v>
      </c>
      <c r="C320" s="19">
        <v>-1.2999999999999999E-3</v>
      </c>
      <c r="D320" s="19">
        <v>4.0570000000000002E-2</v>
      </c>
      <c r="E320" s="19">
        <v>-1.4111506849315068E-3</v>
      </c>
      <c r="F320" s="19">
        <v>1.2288849315068493E-2</v>
      </c>
    </row>
    <row r="321" spans="1:6" x14ac:dyDescent="0.25">
      <c r="A321" s="18">
        <v>43735</v>
      </c>
      <c r="B321" s="19">
        <v>9.5999999999999992E-3</v>
      </c>
      <c r="C321" s="19">
        <v>7.1999999999999998E-3</v>
      </c>
      <c r="D321" s="19">
        <v>4.0500000000000001E-2</v>
      </c>
      <c r="E321" s="19">
        <v>7.089041095890411E-3</v>
      </c>
      <c r="F321" s="19">
        <v>9.4890410958904103E-3</v>
      </c>
    </row>
    <row r="322" spans="1:6" x14ac:dyDescent="0.25">
      <c r="A322" s="18">
        <v>43734</v>
      </c>
      <c r="B322" s="19">
        <v>1.5599999999999999E-2</v>
      </c>
      <c r="C322" s="19">
        <v>3.5000000000000001E-3</v>
      </c>
      <c r="D322" s="19">
        <v>4.0300000000000002E-2</v>
      </c>
      <c r="E322" s="19">
        <v>3.3895890410958903E-3</v>
      </c>
      <c r="F322" s="19">
        <v>1.548958904109589E-2</v>
      </c>
    </row>
    <row r="323" spans="1:6" x14ac:dyDescent="0.25">
      <c r="A323" s="18">
        <v>43733</v>
      </c>
      <c r="B323" s="19">
        <v>-1.06E-2</v>
      </c>
      <c r="C323" s="19">
        <v>-8.0000000000000004E-4</v>
      </c>
      <c r="D323" s="19">
        <v>4.0099999999999997E-2</v>
      </c>
      <c r="E323" s="19">
        <v>-9.0986301369863013E-4</v>
      </c>
      <c r="F323" s="19">
        <v>-1.0709863013698631E-2</v>
      </c>
    </row>
    <row r="324" spans="1:6" x14ac:dyDescent="0.25">
      <c r="A324" s="18">
        <v>43732</v>
      </c>
      <c r="B324" s="19">
        <v>0</v>
      </c>
      <c r="C324" s="19">
        <v>2.3999999999999998E-3</v>
      </c>
      <c r="D324" s="19">
        <v>4.0030000000000003E-2</v>
      </c>
      <c r="E324" s="19">
        <v>2.2903287671232875E-3</v>
      </c>
      <c r="F324" s="19">
        <v>-1.0967123287671234E-4</v>
      </c>
    </row>
    <row r="325" spans="1:6" x14ac:dyDescent="0.25">
      <c r="A325" s="18">
        <v>43731</v>
      </c>
      <c r="B325" s="19">
        <v>6.7999999999999996E-3</v>
      </c>
      <c r="C325" s="19">
        <v>-4.7000000000000002E-3</v>
      </c>
      <c r="D325" s="19">
        <v>4.0430000000000001E-2</v>
      </c>
      <c r="E325" s="19">
        <v>-4.8107671232876714E-3</v>
      </c>
      <c r="F325" s="19">
        <v>6.6892328767123284E-3</v>
      </c>
    </row>
    <row r="326" spans="1:6" x14ac:dyDescent="0.25">
      <c r="A326" s="18">
        <v>43728</v>
      </c>
      <c r="B326" s="19">
        <v>-9.5999999999999992E-3</v>
      </c>
      <c r="C326" s="19">
        <v>-6.7999999999999996E-3</v>
      </c>
      <c r="D326" s="19">
        <v>4.0070000000000001E-2</v>
      </c>
      <c r="E326" s="19">
        <v>-6.909780821917808E-3</v>
      </c>
      <c r="F326" s="19">
        <v>-9.7097808219178076E-3</v>
      </c>
    </row>
    <row r="327" spans="1:6" x14ac:dyDescent="0.25">
      <c r="A327" s="18">
        <v>43727</v>
      </c>
      <c r="B327" s="19">
        <v>-1.9E-3</v>
      </c>
      <c r="C327" s="19">
        <v>2E-3</v>
      </c>
      <c r="D327" s="19">
        <v>4.0410000000000001E-2</v>
      </c>
      <c r="E327" s="19">
        <v>1.8892876712328767E-3</v>
      </c>
      <c r="F327" s="19">
        <v>-2.0107123287671233E-3</v>
      </c>
    </row>
    <row r="328" spans="1:6" x14ac:dyDescent="0.25">
      <c r="A328" s="18">
        <v>43726</v>
      </c>
      <c r="B328" s="19">
        <v>-2.7099999999999999E-2</v>
      </c>
      <c r="C328" s="19">
        <v>-1.6000000000000001E-3</v>
      </c>
      <c r="D328" s="19">
        <v>4.0129999999999999E-2</v>
      </c>
      <c r="E328" s="19">
        <v>-1.7099452054794521E-3</v>
      </c>
      <c r="F328" s="19">
        <v>-2.7209945205479452E-2</v>
      </c>
    </row>
    <row r="329" spans="1:6" x14ac:dyDescent="0.25">
      <c r="A329" s="18">
        <v>43725</v>
      </c>
      <c r="B329" s="19">
        <v>3.3799999999999997E-2</v>
      </c>
      <c r="C329" s="19">
        <v>7.0000000000000001E-3</v>
      </c>
      <c r="D329" s="19">
        <v>4.0489999999999998E-2</v>
      </c>
      <c r="E329" s="19">
        <v>6.8890684931506851E-3</v>
      </c>
      <c r="F329" s="19">
        <v>3.3689068493150683E-2</v>
      </c>
    </row>
    <row r="330" spans="1:6" x14ac:dyDescent="0.25">
      <c r="A330" s="18">
        <v>43724</v>
      </c>
      <c r="B330" s="19">
        <v>2.3800000000000002E-2</v>
      </c>
      <c r="C330" s="19">
        <v>2.7000000000000001E-3</v>
      </c>
      <c r="D330" s="19">
        <v>4.0059999999999998E-2</v>
      </c>
      <c r="E330" s="19">
        <v>2.590246575342466E-3</v>
      </c>
      <c r="F330" s="19">
        <v>2.3690246575342466E-2</v>
      </c>
    </row>
    <row r="331" spans="1:6" x14ac:dyDescent="0.25">
      <c r="A331" s="18">
        <v>43721</v>
      </c>
      <c r="B331" s="19">
        <v>1.7100000000000001E-2</v>
      </c>
      <c r="C331" s="19">
        <v>1.14E-2</v>
      </c>
      <c r="D331" s="19">
        <v>3.984E-2</v>
      </c>
      <c r="E331" s="19">
        <v>1.1290849315068494E-2</v>
      </c>
      <c r="F331" s="19">
        <v>1.6990849315068494E-2</v>
      </c>
    </row>
    <row r="332" spans="1:6" x14ac:dyDescent="0.25">
      <c r="A332" s="18">
        <v>43720</v>
      </c>
      <c r="B332" s="19">
        <v>6.1000000000000004E-3</v>
      </c>
      <c r="C332" s="19">
        <v>7.0000000000000001E-3</v>
      </c>
      <c r="D332" s="19">
        <v>4.054E-2</v>
      </c>
      <c r="E332" s="19">
        <v>6.8889315068493152E-3</v>
      </c>
      <c r="F332" s="19">
        <v>5.9889315068493154E-3</v>
      </c>
    </row>
    <row r="333" spans="1:6" x14ac:dyDescent="0.25">
      <c r="A333" s="18">
        <v>43719</v>
      </c>
      <c r="B333" s="19">
        <v>-6.0000000000000001E-3</v>
      </c>
      <c r="C333" s="19">
        <v>-1E-3</v>
      </c>
      <c r="D333" s="19">
        <v>4.1200000000000001E-2</v>
      </c>
      <c r="E333" s="19">
        <v>-1.1128767123287672E-3</v>
      </c>
      <c r="F333" s="19">
        <v>-6.1128767123287669E-3</v>
      </c>
    </row>
    <row r="334" spans="1:6" x14ac:dyDescent="0.25">
      <c r="A334" s="18">
        <v>43718</v>
      </c>
      <c r="B334" s="19">
        <v>-8.0000000000000002E-3</v>
      </c>
      <c r="C334" s="19">
        <v>-4.0000000000000001E-3</v>
      </c>
      <c r="D334" s="19">
        <v>4.1099999999999998E-2</v>
      </c>
      <c r="E334" s="19">
        <v>-4.1126027397260278E-3</v>
      </c>
      <c r="F334" s="19">
        <v>-8.112602739726027E-3</v>
      </c>
    </row>
    <row r="335" spans="1:6" x14ac:dyDescent="0.25">
      <c r="A335" s="18">
        <v>43717</v>
      </c>
      <c r="B335" s="19">
        <v>-6.8999999999999999E-3</v>
      </c>
      <c r="C335" s="19">
        <v>0</v>
      </c>
      <c r="D335" s="19">
        <v>4.0750000000000001E-2</v>
      </c>
      <c r="E335" s="19">
        <v>-1.1164383561643836E-4</v>
      </c>
      <c r="F335" s="19">
        <v>-7.0116438356164386E-3</v>
      </c>
    </row>
    <row r="336" spans="1:6" x14ac:dyDescent="0.25">
      <c r="A336" s="18">
        <v>43714</v>
      </c>
      <c r="B336" s="19">
        <v>3.0000000000000001E-3</v>
      </c>
      <c r="C336" s="19">
        <v>-2.8E-3</v>
      </c>
      <c r="D336" s="19">
        <v>4.079E-2</v>
      </c>
      <c r="E336" s="19">
        <v>-2.9117534246575344E-3</v>
      </c>
      <c r="F336" s="19">
        <v>2.8882465753424656E-3</v>
      </c>
    </row>
    <row r="337" spans="1:6" x14ac:dyDescent="0.25">
      <c r="A337" s="18">
        <v>43713</v>
      </c>
      <c r="B337" s="19">
        <v>1E-3</v>
      </c>
      <c r="C337" s="19">
        <v>-8.9999999999999998E-4</v>
      </c>
      <c r="D337" s="19">
        <v>4.0869999999999997E-2</v>
      </c>
      <c r="E337" s="19">
        <v>-1.0119726027397261E-3</v>
      </c>
      <c r="F337" s="19">
        <v>8.8802739726027405E-4</v>
      </c>
    </row>
    <row r="338" spans="1:6" x14ac:dyDescent="0.25">
      <c r="A338" s="18">
        <v>43712</v>
      </c>
      <c r="B338" s="19">
        <v>6.0000000000000001E-3</v>
      </c>
      <c r="C338" s="19">
        <v>-1.8E-3</v>
      </c>
      <c r="D338" s="19">
        <v>4.1390000000000003E-2</v>
      </c>
      <c r="E338" s="19">
        <v>-1.9133972602739726E-3</v>
      </c>
      <c r="F338" s="19">
        <v>5.8866027397260273E-3</v>
      </c>
    </row>
    <row r="339" spans="1:6" x14ac:dyDescent="0.25">
      <c r="A339" s="18">
        <v>43711</v>
      </c>
      <c r="B339" s="19">
        <v>-8.0000000000000002E-3</v>
      </c>
      <c r="C339" s="19">
        <v>-4.7999999999999996E-3</v>
      </c>
      <c r="D339" s="19">
        <v>4.172E-2</v>
      </c>
      <c r="E339" s="19">
        <v>-4.9143013698630129E-3</v>
      </c>
      <c r="F339" s="19">
        <v>-8.1143013698630143E-3</v>
      </c>
    </row>
    <row r="340" spans="1:6" x14ac:dyDescent="0.25">
      <c r="A340" s="18">
        <v>43707</v>
      </c>
      <c r="B340" s="19">
        <v>1E-3</v>
      </c>
      <c r="C340" s="19">
        <v>5.5999999999999999E-3</v>
      </c>
      <c r="D340" s="19">
        <v>4.1619999999999997E-2</v>
      </c>
      <c r="E340" s="19">
        <v>5.4859726027397257E-3</v>
      </c>
      <c r="F340" s="19">
        <v>8.8597260273972603E-4</v>
      </c>
    </row>
    <row r="341" spans="1:6" x14ac:dyDescent="0.25">
      <c r="A341" s="18">
        <v>43706</v>
      </c>
      <c r="B341" s="19">
        <v>-7.9000000000000008E-3</v>
      </c>
      <c r="C341" s="19">
        <v>1.4E-3</v>
      </c>
      <c r="D341" s="19">
        <v>4.2090000000000002E-2</v>
      </c>
      <c r="E341" s="19">
        <v>1.2846849315068492E-3</v>
      </c>
      <c r="F341" s="19">
        <v>-8.0153150684931507E-3</v>
      </c>
    </row>
    <row r="342" spans="1:6" x14ac:dyDescent="0.25">
      <c r="A342" s="18">
        <v>43705</v>
      </c>
      <c r="B342" s="19">
        <v>3.8999999999999998E-3</v>
      </c>
      <c r="C342" s="19">
        <v>5.0000000000000001E-4</v>
      </c>
      <c r="D342" s="19">
        <v>4.2169999999999999E-2</v>
      </c>
      <c r="E342" s="19">
        <v>3.8446575342465753E-4</v>
      </c>
      <c r="F342" s="19">
        <v>3.7844657534246572E-3</v>
      </c>
    </row>
    <row r="343" spans="1:6" x14ac:dyDescent="0.25">
      <c r="A343" s="18">
        <v>43704</v>
      </c>
      <c r="B343" s="19">
        <v>3.8999999999999998E-3</v>
      </c>
      <c r="C343" s="19">
        <v>-6.1999999999999998E-3</v>
      </c>
      <c r="D343" s="19">
        <v>4.2410000000000003E-2</v>
      </c>
      <c r="E343" s="19">
        <v>-6.3161917808219172E-3</v>
      </c>
      <c r="F343" s="19">
        <v>3.783808219178082E-3</v>
      </c>
    </row>
    <row r="344" spans="1:6" x14ac:dyDescent="0.25">
      <c r="A344" s="18">
        <v>43703</v>
      </c>
      <c r="B344" s="19">
        <v>-2.4E-2</v>
      </c>
      <c r="C344" s="19">
        <v>-9.5999999999999992E-3</v>
      </c>
      <c r="D344" s="19">
        <v>4.24E-2</v>
      </c>
      <c r="E344" s="19">
        <v>-9.7161643835616436E-3</v>
      </c>
      <c r="F344" s="19">
        <v>-2.4116164383561643E-2</v>
      </c>
    </row>
    <row r="345" spans="1:6" x14ac:dyDescent="0.25">
      <c r="A345" s="18">
        <v>43700</v>
      </c>
      <c r="B345" s="19">
        <v>-5.7000000000000002E-3</v>
      </c>
      <c r="C345" s="19">
        <v>-4.7999999999999996E-3</v>
      </c>
      <c r="D345" s="19">
        <v>4.2020000000000002E-2</v>
      </c>
      <c r="E345" s="19">
        <v>-4.9151232876712327E-3</v>
      </c>
      <c r="F345" s="19">
        <v>-5.8151232876712334E-3</v>
      </c>
    </row>
    <row r="346" spans="1:6" x14ac:dyDescent="0.25">
      <c r="A346" s="18">
        <v>43699</v>
      </c>
      <c r="B346" s="19">
        <v>-5.7000000000000002E-3</v>
      </c>
      <c r="C346" s="19">
        <v>2.8999999999999998E-3</v>
      </c>
      <c r="D346" s="19">
        <v>4.2610000000000002E-2</v>
      </c>
      <c r="E346" s="19">
        <v>2.7832602739726025E-3</v>
      </c>
      <c r="F346" s="19">
        <v>-5.8167397260273975E-3</v>
      </c>
    </row>
    <row r="347" spans="1:6" x14ac:dyDescent="0.25">
      <c r="A347" s="18">
        <v>43698</v>
      </c>
      <c r="B347" s="19">
        <v>2.1399999999999999E-2</v>
      </c>
      <c r="C347" s="19">
        <v>9.9000000000000008E-3</v>
      </c>
      <c r="D347" s="19">
        <v>4.3189999999999999E-2</v>
      </c>
      <c r="E347" s="19">
        <v>9.7816712328767132E-3</v>
      </c>
      <c r="F347" s="19">
        <v>2.128167123287671E-2</v>
      </c>
    </row>
    <row r="348" spans="1:6" x14ac:dyDescent="0.25">
      <c r="A348" s="18">
        <v>43697</v>
      </c>
      <c r="B348" s="19">
        <v>1.18E-2</v>
      </c>
      <c r="C348" s="19">
        <v>3.7000000000000002E-3</v>
      </c>
      <c r="D348" s="19">
        <v>4.3319999999999997E-2</v>
      </c>
      <c r="E348" s="19">
        <v>3.5813150684931507E-3</v>
      </c>
      <c r="F348" s="19">
        <v>1.168131506849315E-2</v>
      </c>
    </row>
    <row r="349" spans="1:6" x14ac:dyDescent="0.25">
      <c r="A349" s="18">
        <v>43696</v>
      </c>
      <c r="B349" s="19">
        <v>-8.9999999999999998E-4</v>
      </c>
      <c r="C349" s="19">
        <v>1.1000000000000001E-3</v>
      </c>
      <c r="D349" s="19">
        <v>4.3229999999999998E-2</v>
      </c>
      <c r="E349" s="19">
        <v>9.8156164383561648E-4</v>
      </c>
      <c r="F349" s="19">
        <v>-1.0184383561643836E-3</v>
      </c>
    </row>
    <row r="350" spans="1:6" x14ac:dyDescent="0.25">
      <c r="A350" s="18">
        <v>43693</v>
      </c>
      <c r="B350" s="19">
        <v>0</v>
      </c>
      <c r="C350" s="19">
        <v>5.9999999999999995E-4</v>
      </c>
      <c r="D350" s="19">
        <v>4.2599999999999999E-2</v>
      </c>
      <c r="E350" s="19">
        <v>4.8328767123287668E-4</v>
      </c>
      <c r="F350" s="19">
        <v>-1.1671232876712328E-4</v>
      </c>
    </row>
    <row r="351" spans="1:6" x14ac:dyDescent="0.25">
      <c r="A351" s="18">
        <v>43692</v>
      </c>
      <c r="B351" s="19">
        <v>0</v>
      </c>
      <c r="C351" s="19">
        <v>1.0800000000000001E-2</v>
      </c>
      <c r="D351" s="19">
        <v>4.2680000000000003E-2</v>
      </c>
      <c r="E351" s="19">
        <v>1.0683068493150686E-2</v>
      </c>
      <c r="F351" s="19">
        <v>-1.1693150684931508E-4</v>
      </c>
    </row>
    <row r="352" spans="1:6" x14ac:dyDescent="0.25">
      <c r="A352" s="18">
        <v>43691</v>
      </c>
      <c r="B352" s="19">
        <v>8.9999999999999993E-3</v>
      </c>
      <c r="C352" s="19">
        <v>2.2000000000000001E-3</v>
      </c>
      <c r="D352" s="19">
        <v>4.4110000000000003E-2</v>
      </c>
      <c r="E352" s="19">
        <v>2.079150684931507E-3</v>
      </c>
      <c r="F352" s="19">
        <v>8.8791506849315062E-3</v>
      </c>
    </row>
    <row r="353" spans="1:6" x14ac:dyDescent="0.25">
      <c r="A353" s="18">
        <v>43690</v>
      </c>
      <c r="B353" s="19">
        <v>-1.9599999999999999E-2</v>
      </c>
      <c r="C353" s="19">
        <v>-8.6999999999999994E-3</v>
      </c>
      <c r="D353" s="19">
        <v>4.446E-2</v>
      </c>
      <c r="E353" s="19">
        <v>-8.8218082191780824E-3</v>
      </c>
      <c r="F353" s="19">
        <v>-1.9721808219178082E-2</v>
      </c>
    </row>
    <row r="354" spans="1:6" x14ac:dyDescent="0.25">
      <c r="A354" s="18">
        <v>43689</v>
      </c>
      <c r="B354" s="19">
        <v>6.8999999999999999E-3</v>
      </c>
      <c r="C354" s="19">
        <v>1E-3</v>
      </c>
      <c r="D354" s="19">
        <v>4.4549999999999999E-2</v>
      </c>
      <c r="E354" s="19">
        <v>8.7794520547945212E-4</v>
      </c>
      <c r="F354" s="19">
        <v>6.7779452054794517E-3</v>
      </c>
    </row>
    <row r="355" spans="1:6" x14ac:dyDescent="0.25">
      <c r="A355" s="18">
        <v>43686</v>
      </c>
      <c r="B355" s="19">
        <v>3.0000000000000001E-3</v>
      </c>
      <c r="C355" s="19">
        <v>-8.9999999999999998E-4</v>
      </c>
      <c r="D355" s="19">
        <v>4.4499999999999998E-2</v>
      </c>
      <c r="E355" s="19">
        <v>-1.021917808219178E-3</v>
      </c>
      <c r="F355" s="19">
        <v>2.8780821917808218E-3</v>
      </c>
    </row>
    <row r="356" spans="1:6" x14ac:dyDescent="0.25">
      <c r="A356" s="18">
        <v>43685</v>
      </c>
      <c r="B356" s="19">
        <v>5.0000000000000001E-3</v>
      </c>
      <c r="C356" s="19">
        <v>9.5999999999999992E-3</v>
      </c>
      <c r="D356" s="19">
        <v>4.4690000000000001E-2</v>
      </c>
      <c r="E356" s="19">
        <v>9.4775616438356157E-3</v>
      </c>
      <c r="F356" s="19">
        <v>4.8775616438356166E-3</v>
      </c>
    </row>
    <row r="357" spans="1:6" x14ac:dyDescent="0.25">
      <c r="A357" s="18">
        <v>43684</v>
      </c>
      <c r="B357" s="19">
        <v>-1.47E-2</v>
      </c>
      <c r="C357" s="19">
        <v>1.4E-3</v>
      </c>
      <c r="D357" s="19">
        <v>4.4600000000000001E-2</v>
      </c>
      <c r="E357" s="19">
        <v>1.2778082191780822E-3</v>
      </c>
      <c r="F357" s="19">
        <v>-1.4822191780821918E-2</v>
      </c>
    </row>
    <row r="358" spans="1:6" x14ac:dyDescent="0.25">
      <c r="A358" s="18">
        <v>43683</v>
      </c>
      <c r="B358" s="19">
        <v>-1.9199999999999998E-2</v>
      </c>
      <c r="C358" s="19">
        <v>-8.8000000000000005E-3</v>
      </c>
      <c r="D358" s="19">
        <v>4.4639999999999999E-2</v>
      </c>
      <c r="E358" s="19">
        <v>-8.922301369863014E-3</v>
      </c>
      <c r="F358" s="19">
        <v>-1.9322301369863012E-2</v>
      </c>
    </row>
    <row r="359" spans="1:6" x14ac:dyDescent="0.25">
      <c r="A359" s="18">
        <v>43682</v>
      </c>
      <c r="B359" s="19">
        <v>-1.89E-2</v>
      </c>
      <c r="C359" s="19">
        <v>-1.8100000000000002E-2</v>
      </c>
      <c r="D359" s="19">
        <v>4.4540000000000003E-2</v>
      </c>
      <c r="E359" s="19">
        <v>-1.8222027397260275E-2</v>
      </c>
      <c r="F359" s="19">
        <v>-1.9022027397260274E-2</v>
      </c>
    </row>
    <row r="360" spans="1:6" x14ac:dyDescent="0.25">
      <c r="A360" s="18">
        <v>43679</v>
      </c>
      <c r="B360" s="19">
        <v>-2.12E-2</v>
      </c>
      <c r="C360" s="19">
        <v>-6.3E-3</v>
      </c>
      <c r="D360" s="19">
        <v>4.4490000000000002E-2</v>
      </c>
      <c r="E360" s="19">
        <v>-6.4218904109589045E-3</v>
      </c>
      <c r="F360" s="19">
        <v>-2.1321890410958905E-2</v>
      </c>
    </row>
    <row r="361" spans="1:6" x14ac:dyDescent="0.25">
      <c r="A361" s="18">
        <v>43678</v>
      </c>
      <c r="B361" s="19">
        <v>-7.3000000000000001E-3</v>
      </c>
      <c r="C361" s="19">
        <v>5.7999999999999996E-3</v>
      </c>
      <c r="D361" s="19">
        <v>4.478E-2</v>
      </c>
      <c r="E361" s="19">
        <v>5.67731506849315E-3</v>
      </c>
      <c r="F361" s="19">
        <v>-7.4226849315068497E-3</v>
      </c>
    </row>
    <row r="362" spans="1:6" x14ac:dyDescent="0.25">
      <c r="A362" s="18">
        <v>43677</v>
      </c>
      <c r="B362" s="19">
        <v>8.9999999999999998E-4</v>
      </c>
      <c r="C362" s="19">
        <v>5.7000000000000002E-3</v>
      </c>
      <c r="D362" s="19">
        <v>4.4040000000000003E-2</v>
      </c>
      <c r="E362" s="19">
        <v>5.5793424657534247E-3</v>
      </c>
      <c r="F362" s="19">
        <v>7.7934246575342469E-4</v>
      </c>
    </row>
    <row r="363" spans="1:6" x14ac:dyDescent="0.25">
      <c r="A363" s="18">
        <v>43676</v>
      </c>
      <c r="B363" s="19">
        <v>-1.7999999999999999E-2</v>
      </c>
      <c r="C363" s="19">
        <v>-1.1900000000000001E-2</v>
      </c>
      <c r="D363" s="19">
        <v>4.444E-2</v>
      </c>
      <c r="E363" s="19">
        <v>-1.2021753424657534E-2</v>
      </c>
      <c r="F363" s="19">
        <v>-1.8121753424657532E-2</v>
      </c>
    </row>
    <row r="364" spans="1:6" x14ac:dyDescent="0.25">
      <c r="A364" s="18">
        <v>43675</v>
      </c>
      <c r="B364" s="19">
        <v>2.7799999999999998E-2</v>
      </c>
      <c r="C364" s="19">
        <v>4.5999999999999999E-3</v>
      </c>
      <c r="D364" s="19">
        <v>4.4470000000000003E-2</v>
      </c>
      <c r="E364" s="19">
        <v>4.478164383561644E-3</v>
      </c>
      <c r="F364" s="19">
        <v>2.7678164383561642E-2</v>
      </c>
    </row>
    <row r="365" spans="1:6" x14ac:dyDescent="0.25">
      <c r="A365" s="18">
        <v>43672</v>
      </c>
      <c r="B365" s="19">
        <v>0</v>
      </c>
      <c r="C365" s="19">
        <v>-1.6000000000000001E-3</v>
      </c>
      <c r="D365" s="19">
        <v>4.446E-2</v>
      </c>
      <c r="E365" s="19">
        <v>-1.7218082191780822E-3</v>
      </c>
      <c r="F365" s="19">
        <v>-1.2180821917808219E-4</v>
      </c>
    </row>
    <row r="366" spans="1:6" x14ac:dyDescent="0.25">
      <c r="A366" s="18">
        <v>43671</v>
      </c>
      <c r="B366" s="19">
        <v>1.2200000000000001E-2</v>
      </c>
      <c r="C366" s="19">
        <v>6.6E-3</v>
      </c>
      <c r="D366" s="19">
        <v>4.4380000000000003E-2</v>
      </c>
      <c r="E366" s="19">
        <v>6.4784109589041093E-3</v>
      </c>
      <c r="F366" s="19">
        <v>1.207841095890411E-2</v>
      </c>
    </row>
    <row r="367" spans="1:6" x14ac:dyDescent="0.25">
      <c r="A367" s="18">
        <v>43670</v>
      </c>
      <c r="B367" s="19">
        <v>-3.7000000000000002E-3</v>
      </c>
      <c r="C367" s="19">
        <v>-1.1000000000000001E-3</v>
      </c>
      <c r="D367" s="19">
        <v>4.4650000000000002E-2</v>
      </c>
      <c r="E367" s="19">
        <v>-1.2223287671232878E-3</v>
      </c>
      <c r="F367" s="19">
        <v>-3.8223287671232879E-3</v>
      </c>
    </row>
    <row r="368" spans="1:6" x14ac:dyDescent="0.25">
      <c r="A368" s="18">
        <v>43669</v>
      </c>
      <c r="B368" s="19">
        <v>1.52E-2</v>
      </c>
      <c r="C368" s="19">
        <v>7.6E-3</v>
      </c>
      <c r="D368" s="19">
        <v>4.4690000000000001E-2</v>
      </c>
      <c r="E368" s="19">
        <v>7.4775616438356165E-3</v>
      </c>
      <c r="F368" s="19">
        <v>1.5077561643835617E-2</v>
      </c>
    </row>
    <row r="369" spans="1:6" x14ac:dyDescent="0.25">
      <c r="A369" s="18">
        <v>43668</v>
      </c>
      <c r="B369" s="19">
        <v>-4.7000000000000002E-3</v>
      </c>
      <c r="C369" s="19">
        <v>-2.9999999999999997E-4</v>
      </c>
      <c r="D369" s="19">
        <v>4.4519999999999997E-2</v>
      </c>
      <c r="E369" s="19">
        <v>-4.2197260273972597E-4</v>
      </c>
      <c r="F369" s="19">
        <v>-4.8219726027397261E-3</v>
      </c>
    </row>
    <row r="370" spans="1:6" x14ac:dyDescent="0.25">
      <c r="A370" s="18">
        <v>43665</v>
      </c>
      <c r="B370" s="19">
        <v>-1.12E-2</v>
      </c>
      <c r="C370" s="19">
        <v>6.4000000000000003E-3</v>
      </c>
      <c r="D370" s="19">
        <v>4.4880000000000003E-2</v>
      </c>
      <c r="E370" s="19">
        <v>6.2770410958904116E-3</v>
      </c>
      <c r="F370" s="19">
        <v>-1.1322958904109589E-2</v>
      </c>
    </row>
    <row r="371" spans="1:6" x14ac:dyDescent="0.25">
      <c r="A371" s="18">
        <v>43664</v>
      </c>
      <c r="B371" s="19">
        <v>-1.5599999999999999E-2</v>
      </c>
      <c r="C371" s="19">
        <v>-6.6E-3</v>
      </c>
      <c r="D371" s="19">
        <v>4.5229999999999999E-2</v>
      </c>
      <c r="E371" s="19">
        <v>-6.7239178082191785E-3</v>
      </c>
      <c r="F371" s="19">
        <v>-1.5723917808219176E-2</v>
      </c>
    </row>
    <row r="372" spans="1:6" x14ac:dyDescent="0.25">
      <c r="A372" s="18">
        <v>43663</v>
      </c>
      <c r="B372" s="19">
        <v>2.35E-2</v>
      </c>
      <c r="C372" s="19">
        <v>5.0000000000000001E-4</v>
      </c>
      <c r="D372" s="19">
        <v>4.5199999999999997E-2</v>
      </c>
      <c r="E372" s="19">
        <v>3.7616438356164383E-4</v>
      </c>
      <c r="F372" s="19">
        <v>2.3376164383561646E-2</v>
      </c>
    </row>
    <row r="373" spans="1:6" x14ac:dyDescent="0.25">
      <c r="A373" s="18">
        <v>43662</v>
      </c>
      <c r="B373" s="19">
        <v>3.8E-3</v>
      </c>
      <c r="C373" s="19">
        <v>9.9000000000000008E-3</v>
      </c>
      <c r="D373" s="19">
        <v>4.5339999999999998E-2</v>
      </c>
      <c r="E373" s="19">
        <v>9.7757808219178094E-3</v>
      </c>
      <c r="F373" s="19">
        <v>3.6757808219178081E-3</v>
      </c>
    </row>
    <row r="374" spans="1:6" x14ac:dyDescent="0.25">
      <c r="A374" s="18">
        <v>43661</v>
      </c>
      <c r="B374" s="19">
        <v>1.9E-3</v>
      </c>
      <c r="C374" s="19">
        <v>-2.8999999999999998E-3</v>
      </c>
      <c r="D374" s="19">
        <v>4.539E-2</v>
      </c>
      <c r="E374" s="19">
        <v>-3.0243561643835616E-3</v>
      </c>
      <c r="F374" s="19">
        <v>1.7756438356164384E-3</v>
      </c>
    </row>
    <row r="375" spans="1:6" x14ac:dyDescent="0.25">
      <c r="A375" s="18">
        <v>43658</v>
      </c>
      <c r="B375" s="19">
        <v>-3.8E-3</v>
      </c>
      <c r="C375" s="19">
        <v>-3.3E-3</v>
      </c>
      <c r="D375" s="19">
        <v>4.5560000000000003E-2</v>
      </c>
      <c r="E375" s="19">
        <v>-3.424821917808219E-3</v>
      </c>
      <c r="F375" s="19">
        <v>-3.9248219178082194E-3</v>
      </c>
    </row>
    <row r="376" spans="1:6" x14ac:dyDescent="0.25">
      <c r="A376" s="18">
        <v>43657</v>
      </c>
      <c r="B376" s="19">
        <v>3.8E-3</v>
      </c>
      <c r="C376" s="19">
        <v>5.1000000000000004E-3</v>
      </c>
      <c r="D376" s="19">
        <v>4.5409999999999999E-2</v>
      </c>
      <c r="E376" s="19">
        <v>4.9755890410958905E-3</v>
      </c>
      <c r="F376" s="19">
        <v>3.6755890410958905E-3</v>
      </c>
    </row>
    <row r="377" spans="1:6" x14ac:dyDescent="0.25">
      <c r="A377" s="18">
        <v>43656</v>
      </c>
      <c r="B377" s="19">
        <v>1.34E-2</v>
      </c>
      <c r="C377" s="19">
        <v>4.7000000000000002E-3</v>
      </c>
      <c r="D377" s="19">
        <v>4.5949999999999998E-2</v>
      </c>
      <c r="E377" s="19">
        <v>4.5741095890410961E-3</v>
      </c>
      <c r="F377" s="19">
        <v>1.3274109589041096E-2</v>
      </c>
    </row>
    <row r="378" spans="1:6" x14ac:dyDescent="0.25">
      <c r="A378" s="18">
        <v>43655</v>
      </c>
      <c r="B378" s="19">
        <v>1.3599999999999999E-2</v>
      </c>
      <c r="C378" s="19">
        <v>2.8E-3</v>
      </c>
      <c r="D378" s="19">
        <v>4.6129999999999997E-2</v>
      </c>
      <c r="E378" s="19">
        <v>2.6736164383561645E-3</v>
      </c>
      <c r="F378" s="19">
        <v>1.3473616438356163E-2</v>
      </c>
    </row>
    <row r="379" spans="1:6" x14ac:dyDescent="0.25">
      <c r="A379" s="18">
        <v>43654</v>
      </c>
      <c r="B379" s="19">
        <v>-5.7999999999999996E-3</v>
      </c>
      <c r="C379" s="19">
        <v>-9.1999999999999998E-3</v>
      </c>
      <c r="D379" s="19">
        <v>4.6129999999999997E-2</v>
      </c>
      <c r="E379" s="19">
        <v>-9.3263835616438362E-3</v>
      </c>
      <c r="F379" s="19">
        <v>-5.9263835616438351E-3</v>
      </c>
    </row>
    <row r="380" spans="1:6" x14ac:dyDescent="0.25">
      <c r="A380" s="18">
        <v>43651</v>
      </c>
      <c r="B380" s="19">
        <v>3.8999999999999998E-3</v>
      </c>
      <c r="C380" s="19">
        <v>2.3999999999999998E-3</v>
      </c>
      <c r="D380" s="19">
        <v>4.6129999999999997E-2</v>
      </c>
      <c r="E380" s="19">
        <v>2.2736164383561643E-3</v>
      </c>
      <c r="F380" s="19">
        <v>3.7736164383561643E-3</v>
      </c>
    </row>
    <row r="381" spans="1:6" x14ac:dyDescent="0.25">
      <c r="A381" s="18">
        <v>43650</v>
      </c>
      <c r="B381" s="19">
        <v>1.9E-3</v>
      </c>
      <c r="C381" s="19">
        <v>1.32E-2</v>
      </c>
      <c r="D381" s="19">
        <v>4.6280000000000002E-2</v>
      </c>
      <c r="E381" s="19">
        <v>1.3073205479452055E-2</v>
      </c>
      <c r="F381" s="19">
        <v>1.7732054794520548E-3</v>
      </c>
    </row>
    <row r="382" spans="1:6" x14ac:dyDescent="0.25">
      <c r="A382" s="18">
        <v>43649</v>
      </c>
      <c r="B382" s="19">
        <v>-8.6999999999999994E-3</v>
      </c>
      <c r="C382" s="19">
        <v>-1.6999999999999999E-3</v>
      </c>
      <c r="D382" s="19">
        <v>4.6519999999999999E-2</v>
      </c>
      <c r="E382" s="19">
        <v>-1.8274520547945205E-3</v>
      </c>
      <c r="F382" s="19">
        <v>-8.8274520547945191E-3</v>
      </c>
    </row>
    <row r="383" spans="1:6" x14ac:dyDescent="0.25">
      <c r="A383" s="18">
        <v>43648</v>
      </c>
      <c r="B383" s="19">
        <v>1.9E-3</v>
      </c>
      <c r="C383" s="19">
        <v>-3.8E-3</v>
      </c>
      <c r="D383" s="19">
        <v>4.65E-2</v>
      </c>
      <c r="E383" s="19">
        <v>-3.9273972602739725E-3</v>
      </c>
      <c r="F383" s="19">
        <v>1.7726027397260275E-3</v>
      </c>
    </row>
    <row r="384" spans="1:6" x14ac:dyDescent="0.25">
      <c r="A384" s="18">
        <v>43647</v>
      </c>
      <c r="B384" s="19">
        <v>6.3600000000000004E-2</v>
      </c>
      <c r="C384" s="19">
        <v>1.6500000000000001E-2</v>
      </c>
      <c r="D384" s="19">
        <v>4.6679999999999999E-2</v>
      </c>
      <c r="E384" s="19">
        <v>1.6372109589041096E-2</v>
      </c>
      <c r="F384" s="19">
        <v>6.3472109589041106E-2</v>
      </c>
    </row>
    <row r="385" spans="1:6" x14ac:dyDescent="0.25">
      <c r="A385" s="18">
        <v>43644</v>
      </c>
      <c r="B385" s="19">
        <v>-5.1000000000000004E-3</v>
      </c>
      <c r="C385" s="19">
        <v>7.1999999999999998E-3</v>
      </c>
      <c r="D385" s="19">
        <v>4.6539999999999998E-2</v>
      </c>
      <c r="E385" s="19">
        <v>7.0724931506849316E-3</v>
      </c>
      <c r="F385" s="19">
        <v>-5.2275068493150686E-3</v>
      </c>
    </row>
    <row r="386" spans="1:6" x14ac:dyDescent="0.25">
      <c r="A386" s="18">
        <v>43643</v>
      </c>
      <c r="B386" s="19">
        <v>-6.4000000000000001E-2</v>
      </c>
      <c r="C386" s="19">
        <v>-1.67E-2</v>
      </c>
      <c r="D386" s="19">
        <v>4.6589999999999999E-2</v>
      </c>
      <c r="E386" s="19">
        <v>-1.6827643835616437E-2</v>
      </c>
      <c r="F386" s="19">
        <v>-6.4127643835616435E-2</v>
      </c>
    </row>
    <row r="387" spans="1:6" x14ac:dyDescent="0.25">
      <c r="A387" s="18">
        <v>43642</v>
      </c>
      <c r="B387" s="19">
        <v>1.1599999999999999E-2</v>
      </c>
      <c r="C387" s="19">
        <v>-1E-3</v>
      </c>
      <c r="D387" s="19">
        <v>4.6710000000000002E-2</v>
      </c>
      <c r="E387" s="19">
        <v>-1.1279726027397261E-3</v>
      </c>
      <c r="F387" s="19">
        <v>1.1472027397260273E-2</v>
      </c>
    </row>
    <row r="388" spans="1:6" x14ac:dyDescent="0.25">
      <c r="A388" s="18">
        <v>43641</v>
      </c>
      <c r="B388" s="19">
        <v>-9.5999999999999992E-3</v>
      </c>
      <c r="C388" s="19">
        <v>-2.8E-3</v>
      </c>
      <c r="D388" s="19">
        <v>4.6530000000000002E-2</v>
      </c>
      <c r="E388" s="19">
        <v>-2.9274794520547944E-3</v>
      </c>
      <c r="F388" s="19">
        <v>-9.7274794520547936E-3</v>
      </c>
    </row>
    <row r="389" spans="1:6" x14ac:dyDescent="0.25">
      <c r="A389" s="18">
        <v>43640</v>
      </c>
      <c r="B389" s="19">
        <v>-9.4999999999999998E-3</v>
      </c>
      <c r="C389" s="19">
        <v>3.8E-3</v>
      </c>
      <c r="D389" s="19">
        <v>4.6550000000000001E-2</v>
      </c>
      <c r="E389" s="19">
        <v>3.6724657534246575E-3</v>
      </c>
      <c r="F389" s="19">
        <v>-9.6275342465753418E-3</v>
      </c>
    </row>
    <row r="390" spans="1:6" x14ac:dyDescent="0.25">
      <c r="A390" s="18">
        <v>43637</v>
      </c>
      <c r="B390" s="19">
        <v>6.7000000000000002E-3</v>
      </c>
      <c r="C390" s="19">
        <v>0</v>
      </c>
      <c r="D390" s="19">
        <v>4.657E-2</v>
      </c>
      <c r="E390" s="19">
        <v>-1.2758904109589042E-4</v>
      </c>
      <c r="F390" s="19">
        <v>6.5724109589041096E-3</v>
      </c>
    </row>
    <row r="391" spans="1:6" x14ac:dyDescent="0.25">
      <c r="A391" s="18">
        <v>43636</v>
      </c>
      <c r="B391" s="19">
        <v>1.06E-2</v>
      </c>
      <c r="C391" s="19">
        <v>0.01</v>
      </c>
      <c r="D391" s="19">
        <v>4.6600000000000003E-2</v>
      </c>
      <c r="E391" s="19">
        <v>9.8723287671232882E-3</v>
      </c>
      <c r="F391" s="19">
        <v>1.0472328767123288E-2</v>
      </c>
    </row>
    <row r="392" spans="1:6" x14ac:dyDescent="0.25">
      <c r="A392" s="18">
        <v>43635</v>
      </c>
      <c r="B392" s="19">
        <v>2.1700000000000001E-2</v>
      </c>
      <c r="C392" s="19">
        <v>6.0000000000000001E-3</v>
      </c>
      <c r="D392" s="19">
        <v>4.6679999999999999E-2</v>
      </c>
      <c r="E392" s="19">
        <v>5.8721095890410958E-3</v>
      </c>
      <c r="F392" s="19">
        <v>2.1572109589041096E-2</v>
      </c>
    </row>
    <row r="393" spans="1:6" x14ac:dyDescent="0.25">
      <c r="A393" s="18">
        <v>43634</v>
      </c>
      <c r="B393" s="19">
        <v>-3.8999999999999998E-3</v>
      </c>
      <c r="C393" s="19">
        <v>-3.0999999999999999E-3</v>
      </c>
      <c r="D393" s="19">
        <v>4.6589999999999999E-2</v>
      </c>
      <c r="E393" s="19">
        <v>-3.2276438356164381E-3</v>
      </c>
      <c r="F393" s="19">
        <v>-4.027643835616438E-3</v>
      </c>
    </row>
    <row r="394" spans="1:6" x14ac:dyDescent="0.25">
      <c r="A394" s="18">
        <v>43633</v>
      </c>
      <c r="B394" s="19">
        <v>-1E-3</v>
      </c>
      <c r="C394" s="19">
        <v>-7.0000000000000001E-3</v>
      </c>
      <c r="D394" s="19">
        <v>4.6600000000000003E-2</v>
      </c>
      <c r="E394" s="19">
        <v>-7.1276712328767122E-3</v>
      </c>
      <c r="F394" s="19">
        <v>-1.1276712328767123E-3</v>
      </c>
    </row>
    <row r="395" spans="1:6" x14ac:dyDescent="0.25">
      <c r="A395" s="18">
        <v>43630</v>
      </c>
      <c r="B395" s="19">
        <v>4.8999999999999998E-3</v>
      </c>
      <c r="C395" s="19">
        <v>3.7000000000000002E-3</v>
      </c>
      <c r="D395" s="19">
        <v>4.6719999999999998E-2</v>
      </c>
      <c r="E395" s="19">
        <v>3.5720000000000001E-3</v>
      </c>
      <c r="F395" s="19">
        <v>4.7720000000000002E-3</v>
      </c>
    </row>
    <row r="396" spans="1:6" x14ac:dyDescent="0.25">
      <c r="A396" s="18">
        <v>43629</v>
      </c>
      <c r="B396" s="19">
        <v>0</v>
      </c>
      <c r="C396" s="19">
        <v>-4.3E-3</v>
      </c>
      <c r="D396" s="19">
        <v>4.6789999999999998E-2</v>
      </c>
      <c r="E396" s="19">
        <v>-4.4281917808219181E-3</v>
      </c>
      <c r="F396" s="19">
        <v>-1.281917808219178E-4</v>
      </c>
    </row>
    <row r="397" spans="1:6" x14ac:dyDescent="0.25">
      <c r="A397" s="18">
        <v>43628</v>
      </c>
      <c r="B397" s="19">
        <v>-2.4E-2</v>
      </c>
      <c r="C397" s="19">
        <v>-8.2000000000000007E-3</v>
      </c>
      <c r="D397" s="19">
        <v>4.6719999999999998E-2</v>
      </c>
      <c r="E397" s="19">
        <v>-8.3280000000000003E-3</v>
      </c>
      <c r="F397" s="19">
        <v>-2.4128E-2</v>
      </c>
    </row>
    <row r="398" spans="1:6" x14ac:dyDescent="0.25">
      <c r="A398" s="18">
        <v>43627</v>
      </c>
      <c r="B398" s="19">
        <v>4.7999999999999996E-3</v>
      </c>
      <c r="C398" s="19">
        <v>-8.9999999999999998E-4</v>
      </c>
      <c r="D398" s="19">
        <v>4.6690000000000002E-2</v>
      </c>
      <c r="E398" s="19">
        <v>-1.0279178082191782E-3</v>
      </c>
      <c r="F398" s="19">
        <v>4.6720821917808214E-3</v>
      </c>
    </row>
    <row r="399" spans="1:6" x14ac:dyDescent="0.25">
      <c r="A399" s="18">
        <v>43626</v>
      </c>
      <c r="B399" s="19">
        <v>4.8999999999999998E-3</v>
      </c>
      <c r="C399" s="19">
        <v>4.7999999999999996E-3</v>
      </c>
      <c r="D399" s="19">
        <v>4.6780000000000002E-2</v>
      </c>
      <c r="E399" s="19">
        <v>4.6718356164383561E-3</v>
      </c>
      <c r="F399" s="19">
        <v>4.7718356164383564E-3</v>
      </c>
    </row>
    <row r="400" spans="1:6" x14ac:dyDescent="0.25">
      <c r="A400" s="18">
        <v>43623</v>
      </c>
      <c r="B400" s="19">
        <v>3.2099999999999997E-2</v>
      </c>
      <c r="C400" s="19">
        <v>1.06E-2</v>
      </c>
      <c r="D400" s="19">
        <v>4.6589999999999999E-2</v>
      </c>
      <c r="E400" s="19">
        <v>1.0472356164383561E-2</v>
      </c>
      <c r="F400" s="19">
        <v>3.1972356164383556E-2</v>
      </c>
    </row>
    <row r="401" spans="1:6" x14ac:dyDescent="0.25">
      <c r="A401" s="18">
        <v>43622</v>
      </c>
      <c r="B401" s="19">
        <v>-2.1600000000000001E-2</v>
      </c>
      <c r="C401" s="19">
        <v>-3.3999999999999998E-3</v>
      </c>
      <c r="D401" s="19">
        <v>4.6760000000000003E-2</v>
      </c>
      <c r="E401" s="19">
        <v>-3.5281095890410956E-3</v>
      </c>
      <c r="F401" s="19">
        <v>-2.1728109589041096E-2</v>
      </c>
    </row>
    <row r="402" spans="1:6" x14ac:dyDescent="0.25">
      <c r="A402" s="18">
        <v>43621</v>
      </c>
      <c r="B402" s="19">
        <v>0</v>
      </c>
      <c r="C402" s="19">
        <v>2.9999999999999997E-4</v>
      </c>
      <c r="D402" s="19">
        <v>4.6929999999999999E-2</v>
      </c>
      <c r="E402" s="19">
        <v>1.7142465753424655E-4</v>
      </c>
      <c r="F402" s="19">
        <v>-1.2857534246575342E-4</v>
      </c>
    </row>
    <row r="403" spans="1:6" x14ac:dyDescent="0.25">
      <c r="A403" s="18">
        <v>43620</v>
      </c>
      <c r="B403" s="19">
        <v>5.8999999999999999E-3</v>
      </c>
      <c r="C403" s="19">
        <v>5.0000000000000001E-3</v>
      </c>
      <c r="D403" s="19">
        <v>4.6940000000000003E-2</v>
      </c>
      <c r="E403" s="19">
        <v>4.8713972602739729E-3</v>
      </c>
      <c r="F403" s="19">
        <v>5.7713972602739727E-3</v>
      </c>
    </row>
    <row r="404" spans="1:6" x14ac:dyDescent="0.25">
      <c r="A404" s="18">
        <v>43619</v>
      </c>
      <c r="B404" s="19">
        <v>-2.7799999999999998E-2</v>
      </c>
      <c r="C404" s="19">
        <v>-1.4E-2</v>
      </c>
      <c r="D404" s="19">
        <v>4.6820000000000001E-2</v>
      </c>
      <c r="E404" s="19">
        <v>-1.412827397260274E-2</v>
      </c>
      <c r="F404" s="19">
        <v>-2.7928273972602738E-2</v>
      </c>
    </row>
    <row r="405" spans="1:6" x14ac:dyDescent="0.25">
      <c r="A405" s="18">
        <v>43616</v>
      </c>
      <c r="B405" s="19">
        <v>-3.5200000000000002E-2</v>
      </c>
      <c r="C405" s="19">
        <v>-9.7999999999999997E-3</v>
      </c>
      <c r="D405" s="19">
        <v>4.7010000000000003E-2</v>
      </c>
      <c r="E405" s="19">
        <v>-9.9287945205479445E-3</v>
      </c>
      <c r="F405" s="19">
        <v>-3.5328794520547949E-2</v>
      </c>
    </row>
    <row r="406" spans="1:6" x14ac:dyDescent="0.25">
      <c r="A406" s="18">
        <v>43615</v>
      </c>
      <c r="B406" s="19">
        <v>-5.4999999999999997E-3</v>
      </c>
      <c r="C406" s="19">
        <v>-2.3E-3</v>
      </c>
      <c r="D406" s="19">
        <v>4.7079999999999997E-2</v>
      </c>
      <c r="E406" s="19">
        <v>-2.4289863013698628E-3</v>
      </c>
      <c r="F406" s="19">
        <v>-5.628986301369863E-3</v>
      </c>
    </row>
    <row r="407" spans="1:6" x14ac:dyDescent="0.25">
      <c r="A407" s="18">
        <v>43614</v>
      </c>
      <c r="B407" s="19">
        <v>7.4000000000000003E-3</v>
      </c>
      <c r="C407" s="19">
        <v>-5.0000000000000001E-4</v>
      </c>
      <c r="D407" s="19">
        <v>4.7140000000000001E-2</v>
      </c>
      <c r="E407" s="19">
        <v>-6.2915068493150689E-4</v>
      </c>
      <c r="F407" s="19">
        <v>7.2708493150684932E-3</v>
      </c>
    </row>
    <row r="408" spans="1:6" x14ac:dyDescent="0.25">
      <c r="A408" s="18">
        <v>43613</v>
      </c>
      <c r="B408" s="19">
        <v>1.9E-3</v>
      </c>
      <c r="C408" s="19">
        <v>-3.2000000000000002E-3</v>
      </c>
      <c r="D408" s="19">
        <v>4.7219999999999998E-2</v>
      </c>
      <c r="E408" s="19">
        <v>-3.3293698630136987E-3</v>
      </c>
      <c r="F408" s="19">
        <v>1.7706301369863015E-3</v>
      </c>
    </row>
    <row r="409" spans="1:6" x14ac:dyDescent="0.25">
      <c r="A409" s="18">
        <v>43612</v>
      </c>
      <c r="B409" s="19">
        <v>1.1299999999999999E-2</v>
      </c>
      <c r="C409" s="19">
        <v>5.3E-3</v>
      </c>
      <c r="D409" s="19">
        <v>4.727E-2</v>
      </c>
      <c r="E409" s="19">
        <v>5.1704931506849315E-3</v>
      </c>
      <c r="F409" s="19">
        <v>1.1170493150684932E-2</v>
      </c>
    </row>
    <row r="410" spans="1:6" x14ac:dyDescent="0.25">
      <c r="A410" s="18">
        <v>43609</v>
      </c>
      <c r="B410" s="19">
        <v>-2.3800000000000002E-2</v>
      </c>
      <c r="C410" s="19">
        <v>-1.29E-2</v>
      </c>
      <c r="D410" s="19">
        <v>4.7289999999999999E-2</v>
      </c>
      <c r="E410" s="19">
        <v>-1.3029561643835617E-2</v>
      </c>
      <c r="F410" s="19">
        <v>-2.3929561643835619E-2</v>
      </c>
    </row>
    <row r="411" spans="1:6" x14ac:dyDescent="0.25">
      <c r="A411" s="18">
        <v>43608</v>
      </c>
      <c r="B411" s="19">
        <v>-1.2699999999999999E-2</v>
      </c>
      <c r="C411" s="19">
        <v>-1.1000000000000001E-3</v>
      </c>
      <c r="D411" s="19">
        <v>4.7350000000000003E-2</v>
      </c>
      <c r="E411" s="19">
        <v>-1.2297260273972602E-3</v>
      </c>
      <c r="F411" s="19">
        <v>-1.2829726027397259E-2</v>
      </c>
    </row>
    <row r="412" spans="1:6" x14ac:dyDescent="0.25">
      <c r="A412" s="18">
        <v>43607</v>
      </c>
      <c r="B412" s="19">
        <v>-8.9999999999999993E-3</v>
      </c>
      <c r="C412" s="19">
        <v>-2.5000000000000001E-3</v>
      </c>
      <c r="D412" s="19">
        <v>4.7379999999999999E-2</v>
      </c>
      <c r="E412" s="19">
        <v>-2.6298082191780823E-3</v>
      </c>
      <c r="F412" s="19">
        <v>-9.1298082191780816E-3</v>
      </c>
    </row>
    <row r="413" spans="1:6" x14ac:dyDescent="0.25">
      <c r="A413" s="18">
        <v>43606</v>
      </c>
      <c r="B413" s="19">
        <v>-1.3299999999999999E-2</v>
      </c>
      <c r="C413" s="19">
        <v>-8.9999999999999998E-4</v>
      </c>
      <c r="D413" s="19">
        <v>4.7370000000000002E-2</v>
      </c>
      <c r="E413" s="19">
        <v>-1.0297808219178082E-3</v>
      </c>
      <c r="F413" s="19">
        <v>-1.3429780821917807E-2</v>
      </c>
    </row>
    <row r="414" spans="1:6" x14ac:dyDescent="0.25">
      <c r="A414" s="18">
        <v>43605</v>
      </c>
      <c r="B414" s="19">
        <v>2.5399999999999999E-2</v>
      </c>
      <c r="C414" s="19">
        <v>1.09E-2</v>
      </c>
      <c r="D414" s="19">
        <v>4.743E-2</v>
      </c>
      <c r="E414" s="19">
        <v>1.0770054794520548E-2</v>
      </c>
      <c r="F414" s="19">
        <v>2.5270054794520547E-2</v>
      </c>
    </row>
    <row r="415" spans="1:6" x14ac:dyDescent="0.25">
      <c r="A415" s="18">
        <v>43602</v>
      </c>
      <c r="B415" s="19">
        <v>8.9999999999999998E-4</v>
      </c>
      <c r="C415" s="19">
        <v>8.0000000000000004E-4</v>
      </c>
      <c r="D415" s="19">
        <v>4.743E-2</v>
      </c>
      <c r="E415" s="19">
        <v>6.7005479452054799E-4</v>
      </c>
      <c r="F415" s="19">
        <v>7.7005479452054793E-4</v>
      </c>
    </row>
    <row r="416" spans="1:6" x14ac:dyDescent="0.25">
      <c r="A416" s="18">
        <v>43601</v>
      </c>
      <c r="B416" s="19">
        <v>8.9999999999999998E-4</v>
      </c>
      <c r="C416" s="19">
        <v>1E-4</v>
      </c>
      <c r="D416" s="19">
        <v>4.7410000000000001E-2</v>
      </c>
      <c r="E416" s="19">
        <v>-2.98904109589041E-5</v>
      </c>
      <c r="F416" s="19">
        <v>7.701095890410959E-4</v>
      </c>
    </row>
    <row r="417" spans="1:6" x14ac:dyDescent="0.25">
      <c r="A417" s="18">
        <v>43600</v>
      </c>
      <c r="B417" s="19">
        <v>9.1999999999999998E-3</v>
      </c>
      <c r="C417" s="19">
        <v>1.0699999999999999E-2</v>
      </c>
      <c r="D417" s="19">
        <v>4.752E-2</v>
      </c>
      <c r="E417" s="19">
        <v>1.0569808219178082E-2</v>
      </c>
      <c r="F417" s="19">
        <v>9.0698082191780823E-3</v>
      </c>
    </row>
    <row r="418" spans="1:6" x14ac:dyDescent="0.25">
      <c r="A418" s="18">
        <v>43599</v>
      </c>
      <c r="B418" s="19">
        <v>2.2499999999999999E-2</v>
      </c>
      <c r="C418" s="19">
        <v>7.1000000000000004E-3</v>
      </c>
      <c r="D418" s="19">
        <v>4.7570000000000001E-2</v>
      </c>
      <c r="E418" s="19">
        <v>6.9696712328767129E-3</v>
      </c>
      <c r="F418" s="19">
        <v>2.2369671232876712E-2</v>
      </c>
    </row>
    <row r="419" spans="1:6" x14ac:dyDescent="0.25">
      <c r="A419" s="18">
        <v>43598</v>
      </c>
      <c r="B419" s="19">
        <v>-1.2E-2</v>
      </c>
      <c r="C419" s="19">
        <v>6.3E-3</v>
      </c>
      <c r="D419" s="19">
        <v>4.761E-2</v>
      </c>
      <c r="E419" s="19">
        <v>6.1695616438356164E-3</v>
      </c>
      <c r="F419" s="19">
        <v>-1.2130438356164383E-2</v>
      </c>
    </row>
    <row r="420" spans="1:6" x14ac:dyDescent="0.25">
      <c r="A420" s="18">
        <v>43595</v>
      </c>
      <c r="B420" s="19">
        <v>1.2200000000000001E-2</v>
      </c>
      <c r="C420" s="19">
        <v>5.7999999999999996E-3</v>
      </c>
      <c r="D420" s="19">
        <v>4.7699999999999999E-2</v>
      </c>
      <c r="E420" s="19">
        <v>5.6693150684931507E-3</v>
      </c>
      <c r="F420" s="19">
        <v>1.2069315068493151E-2</v>
      </c>
    </row>
    <row r="421" spans="1:6" x14ac:dyDescent="0.25">
      <c r="A421" s="18">
        <v>43594</v>
      </c>
      <c r="B421" s="19">
        <v>-2.1999999999999999E-2</v>
      </c>
      <c r="C421" s="19">
        <v>-4.4000000000000003E-3</v>
      </c>
      <c r="D421" s="19">
        <v>4.7730000000000002E-2</v>
      </c>
      <c r="E421" s="19">
        <v>-4.5307671232876715E-3</v>
      </c>
      <c r="F421" s="19">
        <v>-2.2130767123287671E-2</v>
      </c>
    </row>
    <row r="422" spans="1:6" x14ac:dyDescent="0.25">
      <c r="A422" s="18">
        <v>43593</v>
      </c>
      <c r="B422" s="19">
        <v>4.5999999999999999E-3</v>
      </c>
      <c r="C422" s="19">
        <v>-6.6E-3</v>
      </c>
      <c r="D422" s="19">
        <v>4.7730000000000002E-2</v>
      </c>
      <c r="E422" s="19">
        <v>-6.7307671232876712E-3</v>
      </c>
      <c r="F422" s="19">
        <v>4.4692328767123287E-3</v>
      </c>
    </row>
    <row r="423" spans="1:6" x14ac:dyDescent="0.25">
      <c r="A423" s="18">
        <v>43592</v>
      </c>
      <c r="B423" s="19">
        <v>5.5999999999999999E-3</v>
      </c>
      <c r="C423" s="19">
        <v>-4.0000000000000002E-4</v>
      </c>
      <c r="D423" s="19">
        <v>4.7759999999999997E-2</v>
      </c>
      <c r="E423" s="19">
        <v>-5.3084931506849312E-4</v>
      </c>
      <c r="F423" s="19">
        <v>5.4691506849315064E-3</v>
      </c>
    </row>
    <row r="424" spans="1:6" x14ac:dyDescent="0.25">
      <c r="A424" s="18">
        <v>43591</v>
      </c>
      <c r="B424" s="19">
        <v>-4.0899999999999999E-2</v>
      </c>
      <c r="C424" s="19">
        <v>-1.66E-2</v>
      </c>
      <c r="D424" s="19">
        <v>4.7759999999999997E-2</v>
      </c>
      <c r="E424" s="19">
        <v>-1.6730849315068495E-2</v>
      </c>
      <c r="F424" s="19">
        <v>-4.1030849315068493E-2</v>
      </c>
    </row>
    <row r="425" spans="1:6" x14ac:dyDescent="0.25">
      <c r="A425" s="18">
        <v>43588</v>
      </c>
      <c r="B425" s="19">
        <v>-1.32E-2</v>
      </c>
      <c r="C425" s="19">
        <v>-4.4999999999999997E-3</v>
      </c>
      <c r="D425" s="19">
        <v>4.7539999999999999E-2</v>
      </c>
      <c r="E425" s="19">
        <v>-4.6302465753424657E-3</v>
      </c>
      <c r="F425" s="19">
        <v>-1.3330246575342465E-2</v>
      </c>
    </row>
    <row r="426" spans="1:6" x14ac:dyDescent="0.25">
      <c r="A426" s="18">
        <v>43587</v>
      </c>
      <c r="B426" s="19">
        <v>1.06E-2</v>
      </c>
      <c r="C426" s="19">
        <v>-1.1999999999999999E-3</v>
      </c>
      <c r="D426" s="19">
        <v>4.761E-2</v>
      </c>
      <c r="E426" s="19">
        <v>-1.3304383561643833E-3</v>
      </c>
      <c r="F426" s="19">
        <v>1.0469561643835617E-2</v>
      </c>
    </row>
    <row r="427" spans="1:6" x14ac:dyDescent="0.25">
      <c r="A427" s="18">
        <v>43581</v>
      </c>
      <c r="B427" s="19">
        <v>-1.8E-3</v>
      </c>
      <c r="C427" s="19">
        <v>5.7000000000000002E-3</v>
      </c>
      <c r="D427" s="19">
        <v>4.7640000000000002E-2</v>
      </c>
      <c r="E427" s="19">
        <v>5.5694794520547951E-3</v>
      </c>
      <c r="F427" s="19">
        <v>-1.9305205479452055E-3</v>
      </c>
    </row>
    <row r="428" spans="1:6" x14ac:dyDescent="0.25">
      <c r="A428" s="18">
        <v>43580</v>
      </c>
      <c r="B428" s="19">
        <v>7.1000000000000004E-3</v>
      </c>
      <c r="C428" s="19">
        <v>-2.8999999999999998E-3</v>
      </c>
      <c r="D428" s="19">
        <v>4.759E-2</v>
      </c>
      <c r="E428" s="19">
        <v>-3.0303835616438354E-3</v>
      </c>
      <c r="F428" s="19">
        <v>6.9696164383561644E-3</v>
      </c>
    </row>
    <row r="429" spans="1:6" x14ac:dyDescent="0.25">
      <c r="A429" s="18">
        <v>43579</v>
      </c>
      <c r="B429" s="19">
        <v>0</v>
      </c>
      <c r="C429" s="19">
        <v>9.1999999999999998E-3</v>
      </c>
      <c r="D429" s="19">
        <v>4.7640000000000002E-2</v>
      </c>
      <c r="E429" s="19">
        <v>9.0694794520547947E-3</v>
      </c>
      <c r="F429" s="19">
        <v>-1.3052054794520548E-4</v>
      </c>
    </row>
    <row r="430" spans="1:6" x14ac:dyDescent="0.25">
      <c r="A430" s="18">
        <v>43578</v>
      </c>
      <c r="B430" s="19">
        <v>3.3099999999999997E-2</v>
      </c>
      <c r="C430" s="19">
        <v>2.2000000000000001E-3</v>
      </c>
      <c r="D430" s="19">
        <v>4.7600000000000003E-2</v>
      </c>
      <c r="E430" s="19">
        <v>2.0695890410958907E-3</v>
      </c>
      <c r="F430" s="19">
        <v>3.2969589041095891E-2</v>
      </c>
    </row>
    <row r="431" spans="1:6" x14ac:dyDescent="0.25">
      <c r="A431" s="18">
        <v>43577</v>
      </c>
      <c r="B431" s="19">
        <v>2.2599999999999999E-2</v>
      </c>
      <c r="C431" s="19">
        <v>-4.0000000000000002E-4</v>
      </c>
      <c r="D431" s="19">
        <v>4.7539999999999999E-2</v>
      </c>
      <c r="E431" s="19">
        <v>-5.3024657534246579E-4</v>
      </c>
      <c r="F431" s="19">
        <v>2.2469753424657533E-2</v>
      </c>
    </row>
    <row r="432" spans="1:6" x14ac:dyDescent="0.25">
      <c r="A432" s="18">
        <v>43574</v>
      </c>
      <c r="B432" s="19">
        <v>5.7000000000000002E-3</v>
      </c>
      <c r="C432" s="19">
        <v>4.1000000000000003E-3</v>
      </c>
      <c r="D432" s="19">
        <v>4.7739999999999998E-2</v>
      </c>
      <c r="E432" s="19">
        <v>3.9692054794520553E-3</v>
      </c>
      <c r="F432" s="19">
        <v>5.5692054794520551E-3</v>
      </c>
    </row>
    <row r="433" spans="1:6" x14ac:dyDescent="0.25">
      <c r="A433" s="18">
        <v>43573</v>
      </c>
      <c r="B433" s="19">
        <v>-1.12E-2</v>
      </c>
      <c r="C433" s="19">
        <v>-1.01E-2</v>
      </c>
      <c r="D433" s="19">
        <v>4.7800000000000002E-2</v>
      </c>
      <c r="E433" s="19">
        <v>-1.0230958904109589E-2</v>
      </c>
      <c r="F433" s="19">
        <v>-1.133095890410959E-2</v>
      </c>
    </row>
    <row r="434" spans="1:6" x14ac:dyDescent="0.25">
      <c r="A434" s="18">
        <v>43572</v>
      </c>
      <c r="B434" s="19">
        <v>1.4200000000000001E-2</v>
      </c>
      <c r="C434" s="19">
        <v>-5.1999999999999998E-3</v>
      </c>
      <c r="D434" s="19">
        <v>4.7899999999999998E-2</v>
      </c>
      <c r="E434" s="19">
        <v>-5.3312328767123286E-3</v>
      </c>
      <c r="F434" s="19">
        <v>1.4068767123287673E-2</v>
      </c>
    </row>
    <row r="435" spans="1:6" x14ac:dyDescent="0.25">
      <c r="A435" s="18">
        <v>43571</v>
      </c>
      <c r="B435" s="19">
        <v>-1.1299999999999999E-2</v>
      </c>
      <c r="C435" s="19">
        <v>-5.7999999999999996E-3</v>
      </c>
      <c r="D435" s="19">
        <v>4.7870000000000003E-2</v>
      </c>
      <c r="E435" s="19">
        <v>-5.9311506849315061E-3</v>
      </c>
      <c r="F435" s="19">
        <v>-1.1431150684931507E-2</v>
      </c>
    </row>
    <row r="436" spans="1:6" x14ac:dyDescent="0.25">
      <c r="A436" s="18">
        <v>43567</v>
      </c>
      <c r="B436" s="19">
        <v>1.43E-2</v>
      </c>
      <c r="C436" s="19">
        <v>-3.0999999999999999E-3</v>
      </c>
      <c r="D436" s="19">
        <v>4.7960000000000003E-2</v>
      </c>
      <c r="E436" s="19">
        <v>-3.2313972602739725E-3</v>
      </c>
      <c r="F436" s="19">
        <v>1.4168602739726028E-2</v>
      </c>
    </row>
    <row r="437" spans="1:6" x14ac:dyDescent="0.25">
      <c r="A437" s="18">
        <v>43566</v>
      </c>
      <c r="B437" s="19">
        <v>-1.9E-3</v>
      </c>
      <c r="C437" s="19">
        <v>4.1000000000000003E-3</v>
      </c>
      <c r="D437" s="19">
        <v>4.8059999999999999E-2</v>
      </c>
      <c r="E437" s="19">
        <v>3.9683287671232878E-3</v>
      </c>
      <c r="F437" s="19">
        <v>-2.0316712328767124E-3</v>
      </c>
    </row>
    <row r="438" spans="1:6" x14ac:dyDescent="0.25">
      <c r="A438" s="18">
        <v>43565</v>
      </c>
      <c r="B438" s="19">
        <v>1.9E-3</v>
      </c>
      <c r="C438" s="19">
        <v>-6.6E-3</v>
      </c>
      <c r="D438" s="19">
        <v>4.8149999999999998E-2</v>
      </c>
      <c r="E438" s="19">
        <v>-6.7319178082191778E-3</v>
      </c>
      <c r="F438" s="19">
        <v>1.7680821917808219E-3</v>
      </c>
    </row>
    <row r="439" spans="1:6" x14ac:dyDescent="0.25">
      <c r="A439" s="18">
        <v>43564</v>
      </c>
      <c r="B439" s="19">
        <v>-1.8700000000000001E-2</v>
      </c>
      <c r="C439" s="19">
        <v>-9.1000000000000004E-3</v>
      </c>
      <c r="D439" s="19">
        <v>4.8120000000000003E-2</v>
      </c>
      <c r="E439" s="19">
        <v>-9.231835616438356E-3</v>
      </c>
      <c r="F439" s="19">
        <v>-1.8831835616438357E-2</v>
      </c>
    </row>
    <row r="440" spans="1:6" x14ac:dyDescent="0.25">
      <c r="A440" s="18">
        <v>43563</v>
      </c>
      <c r="B440" s="19">
        <v>3.0800000000000001E-2</v>
      </c>
      <c r="C440" s="19">
        <v>8.3999999999999995E-3</v>
      </c>
      <c r="D440" s="19">
        <v>4.8129999999999999E-2</v>
      </c>
      <c r="E440" s="19">
        <v>8.2681369863013693E-3</v>
      </c>
      <c r="F440" s="19">
        <v>3.0668136986301373E-2</v>
      </c>
    </row>
    <row r="441" spans="1:6" x14ac:dyDescent="0.25">
      <c r="A441" s="18">
        <v>43560</v>
      </c>
      <c r="B441" s="19">
        <v>2.47E-2</v>
      </c>
      <c r="C441" s="19">
        <v>2.3999999999999998E-3</v>
      </c>
      <c r="D441" s="19">
        <v>4.8129999999999999E-2</v>
      </c>
      <c r="E441" s="19">
        <v>2.2681369863013696E-3</v>
      </c>
      <c r="F441" s="19">
        <v>2.4568136986301371E-2</v>
      </c>
    </row>
    <row r="442" spans="1:6" x14ac:dyDescent="0.25">
      <c r="A442" s="18">
        <v>43559</v>
      </c>
      <c r="B442" s="19">
        <v>-2E-3</v>
      </c>
      <c r="C442" s="19">
        <v>2.5000000000000001E-3</v>
      </c>
      <c r="D442" s="19">
        <v>4.8129999999999999E-2</v>
      </c>
      <c r="E442" s="19">
        <v>2.3681369863013699E-3</v>
      </c>
      <c r="F442" s="19">
        <v>-2.1318630136986302E-3</v>
      </c>
    </row>
    <row r="443" spans="1:6" x14ac:dyDescent="0.25">
      <c r="A443" s="18">
        <v>43558</v>
      </c>
      <c r="B443" s="19">
        <v>5.0000000000000001E-3</v>
      </c>
      <c r="C443" s="19">
        <v>-1.4E-3</v>
      </c>
      <c r="D443" s="19">
        <v>4.8250000000000001E-2</v>
      </c>
      <c r="E443" s="19">
        <v>-1.5321917808219178E-3</v>
      </c>
      <c r="F443" s="19">
        <v>4.8678082191780823E-3</v>
      </c>
    </row>
    <row r="444" spans="1:6" x14ac:dyDescent="0.25">
      <c r="A444" s="18">
        <v>43557</v>
      </c>
      <c r="B444" s="19">
        <v>3.0000000000000001E-3</v>
      </c>
      <c r="C444" s="19">
        <v>-2.8E-3</v>
      </c>
      <c r="D444" s="19">
        <v>4.8070000000000002E-2</v>
      </c>
      <c r="E444" s="19">
        <v>-2.9316986301369864E-3</v>
      </c>
      <c r="F444" s="19">
        <v>2.8683013698630137E-3</v>
      </c>
    </row>
    <row r="445" spans="1:6" x14ac:dyDescent="0.25">
      <c r="A445" s="18">
        <v>43556</v>
      </c>
      <c r="B445" s="19">
        <v>2.5499999999999998E-2</v>
      </c>
      <c r="C445" s="19">
        <v>7.9000000000000008E-3</v>
      </c>
      <c r="D445" s="19">
        <v>4.8030000000000003E-2</v>
      </c>
      <c r="E445" s="19">
        <v>7.7684109589041105E-3</v>
      </c>
      <c r="F445" s="19">
        <v>2.5368410958904106E-2</v>
      </c>
    </row>
    <row r="446" spans="1:6" x14ac:dyDescent="0.25">
      <c r="A446" s="18">
        <v>43553</v>
      </c>
      <c r="B446" s="19">
        <v>-4.1000000000000003E-3</v>
      </c>
      <c r="C446" s="19">
        <v>-2.3E-3</v>
      </c>
      <c r="D446" s="19">
        <v>4.8280000000000003E-2</v>
      </c>
      <c r="E446" s="19">
        <v>-2.4322739726027397E-3</v>
      </c>
      <c r="F446" s="19">
        <v>-4.2322739726027405E-3</v>
      </c>
    </row>
    <row r="447" spans="1:6" x14ac:dyDescent="0.25">
      <c r="A447" s="18">
        <v>43552</v>
      </c>
      <c r="B447" s="19">
        <v>1.44E-2</v>
      </c>
      <c r="C447" s="19">
        <v>7.1999999999999998E-3</v>
      </c>
      <c r="D447" s="19">
        <v>4.8480000000000002E-2</v>
      </c>
      <c r="E447" s="19">
        <v>7.0671780821917806E-3</v>
      </c>
      <c r="F447" s="19">
        <v>1.426717808219178E-2</v>
      </c>
    </row>
    <row r="448" spans="1:6" x14ac:dyDescent="0.25">
      <c r="A448" s="18">
        <v>43551</v>
      </c>
      <c r="B448" s="19">
        <v>1E-3</v>
      </c>
      <c r="C448" s="19">
        <v>6.3E-3</v>
      </c>
      <c r="D448" s="19">
        <v>4.8509999999999998E-2</v>
      </c>
      <c r="E448" s="19">
        <v>6.1670958904109585E-3</v>
      </c>
      <c r="F448" s="19">
        <v>8.6709589041095896E-4</v>
      </c>
    </row>
    <row r="449" spans="1:6" x14ac:dyDescent="0.25">
      <c r="A449" s="18">
        <v>43550</v>
      </c>
      <c r="B449" s="19">
        <v>-1.12E-2</v>
      </c>
      <c r="C449" s="19">
        <v>-2.9999999999999997E-4</v>
      </c>
      <c r="D449" s="19">
        <v>4.8680000000000001E-2</v>
      </c>
      <c r="E449" s="19">
        <v>-4.3336986301369861E-4</v>
      </c>
      <c r="F449" s="19">
        <v>-1.1333369863013698E-2</v>
      </c>
    </row>
    <row r="450" spans="1:6" x14ac:dyDescent="0.25">
      <c r="A450" s="18">
        <v>43549</v>
      </c>
      <c r="B450" s="19">
        <v>-1.7000000000000001E-2</v>
      </c>
      <c r="C450" s="19">
        <v>-1.89E-2</v>
      </c>
      <c r="D450" s="19">
        <v>4.8329999999999998E-2</v>
      </c>
      <c r="E450" s="19">
        <v>-1.9032410958904109E-2</v>
      </c>
      <c r="F450" s="19">
        <v>-1.713241095890411E-2</v>
      </c>
    </row>
    <row r="451" spans="1:6" x14ac:dyDescent="0.25">
      <c r="A451" s="18">
        <v>43546</v>
      </c>
      <c r="B451" s="19">
        <v>9.1000000000000004E-3</v>
      </c>
      <c r="C451" s="19">
        <v>7.1000000000000004E-3</v>
      </c>
      <c r="D451" s="19">
        <v>4.8340000000000001E-2</v>
      </c>
      <c r="E451" s="19">
        <v>6.9675616438356165E-3</v>
      </c>
      <c r="F451" s="19">
        <v>8.9675616438356174E-3</v>
      </c>
    </row>
    <row r="452" spans="1:6" x14ac:dyDescent="0.25">
      <c r="A452" s="18">
        <v>43545</v>
      </c>
      <c r="B452" s="19">
        <v>-3.1300000000000001E-2</v>
      </c>
      <c r="C452" s="19">
        <v>-2.0500000000000001E-2</v>
      </c>
      <c r="D452" s="19">
        <v>4.836E-2</v>
      </c>
      <c r="E452" s="19">
        <v>-2.0632493150684932E-2</v>
      </c>
      <c r="F452" s="19">
        <v>-3.1432493150684936E-2</v>
      </c>
    </row>
    <row r="453" spans="1:6" x14ac:dyDescent="0.25">
      <c r="A453" s="18">
        <v>43544</v>
      </c>
      <c r="B453" s="19">
        <v>-1.26E-2</v>
      </c>
      <c r="C453" s="19">
        <v>-4.3E-3</v>
      </c>
      <c r="D453" s="19">
        <v>4.8120000000000003E-2</v>
      </c>
      <c r="E453" s="19">
        <v>-4.4318356164383564E-3</v>
      </c>
      <c r="F453" s="19">
        <v>-1.2731835616438356E-2</v>
      </c>
    </row>
    <row r="454" spans="1:6" x14ac:dyDescent="0.25">
      <c r="A454" s="18">
        <v>43543</v>
      </c>
      <c r="B454" s="19">
        <v>-4.7999999999999996E-3</v>
      </c>
      <c r="C454" s="19">
        <v>-5.1999999999999998E-3</v>
      </c>
      <c r="D454" s="19">
        <v>4.7989999999999998E-2</v>
      </c>
      <c r="E454" s="19">
        <v>-5.3314794520547947E-3</v>
      </c>
      <c r="F454" s="19">
        <v>-4.9314794520547937E-3</v>
      </c>
    </row>
    <row r="455" spans="1:6" x14ac:dyDescent="0.25">
      <c r="A455" s="18">
        <v>43542</v>
      </c>
      <c r="B455" s="19">
        <v>2.3599999999999999E-2</v>
      </c>
      <c r="C455" s="19">
        <v>7.7000000000000002E-3</v>
      </c>
      <c r="D455" s="19">
        <v>4.7980000000000002E-2</v>
      </c>
      <c r="E455" s="19">
        <v>7.56854794520548E-3</v>
      </c>
      <c r="F455" s="19">
        <v>2.3468547945205479E-2</v>
      </c>
    </row>
    <row r="456" spans="1:6" x14ac:dyDescent="0.25">
      <c r="A456" s="18">
        <v>43539</v>
      </c>
      <c r="B456" s="19">
        <v>1.2999999999999999E-2</v>
      </c>
      <c r="C456" s="19">
        <v>-4.3E-3</v>
      </c>
      <c r="D456" s="19">
        <v>4.7940000000000003E-2</v>
      </c>
      <c r="E456" s="19">
        <v>-4.431342465753425E-3</v>
      </c>
      <c r="F456" s="19">
        <v>1.2868657534246574E-2</v>
      </c>
    </row>
    <row r="457" spans="1:6" x14ac:dyDescent="0.25">
      <c r="A457" s="18">
        <v>43538</v>
      </c>
      <c r="B457" s="19">
        <v>6.8999999999999999E-3</v>
      </c>
      <c r="C457" s="19">
        <v>3.0000000000000001E-3</v>
      </c>
      <c r="D457" s="19">
        <v>4.7899999999999998E-2</v>
      </c>
      <c r="E457" s="19">
        <v>2.8687671232876712E-3</v>
      </c>
      <c r="F457" s="19">
        <v>6.7687671232876711E-3</v>
      </c>
    </row>
    <row r="458" spans="1:6" x14ac:dyDescent="0.25">
      <c r="A458" s="18">
        <v>43537</v>
      </c>
      <c r="B458" s="19">
        <v>-2.8999999999999998E-3</v>
      </c>
      <c r="C458" s="19">
        <v>4.1000000000000003E-3</v>
      </c>
      <c r="D458" s="19">
        <v>4.786E-2</v>
      </c>
      <c r="E458" s="19">
        <v>3.9688767123287677E-3</v>
      </c>
      <c r="F458" s="19">
        <v>-3.0311232876712325E-3</v>
      </c>
    </row>
    <row r="459" spans="1:6" x14ac:dyDescent="0.25">
      <c r="A459" s="18">
        <v>43536</v>
      </c>
      <c r="B459" s="19">
        <v>1.7000000000000001E-2</v>
      </c>
      <c r="C459" s="19">
        <v>1.7000000000000001E-2</v>
      </c>
      <c r="D459" s="19">
        <v>4.7910000000000001E-2</v>
      </c>
      <c r="E459" s="19">
        <v>1.6868739726027399E-2</v>
      </c>
      <c r="F459" s="19">
        <v>1.6868739726027399E-2</v>
      </c>
    </row>
    <row r="460" spans="1:6" x14ac:dyDescent="0.25">
      <c r="A460" s="18">
        <v>43535</v>
      </c>
      <c r="B460" s="19">
        <v>-7.9000000000000008E-3</v>
      </c>
      <c r="C460" s="19">
        <v>-6.9999999999999999E-4</v>
      </c>
      <c r="D460" s="19">
        <v>4.795E-2</v>
      </c>
      <c r="E460" s="19">
        <v>-8.3136986301369869E-4</v>
      </c>
      <c r="F460" s="19">
        <v>-8.0313698630136987E-3</v>
      </c>
    </row>
    <row r="461" spans="1:6" x14ac:dyDescent="0.25">
      <c r="A461" s="18">
        <v>43532</v>
      </c>
      <c r="B461" s="19">
        <v>-1.9400000000000001E-2</v>
      </c>
      <c r="C461" s="19">
        <v>-8.8000000000000005E-3</v>
      </c>
      <c r="D461" s="19">
        <v>4.7829999999999998E-2</v>
      </c>
      <c r="E461" s="19">
        <v>-8.9310410958904109E-3</v>
      </c>
      <c r="F461" s="19">
        <v>-1.9531041095890413E-2</v>
      </c>
    </row>
    <row r="462" spans="1:6" x14ac:dyDescent="0.25">
      <c r="A462" s="18">
        <v>43531</v>
      </c>
      <c r="B462" s="19">
        <v>-9.5999999999999992E-3</v>
      </c>
      <c r="C462" s="19">
        <v>-5.0000000000000001E-4</v>
      </c>
      <c r="D462" s="19">
        <v>4.786E-2</v>
      </c>
      <c r="E462" s="19">
        <v>-6.311232876712329E-4</v>
      </c>
      <c r="F462" s="19">
        <v>-9.7311232876712318E-3</v>
      </c>
    </row>
    <row r="463" spans="1:6" x14ac:dyDescent="0.25">
      <c r="A463" s="18">
        <v>43530</v>
      </c>
      <c r="B463" s="19">
        <v>0</v>
      </c>
      <c r="C463" s="19">
        <v>2.0999999999999999E-3</v>
      </c>
      <c r="D463" s="19">
        <v>4.7780000000000003E-2</v>
      </c>
      <c r="E463" s="19">
        <v>1.9690958904109586E-3</v>
      </c>
      <c r="F463" s="19">
        <v>-1.3090410958904109E-4</v>
      </c>
    </row>
    <row r="464" spans="1:6" x14ac:dyDescent="0.25">
      <c r="A464" s="18">
        <v>43529</v>
      </c>
      <c r="B464" s="19">
        <v>9.7000000000000003E-3</v>
      </c>
      <c r="C464" s="19">
        <v>-1.5E-3</v>
      </c>
      <c r="D464" s="19">
        <v>4.768E-2</v>
      </c>
      <c r="E464" s="19">
        <v>-1.6306301369863013E-3</v>
      </c>
      <c r="F464" s="19">
        <v>9.5693698630136981E-3</v>
      </c>
    </row>
    <row r="465" spans="1:6" x14ac:dyDescent="0.25">
      <c r="A465" s="18">
        <v>43528</v>
      </c>
      <c r="B465" s="19">
        <v>9.9000000000000008E-3</v>
      </c>
      <c r="C465" s="19">
        <v>1.47E-2</v>
      </c>
      <c r="D465" s="19">
        <v>4.7620000000000003E-2</v>
      </c>
      <c r="E465" s="19">
        <v>1.4569534246575342E-2</v>
      </c>
      <c r="F465" s="19">
        <v>9.7695342465753433E-3</v>
      </c>
    </row>
    <row r="466" spans="1:6" x14ac:dyDescent="0.25">
      <c r="A466" s="18">
        <v>43525</v>
      </c>
      <c r="B466" s="19">
        <v>1.83E-2</v>
      </c>
      <c r="C466" s="19">
        <v>1.47E-2</v>
      </c>
      <c r="D466" s="19">
        <v>4.7620000000000003E-2</v>
      </c>
      <c r="E466" s="19">
        <v>1.4569534246575342E-2</v>
      </c>
      <c r="F466" s="19">
        <v>1.8169534246575341E-2</v>
      </c>
    </row>
    <row r="467" spans="1:6" x14ac:dyDescent="0.25">
      <c r="A467" s="18">
        <v>43524</v>
      </c>
      <c r="B467" s="19">
        <v>-3.0000000000000001E-3</v>
      </c>
      <c r="C467" s="19">
        <v>-2.5000000000000001E-2</v>
      </c>
      <c r="D467" s="19">
        <v>4.7550000000000002E-2</v>
      </c>
      <c r="E467" s="19">
        <v>-2.513027397260274E-2</v>
      </c>
      <c r="F467" s="19">
        <v>-3.1302739726027399E-3</v>
      </c>
    </row>
    <row r="468" spans="1:6" x14ac:dyDescent="0.25">
      <c r="A468" s="18">
        <v>43523</v>
      </c>
      <c r="B468" s="19">
        <v>6.1000000000000004E-3</v>
      </c>
      <c r="C468" s="19">
        <v>3.3E-3</v>
      </c>
      <c r="D468" s="19">
        <v>4.7600000000000003E-2</v>
      </c>
      <c r="E468" s="19">
        <v>3.1695890410958906E-3</v>
      </c>
      <c r="F468" s="19">
        <v>5.9695890410958906E-3</v>
      </c>
    </row>
    <row r="469" spans="1:6" x14ac:dyDescent="0.25">
      <c r="A469" s="18">
        <v>43522</v>
      </c>
      <c r="B469" s="19">
        <v>-1.3100000000000001E-2</v>
      </c>
      <c r="C469" s="19">
        <v>-7.4000000000000003E-3</v>
      </c>
      <c r="D469" s="19">
        <v>4.7690000000000003E-2</v>
      </c>
      <c r="E469" s="19">
        <v>-7.5306575342465754E-3</v>
      </c>
      <c r="F469" s="19">
        <v>-1.3230657534246576E-2</v>
      </c>
    </row>
    <row r="470" spans="1:6" x14ac:dyDescent="0.25">
      <c r="A470" s="18">
        <v>43521</v>
      </c>
      <c r="B470" s="19">
        <v>-1E-3</v>
      </c>
      <c r="C470" s="19">
        <v>5.5999999999999999E-3</v>
      </c>
      <c r="D470" s="19">
        <v>4.7620000000000003E-2</v>
      </c>
      <c r="E470" s="19">
        <v>5.4695342465753425E-3</v>
      </c>
      <c r="F470" s="19">
        <v>-1.1304657534246575E-3</v>
      </c>
    </row>
    <row r="471" spans="1:6" x14ac:dyDescent="0.25">
      <c r="A471" s="18">
        <v>43518</v>
      </c>
      <c r="B471" s="19">
        <v>2.1600000000000001E-2</v>
      </c>
      <c r="C471" s="19">
        <v>1.4E-3</v>
      </c>
      <c r="D471" s="19">
        <v>4.7539999999999999E-2</v>
      </c>
      <c r="E471" s="19">
        <v>1.2697534246575342E-3</v>
      </c>
      <c r="F471" s="19">
        <v>2.1469753424657536E-2</v>
      </c>
    </row>
    <row r="472" spans="1:6" x14ac:dyDescent="0.25">
      <c r="A472" s="18">
        <v>43517</v>
      </c>
      <c r="B472" s="19">
        <v>1.2500000000000001E-2</v>
      </c>
      <c r="C472" s="19">
        <v>1.7500000000000002E-2</v>
      </c>
      <c r="D472" s="19">
        <v>4.7109999999999999E-2</v>
      </c>
      <c r="E472" s="19">
        <v>1.7370931506849315E-2</v>
      </c>
      <c r="F472" s="19">
        <v>1.2370931506849316E-2</v>
      </c>
    </row>
    <row r="473" spans="1:6" x14ac:dyDescent="0.25">
      <c r="A473" s="18">
        <v>43516</v>
      </c>
      <c r="B473" s="19">
        <v>0</v>
      </c>
      <c r="C473" s="19">
        <v>6.4999999999999997E-3</v>
      </c>
      <c r="D473" s="19">
        <v>4.7120000000000002E-2</v>
      </c>
      <c r="E473" s="19">
        <v>6.3709041095890411E-3</v>
      </c>
      <c r="F473" s="19">
        <v>-1.2909589041095891E-4</v>
      </c>
    </row>
    <row r="474" spans="1:6" x14ac:dyDescent="0.25">
      <c r="A474" s="18">
        <v>43515</v>
      </c>
      <c r="B474" s="19">
        <v>-1.23E-2</v>
      </c>
      <c r="C474" s="19">
        <v>3.2000000000000002E-3</v>
      </c>
      <c r="D474" s="19">
        <v>4.7050000000000002E-2</v>
      </c>
      <c r="E474" s="19">
        <v>3.0710958904109592E-3</v>
      </c>
      <c r="F474" s="19">
        <v>-1.2428904109589042E-2</v>
      </c>
    </row>
    <row r="475" spans="1:6" x14ac:dyDescent="0.25">
      <c r="A475" s="18">
        <v>43514</v>
      </c>
      <c r="B475" s="19">
        <v>3.4000000000000002E-2</v>
      </c>
      <c r="C475" s="19">
        <v>1.09E-2</v>
      </c>
      <c r="D475" s="19">
        <v>4.7019999999999999E-2</v>
      </c>
      <c r="E475" s="19">
        <v>1.077117808219178E-2</v>
      </c>
      <c r="F475" s="19">
        <v>3.3871178082191783E-2</v>
      </c>
    </row>
    <row r="476" spans="1:6" x14ac:dyDescent="0.25">
      <c r="A476" s="18">
        <v>43511</v>
      </c>
      <c r="B476" s="19">
        <v>1.6199999999999999E-2</v>
      </c>
      <c r="C476" s="19">
        <v>-1.5E-3</v>
      </c>
      <c r="D476" s="19">
        <v>4.6960000000000002E-2</v>
      </c>
      <c r="E476" s="19">
        <v>-1.6286575342465753E-3</v>
      </c>
      <c r="F476" s="19">
        <v>1.6071342465753424E-2</v>
      </c>
    </row>
    <row r="477" spans="1:6" x14ac:dyDescent="0.25">
      <c r="A477" s="18">
        <v>43510</v>
      </c>
      <c r="B477" s="19">
        <v>-5.4000000000000003E-3</v>
      </c>
      <c r="C477" s="19">
        <v>7.4999999999999997E-3</v>
      </c>
      <c r="D477" s="19">
        <v>4.7480000000000001E-2</v>
      </c>
      <c r="E477" s="19">
        <v>7.3699178082191775E-3</v>
      </c>
      <c r="F477" s="19">
        <v>-5.5300821917808225E-3</v>
      </c>
    </row>
    <row r="478" spans="1:6" x14ac:dyDescent="0.25">
      <c r="A478" s="18">
        <v>43509</v>
      </c>
      <c r="B478" s="19">
        <v>2.1999999999999999E-2</v>
      </c>
      <c r="C478" s="19">
        <v>8.2000000000000007E-3</v>
      </c>
      <c r="D478" s="19">
        <v>4.7820000000000001E-2</v>
      </c>
      <c r="E478" s="19">
        <v>8.0689863013698633E-3</v>
      </c>
      <c r="F478" s="19">
        <v>2.1868986301369863E-2</v>
      </c>
    </row>
    <row r="479" spans="1:6" x14ac:dyDescent="0.25">
      <c r="A479" s="18">
        <v>43508</v>
      </c>
      <c r="B479" s="19">
        <v>5.4999999999999997E-3</v>
      </c>
      <c r="C479" s="19">
        <v>1.24E-2</v>
      </c>
      <c r="D479" s="19">
        <v>4.8050000000000002E-2</v>
      </c>
      <c r="E479" s="19">
        <v>1.2268356164383562E-2</v>
      </c>
      <c r="F479" s="19">
        <v>5.3683561643835609E-3</v>
      </c>
    </row>
    <row r="480" spans="1:6" x14ac:dyDescent="0.25">
      <c r="A480" s="18">
        <v>43507</v>
      </c>
      <c r="B480" s="19">
        <v>2.8400000000000002E-2</v>
      </c>
      <c r="C480" s="19">
        <v>1.9199999999999998E-2</v>
      </c>
      <c r="D480" s="19">
        <v>4.8340000000000001E-2</v>
      </c>
      <c r="E480" s="19">
        <v>1.9067561643835614E-2</v>
      </c>
      <c r="F480" s="19">
        <v>2.8267561643835617E-2</v>
      </c>
    </row>
    <row r="481" spans="1:6" x14ac:dyDescent="0.25">
      <c r="A481" s="18">
        <v>43497</v>
      </c>
      <c r="B481" s="19">
        <v>2.3E-3</v>
      </c>
      <c r="C481" s="19">
        <v>-2.2000000000000001E-3</v>
      </c>
      <c r="D481" s="19">
        <v>4.8680000000000001E-2</v>
      </c>
      <c r="E481" s="19">
        <v>-2.3333698630136988E-3</v>
      </c>
      <c r="F481" s="19">
        <v>2.1666301369863013E-3</v>
      </c>
    </row>
    <row r="482" spans="1:6" x14ac:dyDescent="0.25">
      <c r="A482" s="18">
        <v>43496</v>
      </c>
      <c r="B482" s="19">
        <v>-2.3E-3</v>
      </c>
      <c r="C482" s="19">
        <v>-5.7000000000000002E-3</v>
      </c>
      <c r="D482" s="19">
        <v>4.8809999999999999E-2</v>
      </c>
      <c r="E482" s="19">
        <v>-5.8337260273972607E-3</v>
      </c>
      <c r="F482" s="19">
        <v>-2.4337260273972604E-3</v>
      </c>
    </row>
    <row r="483" spans="1:6" x14ac:dyDescent="0.25">
      <c r="A483" s="18">
        <v>43495</v>
      </c>
      <c r="B483" s="19">
        <v>1.1000000000000001E-3</v>
      </c>
      <c r="C483" s="19">
        <v>-1E-4</v>
      </c>
      <c r="D483" s="19">
        <v>4.9000000000000002E-2</v>
      </c>
      <c r="E483" s="19">
        <v>-2.3424657534246575E-4</v>
      </c>
      <c r="F483" s="19">
        <v>9.6575342465753436E-4</v>
      </c>
    </row>
    <row r="484" spans="1:6" x14ac:dyDescent="0.25">
      <c r="A484" s="18">
        <v>43494</v>
      </c>
      <c r="B484" s="19">
        <v>-1.7899999999999999E-2</v>
      </c>
      <c r="C484" s="19">
        <v>4.1000000000000003E-3</v>
      </c>
      <c r="D484" s="19">
        <v>4.895E-2</v>
      </c>
      <c r="E484" s="19">
        <v>3.9658904109589046E-3</v>
      </c>
      <c r="F484" s="19">
        <v>-1.8034109589041097E-2</v>
      </c>
    </row>
    <row r="485" spans="1:6" x14ac:dyDescent="0.25">
      <c r="A485" s="18">
        <v>43493</v>
      </c>
      <c r="B485" s="19">
        <v>0</v>
      </c>
      <c r="C485" s="19">
        <v>3.5999999999999999E-3</v>
      </c>
      <c r="D485" s="19">
        <v>4.9000000000000002E-2</v>
      </c>
      <c r="E485" s="19">
        <v>3.4657534246575342E-3</v>
      </c>
      <c r="F485" s="19">
        <v>-1.3424657534246576E-4</v>
      </c>
    </row>
    <row r="486" spans="1:6" x14ac:dyDescent="0.25">
      <c r="A486" s="18">
        <v>43490</v>
      </c>
      <c r="B486" s="19">
        <v>-3.3E-3</v>
      </c>
      <c r="C486" s="19">
        <v>1E-4</v>
      </c>
      <c r="D486" s="19">
        <v>4.9020000000000001E-2</v>
      </c>
      <c r="E486" s="19">
        <v>-3.4301369863013693E-5</v>
      </c>
      <c r="F486" s="19">
        <v>-3.4343013698630138E-3</v>
      </c>
    </row>
    <row r="487" spans="1:6" x14ac:dyDescent="0.25">
      <c r="A487" s="18">
        <v>43489</v>
      </c>
      <c r="B487" s="19">
        <v>-2.2000000000000001E-3</v>
      </c>
      <c r="C487" s="19">
        <v>6.9999999999999999E-4</v>
      </c>
      <c r="D487" s="19">
        <v>4.9079999999999999E-2</v>
      </c>
      <c r="E487" s="19">
        <v>5.6553424657534252E-4</v>
      </c>
      <c r="F487" s="19">
        <v>-2.3344657534246577E-3</v>
      </c>
    </row>
    <row r="488" spans="1:6" x14ac:dyDescent="0.25">
      <c r="A488" s="18">
        <v>43488</v>
      </c>
      <c r="B488" s="19">
        <v>3.3E-3</v>
      </c>
      <c r="C488" s="19">
        <v>1.8E-3</v>
      </c>
      <c r="D488" s="19">
        <v>4.929E-2</v>
      </c>
      <c r="E488" s="19">
        <v>1.6649589041095891E-3</v>
      </c>
      <c r="F488" s="19">
        <v>3.1649589041095891E-3</v>
      </c>
    </row>
    <row r="489" spans="1:6" x14ac:dyDescent="0.25">
      <c r="A489" s="18">
        <v>43487</v>
      </c>
      <c r="B489" s="19">
        <v>-8.8000000000000005E-3</v>
      </c>
      <c r="C489" s="19">
        <v>-4.8999999999999998E-3</v>
      </c>
      <c r="D489" s="19">
        <v>4.929E-2</v>
      </c>
      <c r="E489" s="19">
        <v>-5.0350410958904107E-3</v>
      </c>
      <c r="F489" s="19">
        <v>-8.9350410958904114E-3</v>
      </c>
    </row>
    <row r="490" spans="1:6" x14ac:dyDescent="0.25">
      <c r="A490" s="18">
        <v>43486</v>
      </c>
      <c r="B490" s="19">
        <v>1.6899999999999998E-2</v>
      </c>
      <c r="C490" s="19">
        <v>9.7000000000000003E-3</v>
      </c>
      <c r="D490" s="19">
        <v>4.9399999999999999E-2</v>
      </c>
      <c r="E490" s="19">
        <v>9.5646575342465748E-3</v>
      </c>
      <c r="F490" s="19">
        <v>1.6764657534246573E-2</v>
      </c>
    </row>
    <row r="491" spans="1:6" x14ac:dyDescent="0.25">
      <c r="A491" s="18">
        <v>43483</v>
      </c>
      <c r="B491" s="19">
        <v>0</v>
      </c>
      <c r="C491" s="19">
        <v>5.0000000000000001E-4</v>
      </c>
      <c r="D491" s="19">
        <v>4.9430000000000002E-2</v>
      </c>
      <c r="E491" s="19">
        <v>3.6457534246575347E-4</v>
      </c>
      <c r="F491" s="19">
        <v>-1.3542465753424657E-4</v>
      </c>
    </row>
    <row r="492" spans="1:6" x14ac:dyDescent="0.25">
      <c r="A492" s="18">
        <v>43482</v>
      </c>
      <c r="B492" s="19">
        <v>-1.77E-2</v>
      </c>
      <c r="C492" s="19">
        <v>-7.4999999999999997E-3</v>
      </c>
      <c r="D492" s="19">
        <v>4.9329999999999999E-2</v>
      </c>
      <c r="E492" s="19">
        <v>-7.6351506849315067E-3</v>
      </c>
      <c r="F492" s="19">
        <v>-1.7835150684931508E-2</v>
      </c>
    </row>
    <row r="493" spans="1:6" x14ac:dyDescent="0.25">
      <c r="A493" s="18">
        <v>43481</v>
      </c>
      <c r="B493" s="19">
        <v>3.3E-3</v>
      </c>
      <c r="C493" s="19">
        <v>-1.1000000000000001E-3</v>
      </c>
      <c r="D493" s="19">
        <v>4.9520000000000002E-2</v>
      </c>
      <c r="E493" s="19">
        <v>-1.2356712328767123E-3</v>
      </c>
      <c r="F493" s="19">
        <v>3.1643287671232877E-3</v>
      </c>
    </row>
    <row r="494" spans="1:6" x14ac:dyDescent="0.25">
      <c r="A494" s="18">
        <v>43480</v>
      </c>
      <c r="B494" s="19">
        <v>8.8999999999999999E-3</v>
      </c>
      <c r="C494" s="19">
        <v>8.6999999999999994E-3</v>
      </c>
      <c r="D494" s="19">
        <v>4.9959999999999997E-2</v>
      </c>
      <c r="E494" s="19">
        <v>8.5631232876712329E-3</v>
      </c>
      <c r="F494" s="19">
        <v>8.7631232876712335E-3</v>
      </c>
    </row>
    <row r="495" spans="1:6" x14ac:dyDescent="0.25">
      <c r="A495" s="18">
        <v>43479</v>
      </c>
      <c r="B495" s="19">
        <v>-1.6500000000000001E-2</v>
      </c>
      <c r="C495" s="19">
        <v>-1E-3</v>
      </c>
      <c r="D495" s="19">
        <v>4.9880000000000001E-2</v>
      </c>
      <c r="E495" s="19">
        <v>-1.1366575342465755E-3</v>
      </c>
      <c r="F495" s="19">
        <v>-1.6636657534246577E-2</v>
      </c>
    </row>
    <row r="496" spans="1:6" x14ac:dyDescent="0.25">
      <c r="A496" s="18">
        <v>43476</v>
      </c>
      <c r="B496" s="19">
        <v>-3.3E-3</v>
      </c>
      <c r="C496" s="19">
        <v>4.8999999999999998E-3</v>
      </c>
      <c r="D496" s="19">
        <v>0.05</v>
      </c>
      <c r="E496" s="19">
        <v>4.7630136986301372E-3</v>
      </c>
      <c r="F496" s="19">
        <v>-3.436986301369863E-3</v>
      </c>
    </row>
    <row r="497" spans="1:6" x14ac:dyDescent="0.25">
      <c r="A497" s="18">
        <v>43475</v>
      </c>
      <c r="B497" s="19">
        <v>1.5599999999999999E-2</v>
      </c>
      <c r="C497" s="19">
        <v>1.5E-3</v>
      </c>
      <c r="D497" s="19">
        <v>5.0220000000000001E-2</v>
      </c>
      <c r="E497" s="19">
        <v>1.3624109589041096E-3</v>
      </c>
      <c r="F497" s="19">
        <v>1.5462410958904108E-2</v>
      </c>
    </row>
    <row r="498" spans="1:6" x14ac:dyDescent="0.25">
      <c r="A498" s="18">
        <v>43474</v>
      </c>
      <c r="B498" s="19">
        <v>1.8100000000000002E-2</v>
      </c>
      <c r="C498" s="19">
        <v>1.0800000000000001E-2</v>
      </c>
      <c r="D498" s="19">
        <v>5.1150000000000001E-2</v>
      </c>
      <c r="E498" s="19">
        <v>1.0659863013698631E-2</v>
      </c>
      <c r="F498" s="19">
        <v>1.7959863013698632E-2</v>
      </c>
    </row>
    <row r="499" spans="1:6" x14ac:dyDescent="0.25">
      <c r="A499" s="18">
        <v>43473</v>
      </c>
      <c r="B499" s="19">
        <v>2.3199999999999998E-2</v>
      </c>
      <c r="C499" s="19">
        <v>-2.5000000000000001E-3</v>
      </c>
      <c r="D499" s="19">
        <v>5.0459999999999998E-2</v>
      </c>
      <c r="E499" s="19">
        <v>-2.6382465753424659E-3</v>
      </c>
      <c r="F499" s="19">
        <v>2.3061753424657532E-2</v>
      </c>
    </row>
    <row r="500" spans="1:6" x14ac:dyDescent="0.25">
      <c r="A500" s="18">
        <v>43472</v>
      </c>
      <c r="B500" s="19">
        <v>2.1299999999999999E-2</v>
      </c>
      <c r="C500" s="19">
        <v>9.9000000000000008E-3</v>
      </c>
      <c r="D500" s="19">
        <v>5.1589999999999997E-2</v>
      </c>
      <c r="E500" s="19">
        <v>9.7586575342465762E-3</v>
      </c>
      <c r="F500" s="19">
        <v>2.1158657534246575E-2</v>
      </c>
    </row>
    <row r="501" spans="1:6" x14ac:dyDescent="0.25">
      <c r="A501" s="18">
        <v>43469</v>
      </c>
      <c r="B501" s="19">
        <v>-2.3999999999999998E-3</v>
      </c>
      <c r="C501" s="19">
        <v>3.0999999999999999E-3</v>
      </c>
      <c r="D501" s="19">
        <v>5.1670000000000001E-2</v>
      </c>
      <c r="E501" s="19">
        <v>2.9584383561643834E-3</v>
      </c>
      <c r="F501" s="19">
        <v>-2.5415616438356162E-3</v>
      </c>
    </row>
    <row r="502" spans="1:6" x14ac:dyDescent="0.25">
      <c r="A502" s="18">
        <v>43468</v>
      </c>
      <c r="B502" s="19">
        <v>-2.4199999999999999E-2</v>
      </c>
      <c r="C502" s="19">
        <v>-1.52E-2</v>
      </c>
      <c r="D502" s="19">
        <v>5.1670000000000001E-2</v>
      </c>
      <c r="E502" s="19">
        <v>-1.5341561643835617E-2</v>
      </c>
      <c r="F502" s="19">
        <v>-2.4341561643835614E-2</v>
      </c>
    </row>
    <row r="503" spans="1:6" x14ac:dyDescent="0.25">
      <c r="A503" s="18">
        <v>43467</v>
      </c>
      <c r="B503" s="19">
        <v>2.3E-3</v>
      </c>
      <c r="C503" s="19">
        <v>-8.9999999999999998E-4</v>
      </c>
      <c r="D503" s="19">
        <v>5.1709999999999999E-2</v>
      </c>
      <c r="E503" s="19">
        <v>-1.0416712328767124E-3</v>
      </c>
      <c r="F503" s="19">
        <v>2.1583287671232878E-3</v>
      </c>
    </row>
    <row r="504" spans="1:6" x14ac:dyDescent="0.25">
      <c r="A504" s="18">
        <v>43462</v>
      </c>
      <c r="B504" s="19">
        <v>1.1999999999999999E-3</v>
      </c>
      <c r="C504" s="19">
        <v>-9.1999999999999998E-3</v>
      </c>
      <c r="D504" s="19">
        <v>5.1659999999999998E-2</v>
      </c>
      <c r="E504" s="19">
        <v>-9.341534246575342E-3</v>
      </c>
      <c r="F504" s="19">
        <v>1.0584657534246575E-3</v>
      </c>
    </row>
    <row r="505" spans="1:6" x14ac:dyDescent="0.25">
      <c r="A505" s="18">
        <v>43461</v>
      </c>
      <c r="B505" s="19">
        <v>4.2200000000000001E-2</v>
      </c>
      <c r="C505" s="19">
        <v>1.0200000000000001E-2</v>
      </c>
      <c r="D505" s="19">
        <v>5.16E-2</v>
      </c>
      <c r="E505" s="19">
        <v>1.0058630136986301E-2</v>
      </c>
      <c r="F505" s="19">
        <v>4.2058630136986304E-2</v>
      </c>
    </row>
    <row r="506" spans="1:6" x14ac:dyDescent="0.25">
      <c r="A506" s="18">
        <v>43460</v>
      </c>
      <c r="B506" s="19">
        <v>-3.2599999999999997E-2</v>
      </c>
      <c r="C506" s="19">
        <v>-6.8999999999999999E-3</v>
      </c>
      <c r="D506" s="19">
        <v>5.1670000000000001E-2</v>
      </c>
      <c r="E506" s="19">
        <v>-7.0415616438356168E-3</v>
      </c>
      <c r="F506" s="19">
        <v>-3.2741561643835612E-2</v>
      </c>
    </row>
    <row r="507" spans="1:6" x14ac:dyDescent="0.25">
      <c r="A507" s="18">
        <v>43459</v>
      </c>
      <c r="B507" s="19">
        <v>-3.5999999999999997E-2</v>
      </c>
      <c r="C507" s="19">
        <v>-1.17E-2</v>
      </c>
      <c r="D507" s="19">
        <v>5.1720000000000002E-2</v>
      </c>
      <c r="E507" s="19">
        <v>-1.1841698630136987E-2</v>
      </c>
      <c r="F507" s="19">
        <v>-3.6141698630136984E-2</v>
      </c>
    </row>
    <row r="508" spans="1:6" x14ac:dyDescent="0.25">
      <c r="A508" s="18">
        <v>43458</v>
      </c>
      <c r="B508" s="19">
        <v>-2.9399999999999999E-2</v>
      </c>
      <c r="C508" s="19">
        <v>-4.1000000000000003E-3</v>
      </c>
      <c r="D508" s="19">
        <v>5.1720000000000002E-2</v>
      </c>
      <c r="E508" s="19">
        <v>-4.2416986301369863E-3</v>
      </c>
      <c r="F508" s="19">
        <v>-2.9541698630136986E-2</v>
      </c>
    </row>
    <row r="509" spans="1:6" x14ac:dyDescent="0.25">
      <c r="A509" s="18">
        <v>43455</v>
      </c>
      <c r="B509" s="19">
        <v>-1.9300000000000001E-2</v>
      </c>
      <c r="C509" s="19">
        <v>-6.4999999999999997E-3</v>
      </c>
      <c r="D509" s="19">
        <v>5.1769999999999997E-2</v>
      </c>
      <c r="E509" s="19">
        <v>-6.6418356164383557E-3</v>
      </c>
      <c r="F509" s="19">
        <v>-1.9441835616438356E-2</v>
      </c>
    </row>
    <row r="510" spans="1:6" x14ac:dyDescent="0.25">
      <c r="A510" s="18">
        <v>43454</v>
      </c>
      <c r="B510" s="19">
        <v>1.6299999999999999E-2</v>
      </c>
      <c r="C510" s="19">
        <v>-1.1000000000000001E-3</v>
      </c>
      <c r="D510" s="19">
        <v>5.1959999999999999E-2</v>
      </c>
      <c r="E510" s="19">
        <v>-1.2423561643835617E-3</v>
      </c>
      <c r="F510" s="19">
        <v>1.6157643835616436E-2</v>
      </c>
    </row>
    <row r="511" spans="1:6" x14ac:dyDescent="0.25">
      <c r="A511" s="18">
        <v>43453</v>
      </c>
      <c r="B511" s="19">
        <v>-1.6E-2</v>
      </c>
      <c r="C511" s="19">
        <v>-8.6E-3</v>
      </c>
      <c r="D511" s="19">
        <v>5.1990000000000001E-2</v>
      </c>
      <c r="E511" s="19">
        <v>-8.7424383561643844E-3</v>
      </c>
      <c r="F511" s="19">
        <v>-1.6142438356164385E-2</v>
      </c>
    </row>
    <row r="512" spans="1:6" x14ac:dyDescent="0.25">
      <c r="A512" s="18">
        <v>43452</v>
      </c>
      <c r="B512" s="19">
        <v>5.4000000000000003E-3</v>
      </c>
      <c r="C512" s="19">
        <v>-6.8999999999999999E-3</v>
      </c>
      <c r="D512" s="19">
        <v>5.1990000000000001E-2</v>
      </c>
      <c r="E512" s="19">
        <v>-7.0424383561643834E-3</v>
      </c>
      <c r="F512" s="19">
        <v>5.2575616438356168E-3</v>
      </c>
    </row>
    <row r="513" spans="1:6" x14ac:dyDescent="0.25">
      <c r="A513" s="18">
        <v>43451</v>
      </c>
      <c r="B513" s="19">
        <v>-2.92E-2</v>
      </c>
      <c r="C513" s="19">
        <v>-1.9300000000000001E-2</v>
      </c>
      <c r="D513" s="19">
        <v>5.1990000000000001E-2</v>
      </c>
      <c r="E513" s="19">
        <v>-1.9442438356164386E-2</v>
      </c>
      <c r="F513" s="19">
        <v>-2.9342438356164385E-2</v>
      </c>
    </row>
    <row r="514" spans="1:6" x14ac:dyDescent="0.25">
      <c r="A514" s="18">
        <v>43448</v>
      </c>
      <c r="B514" s="19">
        <v>-1.34E-2</v>
      </c>
      <c r="C514" s="19">
        <v>-8.5000000000000006E-3</v>
      </c>
      <c r="D514" s="19">
        <v>5.1990000000000001E-2</v>
      </c>
      <c r="E514" s="19">
        <v>-8.642438356164385E-3</v>
      </c>
      <c r="F514" s="19">
        <v>-1.3542438356164385E-2</v>
      </c>
    </row>
    <row r="515" spans="1:6" x14ac:dyDescent="0.25">
      <c r="A515" s="18">
        <v>43447</v>
      </c>
      <c r="B515" s="19">
        <v>1E-3</v>
      </c>
      <c r="C515" s="19">
        <v>-1.1000000000000001E-3</v>
      </c>
      <c r="D515" s="19">
        <v>5.1929999999999997E-2</v>
      </c>
      <c r="E515" s="19">
        <v>-1.2422739726027398E-3</v>
      </c>
      <c r="F515" s="19">
        <v>8.577260273972603E-4</v>
      </c>
    </row>
    <row r="516" spans="1:6" x14ac:dyDescent="0.25">
      <c r="A516" s="18">
        <v>43446</v>
      </c>
      <c r="B516" s="19">
        <v>9.4000000000000004E-3</v>
      </c>
      <c r="C516" s="19">
        <v>7.0000000000000001E-3</v>
      </c>
      <c r="D516" s="19">
        <v>5.1999999999999998E-2</v>
      </c>
      <c r="E516" s="19">
        <v>6.8575342465753428E-3</v>
      </c>
      <c r="F516" s="19">
        <v>9.257534246575343E-3</v>
      </c>
    </row>
    <row r="517" spans="1:6" x14ac:dyDescent="0.25">
      <c r="A517" s="18">
        <v>43445</v>
      </c>
      <c r="B517" s="19">
        <v>-1.6400000000000001E-2</v>
      </c>
      <c r="C517" s="19">
        <v>-1.4E-3</v>
      </c>
      <c r="D517" s="19">
        <v>5.1929999999999997E-2</v>
      </c>
      <c r="E517" s="19">
        <v>-1.5422739726027397E-3</v>
      </c>
      <c r="F517" s="19">
        <v>-1.6542273972602741E-2</v>
      </c>
    </row>
    <row r="518" spans="1:6" x14ac:dyDescent="0.25">
      <c r="A518" s="18">
        <v>43444</v>
      </c>
      <c r="B518" s="19">
        <v>1.4500000000000001E-2</v>
      </c>
      <c r="C518" s="19">
        <v>-2.8E-3</v>
      </c>
      <c r="D518" s="19">
        <v>5.1929999999999997E-2</v>
      </c>
      <c r="E518" s="19">
        <v>-2.9422739726027397E-3</v>
      </c>
      <c r="F518" s="19">
        <v>1.4357726027397261E-2</v>
      </c>
    </row>
    <row r="519" spans="1:6" x14ac:dyDescent="0.25">
      <c r="A519" s="18">
        <v>43441</v>
      </c>
      <c r="B519" s="19">
        <v>1.26E-2</v>
      </c>
      <c r="C519" s="19">
        <v>3.8999999999999998E-3</v>
      </c>
      <c r="D519" s="19">
        <v>5.1909999999999998E-2</v>
      </c>
      <c r="E519" s="19">
        <v>3.7577808219178082E-3</v>
      </c>
      <c r="F519" s="19">
        <v>1.2457780821917808E-2</v>
      </c>
    </row>
    <row r="520" spans="1:6" x14ac:dyDescent="0.25">
      <c r="A520" s="18">
        <v>43440</v>
      </c>
      <c r="B520" s="19">
        <v>-1.04E-2</v>
      </c>
      <c r="C520" s="19">
        <v>-2.3999999999999998E-3</v>
      </c>
      <c r="D520" s="19">
        <v>5.1920000000000001E-2</v>
      </c>
      <c r="E520" s="19">
        <v>-2.5422465753424657E-3</v>
      </c>
      <c r="F520" s="19">
        <v>-1.0542246575342465E-2</v>
      </c>
    </row>
    <row r="521" spans="1:6" x14ac:dyDescent="0.25">
      <c r="A521" s="18">
        <v>43439</v>
      </c>
      <c r="B521" s="19">
        <v>-4.1000000000000003E-3</v>
      </c>
      <c r="C521" s="19">
        <v>-1.8E-3</v>
      </c>
      <c r="D521" s="19">
        <v>5.2139999999999999E-2</v>
      </c>
      <c r="E521" s="19">
        <v>-1.9428493150684932E-3</v>
      </c>
      <c r="F521" s="19">
        <v>-4.2428493150684938E-3</v>
      </c>
    </row>
    <row r="522" spans="1:6" x14ac:dyDescent="0.25">
      <c r="A522" s="18">
        <v>43438</v>
      </c>
      <c r="B522" s="19">
        <v>-5.1999999999999998E-3</v>
      </c>
      <c r="C522" s="19">
        <v>7.6E-3</v>
      </c>
      <c r="D522" s="19">
        <v>5.1950000000000003E-2</v>
      </c>
      <c r="E522" s="19">
        <v>7.4576712328767126E-3</v>
      </c>
      <c r="F522" s="19">
        <v>-5.3423287671232871E-3</v>
      </c>
    </row>
    <row r="523" spans="1:6" x14ac:dyDescent="0.25">
      <c r="A523" s="18">
        <v>43437</v>
      </c>
      <c r="B523" s="19">
        <v>6.83E-2</v>
      </c>
      <c r="C523" s="19">
        <v>2.7E-2</v>
      </c>
      <c r="D523" s="19">
        <v>5.1659999999999998E-2</v>
      </c>
      <c r="E523" s="19">
        <v>2.6858465753424658E-2</v>
      </c>
      <c r="F523" s="19">
        <v>6.8158465753424657E-2</v>
      </c>
    </row>
    <row r="524" spans="1:6" x14ac:dyDescent="0.25">
      <c r="A524" s="18">
        <v>43434</v>
      </c>
      <c r="B524" s="19">
        <v>7.7999999999999996E-3</v>
      </c>
      <c r="C524" s="19">
        <v>-2.9999999999999997E-4</v>
      </c>
      <c r="D524" s="19">
        <v>5.1659999999999998E-2</v>
      </c>
      <c r="E524" s="19">
        <v>-4.4153424657534244E-4</v>
      </c>
      <c r="F524" s="19">
        <v>7.6584657534246574E-3</v>
      </c>
    </row>
    <row r="525" spans="1:6" x14ac:dyDescent="0.25">
      <c r="A525" s="18">
        <v>43433</v>
      </c>
      <c r="B525" s="19">
        <v>-1.5299999999999999E-2</v>
      </c>
      <c r="C525" s="19">
        <v>-3.7000000000000002E-3</v>
      </c>
      <c r="D525" s="19">
        <v>5.1610000000000003E-2</v>
      </c>
      <c r="E525" s="19">
        <v>-3.8413972602739728E-3</v>
      </c>
      <c r="F525" s="19">
        <v>-1.5441397260273972E-2</v>
      </c>
    </row>
    <row r="526" spans="1:6" x14ac:dyDescent="0.25">
      <c r="A526" s="18">
        <v>43432</v>
      </c>
      <c r="B526" s="19">
        <v>9.9000000000000008E-3</v>
      </c>
      <c r="C526" s="19">
        <v>7.7000000000000002E-3</v>
      </c>
      <c r="D526" s="19">
        <v>5.1639999999999998E-2</v>
      </c>
      <c r="E526" s="19">
        <v>7.5585205479452057E-3</v>
      </c>
      <c r="F526" s="19">
        <v>9.7585205479452063E-3</v>
      </c>
    </row>
    <row r="527" spans="1:6" x14ac:dyDescent="0.25">
      <c r="A527" s="18">
        <v>43431</v>
      </c>
      <c r="B527" s="19">
        <v>-2.2000000000000001E-3</v>
      </c>
      <c r="C527" s="19">
        <v>2.3E-3</v>
      </c>
      <c r="D527" s="19">
        <v>5.1619999999999999E-2</v>
      </c>
      <c r="E527" s="19">
        <v>2.1585753424657535E-3</v>
      </c>
      <c r="F527" s="19">
        <v>-2.3414246575342466E-3</v>
      </c>
    </row>
    <row r="528" spans="1:6" x14ac:dyDescent="0.25">
      <c r="A528" s="18">
        <v>43430</v>
      </c>
      <c r="B528" s="19">
        <v>-1.84E-2</v>
      </c>
      <c r="C528" s="19">
        <v>3.3E-3</v>
      </c>
      <c r="D528" s="19">
        <v>5.1670000000000001E-2</v>
      </c>
      <c r="E528" s="19">
        <v>3.1584383561643835E-3</v>
      </c>
      <c r="F528" s="19">
        <v>-1.8541561643835615E-2</v>
      </c>
    </row>
    <row r="529" spans="1:6" x14ac:dyDescent="0.25">
      <c r="A529" s="18">
        <v>43427</v>
      </c>
      <c r="B529" s="19">
        <v>-7.4999999999999997E-3</v>
      </c>
      <c r="C529" s="19">
        <v>-7.0000000000000001E-3</v>
      </c>
      <c r="D529" s="19">
        <v>5.1909999999999998E-2</v>
      </c>
      <c r="E529" s="19">
        <v>-7.1422191780821922E-3</v>
      </c>
      <c r="F529" s="19">
        <v>-7.6422191780821918E-3</v>
      </c>
    </row>
    <row r="530" spans="1:6" x14ac:dyDescent="0.25">
      <c r="A530" s="18">
        <v>43426</v>
      </c>
      <c r="B530" s="19">
        <v>-7.4999999999999997E-3</v>
      </c>
      <c r="C530" s="19">
        <v>2E-3</v>
      </c>
      <c r="D530" s="19">
        <v>5.176E-2</v>
      </c>
      <c r="E530" s="19">
        <v>1.8581917808219179E-3</v>
      </c>
      <c r="F530" s="19">
        <v>-7.6418082191780819E-3</v>
      </c>
    </row>
    <row r="531" spans="1:6" x14ac:dyDescent="0.25">
      <c r="A531" s="18">
        <v>43425</v>
      </c>
      <c r="B531" s="19">
        <v>-2.29E-2</v>
      </c>
      <c r="C531" s="19">
        <v>3.8999999999999998E-3</v>
      </c>
      <c r="D531" s="19">
        <v>5.176E-2</v>
      </c>
      <c r="E531" s="19">
        <v>3.7581917808219177E-3</v>
      </c>
      <c r="F531" s="19">
        <v>-2.3041808219178082E-2</v>
      </c>
    </row>
    <row r="532" spans="1:6" x14ac:dyDescent="0.25">
      <c r="A532" s="18">
        <v>43424</v>
      </c>
      <c r="B532" s="19">
        <v>-3.0999999999999999E-3</v>
      </c>
      <c r="C532" s="19">
        <v>3.2000000000000002E-3</v>
      </c>
      <c r="D532" s="19">
        <v>5.1619999999999999E-2</v>
      </c>
      <c r="E532" s="19">
        <v>3.0585753424657537E-3</v>
      </c>
      <c r="F532" s="19">
        <v>-3.2414246575342464E-3</v>
      </c>
    </row>
    <row r="533" spans="1:6" x14ac:dyDescent="0.25">
      <c r="A533" s="18">
        <v>43423</v>
      </c>
      <c r="B533" s="19">
        <v>1.47E-2</v>
      </c>
      <c r="C533" s="19">
        <v>1.9900000000000001E-2</v>
      </c>
      <c r="D533" s="19">
        <v>5.1979999999999998E-2</v>
      </c>
      <c r="E533" s="19">
        <v>1.9757589041095893E-2</v>
      </c>
      <c r="F533" s="19">
        <v>1.455758904109589E-2</v>
      </c>
    </row>
    <row r="534" spans="1:6" x14ac:dyDescent="0.25">
      <c r="A534" s="18">
        <v>43420</v>
      </c>
      <c r="B534" s="19">
        <v>5.0900000000000001E-2</v>
      </c>
      <c r="C534" s="19">
        <v>1.1999999999999999E-3</v>
      </c>
      <c r="D534" s="19">
        <v>5.1549999999999999E-2</v>
      </c>
      <c r="E534" s="19">
        <v>1.058767123287671E-3</v>
      </c>
      <c r="F534" s="19">
        <v>5.0758767123287675E-2</v>
      </c>
    </row>
    <row r="535" spans="1:6" x14ac:dyDescent="0.25">
      <c r="A535" s="18">
        <v>43419</v>
      </c>
      <c r="B535" s="19">
        <v>2.2000000000000001E-3</v>
      </c>
      <c r="C535" s="19">
        <v>-4.1999999999999997E-3</v>
      </c>
      <c r="D535" s="19">
        <v>5.1900000000000002E-2</v>
      </c>
      <c r="E535" s="19">
        <v>-4.342191780821918E-3</v>
      </c>
      <c r="F535" s="19">
        <v>2.0578082191780823E-3</v>
      </c>
    </row>
    <row r="536" spans="1:6" x14ac:dyDescent="0.25">
      <c r="A536" s="18">
        <v>43418</v>
      </c>
      <c r="B536" s="19">
        <v>-3.9399999999999998E-2</v>
      </c>
      <c r="C536" s="19">
        <v>-4.8999999999999998E-3</v>
      </c>
      <c r="D536" s="19">
        <v>5.2060000000000002E-2</v>
      </c>
      <c r="E536" s="19">
        <v>-5.042630136986301E-3</v>
      </c>
      <c r="F536" s="19">
        <v>-3.95426301369863E-2</v>
      </c>
    </row>
    <row r="537" spans="1:6" x14ac:dyDescent="0.25">
      <c r="A537" s="18">
        <v>43417</v>
      </c>
      <c r="B537" s="19">
        <v>-2.8000000000000001E-2</v>
      </c>
      <c r="C537" s="19">
        <v>-1.3899999999999999E-2</v>
      </c>
      <c r="D537" s="19">
        <v>5.1889999999999999E-2</v>
      </c>
      <c r="E537" s="19">
        <v>-1.4042164383561644E-2</v>
      </c>
      <c r="F537" s="19">
        <v>-2.8142164383561645E-2</v>
      </c>
    </row>
    <row r="538" spans="1:6" x14ac:dyDescent="0.25">
      <c r="A538" s="18">
        <v>43416</v>
      </c>
      <c r="B538" s="19">
        <v>1.6799999999999999E-2</v>
      </c>
      <c r="C538" s="19">
        <v>4.1999999999999997E-3</v>
      </c>
      <c r="D538" s="19">
        <v>5.176E-2</v>
      </c>
      <c r="E538" s="19">
        <v>4.0581917808219176E-3</v>
      </c>
      <c r="F538" s="19">
        <v>1.6658191780821917E-2</v>
      </c>
    </row>
    <row r="539" spans="1:6" x14ac:dyDescent="0.25">
      <c r="A539" s="18">
        <v>43413</v>
      </c>
      <c r="B539" s="19">
        <v>-5.0900000000000001E-2</v>
      </c>
      <c r="C539" s="19">
        <v>-1.29E-2</v>
      </c>
      <c r="D539" s="19">
        <v>5.176E-2</v>
      </c>
      <c r="E539" s="19">
        <v>-1.3041808219178082E-2</v>
      </c>
      <c r="F539" s="19">
        <v>-5.1041808219178086E-2</v>
      </c>
    </row>
    <row r="540" spans="1:6" x14ac:dyDescent="0.25">
      <c r="A540" s="18">
        <v>43412</v>
      </c>
      <c r="B540" s="19">
        <v>3.0000000000000001E-3</v>
      </c>
      <c r="C540" s="19">
        <v>4.4999999999999997E-3</v>
      </c>
      <c r="D540" s="19">
        <v>5.1709999999999999E-2</v>
      </c>
      <c r="E540" s="19">
        <v>4.3583287671232875E-3</v>
      </c>
      <c r="F540" s="19">
        <v>2.8583287671232879E-3</v>
      </c>
    </row>
    <row r="541" spans="1:6" x14ac:dyDescent="0.25">
      <c r="A541" s="18">
        <v>43411</v>
      </c>
      <c r="B541" s="19">
        <v>-2.06E-2</v>
      </c>
      <c r="C541" s="19">
        <v>1E-4</v>
      </c>
      <c r="D541" s="19">
        <v>5.1740000000000001E-2</v>
      </c>
      <c r="E541" s="19">
        <v>-4.1753424657534253E-5</v>
      </c>
      <c r="F541" s="19">
        <v>-2.0741753424657533E-2</v>
      </c>
    </row>
    <row r="542" spans="1:6" x14ac:dyDescent="0.25">
      <c r="A542" s="18">
        <v>43410</v>
      </c>
      <c r="B542" s="19">
        <v>-3.8999999999999998E-3</v>
      </c>
      <c r="C542" s="19">
        <v>-3.8E-3</v>
      </c>
      <c r="D542" s="19">
        <v>5.1769999999999997E-2</v>
      </c>
      <c r="E542" s="19">
        <v>-3.9418356164383564E-3</v>
      </c>
      <c r="F542" s="19">
        <v>-4.0418356164383558E-3</v>
      </c>
    </row>
    <row r="543" spans="1:6" x14ac:dyDescent="0.25">
      <c r="A543" s="18">
        <v>43409</v>
      </c>
      <c r="B543" s="19">
        <v>-3.8999999999999998E-3</v>
      </c>
      <c r="C543" s="19">
        <v>6.9999999999999999E-4</v>
      </c>
      <c r="D543" s="19">
        <v>5.1709999999999999E-2</v>
      </c>
      <c r="E543" s="19">
        <v>5.5832876712328772E-4</v>
      </c>
      <c r="F543" s="19">
        <v>-4.041671232876712E-3</v>
      </c>
    </row>
    <row r="544" spans="1:6" x14ac:dyDescent="0.25">
      <c r="A544" s="18">
        <v>43406</v>
      </c>
      <c r="B544" s="19">
        <v>1.18E-2</v>
      </c>
      <c r="C544" s="19">
        <v>1.8599999999999998E-2</v>
      </c>
      <c r="D544" s="19">
        <v>5.178E-2</v>
      </c>
      <c r="E544" s="19">
        <v>1.8458136986301367E-2</v>
      </c>
      <c r="F544" s="19">
        <v>1.165813698630137E-2</v>
      </c>
    </row>
    <row r="545" spans="1:6" x14ac:dyDescent="0.25">
      <c r="A545" s="18">
        <v>43405</v>
      </c>
      <c r="B545" s="19">
        <v>-2.4E-2</v>
      </c>
      <c r="C545" s="19">
        <v>-7.4000000000000003E-3</v>
      </c>
      <c r="D545" s="19">
        <v>5.1819999999999998E-2</v>
      </c>
      <c r="E545" s="19">
        <v>-7.5419726027397263E-3</v>
      </c>
      <c r="F545" s="19">
        <v>-2.4141972602739727E-2</v>
      </c>
    </row>
    <row r="546" spans="1:6" x14ac:dyDescent="0.25">
      <c r="A546" s="18">
        <v>43404</v>
      </c>
      <c r="B546" s="19">
        <v>5.0500000000000003E-2</v>
      </c>
      <c r="C546" s="19">
        <v>2.93E-2</v>
      </c>
      <c r="D546" s="19">
        <v>5.1830000000000001E-2</v>
      </c>
      <c r="E546" s="19">
        <v>2.9158E-2</v>
      </c>
      <c r="F546" s="19">
        <v>5.0358E-2</v>
      </c>
    </row>
    <row r="547" spans="1:6" x14ac:dyDescent="0.25">
      <c r="A547" s="18">
        <v>43403</v>
      </c>
      <c r="B547" s="19">
        <v>2.06E-2</v>
      </c>
      <c r="C547" s="19">
        <v>-1E-4</v>
      </c>
      <c r="D547" s="19">
        <v>5.1830000000000001E-2</v>
      </c>
      <c r="E547" s="19">
        <v>-2.4200000000000003E-4</v>
      </c>
      <c r="F547" s="19">
        <v>2.0458E-2</v>
      </c>
    </row>
    <row r="548" spans="1:6" x14ac:dyDescent="0.25">
      <c r="A548" s="18">
        <v>43402</v>
      </c>
      <c r="B548" s="19">
        <v>-4.7199999999999999E-2</v>
      </c>
      <c r="C548" s="19">
        <v>-1.3299999999999999E-2</v>
      </c>
      <c r="D548" s="19">
        <v>5.1650000000000001E-2</v>
      </c>
      <c r="E548" s="19">
        <v>-1.3441506849315069E-2</v>
      </c>
      <c r="F548" s="19">
        <v>-4.7341506849315068E-2</v>
      </c>
    </row>
    <row r="549" spans="1:6" x14ac:dyDescent="0.25">
      <c r="A549" s="18">
        <v>43399</v>
      </c>
      <c r="B549" s="19">
        <v>0</v>
      </c>
      <c r="C549" s="19">
        <v>-1.03E-2</v>
      </c>
      <c r="D549" s="19">
        <v>5.1580000000000001E-2</v>
      </c>
      <c r="E549" s="19">
        <v>-1.044131506849315E-2</v>
      </c>
      <c r="F549" s="19">
        <v>-1.413150684931507E-4</v>
      </c>
    </row>
    <row r="550" spans="1:6" x14ac:dyDescent="0.25">
      <c r="A550" s="18">
        <v>43398</v>
      </c>
      <c r="B550" s="19">
        <v>0</v>
      </c>
      <c r="C550" s="19">
        <v>-1.3599999999999999E-2</v>
      </c>
      <c r="D550" s="19">
        <v>5.151E-2</v>
      </c>
      <c r="E550" s="19">
        <v>-1.3741123287671232E-2</v>
      </c>
      <c r="F550" s="19">
        <v>-1.4112328767123289E-4</v>
      </c>
    </row>
    <row r="551" spans="1:6" x14ac:dyDescent="0.25">
      <c r="A551" s="18">
        <v>43397</v>
      </c>
      <c r="B551" s="19">
        <v>-6.9500000000000006E-2</v>
      </c>
      <c r="C551" s="19">
        <v>-1.7999999999999999E-2</v>
      </c>
      <c r="D551" s="19">
        <v>5.1299999999999998E-2</v>
      </c>
      <c r="E551" s="19">
        <v>-1.814054794520548E-2</v>
      </c>
      <c r="F551" s="19">
        <v>-6.964054794520548E-2</v>
      </c>
    </row>
    <row r="552" spans="1:6" x14ac:dyDescent="0.25">
      <c r="A552" s="18">
        <v>43396</v>
      </c>
      <c r="B552" s="19">
        <v>-2.3199999999999998E-2</v>
      </c>
      <c r="C552" s="19">
        <v>-1.4500000000000001E-2</v>
      </c>
      <c r="D552" s="19">
        <v>5.0970000000000001E-2</v>
      </c>
      <c r="E552" s="19">
        <v>-1.463964383561644E-2</v>
      </c>
      <c r="F552" s="19">
        <v>-2.3339643835616437E-2</v>
      </c>
    </row>
    <row r="553" spans="1:6" x14ac:dyDescent="0.25">
      <c r="A553" s="18">
        <v>43395</v>
      </c>
      <c r="B553" s="19">
        <v>0</v>
      </c>
      <c r="C553" s="19">
        <v>-5.1000000000000004E-3</v>
      </c>
      <c r="D553" s="19">
        <v>5.0939999999999999E-2</v>
      </c>
      <c r="E553" s="19">
        <v>-5.239561643835617E-3</v>
      </c>
      <c r="F553" s="19">
        <v>-1.3956164383561643E-4</v>
      </c>
    </row>
    <row r="554" spans="1:6" x14ac:dyDescent="0.25">
      <c r="A554" s="18">
        <v>43392</v>
      </c>
      <c r="B554" s="19">
        <v>-2.18E-2</v>
      </c>
      <c r="C554" s="19">
        <v>-5.3E-3</v>
      </c>
      <c r="D554" s="19">
        <v>5.0939999999999999E-2</v>
      </c>
      <c r="E554" s="19">
        <v>-5.4395616438356166E-3</v>
      </c>
      <c r="F554" s="19">
        <v>-2.1939561643835617E-2</v>
      </c>
    </row>
    <row r="555" spans="1:6" x14ac:dyDescent="0.25">
      <c r="A555" s="18">
        <v>43391</v>
      </c>
      <c r="B555" s="19">
        <v>-2.2200000000000001E-2</v>
      </c>
      <c r="C555" s="19">
        <v>-8.3999999999999995E-3</v>
      </c>
      <c r="D555" s="19">
        <v>5.0939999999999999E-2</v>
      </c>
      <c r="E555" s="19">
        <v>-8.5395616438356161E-3</v>
      </c>
      <c r="F555" s="19">
        <v>-2.2339561643835618E-2</v>
      </c>
    </row>
    <row r="556" spans="1:6" x14ac:dyDescent="0.25">
      <c r="A556" s="18">
        <v>43390</v>
      </c>
      <c r="B556" s="19">
        <v>2.5999999999999999E-3</v>
      </c>
      <c r="C556" s="19">
        <v>8.5000000000000006E-3</v>
      </c>
      <c r="D556" s="19">
        <v>5.0659999999999997E-2</v>
      </c>
      <c r="E556" s="19">
        <v>8.3612054794520562E-3</v>
      </c>
      <c r="F556" s="19">
        <v>2.4612054794520546E-3</v>
      </c>
    </row>
    <row r="557" spans="1:6" x14ac:dyDescent="0.25">
      <c r="A557" s="18">
        <v>43389</v>
      </c>
      <c r="B557" s="19">
        <v>1.5699999999999999E-2</v>
      </c>
      <c r="C557" s="19">
        <v>1.23E-2</v>
      </c>
      <c r="D557" s="19">
        <v>5.067E-2</v>
      </c>
      <c r="E557" s="19">
        <v>1.2161178082191781E-2</v>
      </c>
      <c r="F557" s="19">
        <v>1.556117808219178E-2</v>
      </c>
    </row>
    <row r="558" spans="1:6" x14ac:dyDescent="0.25">
      <c r="A558" s="18">
        <v>43388</v>
      </c>
      <c r="B558" s="19">
        <v>-4.0899999999999999E-2</v>
      </c>
      <c r="C558" s="19">
        <v>-1.9E-2</v>
      </c>
      <c r="D558" s="19">
        <v>5.067E-2</v>
      </c>
      <c r="E558" s="19">
        <v>-1.9138821917808219E-2</v>
      </c>
      <c r="F558" s="19">
        <v>-4.1038821917808221E-2</v>
      </c>
    </row>
    <row r="559" spans="1:6" x14ac:dyDescent="0.25">
      <c r="A559" s="18">
        <v>43385</v>
      </c>
      <c r="B559" s="19">
        <v>6.4799999999999996E-2</v>
      </c>
      <c r="C559" s="19">
        <v>2.5600000000000001E-2</v>
      </c>
      <c r="D559" s="19">
        <v>5.0729999999999997E-2</v>
      </c>
      <c r="E559" s="19">
        <v>2.5461013698630137E-2</v>
      </c>
      <c r="F559" s="19">
        <v>6.4661013698630129E-2</v>
      </c>
    </row>
    <row r="560" spans="1:6" x14ac:dyDescent="0.25">
      <c r="A560" s="18">
        <v>43384</v>
      </c>
      <c r="B560" s="19">
        <v>-6.9400000000000003E-2</v>
      </c>
      <c r="C560" s="19">
        <v>-4.8399999999999999E-2</v>
      </c>
      <c r="D560" s="19">
        <v>5.0750000000000003E-2</v>
      </c>
      <c r="E560" s="19">
        <v>-4.8539041095890412E-2</v>
      </c>
      <c r="F560" s="19">
        <v>-6.9539041095890416E-2</v>
      </c>
    </row>
    <row r="561" spans="1:6" x14ac:dyDescent="0.25">
      <c r="A561" s="18">
        <v>43383</v>
      </c>
      <c r="B561" s="19">
        <v>1.4200000000000001E-2</v>
      </c>
      <c r="C561" s="19">
        <v>-2.2000000000000001E-3</v>
      </c>
      <c r="D561" s="19">
        <v>5.0750000000000003E-2</v>
      </c>
      <c r="E561" s="19">
        <v>-2.3390410958904111E-3</v>
      </c>
      <c r="F561" s="19">
        <v>1.4060958904109589E-2</v>
      </c>
    </row>
    <row r="562" spans="1:6" x14ac:dyDescent="0.25">
      <c r="A562" s="18">
        <v>43382</v>
      </c>
      <c r="B562" s="19">
        <v>2.4E-2</v>
      </c>
      <c r="C562" s="19">
        <v>1E-4</v>
      </c>
      <c r="D562" s="19">
        <v>5.0319999999999997E-2</v>
      </c>
      <c r="E562" s="19">
        <v>-3.7863013698630121E-5</v>
      </c>
      <c r="F562" s="19">
        <v>2.386213698630137E-2</v>
      </c>
    </row>
    <row r="563" spans="1:6" x14ac:dyDescent="0.25">
      <c r="A563" s="18">
        <v>43381</v>
      </c>
      <c r="B563" s="19">
        <v>-2.92E-2</v>
      </c>
      <c r="C563" s="19">
        <v>-1.2200000000000001E-2</v>
      </c>
      <c r="D563" s="19">
        <v>5.0259999999999999E-2</v>
      </c>
      <c r="E563" s="19">
        <v>-1.2337698630136987E-2</v>
      </c>
      <c r="F563" s="19">
        <v>-2.9337698630136987E-2</v>
      </c>
    </row>
    <row r="564" spans="1:6" x14ac:dyDescent="0.25">
      <c r="A564" s="18">
        <v>43378</v>
      </c>
      <c r="B564" s="19">
        <v>-3.2300000000000002E-2</v>
      </c>
      <c r="C564" s="19">
        <v>-1.49E-2</v>
      </c>
      <c r="D564" s="19">
        <v>5.0369999999999998E-2</v>
      </c>
      <c r="E564" s="19">
        <v>-1.5037999999999999E-2</v>
      </c>
      <c r="F564" s="19">
        <v>-3.2438000000000002E-2</v>
      </c>
    </row>
    <row r="565" spans="1:6" x14ac:dyDescent="0.25">
      <c r="A565" s="18">
        <v>43377</v>
      </c>
      <c r="B565" s="19">
        <v>1.06E-2</v>
      </c>
      <c r="C565" s="19">
        <v>3.2000000000000002E-3</v>
      </c>
      <c r="D565" s="19">
        <v>5.0279999999999998E-2</v>
      </c>
      <c r="E565" s="19">
        <v>3.0622465753424657E-3</v>
      </c>
      <c r="F565" s="19">
        <v>1.0462246575342466E-2</v>
      </c>
    </row>
    <row r="566" spans="1:6" x14ac:dyDescent="0.25">
      <c r="A566" s="18">
        <v>43376</v>
      </c>
      <c r="B566" s="19">
        <v>9.9000000000000008E-3</v>
      </c>
      <c r="C566" s="19">
        <v>1.6000000000000001E-3</v>
      </c>
      <c r="D566" s="19">
        <v>5.0380000000000001E-2</v>
      </c>
      <c r="E566" s="19">
        <v>1.4619726027397262E-3</v>
      </c>
      <c r="F566" s="19">
        <v>9.7619726027397269E-3</v>
      </c>
    </row>
    <row r="567" spans="1:6" x14ac:dyDescent="0.25">
      <c r="A567" s="18">
        <v>43375</v>
      </c>
      <c r="B567" s="19">
        <v>1.5900000000000001E-2</v>
      </c>
      <c r="C567" s="19">
        <v>5.7999999999999996E-3</v>
      </c>
      <c r="D567" s="19">
        <v>5.0279999999999998E-2</v>
      </c>
      <c r="E567" s="19">
        <v>5.6622465753424656E-3</v>
      </c>
      <c r="F567" s="19">
        <v>1.5762246575342465E-2</v>
      </c>
    </row>
    <row r="568" spans="1:6" x14ac:dyDescent="0.25">
      <c r="A568" s="18">
        <v>43374</v>
      </c>
      <c r="B568" s="19">
        <v>3.3700000000000001E-2</v>
      </c>
      <c r="C568" s="19">
        <v>-4.1999999999999997E-3</v>
      </c>
      <c r="D568" s="19">
        <v>5.0279999999999998E-2</v>
      </c>
      <c r="E568" s="19">
        <v>-4.3377534246575337E-3</v>
      </c>
      <c r="F568" s="19">
        <v>3.3562246575342465E-2</v>
      </c>
    </row>
    <row r="569" spans="1:6" x14ac:dyDescent="0.25">
      <c r="A569" s="18">
        <v>43371</v>
      </c>
      <c r="B569" s="19">
        <v>-1.2800000000000001E-2</v>
      </c>
      <c r="C569" s="19">
        <v>1.6999999999999999E-3</v>
      </c>
      <c r="D569" s="19">
        <v>5.0279999999999998E-2</v>
      </c>
      <c r="E569" s="19">
        <v>1.5622465753424657E-3</v>
      </c>
      <c r="F569" s="19">
        <v>-1.2937753424657535E-2</v>
      </c>
    </row>
    <row r="570" spans="1:6" x14ac:dyDescent="0.25">
      <c r="A570" s="18">
        <v>43370</v>
      </c>
      <c r="B570" s="19">
        <v>8.9999999999999998E-4</v>
      </c>
      <c r="C570" s="19">
        <v>5.7000000000000002E-3</v>
      </c>
      <c r="D570" s="19">
        <v>5.0290000000000001E-2</v>
      </c>
      <c r="E570" s="19">
        <v>5.5622191780821915E-3</v>
      </c>
      <c r="F570" s="19">
        <v>7.6221917808219175E-4</v>
      </c>
    </row>
    <row r="571" spans="1:6" x14ac:dyDescent="0.25">
      <c r="A571" s="18">
        <v>43369</v>
      </c>
      <c r="B571" s="19">
        <v>-7.6E-3</v>
      </c>
      <c r="C571" s="19">
        <v>-1.1000000000000001E-3</v>
      </c>
      <c r="D571" s="19">
        <v>5.0290000000000001E-2</v>
      </c>
      <c r="E571" s="19">
        <v>-1.2377808219178083E-3</v>
      </c>
      <c r="F571" s="19">
        <v>-7.7377808219178078E-3</v>
      </c>
    </row>
    <row r="572" spans="1:6" x14ac:dyDescent="0.25">
      <c r="A572" s="18">
        <v>43368</v>
      </c>
      <c r="B572" s="19">
        <v>1.6999999999999999E-3</v>
      </c>
      <c r="C572" s="19">
        <v>-5.0000000000000001E-4</v>
      </c>
      <c r="D572" s="19">
        <v>5.0299999999999997E-2</v>
      </c>
      <c r="E572" s="19">
        <v>-6.3780821917808217E-4</v>
      </c>
      <c r="F572" s="19">
        <v>1.5621917808219176E-3</v>
      </c>
    </row>
    <row r="573" spans="1:6" x14ac:dyDescent="0.25">
      <c r="A573" s="18">
        <v>43367</v>
      </c>
      <c r="B573" s="19">
        <v>1.6400000000000001E-2</v>
      </c>
      <c r="C573" s="19">
        <v>8.3000000000000001E-3</v>
      </c>
      <c r="D573" s="19">
        <v>4.9610000000000001E-2</v>
      </c>
      <c r="E573" s="19">
        <v>8.1640821917808217E-3</v>
      </c>
      <c r="F573" s="19">
        <v>1.6264082191780823E-2</v>
      </c>
    </row>
    <row r="574" spans="1:6" x14ac:dyDescent="0.25">
      <c r="A574" s="18">
        <v>43364</v>
      </c>
      <c r="B574" s="19">
        <v>-8.9999999999999998E-4</v>
      </c>
      <c r="C574" s="19">
        <v>-1.8E-3</v>
      </c>
      <c r="D574" s="19">
        <v>5.1029999999999999E-2</v>
      </c>
      <c r="E574" s="19">
        <v>-1.939808219178082E-3</v>
      </c>
      <c r="F574" s="19">
        <v>-1.0398082191780821E-3</v>
      </c>
    </row>
    <row r="575" spans="1:6" x14ac:dyDescent="0.25">
      <c r="A575" s="18">
        <v>43363</v>
      </c>
      <c r="B575" s="19">
        <v>3.4799999999999998E-2</v>
      </c>
      <c r="C575" s="19">
        <v>9.1999999999999998E-3</v>
      </c>
      <c r="D575" s="19">
        <v>5.0990000000000001E-2</v>
      </c>
      <c r="E575" s="19">
        <v>9.0603013698630133E-3</v>
      </c>
      <c r="F575" s="19">
        <v>3.4660301369863013E-2</v>
      </c>
    </row>
    <row r="576" spans="1:6" x14ac:dyDescent="0.25">
      <c r="A576" s="18">
        <v>43362</v>
      </c>
      <c r="B576" s="19">
        <v>2.2800000000000001E-2</v>
      </c>
      <c r="C576" s="19">
        <v>2.0999999999999999E-3</v>
      </c>
      <c r="D576" s="19">
        <v>5.0999999999999997E-2</v>
      </c>
      <c r="E576" s="19">
        <v>1.9602739726027395E-3</v>
      </c>
      <c r="F576" s="19">
        <v>2.266027397260274E-2</v>
      </c>
    </row>
    <row r="577" spans="1:6" x14ac:dyDescent="0.25">
      <c r="A577" s="18">
        <v>43361</v>
      </c>
      <c r="B577" s="19">
        <v>5.4999999999999997E-3</v>
      </c>
      <c r="C577" s="19">
        <v>6.0000000000000001E-3</v>
      </c>
      <c r="D577" s="19">
        <v>5.1040000000000002E-2</v>
      </c>
      <c r="E577" s="19">
        <v>5.8601643835616436E-3</v>
      </c>
      <c r="F577" s="19">
        <v>5.3601643835616431E-3</v>
      </c>
    </row>
    <row r="578" spans="1:6" x14ac:dyDescent="0.25">
      <c r="A578" s="18">
        <v>43360</v>
      </c>
      <c r="B578" s="19">
        <v>9.2999999999999992E-3</v>
      </c>
      <c r="C578" s="19">
        <v>-3.8E-3</v>
      </c>
      <c r="D578" s="19">
        <v>5.0430000000000003E-2</v>
      </c>
      <c r="E578" s="19">
        <v>-3.9381643835616435E-3</v>
      </c>
      <c r="F578" s="19">
        <v>9.1618356164383553E-3</v>
      </c>
    </row>
    <row r="579" spans="1:6" x14ac:dyDescent="0.25">
      <c r="A579" s="18">
        <v>43357</v>
      </c>
      <c r="B579" s="19">
        <v>0</v>
      </c>
      <c r="C579" s="19">
        <v>3.3999999999999998E-3</v>
      </c>
      <c r="D579" s="19">
        <v>5.067E-2</v>
      </c>
      <c r="E579" s="19">
        <v>3.2611780821917807E-3</v>
      </c>
      <c r="F579" s="19">
        <v>-1.3882191780821917E-4</v>
      </c>
    </row>
    <row r="580" spans="1:6" x14ac:dyDescent="0.25">
      <c r="A580" s="18">
        <v>43356</v>
      </c>
      <c r="B580" s="19">
        <v>-9.1999999999999998E-3</v>
      </c>
      <c r="C580" s="19">
        <v>1E-3</v>
      </c>
      <c r="D580" s="19">
        <v>5.1310000000000001E-2</v>
      </c>
      <c r="E580" s="19">
        <v>8.5942465753424658E-4</v>
      </c>
      <c r="F580" s="19">
        <v>-9.3405753424657539E-3</v>
      </c>
    </row>
    <row r="581" spans="1:6" x14ac:dyDescent="0.25">
      <c r="A581" s="18">
        <v>43355</v>
      </c>
      <c r="B581" s="19">
        <v>5.3100000000000001E-2</v>
      </c>
      <c r="C581" s="19">
        <v>2E-3</v>
      </c>
      <c r="D581" s="19">
        <v>5.1589999999999997E-2</v>
      </c>
      <c r="E581" s="19">
        <v>1.8586575342465755E-3</v>
      </c>
      <c r="F581" s="19">
        <v>5.2958657534246577E-2</v>
      </c>
    </row>
    <row r="582" spans="1:6" x14ac:dyDescent="0.25">
      <c r="A582" s="18">
        <v>43354</v>
      </c>
      <c r="B582" s="19">
        <v>2.6800000000000001E-2</v>
      </c>
      <c r="C582" s="19">
        <v>1.52E-2</v>
      </c>
      <c r="D582" s="19">
        <v>5.1950000000000003E-2</v>
      </c>
      <c r="E582" s="19">
        <v>1.5057671232876713E-2</v>
      </c>
      <c r="F582" s="19">
        <v>2.6657671232876712E-2</v>
      </c>
    </row>
    <row r="583" spans="1:6" x14ac:dyDescent="0.25">
      <c r="A583" s="18">
        <v>43353</v>
      </c>
      <c r="B583" s="19">
        <v>4.0000000000000001E-3</v>
      </c>
      <c r="C583" s="19">
        <v>1.5E-3</v>
      </c>
      <c r="D583" s="19">
        <v>5.2019999999999997E-2</v>
      </c>
      <c r="E583" s="19">
        <v>1.3574794520547946E-3</v>
      </c>
      <c r="F583" s="19">
        <v>3.8574794520547947E-3</v>
      </c>
    </row>
    <row r="584" spans="1:6" x14ac:dyDescent="0.25">
      <c r="A584" s="18">
        <v>43350</v>
      </c>
      <c r="B584" s="19">
        <v>2E-3</v>
      </c>
      <c r="C584" s="19">
        <v>1.12E-2</v>
      </c>
      <c r="D584" s="19">
        <v>5.2179999999999997E-2</v>
      </c>
      <c r="E584" s="19">
        <v>1.105704109589041E-2</v>
      </c>
      <c r="F584" s="19">
        <v>1.8570410958904111E-3</v>
      </c>
    </row>
    <row r="585" spans="1:6" x14ac:dyDescent="0.25">
      <c r="A585" s="18">
        <v>43349</v>
      </c>
      <c r="B585" s="19">
        <v>1E-3</v>
      </c>
      <c r="C585" s="19">
        <v>-1.06E-2</v>
      </c>
      <c r="D585" s="19">
        <v>5.2130000000000003E-2</v>
      </c>
      <c r="E585" s="19">
        <v>-1.074282191780822E-2</v>
      </c>
      <c r="F585" s="19">
        <v>8.5717808219178083E-4</v>
      </c>
    </row>
    <row r="586" spans="1:6" x14ac:dyDescent="0.25">
      <c r="A586" s="18">
        <v>43348</v>
      </c>
      <c r="B586" s="19">
        <v>-2.8199999999999999E-2</v>
      </c>
      <c r="C586" s="19">
        <v>-7.7000000000000002E-3</v>
      </c>
      <c r="D586" s="19">
        <v>5.1799999999999999E-2</v>
      </c>
      <c r="E586" s="19">
        <v>-7.8419178082191777E-3</v>
      </c>
      <c r="F586" s="19">
        <v>-2.8341917808219177E-2</v>
      </c>
    </row>
    <row r="587" spans="1:6" x14ac:dyDescent="0.25">
      <c r="A587" s="18">
        <v>43347</v>
      </c>
      <c r="B587" s="19">
        <v>0</v>
      </c>
      <c r="C587" s="19">
        <v>-1.37E-2</v>
      </c>
      <c r="D587" s="19">
        <v>5.2019999999999997E-2</v>
      </c>
      <c r="E587" s="19">
        <v>-1.3842520547945205E-2</v>
      </c>
      <c r="F587" s="19">
        <v>-1.4252054794520547E-4</v>
      </c>
    </row>
    <row r="588" spans="1:6" x14ac:dyDescent="0.25">
      <c r="A588" s="18">
        <v>43343</v>
      </c>
      <c r="B588" s="19">
        <v>-1.9E-2</v>
      </c>
      <c r="C588" s="19">
        <v>-8.5000000000000006E-3</v>
      </c>
      <c r="D588" s="19">
        <v>5.1720000000000002E-2</v>
      </c>
      <c r="E588" s="19">
        <v>-8.6416986301369875E-3</v>
      </c>
      <c r="F588" s="19">
        <v>-1.9141698630136986E-2</v>
      </c>
    </row>
    <row r="589" spans="1:6" x14ac:dyDescent="0.25">
      <c r="A589" s="18">
        <v>43342</v>
      </c>
      <c r="B589" s="19">
        <v>4.0599999999999997E-2</v>
      </c>
      <c r="C589" s="19">
        <v>0.01</v>
      </c>
      <c r="D589" s="19">
        <v>5.1880000000000003E-2</v>
      </c>
      <c r="E589" s="19">
        <v>9.8578630136986305E-3</v>
      </c>
      <c r="F589" s="19">
        <v>4.0457863013698629E-2</v>
      </c>
    </row>
    <row r="590" spans="1:6" x14ac:dyDescent="0.25">
      <c r="A590" s="18">
        <v>43341</v>
      </c>
      <c r="B590" s="19">
        <v>-1.2699999999999999E-2</v>
      </c>
      <c r="C590" s="19">
        <v>-7.1000000000000004E-3</v>
      </c>
      <c r="D590" s="19">
        <v>5.185E-2</v>
      </c>
      <c r="E590" s="19">
        <v>-7.2420547945205487E-3</v>
      </c>
      <c r="F590" s="19">
        <v>-1.2842054794520547E-2</v>
      </c>
    </row>
    <row r="591" spans="1:6" x14ac:dyDescent="0.25">
      <c r="A591" s="18">
        <v>43340</v>
      </c>
      <c r="B591" s="19">
        <v>0.02</v>
      </c>
      <c r="C591" s="19">
        <v>3.3E-3</v>
      </c>
      <c r="D591" s="19">
        <v>5.1790000000000003E-2</v>
      </c>
      <c r="E591" s="19">
        <v>3.1581095890410959E-3</v>
      </c>
      <c r="F591" s="19">
        <v>1.9858109589041096E-2</v>
      </c>
    </row>
    <row r="592" spans="1:6" x14ac:dyDescent="0.25">
      <c r="A592" s="18">
        <v>43339</v>
      </c>
      <c r="B592" s="19">
        <v>7.0000000000000001E-3</v>
      </c>
      <c r="C592" s="19">
        <v>4.8999999999999998E-3</v>
      </c>
      <c r="D592" s="19">
        <v>5.169E-2</v>
      </c>
      <c r="E592" s="19">
        <v>4.7583835616438353E-3</v>
      </c>
      <c r="F592" s="19">
        <v>6.8583835616438356E-3</v>
      </c>
    </row>
    <row r="593" spans="1:6" x14ac:dyDescent="0.25">
      <c r="A593" s="18">
        <v>43336</v>
      </c>
      <c r="B593" s="19">
        <v>1.0999999999999999E-2</v>
      </c>
      <c r="C593" s="19">
        <v>-2.9999999999999997E-4</v>
      </c>
      <c r="D593" s="19">
        <v>5.1630000000000002E-2</v>
      </c>
      <c r="E593" s="19">
        <v>-4.4145205479452054E-4</v>
      </c>
      <c r="F593" s="19">
        <v>1.085854794520548E-2</v>
      </c>
    </row>
    <row r="594" spans="1:6" x14ac:dyDescent="0.25">
      <c r="A594" s="18">
        <v>43335</v>
      </c>
      <c r="B594" s="19">
        <v>4.0000000000000001E-3</v>
      </c>
      <c r="C594" s="19">
        <v>5.3E-3</v>
      </c>
      <c r="D594" s="19">
        <v>5.1749999999999997E-2</v>
      </c>
      <c r="E594" s="19">
        <v>5.1582191780821917E-3</v>
      </c>
      <c r="F594" s="19">
        <v>3.8582191780821918E-3</v>
      </c>
    </row>
    <row r="595" spans="1:6" x14ac:dyDescent="0.25">
      <c r="A595" s="18">
        <v>43334</v>
      </c>
      <c r="B595" s="19">
        <v>2.5600000000000001E-2</v>
      </c>
      <c r="C595" s="19">
        <v>3.0000000000000001E-3</v>
      </c>
      <c r="D595" s="19">
        <v>5.0999999999999997E-2</v>
      </c>
      <c r="E595" s="19">
        <v>2.8602739726027396E-3</v>
      </c>
      <c r="F595" s="19">
        <v>2.546027397260274E-2</v>
      </c>
    </row>
    <row r="596" spans="1:6" x14ac:dyDescent="0.25">
      <c r="A596" s="18">
        <v>43333</v>
      </c>
      <c r="B596" s="19">
        <v>-7.1000000000000004E-3</v>
      </c>
      <c r="C596" s="19">
        <v>9.9000000000000008E-3</v>
      </c>
      <c r="D596" s="19">
        <v>5.0999999999999997E-2</v>
      </c>
      <c r="E596" s="19">
        <v>9.7602739726027413E-3</v>
      </c>
      <c r="F596" s="19">
        <v>-7.2397260273972608E-3</v>
      </c>
    </row>
    <row r="597" spans="1:6" x14ac:dyDescent="0.25">
      <c r="A597" s="18">
        <v>43332</v>
      </c>
      <c r="B597" s="19">
        <v>2.0799999999999999E-2</v>
      </c>
      <c r="C597" s="19">
        <v>8.0000000000000004E-4</v>
      </c>
      <c r="D597" s="19">
        <v>5.0959999999999998E-2</v>
      </c>
      <c r="E597" s="19">
        <v>6.6038356164383567E-4</v>
      </c>
      <c r="F597" s="19">
        <v>2.0660383561643833E-2</v>
      </c>
    </row>
    <row r="598" spans="1:6" x14ac:dyDescent="0.25">
      <c r="A598" s="18">
        <v>43329</v>
      </c>
      <c r="B598" s="19">
        <v>1.7999999999999999E-2</v>
      </c>
      <c r="C598" s="19">
        <v>4.7999999999999996E-3</v>
      </c>
      <c r="D598" s="19">
        <v>5.0779999999999999E-2</v>
      </c>
      <c r="E598" s="19">
        <v>4.6608767123287667E-3</v>
      </c>
      <c r="F598" s="19">
        <v>1.7860876712328767E-2</v>
      </c>
    </row>
    <row r="599" spans="1:6" x14ac:dyDescent="0.25">
      <c r="A599" s="18">
        <v>43328</v>
      </c>
      <c r="B599" s="19">
        <v>-5.3E-3</v>
      </c>
      <c r="C599" s="19">
        <v>3.0000000000000001E-3</v>
      </c>
      <c r="D599" s="19">
        <v>5.0040000000000001E-2</v>
      </c>
      <c r="E599" s="19">
        <v>2.8629041095890413E-3</v>
      </c>
      <c r="F599" s="19">
        <v>-5.4370958904109588E-3</v>
      </c>
    </row>
    <row r="600" spans="1:6" x14ac:dyDescent="0.25">
      <c r="A600" s="18">
        <v>43327</v>
      </c>
      <c r="B600" s="19">
        <v>-6.13E-2</v>
      </c>
      <c r="C600" s="19">
        <v>-1.7299999999999999E-2</v>
      </c>
      <c r="D600" s="19">
        <v>5.0110000000000002E-2</v>
      </c>
      <c r="E600" s="19">
        <v>-1.7437287671232878E-2</v>
      </c>
      <c r="F600" s="19">
        <v>-6.1437287671232875E-2</v>
      </c>
    </row>
    <row r="601" spans="1:6" x14ac:dyDescent="0.25">
      <c r="A601" s="18">
        <v>43326</v>
      </c>
      <c r="B601" s="19">
        <v>-3.6799999999999999E-2</v>
      </c>
      <c r="C601" s="19">
        <v>2.0000000000000001E-4</v>
      </c>
      <c r="D601" s="19">
        <v>5.0220000000000001E-2</v>
      </c>
      <c r="E601" s="19">
        <v>6.2410958904109593E-5</v>
      </c>
      <c r="F601" s="19">
        <v>-3.693758904109589E-2</v>
      </c>
    </row>
    <row r="602" spans="1:6" x14ac:dyDescent="0.25">
      <c r="A602" s="18">
        <v>43325</v>
      </c>
      <c r="B602" s="19">
        <v>4.36E-2</v>
      </c>
      <c r="C602" s="19">
        <v>9.9000000000000008E-3</v>
      </c>
      <c r="D602" s="19">
        <v>4.99E-2</v>
      </c>
      <c r="E602" s="19">
        <v>9.7632876712328773E-3</v>
      </c>
      <c r="F602" s="19">
        <v>4.3463287671232878E-2</v>
      </c>
    </row>
    <row r="603" spans="1:6" x14ac:dyDescent="0.25">
      <c r="A603" s="18">
        <v>43322</v>
      </c>
      <c r="B603" s="19">
        <v>5.1000000000000004E-3</v>
      </c>
      <c r="C603" s="19">
        <v>5.1999999999999998E-3</v>
      </c>
      <c r="D603" s="19">
        <v>4.9689999999999998E-2</v>
      </c>
      <c r="E603" s="19">
        <v>5.0638630136986299E-3</v>
      </c>
      <c r="F603" s="19">
        <v>4.9638630136986306E-3</v>
      </c>
    </row>
    <row r="604" spans="1:6" x14ac:dyDescent="0.25">
      <c r="A604" s="18">
        <v>43321</v>
      </c>
      <c r="B604" s="19">
        <v>2E-3</v>
      </c>
      <c r="C604" s="19">
        <v>-2.8999999999999998E-3</v>
      </c>
      <c r="D604" s="19">
        <v>5.033E-2</v>
      </c>
      <c r="E604" s="19">
        <v>-3.0378904109589037E-3</v>
      </c>
      <c r="F604" s="19">
        <v>1.8621095890410959E-3</v>
      </c>
    </row>
    <row r="605" spans="1:6" x14ac:dyDescent="0.25">
      <c r="A605" s="18">
        <v>43320</v>
      </c>
      <c r="B605" s="19">
        <v>4.2599999999999999E-2</v>
      </c>
      <c r="C605" s="19">
        <v>9.9000000000000008E-3</v>
      </c>
      <c r="D605" s="19">
        <v>5.033E-2</v>
      </c>
      <c r="E605" s="19">
        <v>9.7621095890410969E-3</v>
      </c>
      <c r="F605" s="19">
        <v>4.2462109589041092E-2</v>
      </c>
    </row>
    <row r="606" spans="1:6" x14ac:dyDescent="0.25">
      <c r="A606" s="18">
        <v>43319</v>
      </c>
      <c r="B606" s="19">
        <v>-2.1899999999999999E-2</v>
      </c>
      <c r="C606" s="19">
        <v>-3.5999999999999999E-3</v>
      </c>
      <c r="D606" s="19">
        <v>5.0340000000000003E-2</v>
      </c>
      <c r="E606" s="19">
        <v>-3.7379178082191781E-3</v>
      </c>
      <c r="F606" s="19">
        <v>-2.2037917808219176E-2</v>
      </c>
    </row>
    <row r="607" spans="1:6" x14ac:dyDescent="0.25">
      <c r="A607" s="18">
        <v>43318</v>
      </c>
      <c r="B607" s="19">
        <v>2.6700000000000002E-2</v>
      </c>
      <c r="C607" s="19">
        <v>6.9999999999999999E-4</v>
      </c>
      <c r="D607" s="19">
        <v>5.0369999999999998E-2</v>
      </c>
      <c r="E607" s="19">
        <v>5.62E-4</v>
      </c>
      <c r="F607" s="19">
        <v>2.6562000000000002E-2</v>
      </c>
    </row>
    <row r="608" spans="1:6" x14ac:dyDescent="0.25">
      <c r="A608" s="18">
        <v>43315</v>
      </c>
      <c r="B608" s="19">
        <v>2.86E-2</v>
      </c>
      <c r="C608" s="19">
        <v>6.3E-3</v>
      </c>
      <c r="D608" s="19">
        <v>5.0369999999999998E-2</v>
      </c>
      <c r="E608" s="19">
        <v>6.1619999999999999E-3</v>
      </c>
      <c r="F608" s="19">
        <v>2.8462000000000001E-2</v>
      </c>
    </row>
    <row r="609" spans="1:6" x14ac:dyDescent="0.25">
      <c r="A609" s="18">
        <v>43314</v>
      </c>
      <c r="B609" s="19">
        <v>2.5899999999999999E-2</v>
      </c>
      <c r="C609" s="19">
        <v>8.0000000000000004E-4</v>
      </c>
      <c r="D609" s="19">
        <v>4.9599999999999998E-2</v>
      </c>
      <c r="E609" s="19">
        <v>6.6410958904109592E-4</v>
      </c>
      <c r="F609" s="19">
        <v>2.5764109589041094E-2</v>
      </c>
    </row>
    <row r="610" spans="1:6" x14ac:dyDescent="0.25">
      <c r="A610" s="18">
        <v>43313</v>
      </c>
      <c r="B610" s="19">
        <v>1.03E-2</v>
      </c>
      <c r="C610" s="19">
        <v>-3.8E-3</v>
      </c>
      <c r="D610" s="19">
        <v>4.9509999999999998E-2</v>
      </c>
      <c r="E610" s="19">
        <v>-3.935643835616438E-3</v>
      </c>
      <c r="F610" s="19">
        <v>1.0164356164383562E-2</v>
      </c>
    </row>
    <row r="611" spans="1:6" x14ac:dyDescent="0.25">
      <c r="A611" s="18">
        <v>43312</v>
      </c>
      <c r="B611" s="19">
        <v>1.04E-2</v>
      </c>
      <c r="C611" s="19">
        <v>7.0000000000000001E-3</v>
      </c>
      <c r="D611" s="19">
        <v>4.9230000000000003E-2</v>
      </c>
      <c r="E611" s="19">
        <v>6.8651232876712331E-3</v>
      </c>
      <c r="F611" s="19">
        <v>1.0265123287671232E-2</v>
      </c>
    </row>
    <row r="612" spans="1:6" x14ac:dyDescent="0.25">
      <c r="A612" s="18">
        <v>43311</v>
      </c>
      <c r="B612" s="19">
        <v>2.4799999999999999E-2</v>
      </c>
      <c r="C612" s="19">
        <v>1.52E-2</v>
      </c>
      <c r="D612" s="19">
        <v>4.9750000000000003E-2</v>
      </c>
      <c r="E612" s="19">
        <v>1.5063698630136986E-2</v>
      </c>
      <c r="F612" s="19">
        <v>2.4663698630136986E-2</v>
      </c>
    </row>
    <row r="613" spans="1:6" x14ac:dyDescent="0.25">
      <c r="A613" s="18">
        <v>43308</v>
      </c>
      <c r="B613" s="19">
        <v>2.0500000000000001E-2</v>
      </c>
      <c r="C613" s="19">
        <v>5.7999999999999996E-3</v>
      </c>
      <c r="D613" s="19">
        <v>4.8860000000000001E-2</v>
      </c>
      <c r="E613" s="19">
        <v>5.6661369863013691E-3</v>
      </c>
      <c r="F613" s="19">
        <v>2.036613698630137E-2</v>
      </c>
    </row>
    <row r="614" spans="1:6" x14ac:dyDescent="0.25">
      <c r="A614" s="18">
        <v>43307</v>
      </c>
      <c r="B614" s="19">
        <v>-7.1999999999999998E-3</v>
      </c>
      <c r="C614" s="19">
        <v>2.8E-3</v>
      </c>
      <c r="D614" s="19">
        <v>4.8669999999999998E-2</v>
      </c>
      <c r="E614" s="19">
        <v>2.6666575342465752E-3</v>
      </c>
      <c r="F614" s="19">
        <v>-7.3333424657534242E-3</v>
      </c>
    </row>
    <row r="615" spans="1:6" x14ac:dyDescent="0.25">
      <c r="A615" s="18">
        <v>43306</v>
      </c>
      <c r="B615" s="19">
        <v>-1.2999999999999999E-2</v>
      </c>
      <c r="C615" s="19">
        <v>-7.0000000000000001E-3</v>
      </c>
      <c r="D615" s="19">
        <v>4.931E-2</v>
      </c>
      <c r="E615" s="19">
        <v>-7.1350958904109587E-3</v>
      </c>
      <c r="F615" s="19">
        <v>-1.3135095890410958E-2</v>
      </c>
    </row>
    <row r="616" spans="1:6" x14ac:dyDescent="0.25">
      <c r="A616" s="18">
        <v>43305</v>
      </c>
      <c r="B616" s="19">
        <v>2.3999999999999998E-3</v>
      </c>
      <c r="C616" s="19">
        <v>-2.8E-3</v>
      </c>
      <c r="D616" s="19">
        <v>4.8800000000000003E-2</v>
      </c>
      <c r="E616" s="19">
        <v>-2.9336986301369862E-3</v>
      </c>
      <c r="F616" s="19">
        <v>2.2663013698630136E-3</v>
      </c>
    </row>
    <row r="617" spans="1:6" x14ac:dyDescent="0.25">
      <c r="A617" s="18">
        <v>43304</v>
      </c>
      <c r="B617" s="19">
        <v>2.3E-2</v>
      </c>
      <c r="C617" s="19">
        <v>3.5999999999999999E-3</v>
      </c>
      <c r="D617" s="19">
        <v>4.8809999999999999E-2</v>
      </c>
      <c r="E617" s="19">
        <v>3.4662739726027394E-3</v>
      </c>
      <c r="F617" s="19">
        <v>2.2866273972602741E-2</v>
      </c>
    </row>
    <row r="618" spans="1:6" x14ac:dyDescent="0.25">
      <c r="A618" s="18">
        <v>43301</v>
      </c>
      <c r="B618" s="19">
        <v>-1.78E-2</v>
      </c>
      <c r="C618" s="19">
        <v>-1.12E-2</v>
      </c>
      <c r="D618" s="19">
        <v>4.854E-2</v>
      </c>
      <c r="E618" s="19">
        <v>-1.1332986301369863E-2</v>
      </c>
      <c r="F618" s="19">
        <v>-1.7932986301369865E-2</v>
      </c>
    </row>
    <row r="619" spans="1:6" x14ac:dyDescent="0.25">
      <c r="A619" s="18">
        <v>43300</v>
      </c>
      <c r="B619" s="19">
        <v>1.4500000000000001E-2</v>
      </c>
      <c r="C619" s="19">
        <v>1.6999999999999999E-3</v>
      </c>
      <c r="D619" s="19">
        <v>4.8559999999999999E-2</v>
      </c>
      <c r="E619" s="19">
        <v>1.5669589041095889E-3</v>
      </c>
      <c r="F619" s="19">
        <v>1.436695890410959E-2</v>
      </c>
    </row>
    <row r="620" spans="1:6" x14ac:dyDescent="0.25">
      <c r="A620" s="18">
        <v>43299</v>
      </c>
      <c r="B620" s="19">
        <v>5.0599999999999999E-2</v>
      </c>
      <c r="C620" s="19">
        <v>2.29E-2</v>
      </c>
      <c r="D620" s="19">
        <v>4.8509999999999998E-2</v>
      </c>
      <c r="E620" s="19">
        <v>2.2767095890410958E-2</v>
      </c>
      <c r="F620" s="19">
        <v>5.0467095890410957E-2</v>
      </c>
    </row>
    <row r="621" spans="1:6" x14ac:dyDescent="0.25">
      <c r="A621" s="18">
        <v>43298</v>
      </c>
      <c r="B621" s="19">
        <v>-2.7099999999999999E-2</v>
      </c>
      <c r="C621" s="19">
        <v>1.12E-2</v>
      </c>
      <c r="D621" s="19">
        <v>4.8529999999999997E-2</v>
      </c>
      <c r="E621" s="19">
        <v>1.1067041095890412E-2</v>
      </c>
      <c r="F621" s="19">
        <v>-2.7232958904109587E-2</v>
      </c>
    </row>
    <row r="622" spans="1:6" x14ac:dyDescent="0.25">
      <c r="A622" s="18">
        <v>43297</v>
      </c>
      <c r="B622" s="19">
        <v>-7.3000000000000001E-3</v>
      </c>
      <c r="C622" s="19">
        <v>1.5E-3</v>
      </c>
      <c r="D622" s="19">
        <v>4.8390000000000002E-2</v>
      </c>
      <c r="E622" s="19">
        <v>1.3674246575342466E-3</v>
      </c>
      <c r="F622" s="19">
        <v>-7.4325753424657531E-3</v>
      </c>
    </row>
    <row r="623" spans="1:6" x14ac:dyDescent="0.25">
      <c r="A623" s="18">
        <v>43294</v>
      </c>
      <c r="B623" s="19">
        <v>3.5400000000000001E-2</v>
      </c>
      <c r="C623" s="19">
        <v>1.2500000000000001E-2</v>
      </c>
      <c r="D623" s="19">
        <v>4.8390000000000002E-2</v>
      </c>
      <c r="E623" s="19">
        <v>1.2367424657534248E-2</v>
      </c>
      <c r="F623" s="19">
        <v>3.5267424657534248E-2</v>
      </c>
    </row>
    <row r="624" spans="1:6" x14ac:dyDescent="0.25">
      <c r="A624" s="18">
        <v>43293</v>
      </c>
      <c r="B624" s="19">
        <v>1.54E-2</v>
      </c>
      <c r="C624" s="19">
        <v>6.0000000000000001E-3</v>
      </c>
      <c r="D624" s="19">
        <v>4.8439999999999997E-2</v>
      </c>
      <c r="E624" s="19">
        <v>5.8672876712328771E-3</v>
      </c>
      <c r="F624" s="19">
        <v>1.5267287671232877E-2</v>
      </c>
    </row>
    <row r="625" spans="1:6" x14ac:dyDescent="0.25">
      <c r="A625" s="18">
        <v>43292</v>
      </c>
      <c r="B625" s="19">
        <v>-2.75E-2</v>
      </c>
      <c r="C625" s="19">
        <v>-1.9699999999999999E-2</v>
      </c>
      <c r="D625" s="19">
        <v>4.8439999999999997E-2</v>
      </c>
      <c r="E625" s="19">
        <v>-1.9832712328767124E-2</v>
      </c>
      <c r="F625" s="19">
        <v>-2.7632712328767125E-2</v>
      </c>
    </row>
    <row r="626" spans="1:6" x14ac:dyDescent="0.25">
      <c r="A626" s="18">
        <v>43291</v>
      </c>
      <c r="B626" s="19">
        <v>6.3E-3</v>
      </c>
      <c r="C626" s="19">
        <v>-4.4000000000000003E-3</v>
      </c>
      <c r="D626" s="19">
        <v>4.8439999999999997E-2</v>
      </c>
      <c r="E626" s="19">
        <v>-4.5327123287671233E-3</v>
      </c>
      <c r="F626" s="19">
        <v>6.167287671232877E-3</v>
      </c>
    </row>
    <row r="627" spans="1:6" x14ac:dyDescent="0.25">
      <c r="A627" s="18">
        <v>43290</v>
      </c>
      <c r="B627" s="19">
        <v>5.1000000000000004E-3</v>
      </c>
      <c r="C627" s="19">
        <v>-2.5999999999999999E-3</v>
      </c>
      <c r="D627" s="19">
        <v>4.845E-2</v>
      </c>
      <c r="E627" s="19">
        <v>-2.7327397260273971E-3</v>
      </c>
      <c r="F627" s="19">
        <v>4.9672602739726027E-3</v>
      </c>
    </row>
    <row r="628" spans="1:6" x14ac:dyDescent="0.25">
      <c r="A628" s="18">
        <v>43287</v>
      </c>
      <c r="B628" s="19">
        <v>6.8900000000000003E-2</v>
      </c>
      <c r="C628" s="19">
        <v>2.01E-2</v>
      </c>
      <c r="D628" s="19">
        <v>4.8500000000000001E-2</v>
      </c>
      <c r="E628" s="19">
        <v>1.9967123287671234E-2</v>
      </c>
      <c r="F628" s="19">
        <v>6.8767123287671234E-2</v>
      </c>
    </row>
    <row r="629" spans="1:6" x14ac:dyDescent="0.25">
      <c r="A629" s="18">
        <v>43286</v>
      </c>
      <c r="B629" s="19">
        <v>-6.9199999999999998E-2</v>
      </c>
      <c r="C629" s="19">
        <v>-1.7000000000000001E-2</v>
      </c>
      <c r="D629" s="19">
        <v>4.8500000000000001E-2</v>
      </c>
      <c r="E629" s="19">
        <v>-1.7132876712328767E-2</v>
      </c>
      <c r="F629" s="19">
        <v>-6.9332876712328767E-2</v>
      </c>
    </row>
    <row r="630" spans="1:6" x14ac:dyDescent="0.25">
      <c r="A630" s="18">
        <v>43285</v>
      </c>
      <c r="B630" s="19">
        <v>-4.2200000000000001E-2</v>
      </c>
      <c r="C630" s="19">
        <v>9.9000000000000008E-3</v>
      </c>
      <c r="D630" s="19">
        <v>4.82E-2</v>
      </c>
      <c r="E630" s="19">
        <v>9.767945205479453E-3</v>
      </c>
      <c r="F630" s="19">
        <v>-4.2332054794520547E-2</v>
      </c>
    </row>
    <row r="631" spans="1:6" x14ac:dyDescent="0.25">
      <c r="A631" s="18">
        <v>43284</v>
      </c>
      <c r="B631" s="19">
        <v>-6.1100000000000002E-2</v>
      </c>
      <c r="C631" s="19">
        <v>-4.3400000000000001E-2</v>
      </c>
      <c r="D631" s="19">
        <v>4.82E-2</v>
      </c>
      <c r="E631" s="19">
        <v>-4.3532054794520547E-2</v>
      </c>
      <c r="F631" s="19">
        <v>-6.1232054794520548E-2</v>
      </c>
    </row>
    <row r="632" spans="1:6" x14ac:dyDescent="0.25">
      <c r="A632" s="18">
        <v>43283</v>
      </c>
      <c r="B632" s="19">
        <v>-1.1000000000000001E-3</v>
      </c>
      <c r="C632" s="19">
        <v>-1.4200000000000001E-2</v>
      </c>
      <c r="D632" s="19">
        <v>4.7419999999999997E-2</v>
      </c>
      <c r="E632" s="19">
        <v>-1.4329917808219178E-2</v>
      </c>
      <c r="F632" s="19">
        <v>-1.2299178082191781E-3</v>
      </c>
    </row>
    <row r="633" spans="1:6" x14ac:dyDescent="0.25">
      <c r="A633" s="18">
        <v>43280</v>
      </c>
      <c r="B633" s="19">
        <v>1.37E-2</v>
      </c>
      <c r="C633" s="19">
        <v>3.5999999999999999E-3</v>
      </c>
      <c r="D633" s="19">
        <v>4.743E-2</v>
      </c>
      <c r="E633" s="19">
        <v>3.4700547945205476E-3</v>
      </c>
      <c r="F633" s="19">
        <v>1.3570054794520548E-2</v>
      </c>
    </row>
    <row r="634" spans="1:6" x14ac:dyDescent="0.25">
      <c r="A634" s="18">
        <v>43279</v>
      </c>
      <c r="B634" s="19">
        <v>-1.0200000000000001E-2</v>
      </c>
      <c r="C634" s="19">
        <v>-1.1900000000000001E-2</v>
      </c>
      <c r="D634" s="19">
        <v>4.734E-2</v>
      </c>
      <c r="E634" s="19">
        <v>-1.2029698630136988E-2</v>
      </c>
      <c r="F634" s="19">
        <v>-1.0329698630136988E-2</v>
      </c>
    </row>
    <row r="635" spans="1:6" x14ac:dyDescent="0.25">
      <c r="A635" s="18">
        <v>43278</v>
      </c>
      <c r="B635" s="19">
        <v>2.2000000000000001E-3</v>
      </c>
      <c r="C635" s="19">
        <v>-1.44E-2</v>
      </c>
      <c r="D635" s="19">
        <v>4.7559999999999998E-2</v>
      </c>
      <c r="E635" s="19">
        <v>-1.4530301369863014E-2</v>
      </c>
      <c r="F635" s="19">
        <v>2.0696986301369865E-3</v>
      </c>
    </row>
    <row r="636" spans="1:6" x14ac:dyDescent="0.25">
      <c r="A636" s="18">
        <v>43277</v>
      </c>
      <c r="B636" s="19">
        <v>-1.0999999999999999E-2</v>
      </c>
      <c r="C636" s="19">
        <v>-7.6E-3</v>
      </c>
      <c r="D636" s="19">
        <v>4.7559999999999998E-2</v>
      </c>
      <c r="E636" s="19">
        <v>-7.7303013698630137E-3</v>
      </c>
      <c r="F636" s="19">
        <v>-1.1130301369863014E-2</v>
      </c>
    </row>
    <row r="637" spans="1:6" x14ac:dyDescent="0.25">
      <c r="A637" s="18">
        <v>43276</v>
      </c>
      <c r="B637" s="19">
        <v>3.3E-3</v>
      </c>
      <c r="C637" s="19">
        <v>7.4999999999999997E-3</v>
      </c>
      <c r="D637" s="19">
        <v>4.7410000000000001E-2</v>
      </c>
      <c r="E637" s="19">
        <v>7.370109589041096E-3</v>
      </c>
      <c r="F637" s="19">
        <v>3.1701095890410958E-3</v>
      </c>
    </row>
    <row r="638" spans="1:6" x14ac:dyDescent="0.25">
      <c r="A638" s="18">
        <v>43273</v>
      </c>
      <c r="B638" s="19">
        <v>1.7999999999999999E-2</v>
      </c>
      <c r="C638" s="19">
        <v>1.4200000000000001E-2</v>
      </c>
      <c r="D638" s="19">
        <v>4.7289999999999999E-2</v>
      </c>
      <c r="E638" s="19">
        <v>1.4070438356164384E-2</v>
      </c>
      <c r="F638" s="19">
        <v>1.7870438356164382E-2</v>
      </c>
    </row>
    <row r="639" spans="1:6" x14ac:dyDescent="0.25">
      <c r="A639" s="18">
        <v>43272</v>
      </c>
      <c r="B639" s="19">
        <v>-3.15E-2</v>
      </c>
      <c r="C639" s="19">
        <v>-1.18E-2</v>
      </c>
      <c r="D639" s="19">
        <v>4.7350000000000003E-2</v>
      </c>
      <c r="E639" s="19">
        <v>-1.192972602739726E-2</v>
      </c>
      <c r="F639" s="19">
        <v>-3.1629726027397262E-2</v>
      </c>
    </row>
    <row r="640" spans="1:6" x14ac:dyDescent="0.25">
      <c r="A640" s="18">
        <v>43271</v>
      </c>
      <c r="B640" s="19">
        <v>5.7500000000000002E-2</v>
      </c>
      <c r="C640" s="19">
        <v>1.95E-2</v>
      </c>
      <c r="D640" s="19">
        <v>4.7489999999999997E-2</v>
      </c>
      <c r="E640" s="19">
        <v>1.9369890410958903E-2</v>
      </c>
      <c r="F640" s="19">
        <v>5.7369890410958906E-2</v>
      </c>
    </row>
    <row r="641" spans="1:6" x14ac:dyDescent="0.25">
      <c r="A641" s="18">
        <v>43270</v>
      </c>
      <c r="B641" s="19">
        <v>-3.3300000000000003E-2</v>
      </c>
      <c r="C641" s="19">
        <v>-2.5499999999999998E-2</v>
      </c>
      <c r="D641" s="19">
        <v>4.7399999999999998E-2</v>
      </c>
      <c r="E641" s="19">
        <v>-2.5629863013698628E-2</v>
      </c>
      <c r="F641" s="19">
        <v>-3.3429863013698637E-2</v>
      </c>
    </row>
    <row r="642" spans="1:6" x14ac:dyDescent="0.25">
      <c r="A642" s="18">
        <v>43269</v>
      </c>
      <c r="B642" s="19">
        <v>-8.2299999999999998E-2</v>
      </c>
      <c r="C642" s="19">
        <v>-2.87E-2</v>
      </c>
      <c r="D642" s="19">
        <v>4.727E-2</v>
      </c>
      <c r="E642" s="19">
        <v>-2.8829506849315067E-2</v>
      </c>
      <c r="F642" s="19">
        <v>-8.2429506849315062E-2</v>
      </c>
    </row>
    <row r="643" spans="1:6" x14ac:dyDescent="0.25">
      <c r="A643" s="18">
        <v>43266</v>
      </c>
      <c r="B643" s="19">
        <v>2.0199999999999999E-2</v>
      </c>
      <c r="C643" s="19">
        <v>8.0000000000000004E-4</v>
      </c>
      <c r="D643" s="19">
        <v>4.7390000000000002E-2</v>
      </c>
      <c r="E643" s="19">
        <v>6.7016438356164382E-4</v>
      </c>
      <c r="F643" s="19">
        <v>2.0070164383561642E-2</v>
      </c>
    </row>
    <row r="644" spans="1:6" x14ac:dyDescent="0.25">
      <c r="A644" s="18">
        <v>43265</v>
      </c>
      <c r="B644" s="19">
        <v>-2.69E-2</v>
      </c>
      <c r="C644" s="19">
        <v>-1.44E-2</v>
      </c>
      <c r="D644" s="19">
        <v>4.7100000000000003E-2</v>
      </c>
      <c r="E644" s="19">
        <v>-1.4529041095890411E-2</v>
      </c>
      <c r="F644" s="19">
        <v>-2.702904109589041E-2</v>
      </c>
    </row>
    <row r="645" spans="1:6" x14ac:dyDescent="0.25">
      <c r="A645" s="18">
        <v>43264</v>
      </c>
      <c r="B645" s="19">
        <v>4.7699999999999999E-2</v>
      </c>
      <c r="C645" s="19">
        <v>9.5999999999999992E-3</v>
      </c>
      <c r="D645" s="19">
        <v>4.7309999999999998E-2</v>
      </c>
      <c r="E645" s="19">
        <v>9.4703835616438345E-3</v>
      </c>
      <c r="F645" s="19">
        <v>4.7570383561643836E-2</v>
      </c>
    </row>
    <row r="646" spans="1:6" x14ac:dyDescent="0.25">
      <c r="A646" s="18">
        <v>43263</v>
      </c>
      <c r="B646" s="19">
        <v>-5.1400000000000001E-2</v>
      </c>
      <c r="C646" s="19">
        <v>-1.7600000000000001E-2</v>
      </c>
      <c r="D646" s="19">
        <v>4.6870000000000002E-2</v>
      </c>
      <c r="E646" s="19">
        <v>-1.7728410958904112E-2</v>
      </c>
      <c r="F646" s="19">
        <v>-5.1528410958904113E-2</v>
      </c>
    </row>
    <row r="647" spans="1:6" x14ac:dyDescent="0.25">
      <c r="A647" s="18">
        <v>43262</v>
      </c>
      <c r="B647" s="19">
        <v>-3.0999999999999999E-3</v>
      </c>
      <c r="C647" s="19">
        <v>0</v>
      </c>
      <c r="D647" s="19">
        <v>4.6870000000000002E-2</v>
      </c>
      <c r="E647" s="19">
        <v>-1.284109589041096E-4</v>
      </c>
      <c r="F647" s="19">
        <v>-3.2284109589041095E-3</v>
      </c>
    </row>
    <row r="648" spans="1:6" x14ac:dyDescent="0.25">
      <c r="A648" s="18">
        <v>43259</v>
      </c>
      <c r="B648" s="19">
        <v>-2.1100000000000001E-2</v>
      </c>
      <c r="C648" s="19">
        <v>2.2000000000000001E-3</v>
      </c>
      <c r="D648" s="19">
        <v>4.6859999999999999E-2</v>
      </c>
      <c r="E648" s="19">
        <v>2.0716164383561644E-3</v>
      </c>
      <c r="F648" s="19">
        <v>-2.1228383561643836E-2</v>
      </c>
    </row>
    <row r="649" spans="1:6" x14ac:dyDescent="0.25">
      <c r="A649" s="18">
        <v>43258</v>
      </c>
      <c r="B649" s="19">
        <v>-3.2099999999999997E-2</v>
      </c>
      <c r="C649" s="19">
        <v>2.0999999999999999E-3</v>
      </c>
      <c r="D649" s="19">
        <v>4.6879999999999998E-2</v>
      </c>
      <c r="E649" s="19">
        <v>1.9715616438356165E-3</v>
      </c>
      <c r="F649" s="19">
        <v>-3.2228438356164381E-2</v>
      </c>
    </row>
    <row r="650" spans="1:6" x14ac:dyDescent="0.25">
      <c r="A650" s="18">
        <v>43257</v>
      </c>
      <c r="B650" s="19">
        <v>4.2599999999999999E-2</v>
      </c>
      <c r="C650" s="19">
        <v>1.15E-2</v>
      </c>
      <c r="D650" s="19">
        <v>4.6850000000000003E-2</v>
      </c>
      <c r="E650" s="19">
        <v>1.1371643835616438E-2</v>
      </c>
      <c r="F650" s="19">
        <v>4.2471643835616441E-2</v>
      </c>
    </row>
    <row r="651" spans="1:6" x14ac:dyDescent="0.25">
      <c r="A651" s="18">
        <v>43256</v>
      </c>
      <c r="B651" s="19">
        <v>6.93E-2</v>
      </c>
      <c r="C651" s="19">
        <v>8.8000000000000005E-3</v>
      </c>
      <c r="D651" s="19">
        <v>4.6699999999999998E-2</v>
      </c>
      <c r="E651" s="19">
        <v>8.6720547945205485E-3</v>
      </c>
      <c r="F651" s="19">
        <v>6.9172054794520543E-2</v>
      </c>
    </row>
    <row r="652" spans="1:6" x14ac:dyDescent="0.25">
      <c r="A652" s="18">
        <v>43255</v>
      </c>
      <c r="B652" s="19">
        <v>-2.2000000000000001E-3</v>
      </c>
      <c r="C652" s="19">
        <v>2.1100000000000001E-2</v>
      </c>
      <c r="D652" s="19">
        <v>4.6620000000000002E-2</v>
      </c>
      <c r="E652" s="19">
        <v>2.0972273972602741E-2</v>
      </c>
      <c r="F652" s="19">
        <v>-2.3277260273972603E-3</v>
      </c>
    </row>
    <row r="653" spans="1:6" x14ac:dyDescent="0.25">
      <c r="A653" s="18">
        <v>43252</v>
      </c>
      <c r="B653" s="19">
        <v>2.3199999999999998E-2</v>
      </c>
      <c r="C653" s="19">
        <v>2.23E-2</v>
      </c>
      <c r="D653" s="19">
        <v>4.6640000000000001E-2</v>
      </c>
      <c r="E653" s="19">
        <v>2.2172219178082191E-2</v>
      </c>
      <c r="F653" s="19">
        <v>2.3072219178082189E-2</v>
      </c>
    </row>
    <row r="654" spans="1:6" x14ac:dyDescent="0.25">
      <c r="A654" s="18">
        <v>43251</v>
      </c>
      <c r="B654" s="19">
        <v>1.23E-2</v>
      </c>
      <c r="C654" s="19">
        <v>2.4E-2</v>
      </c>
      <c r="D654" s="19">
        <v>4.6580000000000003E-2</v>
      </c>
      <c r="E654" s="19">
        <v>2.3872383561643836E-2</v>
      </c>
      <c r="F654" s="19">
        <v>1.2172383561643836E-2</v>
      </c>
    </row>
    <row r="655" spans="1:6" x14ac:dyDescent="0.25">
      <c r="A655" s="18">
        <v>43250</v>
      </c>
      <c r="B655" s="19">
        <v>-6.9800000000000001E-2</v>
      </c>
      <c r="C655" s="19">
        <v>-3.8999999999999998E-3</v>
      </c>
      <c r="D655" s="19">
        <v>4.6109999999999998E-2</v>
      </c>
      <c r="E655" s="19">
        <v>-4.0263287671232877E-3</v>
      </c>
      <c r="F655" s="19">
        <v>-6.9926328767123291E-2</v>
      </c>
    </row>
    <row r="656" spans="1:6" x14ac:dyDescent="0.25">
      <c r="A656" s="18">
        <v>43249</v>
      </c>
      <c r="B656" s="19">
        <v>-2.0400000000000001E-2</v>
      </c>
      <c r="C656" s="19">
        <v>2.1899999999999999E-2</v>
      </c>
      <c r="D656" s="19">
        <v>4.6170000000000003E-2</v>
      </c>
      <c r="E656" s="19">
        <v>2.1773506849315068E-2</v>
      </c>
      <c r="F656" s="19">
        <v>-2.0526493150684933E-2</v>
      </c>
    </row>
    <row r="657" spans="1:6" x14ac:dyDescent="0.25">
      <c r="A657" s="18">
        <v>43248</v>
      </c>
      <c r="B657" s="19">
        <v>-6.93E-2</v>
      </c>
      <c r="C657" s="19">
        <v>-3.3399999999999999E-2</v>
      </c>
      <c r="D657" s="19">
        <v>4.5670000000000002E-2</v>
      </c>
      <c r="E657" s="19">
        <v>-3.3525123287671231E-2</v>
      </c>
      <c r="F657" s="19">
        <v>-6.9425123287671239E-2</v>
      </c>
    </row>
    <row r="658" spans="1:6" x14ac:dyDescent="0.25">
      <c r="A658" s="18">
        <v>43245</v>
      </c>
      <c r="B658" s="19">
        <v>-6.9800000000000001E-2</v>
      </c>
      <c r="C658" s="19">
        <v>-2.23E-2</v>
      </c>
      <c r="D658" s="19">
        <v>4.5909999999999999E-2</v>
      </c>
      <c r="E658" s="19">
        <v>-2.2425780821917807E-2</v>
      </c>
      <c r="F658" s="19">
        <v>-6.9925780821917805E-2</v>
      </c>
    </row>
    <row r="659" spans="1:6" x14ac:dyDescent="0.25">
      <c r="A659" s="18">
        <v>43244</v>
      </c>
      <c r="B659" s="19">
        <v>-8.9999999999999998E-4</v>
      </c>
      <c r="C659" s="19">
        <v>-3.0999999999999999E-3</v>
      </c>
      <c r="D659" s="19">
        <v>4.5650000000000003E-2</v>
      </c>
      <c r="E659" s="19">
        <v>-3.225068493150685E-3</v>
      </c>
      <c r="F659" s="19">
        <v>-1.0250684931506849E-3</v>
      </c>
    </row>
    <row r="660" spans="1:6" x14ac:dyDescent="0.25">
      <c r="A660" s="18">
        <v>43243</v>
      </c>
      <c r="B660" s="19">
        <v>6.9900000000000004E-2</v>
      </c>
      <c r="C660" s="19">
        <v>3.0999999999999999E-3</v>
      </c>
      <c r="D660" s="19">
        <v>4.564E-2</v>
      </c>
      <c r="E660" s="19">
        <v>2.974958904109589E-3</v>
      </c>
      <c r="F660" s="19">
        <v>6.9774958904109591E-2</v>
      </c>
    </row>
    <row r="661" spans="1:6" x14ac:dyDescent="0.25">
      <c r="A661" s="18">
        <v>43242</v>
      </c>
      <c r="B661" s="19">
        <v>-2.4E-2</v>
      </c>
      <c r="C661" s="19">
        <v>-2.86E-2</v>
      </c>
      <c r="D661" s="19">
        <v>4.5600000000000002E-2</v>
      </c>
      <c r="E661" s="19">
        <v>-2.8724931506849315E-2</v>
      </c>
      <c r="F661" s="19">
        <v>-2.4124931506849315E-2</v>
      </c>
    </row>
    <row r="662" spans="1:6" x14ac:dyDescent="0.25">
      <c r="A662" s="18">
        <v>43241</v>
      </c>
      <c r="B662" s="19">
        <v>-5.6500000000000002E-2</v>
      </c>
      <c r="C662" s="19">
        <v>-2.46E-2</v>
      </c>
      <c r="D662" s="19">
        <v>4.5620000000000001E-2</v>
      </c>
      <c r="E662" s="19">
        <v>-2.4724986301369864E-2</v>
      </c>
      <c r="F662" s="19">
        <v>-5.6624986301369862E-2</v>
      </c>
    </row>
    <row r="663" spans="1:6" x14ac:dyDescent="0.25">
      <c r="A663" s="18">
        <v>43238</v>
      </c>
      <c r="B663" s="19">
        <v>-8.6E-3</v>
      </c>
      <c r="C663" s="19">
        <v>9.5999999999999992E-3</v>
      </c>
      <c r="D663" s="19">
        <v>4.539E-2</v>
      </c>
      <c r="E663" s="19">
        <v>9.4756438356164378E-3</v>
      </c>
      <c r="F663" s="19">
        <v>-8.7243561643835614E-3</v>
      </c>
    </row>
    <row r="664" spans="1:6" x14ac:dyDescent="0.25">
      <c r="A664" s="18">
        <v>43237</v>
      </c>
      <c r="B664" s="19">
        <v>-3.09E-2</v>
      </c>
      <c r="C664" s="19">
        <v>-2.2700000000000001E-2</v>
      </c>
      <c r="D664" s="19">
        <v>4.5690000000000001E-2</v>
      </c>
      <c r="E664" s="19">
        <v>-2.2825178082191783E-2</v>
      </c>
      <c r="F664" s="19">
        <v>-3.1025178082191782E-2</v>
      </c>
    </row>
    <row r="665" spans="1:6" x14ac:dyDescent="0.25">
      <c r="A665" s="18">
        <v>43236</v>
      </c>
      <c r="B665" s="19">
        <v>9.2999999999999992E-3</v>
      </c>
      <c r="C665" s="19">
        <v>-1.7600000000000001E-2</v>
      </c>
      <c r="D665" s="19">
        <v>4.548E-2</v>
      </c>
      <c r="E665" s="19">
        <v>-1.7724602739726029E-2</v>
      </c>
      <c r="F665" s="19">
        <v>9.1753972602739726E-3</v>
      </c>
    </row>
    <row r="666" spans="1:6" x14ac:dyDescent="0.25">
      <c r="A666" s="18">
        <v>43235</v>
      </c>
      <c r="B666" s="19">
        <v>5.1000000000000004E-3</v>
      </c>
      <c r="C666" s="19">
        <v>6.1000000000000004E-3</v>
      </c>
      <c r="D666" s="19">
        <v>4.5440000000000001E-2</v>
      </c>
      <c r="E666" s="19">
        <v>5.975506849315069E-3</v>
      </c>
      <c r="F666" s="19">
        <v>4.975506849315069E-3</v>
      </c>
    </row>
    <row r="667" spans="1:6" x14ac:dyDescent="0.25">
      <c r="A667" s="18">
        <v>43234</v>
      </c>
      <c r="B667" s="19">
        <v>6.2100000000000002E-2</v>
      </c>
      <c r="C667" s="19">
        <v>2.12E-2</v>
      </c>
      <c r="D667" s="19">
        <v>4.5560000000000003E-2</v>
      </c>
      <c r="E667" s="19">
        <v>2.1075178082191781E-2</v>
      </c>
      <c r="F667" s="19">
        <v>6.197517808219178E-2</v>
      </c>
    </row>
    <row r="668" spans="1:6" x14ac:dyDescent="0.25">
      <c r="A668" s="18">
        <v>43231</v>
      </c>
      <c r="B668" s="19">
        <v>5.8099999999999999E-2</v>
      </c>
      <c r="C668" s="19">
        <v>1.55E-2</v>
      </c>
      <c r="D668" s="19">
        <v>4.5519999999999998E-2</v>
      </c>
      <c r="E668" s="19">
        <v>1.5375287671232876E-2</v>
      </c>
      <c r="F668" s="19">
        <v>5.7975287671232875E-2</v>
      </c>
    </row>
    <row r="669" spans="1:6" x14ac:dyDescent="0.25">
      <c r="A669" s="18">
        <v>43230</v>
      </c>
      <c r="B669" s="19">
        <v>-2.3300000000000001E-2</v>
      </c>
      <c r="C669" s="19">
        <v>-2.6599999999999999E-2</v>
      </c>
      <c r="D669" s="19">
        <v>4.5539999999999997E-2</v>
      </c>
      <c r="E669" s="19">
        <v>-2.6724767123287668E-2</v>
      </c>
      <c r="F669" s="19">
        <v>-2.3424767123287671E-2</v>
      </c>
    </row>
    <row r="670" spans="1:6" x14ac:dyDescent="0.25">
      <c r="A670" s="18">
        <v>43229</v>
      </c>
      <c r="B670" s="19">
        <v>4.3700000000000003E-2</v>
      </c>
      <c r="C670" s="19">
        <v>-3.3E-3</v>
      </c>
      <c r="D670" s="19">
        <v>4.5589999999999999E-2</v>
      </c>
      <c r="E670" s="19">
        <v>-3.4249041095890413E-3</v>
      </c>
      <c r="F670" s="19">
        <v>4.3575095890410961E-2</v>
      </c>
    </row>
    <row r="671" spans="1:6" x14ac:dyDescent="0.25">
      <c r="A671" s="18">
        <v>43228</v>
      </c>
      <c r="B671" s="19">
        <v>-4.7999999999999996E-3</v>
      </c>
      <c r="C671" s="19">
        <v>-1.6999999999999999E-3</v>
      </c>
      <c r="D671" s="19">
        <v>4.5510000000000002E-2</v>
      </c>
      <c r="E671" s="19">
        <v>-1.8246849315068491E-3</v>
      </c>
      <c r="F671" s="19">
        <v>-4.9246849315068486E-3</v>
      </c>
    </row>
    <row r="672" spans="1:6" x14ac:dyDescent="0.25">
      <c r="A672" s="18">
        <v>43227</v>
      </c>
      <c r="B672" s="19">
        <v>5.6099999999999997E-2</v>
      </c>
      <c r="C672" s="19">
        <v>3.4500000000000003E-2</v>
      </c>
      <c r="D672" s="19">
        <v>4.5490000000000003E-2</v>
      </c>
      <c r="E672" s="19">
        <v>3.4375369863013698E-2</v>
      </c>
      <c r="F672" s="19">
        <v>5.5975369863013692E-2</v>
      </c>
    </row>
    <row r="673" spans="1:6" x14ac:dyDescent="0.25">
      <c r="A673" s="18">
        <v>43224</v>
      </c>
      <c r="B673" s="19">
        <v>1.55E-2</v>
      </c>
      <c r="C673" s="19">
        <v>2.9999999999999997E-4</v>
      </c>
      <c r="D673" s="19">
        <v>4.5789999999999997E-2</v>
      </c>
      <c r="E673" s="19">
        <v>1.7454794520547945E-4</v>
      </c>
      <c r="F673" s="19">
        <v>1.5374547945205479E-2</v>
      </c>
    </row>
    <row r="674" spans="1:6" x14ac:dyDescent="0.25">
      <c r="A674" s="18">
        <v>43223</v>
      </c>
      <c r="B674" s="19">
        <v>-6.9400000000000003E-2</v>
      </c>
      <c r="C674" s="19">
        <v>-2.5000000000000001E-3</v>
      </c>
      <c r="D674" s="19">
        <v>4.6390000000000001E-2</v>
      </c>
      <c r="E674" s="19">
        <v>-2.6270958904109588E-3</v>
      </c>
      <c r="F674" s="19">
        <v>-6.9527095890410964E-2</v>
      </c>
    </row>
    <row r="675" spans="1:6" x14ac:dyDescent="0.25">
      <c r="A675" s="18">
        <v>43222</v>
      </c>
      <c r="B675" s="19">
        <v>-7.0000000000000007E-2</v>
      </c>
      <c r="C675" s="19">
        <v>-2.0199999999999999E-2</v>
      </c>
      <c r="D675" s="19">
        <v>4.6620000000000002E-2</v>
      </c>
      <c r="E675" s="19">
        <v>-2.0327726027397259E-2</v>
      </c>
      <c r="F675" s="19">
        <v>-7.0127726027397266E-2</v>
      </c>
    </row>
    <row r="676" spans="1:6" x14ac:dyDescent="0.25">
      <c r="A676" s="18">
        <v>43217</v>
      </c>
      <c r="B676" s="19">
        <v>-6.93E-2</v>
      </c>
      <c r="C676" s="19">
        <v>5.1999999999999998E-3</v>
      </c>
      <c r="D676" s="19">
        <v>4.6820000000000001E-2</v>
      </c>
      <c r="E676" s="19">
        <v>5.0717260273972602E-3</v>
      </c>
      <c r="F676" s="19">
        <v>-6.9428273972602747E-2</v>
      </c>
    </row>
    <row r="677" spans="1:6" x14ac:dyDescent="0.25">
      <c r="A677" s="18">
        <v>43216</v>
      </c>
      <c r="B677" s="19">
        <v>-6.9900000000000004E-2</v>
      </c>
      <c r="C677" s="19">
        <v>-3.32E-2</v>
      </c>
      <c r="D677" s="19">
        <v>4.403E-2</v>
      </c>
      <c r="E677" s="19">
        <v>-3.3320630136986301E-2</v>
      </c>
      <c r="F677" s="19">
        <v>-7.0020630136986312E-2</v>
      </c>
    </row>
    <row r="678" spans="1:6" x14ac:dyDescent="0.25">
      <c r="A678" s="18">
        <v>43214</v>
      </c>
      <c r="B678" s="19">
        <v>3.2899999999999999E-2</v>
      </c>
      <c r="C678" s="19">
        <v>3.7000000000000002E-3</v>
      </c>
      <c r="D678" s="19">
        <v>4.4040000000000003E-2</v>
      </c>
      <c r="E678" s="19">
        <v>3.5793424657534247E-3</v>
      </c>
      <c r="F678" s="19">
        <v>3.2779342465753425E-2</v>
      </c>
    </row>
    <row r="679" spans="1:6" x14ac:dyDescent="0.25">
      <c r="A679" s="18">
        <v>43213</v>
      </c>
      <c r="B679" s="19">
        <v>-6.9400000000000003E-2</v>
      </c>
      <c r="C679" s="19">
        <v>-3.85E-2</v>
      </c>
      <c r="D679" s="19">
        <v>4.3900000000000002E-2</v>
      </c>
      <c r="E679" s="19">
        <v>-3.8620273972602738E-2</v>
      </c>
      <c r="F679" s="19">
        <v>-6.9520273972602742E-2</v>
      </c>
    </row>
    <row r="680" spans="1:6" x14ac:dyDescent="0.25">
      <c r="A680" s="18">
        <v>43210</v>
      </c>
      <c r="B680" s="19">
        <v>3.6299999999999999E-2</v>
      </c>
      <c r="C680" s="19">
        <v>2.3E-2</v>
      </c>
      <c r="D680" s="19">
        <v>4.3920000000000001E-2</v>
      </c>
      <c r="E680" s="19">
        <v>2.2879671232876712E-2</v>
      </c>
      <c r="F680" s="19">
        <v>3.6179671232876714E-2</v>
      </c>
    </row>
    <row r="681" spans="1:6" x14ac:dyDescent="0.25">
      <c r="A681" s="18">
        <v>43209</v>
      </c>
      <c r="B681" s="19">
        <v>0</v>
      </c>
      <c r="C681" s="19">
        <v>-3.8600000000000002E-2</v>
      </c>
      <c r="D681" s="19">
        <v>4.3779999999999999E-2</v>
      </c>
      <c r="E681" s="19">
        <v>-3.8719945205479452E-2</v>
      </c>
      <c r="F681" s="19">
        <v>-1.1994520547945205E-4</v>
      </c>
    </row>
    <row r="682" spans="1:6" x14ac:dyDescent="0.25">
      <c r="A682" s="18">
        <v>43208</v>
      </c>
      <c r="B682" s="19">
        <v>1.0200000000000001E-2</v>
      </c>
      <c r="C682" s="19">
        <v>-1.2800000000000001E-2</v>
      </c>
      <c r="D682" s="19">
        <v>4.3740000000000001E-2</v>
      </c>
      <c r="E682" s="19">
        <v>-1.2919835616438356E-2</v>
      </c>
      <c r="F682" s="19">
        <v>1.0080164383561645E-2</v>
      </c>
    </row>
    <row r="683" spans="1:6" x14ac:dyDescent="0.25">
      <c r="A683" s="18">
        <v>43207</v>
      </c>
      <c r="B683" s="19">
        <v>5.4999999999999997E-3</v>
      </c>
      <c r="C683" s="19">
        <v>4.1999999999999997E-3</v>
      </c>
      <c r="D683" s="19">
        <v>4.3729999999999998E-2</v>
      </c>
      <c r="E683" s="19">
        <v>4.0801917808219179E-3</v>
      </c>
      <c r="F683" s="19">
        <v>5.3801917808219179E-3</v>
      </c>
    </row>
    <row r="684" spans="1:6" x14ac:dyDescent="0.25">
      <c r="A684" s="18">
        <v>43206</v>
      </c>
      <c r="B684" s="19">
        <v>-5.4999999999999997E-3</v>
      </c>
      <c r="C684" s="19">
        <v>-7.4999999999999997E-3</v>
      </c>
      <c r="D684" s="19">
        <v>4.3729999999999998E-2</v>
      </c>
      <c r="E684" s="19">
        <v>-7.6198082191780816E-3</v>
      </c>
      <c r="F684" s="19">
        <v>-5.6198082191780815E-3</v>
      </c>
    </row>
    <row r="685" spans="1:6" x14ac:dyDescent="0.25">
      <c r="A685" s="18">
        <v>43203</v>
      </c>
      <c r="B685" s="19">
        <v>-1.9199999999999998E-2</v>
      </c>
      <c r="C685" s="19">
        <v>-1.35E-2</v>
      </c>
      <c r="D685" s="19">
        <v>4.3589999999999997E-2</v>
      </c>
      <c r="E685" s="19">
        <v>-1.3619424657534246E-2</v>
      </c>
      <c r="F685" s="19">
        <v>-1.9319424657534244E-2</v>
      </c>
    </row>
    <row r="686" spans="1:6" x14ac:dyDescent="0.25">
      <c r="A686" s="18">
        <v>43202</v>
      </c>
      <c r="B686" s="19">
        <v>3.1600000000000003E-2</v>
      </c>
      <c r="C686" s="19">
        <v>5.1000000000000004E-3</v>
      </c>
      <c r="D686" s="19">
        <v>4.3700000000000003E-2</v>
      </c>
      <c r="E686" s="19">
        <v>4.98027397260274E-3</v>
      </c>
      <c r="F686" s="19">
        <v>3.1480273972602744E-2</v>
      </c>
    </row>
    <row r="687" spans="1:6" x14ac:dyDescent="0.25">
      <c r="A687" s="18">
        <v>43201</v>
      </c>
      <c r="B687" s="19">
        <v>-2.3199999999999998E-2</v>
      </c>
      <c r="C687" s="19">
        <v>-2.5899999999999999E-2</v>
      </c>
      <c r="D687" s="19">
        <v>4.333E-2</v>
      </c>
      <c r="E687" s="19">
        <v>-2.6018712328767124E-2</v>
      </c>
      <c r="F687" s="19">
        <v>-2.3318712328767123E-2</v>
      </c>
    </row>
    <row r="688" spans="1:6" x14ac:dyDescent="0.25">
      <c r="A688" s="18">
        <v>43200</v>
      </c>
      <c r="B688" s="19">
        <v>-2.3E-3</v>
      </c>
      <c r="C688" s="19">
        <v>-5.1999999999999998E-3</v>
      </c>
      <c r="D688" s="19">
        <v>4.3099999999999999E-2</v>
      </c>
      <c r="E688" s="19">
        <v>-5.3180821917808213E-3</v>
      </c>
      <c r="F688" s="19">
        <v>-2.4180821917808219E-3</v>
      </c>
    </row>
    <row r="689" spans="1:6" x14ac:dyDescent="0.25">
      <c r="A689" s="18">
        <v>43199</v>
      </c>
      <c r="B689" s="19">
        <v>0</v>
      </c>
      <c r="C689" s="19">
        <v>3.5999999999999999E-3</v>
      </c>
      <c r="D689" s="19">
        <v>4.2849999999999999E-2</v>
      </c>
      <c r="E689" s="19">
        <v>3.4826027397260274E-3</v>
      </c>
      <c r="F689" s="19">
        <v>-1.173972602739726E-4</v>
      </c>
    </row>
    <row r="690" spans="1:6" x14ac:dyDescent="0.25">
      <c r="A690" s="18">
        <v>43196</v>
      </c>
      <c r="B690" s="19">
        <v>-8.0000000000000004E-4</v>
      </c>
      <c r="C690" s="19">
        <v>5.7000000000000002E-3</v>
      </c>
      <c r="D690" s="19">
        <v>4.2849999999999999E-2</v>
      </c>
      <c r="E690" s="19">
        <v>5.5826027397260277E-3</v>
      </c>
      <c r="F690" s="19">
        <v>-9.1739726027397265E-4</v>
      </c>
    </row>
    <row r="691" spans="1:6" x14ac:dyDescent="0.25">
      <c r="A691" s="18">
        <v>43195</v>
      </c>
      <c r="B691" s="19">
        <v>-8.0000000000000004E-4</v>
      </c>
      <c r="C691" s="19">
        <v>1.4E-3</v>
      </c>
      <c r="D691" s="19">
        <v>4.2250000000000003E-2</v>
      </c>
      <c r="E691" s="19">
        <v>1.2842465753424657E-3</v>
      </c>
      <c r="F691" s="19">
        <v>-9.1575342465753423E-4</v>
      </c>
    </row>
    <row r="692" spans="1:6" x14ac:dyDescent="0.25">
      <c r="A692" s="18">
        <v>43194</v>
      </c>
      <c r="B692" s="19">
        <v>-2.2599999999999999E-2</v>
      </c>
      <c r="C692" s="19">
        <v>2.7000000000000001E-3</v>
      </c>
      <c r="D692" s="19">
        <v>4.2079999999999999E-2</v>
      </c>
      <c r="E692" s="19">
        <v>2.5847123287671236E-3</v>
      </c>
      <c r="F692" s="19">
        <v>-2.2715287671232876E-2</v>
      </c>
    </row>
    <row r="693" spans="1:6" x14ac:dyDescent="0.25">
      <c r="A693" s="18">
        <v>43193</v>
      </c>
      <c r="B693" s="19">
        <v>-2.2800000000000001E-2</v>
      </c>
      <c r="C693" s="19">
        <v>-7.0000000000000001E-3</v>
      </c>
      <c r="D693" s="19">
        <v>4.1770000000000002E-2</v>
      </c>
      <c r="E693" s="19">
        <v>-7.1144383561643834E-3</v>
      </c>
      <c r="F693" s="19">
        <v>-2.2914438356164385E-2</v>
      </c>
    </row>
    <row r="694" spans="1:6" x14ac:dyDescent="0.25">
      <c r="A694" s="18">
        <v>43192</v>
      </c>
      <c r="B694" s="19">
        <v>3.5799999999999998E-2</v>
      </c>
      <c r="C694" s="19">
        <v>1.89E-2</v>
      </c>
      <c r="D694" s="19">
        <v>4.19E-2</v>
      </c>
      <c r="E694" s="19">
        <v>1.8785205479452054E-2</v>
      </c>
      <c r="F694" s="19">
        <v>3.5685205479452052E-2</v>
      </c>
    </row>
    <row r="695" spans="1:6" x14ac:dyDescent="0.25">
      <c r="A695" s="18">
        <v>43189</v>
      </c>
      <c r="B695" s="19">
        <v>3.8699999999999998E-2</v>
      </c>
      <c r="C695" s="19">
        <v>6.4000000000000003E-3</v>
      </c>
      <c r="D695" s="19">
        <v>4.1959999999999997E-2</v>
      </c>
      <c r="E695" s="19">
        <v>6.285041095890411E-3</v>
      </c>
      <c r="F695" s="19">
        <v>3.8585041095890407E-2</v>
      </c>
    </row>
    <row r="696" spans="1:6" x14ac:dyDescent="0.25">
      <c r="A696" s="18">
        <v>43188</v>
      </c>
      <c r="B696" s="19">
        <v>-3.8999999999999998E-3</v>
      </c>
      <c r="C696" s="19">
        <v>-4.4000000000000003E-3</v>
      </c>
      <c r="D696" s="19">
        <v>4.2160000000000003E-2</v>
      </c>
      <c r="E696" s="19">
        <v>-4.5155068493150687E-3</v>
      </c>
      <c r="F696" s="19">
        <v>-4.0155068493150682E-3</v>
      </c>
    </row>
    <row r="697" spans="1:6" x14ac:dyDescent="0.25">
      <c r="A697" s="18">
        <v>43187</v>
      </c>
      <c r="B697" s="19">
        <v>1.6000000000000001E-3</v>
      </c>
      <c r="C697" s="19">
        <v>4.0000000000000002E-4</v>
      </c>
      <c r="D697" s="19">
        <v>4.165E-2</v>
      </c>
      <c r="E697" s="19">
        <v>2.8589041095890413E-4</v>
      </c>
      <c r="F697" s="19">
        <v>1.4858904109589042E-3</v>
      </c>
    </row>
    <row r="698" spans="1:6" x14ac:dyDescent="0.25">
      <c r="A698" s="18">
        <v>43186</v>
      </c>
      <c r="B698" s="19">
        <v>-2.1600000000000001E-2</v>
      </c>
      <c r="C698" s="19">
        <v>4.0000000000000002E-4</v>
      </c>
      <c r="D698" s="19">
        <v>4.1509999999999998E-2</v>
      </c>
      <c r="E698" s="19">
        <v>2.8627397260273975E-4</v>
      </c>
      <c r="F698" s="19">
        <v>-2.1713726027397261E-2</v>
      </c>
    </row>
    <row r="699" spans="1:6" x14ac:dyDescent="0.25">
      <c r="A699" s="18">
        <v>43185</v>
      </c>
      <c r="B699" s="19">
        <v>-9.9000000000000008E-3</v>
      </c>
      <c r="C699" s="19">
        <v>1.5299999999999999E-2</v>
      </c>
      <c r="D699" s="19">
        <v>4.156E-2</v>
      </c>
      <c r="E699" s="19">
        <v>1.518613698630137E-2</v>
      </c>
      <c r="F699" s="19">
        <v>-1.001386301369863E-2</v>
      </c>
    </row>
    <row r="700" spans="1:6" x14ac:dyDescent="0.25">
      <c r="A700" s="18">
        <v>43182</v>
      </c>
      <c r="B700" s="19">
        <v>-2.1700000000000001E-2</v>
      </c>
      <c r="C700" s="19">
        <v>-1.6E-2</v>
      </c>
      <c r="D700" s="19">
        <v>4.165E-2</v>
      </c>
      <c r="E700" s="19">
        <v>-1.6114109589041095E-2</v>
      </c>
      <c r="F700" s="19">
        <v>-2.1814109589041095E-2</v>
      </c>
    </row>
    <row r="701" spans="1:6" x14ac:dyDescent="0.25">
      <c r="A701" s="18">
        <v>43181</v>
      </c>
      <c r="B701" s="19">
        <v>5.1900000000000002E-2</v>
      </c>
      <c r="C701" s="19">
        <v>2.5999999999999999E-3</v>
      </c>
      <c r="D701" s="19">
        <v>4.1579999999999999E-2</v>
      </c>
      <c r="E701" s="19">
        <v>2.4860821917808218E-3</v>
      </c>
      <c r="F701" s="19">
        <v>5.1786082191780825E-2</v>
      </c>
    </row>
    <row r="702" spans="1:6" x14ac:dyDescent="0.25">
      <c r="A702" s="18">
        <v>43180</v>
      </c>
      <c r="B702" s="19">
        <v>9.4999999999999998E-3</v>
      </c>
      <c r="C702" s="19">
        <v>8.6E-3</v>
      </c>
      <c r="D702" s="19">
        <v>4.1590000000000002E-2</v>
      </c>
      <c r="E702" s="19">
        <v>8.4860547945205481E-3</v>
      </c>
      <c r="F702" s="19">
        <v>9.3860547945205479E-3</v>
      </c>
    </row>
    <row r="703" spans="1:6" x14ac:dyDescent="0.25">
      <c r="A703" s="18">
        <v>43179</v>
      </c>
      <c r="B703" s="19">
        <v>-1.95E-2</v>
      </c>
      <c r="C703" s="19">
        <v>1E-4</v>
      </c>
      <c r="D703" s="19">
        <v>4.1549999999999997E-2</v>
      </c>
      <c r="E703" s="19">
        <v>-1.3835616438356149E-5</v>
      </c>
      <c r="F703" s="19">
        <v>-1.9613835616438355E-2</v>
      </c>
    </row>
    <row r="704" spans="1:6" x14ac:dyDescent="0.25">
      <c r="A704" s="18">
        <v>43178</v>
      </c>
      <c r="B704" s="19">
        <v>3.8999999999999998E-3</v>
      </c>
      <c r="C704" s="19">
        <v>7.9000000000000008E-3</v>
      </c>
      <c r="D704" s="19">
        <v>4.1509999999999998E-2</v>
      </c>
      <c r="E704" s="19">
        <v>7.7862739726027403E-3</v>
      </c>
      <c r="F704" s="19">
        <v>3.7862739726027394E-3</v>
      </c>
    </row>
    <row r="705" spans="1:6" x14ac:dyDescent="0.25">
      <c r="A705" s="18">
        <v>43175</v>
      </c>
      <c r="B705" s="19">
        <v>5.79E-2</v>
      </c>
      <c r="C705" s="19">
        <v>0.01</v>
      </c>
      <c r="D705" s="19">
        <v>4.1599999999999998E-2</v>
      </c>
      <c r="E705" s="19">
        <v>9.8860273972602736E-3</v>
      </c>
      <c r="F705" s="19">
        <v>5.7786027397260277E-2</v>
      </c>
    </row>
    <row r="706" spans="1:6" x14ac:dyDescent="0.25">
      <c r="A706" s="18">
        <v>43174</v>
      </c>
      <c r="B706" s="19">
        <v>2.3699999999999999E-2</v>
      </c>
      <c r="C706" s="19">
        <v>5.9999999999999995E-4</v>
      </c>
      <c r="D706" s="19">
        <v>4.1549999999999997E-2</v>
      </c>
      <c r="E706" s="19">
        <v>4.8616438356164379E-4</v>
      </c>
      <c r="F706" s="19">
        <v>2.3586164383561644E-2</v>
      </c>
    </row>
    <row r="707" spans="1:6" x14ac:dyDescent="0.25">
      <c r="A707" s="18">
        <v>43173</v>
      </c>
      <c r="B707" s="19">
        <v>2.7799999999999998E-2</v>
      </c>
      <c r="C707" s="19">
        <v>4.1999999999999997E-3</v>
      </c>
      <c r="D707" s="19">
        <v>4.1579999999999999E-2</v>
      </c>
      <c r="E707" s="19">
        <v>4.0860821917808217E-3</v>
      </c>
      <c r="F707" s="19">
        <v>2.7686082191780821E-2</v>
      </c>
    </row>
    <row r="708" spans="1:6" x14ac:dyDescent="0.25">
      <c r="A708" s="18">
        <v>43172</v>
      </c>
      <c r="B708" s="19">
        <v>-1.03E-2</v>
      </c>
      <c r="C708" s="19">
        <v>6.1999999999999998E-3</v>
      </c>
      <c r="D708" s="19">
        <v>4.1480000000000003E-2</v>
      </c>
      <c r="E708" s="19">
        <v>6.0863561643835617E-3</v>
      </c>
      <c r="F708" s="19">
        <v>-1.0413643835616439E-2</v>
      </c>
    </row>
    <row r="709" spans="1:6" x14ac:dyDescent="0.25">
      <c r="A709" s="18">
        <v>43171</v>
      </c>
      <c r="B709" s="19">
        <v>3.7499999999999999E-2</v>
      </c>
      <c r="C709" s="19">
        <v>2.5999999999999999E-3</v>
      </c>
      <c r="D709" s="19">
        <v>4.1540000000000001E-2</v>
      </c>
      <c r="E709" s="19">
        <v>2.4861917808219175E-3</v>
      </c>
      <c r="F709" s="19">
        <v>3.7386191780821913E-2</v>
      </c>
    </row>
    <row r="710" spans="1:6" x14ac:dyDescent="0.25">
      <c r="A710" s="18">
        <v>43168</v>
      </c>
      <c r="B710" s="19">
        <v>-2.2700000000000001E-2</v>
      </c>
      <c r="C710" s="19">
        <v>-6.9999999999999999E-4</v>
      </c>
      <c r="D710" s="19">
        <v>4.1529999999999997E-2</v>
      </c>
      <c r="E710" s="19">
        <v>-8.1378082191780818E-4</v>
      </c>
      <c r="F710" s="19">
        <v>-2.281378082191781E-2</v>
      </c>
    </row>
    <row r="711" spans="1:6" x14ac:dyDescent="0.25">
      <c r="A711" s="18">
        <v>43167</v>
      </c>
      <c r="B711" s="19">
        <v>-1.6999999999999999E-3</v>
      </c>
      <c r="C711" s="19">
        <v>1.0699999999999999E-2</v>
      </c>
      <c r="D711" s="19">
        <v>4.1140000000000003E-2</v>
      </c>
      <c r="E711" s="19">
        <v>1.0587287671232876E-2</v>
      </c>
      <c r="F711" s="19">
        <v>-1.8127123287671233E-3</v>
      </c>
    </row>
    <row r="712" spans="1:6" x14ac:dyDescent="0.25">
      <c r="A712" s="18">
        <v>43166</v>
      </c>
      <c r="B712" s="19">
        <v>-1.8800000000000001E-2</v>
      </c>
      <c r="C712" s="19">
        <v>-7.1999999999999998E-3</v>
      </c>
      <c r="D712" s="19">
        <v>4.1020000000000001E-2</v>
      </c>
      <c r="E712" s="19">
        <v>-7.3123835616438352E-3</v>
      </c>
      <c r="F712" s="19">
        <v>-1.8912383561643837E-2</v>
      </c>
    </row>
    <row r="713" spans="1:6" x14ac:dyDescent="0.25">
      <c r="A713" s="18">
        <v>43165</v>
      </c>
      <c r="B713" s="19">
        <v>4.4600000000000001E-2</v>
      </c>
      <c r="C713" s="19">
        <v>2.4500000000000001E-2</v>
      </c>
      <c r="D713" s="19">
        <v>4.1549999999999997E-2</v>
      </c>
      <c r="E713" s="19">
        <v>2.4386164383561646E-2</v>
      </c>
      <c r="F713" s="19">
        <v>4.4486164383561642E-2</v>
      </c>
    </row>
    <row r="714" spans="1:6" x14ac:dyDescent="0.25">
      <c r="A714" s="18">
        <v>43164</v>
      </c>
      <c r="B714" s="19">
        <v>-4.2700000000000002E-2</v>
      </c>
      <c r="C714" s="19">
        <v>-2.47E-2</v>
      </c>
      <c r="D714" s="19">
        <v>4.1599999999999998E-2</v>
      </c>
      <c r="E714" s="19">
        <v>-2.4813972602739726E-2</v>
      </c>
      <c r="F714" s="19">
        <v>-4.2813972602739725E-2</v>
      </c>
    </row>
    <row r="715" spans="1:6" x14ac:dyDescent="0.25">
      <c r="A715" s="18">
        <v>43161</v>
      </c>
      <c r="B715" s="19">
        <v>8.6E-3</v>
      </c>
      <c r="C715" s="19">
        <v>4.8999999999999998E-3</v>
      </c>
      <c r="D715" s="19">
        <v>4.199E-2</v>
      </c>
      <c r="E715" s="19">
        <v>4.784958904109589E-3</v>
      </c>
      <c r="F715" s="19">
        <v>8.4849589041095883E-3</v>
      </c>
    </row>
    <row r="716" spans="1:6" x14ac:dyDescent="0.25">
      <c r="A716" s="18">
        <v>43160</v>
      </c>
      <c r="B716" s="19">
        <v>1.84E-2</v>
      </c>
      <c r="C716" s="19">
        <v>-5.1000000000000004E-3</v>
      </c>
      <c r="D716" s="19">
        <v>4.1700000000000001E-2</v>
      </c>
      <c r="E716" s="19">
        <v>-5.214246575342466E-3</v>
      </c>
      <c r="F716" s="19">
        <v>1.8285753424657533E-2</v>
      </c>
    </row>
    <row r="717" spans="1:6" x14ac:dyDescent="0.25">
      <c r="A717" s="18">
        <v>43159</v>
      </c>
      <c r="B717" s="19">
        <v>3.5000000000000001E-3</v>
      </c>
      <c r="C717" s="19">
        <v>1.6999999999999999E-3</v>
      </c>
      <c r="D717" s="19">
        <v>4.3069999999999997E-2</v>
      </c>
      <c r="E717" s="19">
        <v>1.5819999999999999E-3</v>
      </c>
      <c r="F717" s="19">
        <v>3.382E-3</v>
      </c>
    </row>
    <row r="718" spans="1:6" x14ac:dyDescent="0.25">
      <c r="A718" s="18">
        <v>43158</v>
      </c>
      <c r="B718" s="19">
        <v>4.4000000000000003E-3</v>
      </c>
      <c r="C718" s="19">
        <v>4.5999999999999999E-3</v>
      </c>
      <c r="D718" s="19">
        <v>4.3029999999999999E-2</v>
      </c>
      <c r="E718" s="19">
        <v>4.482109589041096E-3</v>
      </c>
      <c r="F718" s="19">
        <v>4.2821095890410964E-3</v>
      </c>
    </row>
    <row r="719" spans="1:6" x14ac:dyDescent="0.25">
      <c r="A719" s="18">
        <v>43157</v>
      </c>
      <c r="B719" s="19">
        <v>1.7999999999999999E-2</v>
      </c>
      <c r="C719" s="19">
        <v>1.06E-2</v>
      </c>
      <c r="D719" s="19">
        <v>4.2569999999999997E-2</v>
      </c>
      <c r="E719" s="19">
        <v>1.0483369863013698E-2</v>
      </c>
      <c r="F719" s="19">
        <v>1.7883369863013698E-2</v>
      </c>
    </row>
    <row r="720" spans="1:6" x14ac:dyDescent="0.25">
      <c r="A720" s="18">
        <v>43154</v>
      </c>
      <c r="B720" s="19">
        <v>4.7199999999999999E-2</v>
      </c>
      <c r="C720" s="19">
        <v>2.4899999999999999E-2</v>
      </c>
      <c r="D720" s="19">
        <v>4.2659999999999997E-2</v>
      </c>
      <c r="E720" s="19">
        <v>2.4783123287671231E-2</v>
      </c>
      <c r="F720" s="19">
        <v>4.7083123287671232E-2</v>
      </c>
    </row>
    <row r="721" spans="1:6" x14ac:dyDescent="0.25">
      <c r="A721" s="18">
        <v>43153</v>
      </c>
      <c r="B721" s="19">
        <v>-5.3600000000000002E-2</v>
      </c>
      <c r="C721" s="19">
        <v>-1.0200000000000001E-2</v>
      </c>
      <c r="D721" s="19">
        <v>4.2909999999999997E-2</v>
      </c>
      <c r="E721" s="19">
        <v>-1.0317561643835618E-2</v>
      </c>
      <c r="F721" s="19">
        <v>-5.3717561643835621E-2</v>
      </c>
    </row>
    <row r="722" spans="1:6" x14ac:dyDescent="0.25">
      <c r="A722" s="18">
        <v>43152</v>
      </c>
      <c r="B722" s="19">
        <v>3.6999999999999998E-2</v>
      </c>
      <c r="C722" s="19">
        <v>2.5899999999999999E-2</v>
      </c>
      <c r="D722" s="19">
        <v>4.3439999999999999E-2</v>
      </c>
      <c r="E722" s="19">
        <v>2.5780986301369862E-2</v>
      </c>
      <c r="F722" s="19">
        <v>3.6880986301369864E-2</v>
      </c>
    </row>
    <row r="723" spans="1:6" x14ac:dyDescent="0.25">
      <c r="A723" s="18">
        <v>43144</v>
      </c>
      <c r="B723" s="19">
        <v>4.3499999999999997E-2</v>
      </c>
      <c r="C723" s="19">
        <v>1.72E-2</v>
      </c>
      <c r="D723" s="19">
        <v>4.3610000000000003E-2</v>
      </c>
      <c r="E723" s="19">
        <v>1.7080520547945205E-2</v>
      </c>
      <c r="F723" s="19">
        <v>4.3380520547945202E-2</v>
      </c>
    </row>
    <row r="724" spans="1:6" x14ac:dyDescent="0.25">
      <c r="A724" s="18">
        <v>43143</v>
      </c>
      <c r="B724" s="19">
        <v>6.9199999999999998E-2</v>
      </c>
      <c r="C724" s="19">
        <v>3.7699999999999997E-2</v>
      </c>
      <c r="D724" s="19">
        <v>4.3479999999999998E-2</v>
      </c>
      <c r="E724" s="19">
        <v>3.7580876712328765E-2</v>
      </c>
      <c r="F724" s="19">
        <v>6.9080876712328765E-2</v>
      </c>
    </row>
    <row r="725" spans="1:6" x14ac:dyDescent="0.25">
      <c r="A725" s="18">
        <v>43140</v>
      </c>
      <c r="B725" s="19">
        <v>-6.9199999999999998E-2</v>
      </c>
      <c r="C725" s="19">
        <v>-1.89E-2</v>
      </c>
      <c r="D725" s="19">
        <v>4.3839999999999997E-2</v>
      </c>
      <c r="E725" s="19">
        <v>-1.9020109589041097E-2</v>
      </c>
      <c r="F725" s="19">
        <v>-6.9320109589041098E-2</v>
      </c>
    </row>
    <row r="726" spans="1:6" x14ac:dyDescent="0.25">
      <c r="A726" s="18">
        <v>43139</v>
      </c>
      <c r="B726" s="19">
        <v>-5.45E-2</v>
      </c>
      <c r="C726" s="19">
        <v>-1.66E-2</v>
      </c>
      <c r="D726" s="19">
        <v>4.376E-2</v>
      </c>
      <c r="E726" s="19">
        <v>-1.6719890410958903E-2</v>
      </c>
      <c r="F726" s="19">
        <v>-5.4619890410958903E-2</v>
      </c>
    </row>
    <row r="727" spans="1:6" x14ac:dyDescent="0.25">
      <c r="A727" s="18">
        <v>43138</v>
      </c>
      <c r="B727" s="19">
        <v>4.9599999999999998E-2</v>
      </c>
      <c r="C727" s="19">
        <v>2.86E-2</v>
      </c>
      <c r="D727" s="19">
        <v>4.3990000000000001E-2</v>
      </c>
      <c r="E727" s="19">
        <v>2.8479479452054795E-2</v>
      </c>
      <c r="F727" s="19">
        <v>4.9479479452054796E-2</v>
      </c>
    </row>
    <row r="728" spans="1:6" x14ac:dyDescent="0.25">
      <c r="A728" s="18">
        <v>43137</v>
      </c>
      <c r="B728" s="19">
        <v>-6.93E-2</v>
      </c>
      <c r="C728" s="19">
        <v>-3.5400000000000001E-2</v>
      </c>
      <c r="D728" s="19">
        <v>4.4749999999999998E-2</v>
      </c>
      <c r="E728" s="19">
        <v>-3.5522602739726031E-2</v>
      </c>
      <c r="F728" s="19">
        <v>-6.942260273972603E-2</v>
      </c>
    </row>
    <row r="729" spans="1:6" x14ac:dyDescent="0.25">
      <c r="A729" s="18">
        <v>43136</v>
      </c>
      <c r="B729" s="19">
        <v>-6.9400000000000003E-2</v>
      </c>
      <c r="C729" s="19">
        <v>-5.0999999999999997E-2</v>
      </c>
      <c r="D729" s="19">
        <v>4.2939999999999999E-2</v>
      </c>
      <c r="E729" s="19">
        <v>-5.1117643835616434E-2</v>
      </c>
      <c r="F729" s="19">
        <v>-6.9517643835616441E-2</v>
      </c>
    </row>
    <row r="730" spans="1:6" x14ac:dyDescent="0.25">
      <c r="A730" s="18">
        <v>43133</v>
      </c>
      <c r="B730" s="19">
        <v>-9.7999999999999997E-3</v>
      </c>
      <c r="C730" s="19">
        <v>4.8999999999999998E-3</v>
      </c>
      <c r="D730" s="19">
        <v>4.3029999999999999E-2</v>
      </c>
      <c r="E730" s="19">
        <v>4.7821095890410959E-3</v>
      </c>
      <c r="F730" s="19">
        <v>-9.9178904109589044E-3</v>
      </c>
    </row>
    <row r="731" spans="1:6" x14ac:dyDescent="0.25">
      <c r="A731" s="18">
        <v>43132</v>
      </c>
      <c r="B731" s="19">
        <v>-1.9300000000000001E-2</v>
      </c>
      <c r="C731" s="19">
        <v>-9.5999999999999992E-3</v>
      </c>
      <c r="D731" s="19">
        <v>4.3959999999999999E-2</v>
      </c>
      <c r="E731" s="19">
        <v>-9.7204383561643824E-3</v>
      </c>
      <c r="F731" s="19">
        <v>-1.9420438356164384E-2</v>
      </c>
    </row>
    <row r="732" spans="1:6" x14ac:dyDescent="0.25">
      <c r="A732" s="18">
        <v>43131</v>
      </c>
      <c r="B732" s="19">
        <v>6.9500000000000006E-2</v>
      </c>
      <c r="C732" s="19">
        <v>-2.0000000000000001E-4</v>
      </c>
      <c r="D732" s="19">
        <v>4.0980000000000003E-2</v>
      </c>
      <c r="E732" s="19">
        <v>-3.1227397260273973E-4</v>
      </c>
      <c r="F732" s="19">
        <v>6.9387726027397262E-2</v>
      </c>
    </row>
    <row r="733" spans="1:6" x14ac:dyDescent="0.25">
      <c r="A733" s="18">
        <v>43130</v>
      </c>
      <c r="B733" s="19">
        <v>5.1999999999999998E-3</v>
      </c>
      <c r="C733" s="19">
        <v>6.9999999999999999E-4</v>
      </c>
      <c r="D733" s="19">
        <v>4.1200000000000001E-2</v>
      </c>
      <c r="E733" s="19">
        <v>5.8712328767123291E-4</v>
      </c>
      <c r="F733" s="19">
        <v>5.087123287671233E-3</v>
      </c>
    </row>
    <row r="734" spans="1:6" x14ac:dyDescent="0.25">
      <c r="A734" s="18">
        <v>43129</v>
      </c>
      <c r="B734" s="19">
        <v>-4.3E-3</v>
      </c>
      <c r="C734" s="19">
        <v>-5.1999999999999998E-3</v>
      </c>
      <c r="D734" s="19">
        <v>4.07E-2</v>
      </c>
      <c r="E734" s="19">
        <v>-5.3115068493150685E-3</v>
      </c>
      <c r="F734" s="19">
        <v>-4.4115068493150687E-3</v>
      </c>
    </row>
    <row r="735" spans="1:6" x14ac:dyDescent="0.25">
      <c r="A735" s="18">
        <v>43126</v>
      </c>
      <c r="B735" s="19">
        <v>2.7400000000000001E-2</v>
      </c>
      <c r="C735" s="19">
        <v>0.01</v>
      </c>
      <c r="D735" s="19">
        <v>4.095E-2</v>
      </c>
      <c r="E735" s="19">
        <v>9.8878082191780816E-3</v>
      </c>
      <c r="F735" s="19">
        <v>2.7287808219178082E-2</v>
      </c>
    </row>
    <row r="736" spans="1:6" x14ac:dyDescent="0.25">
      <c r="A736" s="18">
        <v>43125</v>
      </c>
      <c r="B736" s="19">
        <v>6.9900000000000004E-2</v>
      </c>
      <c r="C736" s="19">
        <v>1.5800000000000002E-2</v>
      </c>
      <c r="D736" s="19">
        <v>4.2720000000000001E-2</v>
      </c>
      <c r="E736" s="19">
        <v>1.568295890410959E-2</v>
      </c>
      <c r="F736" s="19">
        <v>6.9782958904109599E-2</v>
      </c>
    </row>
    <row r="737" spans="1:6" x14ac:dyDescent="0.25">
      <c r="A737" s="18">
        <v>43122</v>
      </c>
      <c r="B737" s="19">
        <v>6.9699999999999998E-2</v>
      </c>
      <c r="C737" s="19">
        <v>2.3900000000000001E-2</v>
      </c>
      <c r="D737" s="19">
        <v>4.5310000000000003E-2</v>
      </c>
      <c r="E737" s="19">
        <v>2.377586301369863E-2</v>
      </c>
      <c r="F737" s="19">
        <v>6.9575863013698627E-2</v>
      </c>
    </row>
    <row r="738" spans="1:6" x14ac:dyDescent="0.25">
      <c r="A738" s="18">
        <v>43119</v>
      </c>
      <c r="B738" s="19">
        <v>-1.0999999999999999E-2</v>
      </c>
      <c r="C738" s="19">
        <v>1.1299999999999999E-2</v>
      </c>
      <c r="D738" s="19">
        <v>4.5589999999999999E-2</v>
      </c>
      <c r="E738" s="19">
        <v>1.1175095890410958E-2</v>
      </c>
      <c r="F738" s="19">
        <v>-1.1124904109589041E-2</v>
      </c>
    </row>
    <row r="739" spans="1:6" x14ac:dyDescent="0.25">
      <c r="A739" s="18">
        <v>43118</v>
      </c>
      <c r="B739" s="19">
        <v>2E-3</v>
      </c>
      <c r="C739" s="19">
        <v>1.4999999999999999E-2</v>
      </c>
      <c r="D739" s="19">
        <v>4.4830000000000002E-2</v>
      </c>
      <c r="E739" s="19">
        <v>1.4877178082191781E-2</v>
      </c>
      <c r="F739" s="19">
        <v>1.8771780821917809E-3</v>
      </c>
    </row>
    <row r="740" spans="1:6" x14ac:dyDescent="0.25">
      <c r="A740" s="18">
        <v>43117</v>
      </c>
      <c r="B740" s="19">
        <v>-3.4799999999999998E-2</v>
      </c>
      <c r="C740" s="19">
        <v>-2.6599999999999999E-2</v>
      </c>
      <c r="D740" s="19">
        <v>4.6559999999999997E-2</v>
      </c>
      <c r="E740" s="19">
        <v>-2.6727561643835614E-2</v>
      </c>
      <c r="F740" s="19">
        <v>-3.4927561643835613E-2</v>
      </c>
    </row>
    <row r="741" spans="1:6" x14ac:dyDescent="0.25">
      <c r="A741" s="18">
        <v>43116</v>
      </c>
      <c r="B741" s="19">
        <v>1.2699999999999999E-2</v>
      </c>
      <c r="C741" s="19">
        <v>-5.0000000000000001E-4</v>
      </c>
      <c r="D741" s="19">
        <v>4.7379999999999999E-2</v>
      </c>
      <c r="E741" s="19">
        <v>-6.2980821917808219E-4</v>
      </c>
      <c r="F741" s="19">
        <v>1.2570191780821917E-2</v>
      </c>
    </row>
    <row r="742" spans="1:6" x14ac:dyDescent="0.25">
      <c r="A742" s="18">
        <v>43115</v>
      </c>
      <c r="B742" s="19">
        <v>1.6899999999999998E-2</v>
      </c>
      <c r="C742" s="19">
        <v>1.2699999999999999E-2</v>
      </c>
      <c r="D742" s="19">
        <v>4.7190000000000003E-2</v>
      </c>
      <c r="E742" s="19">
        <v>1.2570712328767122E-2</v>
      </c>
      <c r="F742" s="19">
        <v>1.6770712328767121E-2</v>
      </c>
    </row>
    <row r="743" spans="1:6" x14ac:dyDescent="0.25">
      <c r="A743" s="18">
        <v>43112</v>
      </c>
      <c r="B743" s="19">
        <v>-2.6200000000000001E-2</v>
      </c>
      <c r="C743" s="19">
        <v>1.9E-3</v>
      </c>
      <c r="D743" s="19">
        <v>4.7169999999999997E-2</v>
      </c>
      <c r="E743" s="19">
        <v>1.7707671232876712E-3</v>
      </c>
      <c r="F743" s="19">
        <v>-2.6329232876712329E-2</v>
      </c>
    </row>
    <row r="744" spans="1:6" x14ac:dyDescent="0.25">
      <c r="A744" s="18">
        <v>43111</v>
      </c>
      <c r="B744" s="19">
        <v>1.9E-3</v>
      </c>
      <c r="C744" s="19">
        <v>9.7000000000000003E-3</v>
      </c>
      <c r="D744" s="19">
        <v>4.7E-2</v>
      </c>
      <c r="E744" s="19">
        <v>9.5712328767123284E-3</v>
      </c>
      <c r="F744" s="19">
        <v>1.7712328767123288E-3</v>
      </c>
    </row>
    <row r="745" spans="1:6" x14ac:dyDescent="0.25">
      <c r="A745" s="18">
        <v>43110</v>
      </c>
      <c r="B745" s="19">
        <v>9.7999999999999997E-3</v>
      </c>
      <c r="C745" s="19">
        <v>4.4000000000000003E-3</v>
      </c>
      <c r="D745" s="19">
        <v>4.9919999999999999E-2</v>
      </c>
      <c r="E745" s="19">
        <v>4.2632328767123291E-3</v>
      </c>
      <c r="F745" s="19">
        <v>9.6632328767123285E-3</v>
      </c>
    </row>
    <row r="746" spans="1:6" x14ac:dyDescent="0.25">
      <c r="A746" s="18">
        <v>43109</v>
      </c>
      <c r="B746" s="19">
        <v>1.5900000000000001E-2</v>
      </c>
      <c r="C746" s="19">
        <v>1.04E-2</v>
      </c>
      <c r="D746" s="19">
        <v>5.0689999999999999E-2</v>
      </c>
      <c r="E746" s="19">
        <v>1.0261123287671233E-2</v>
      </c>
      <c r="F746" s="19">
        <v>1.5761123287671232E-2</v>
      </c>
    </row>
    <row r="747" spans="1:6" x14ac:dyDescent="0.25">
      <c r="A747" s="18">
        <v>43108</v>
      </c>
      <c r="B747" s="19">
        <v>0</v>
      </c>
      <c r="C747" s="19">
        <v>1.01E-2</v>
      </c>
      <c r="D747" s="19">
        <v>5.1049999999999998E-2</v>
      </c>
      <c r="E747" s="19">
        <v>9.9601369863013701E-3</v>
      </c>
      <c r="F747" s="19">
        <v>-1.3986301369863012E-4</v>
      </c>
    </row>
    <row r="748" spans="1:6" x14ac:dyDescent="0.25">
      <c r="A748" s="18">
        <v>43105</v>
      </c>
      <c r="B748" s="19">
        <v>-1.5699999999999999E-2</v>
      </c>
      <c r="C748" s="19">
        <v>-7.0000000000000001E-3</v>
      </c>
      <c r="D748" s="19">
        <v>5.1060000000000001E-2</v>
      </c>
      <c r="E748" s="19">
        <v>-7.1398904109589044E-3</v>
      </c>
      <c r="F748" s="19">
        <v>-1.5839890410958901E-2</v>
      </c>
    </row>
    <row r="749" spans="1:6" x14ac:dyDescent="0.25">
      <c r="A749" s="18">
        <v>43104</v>
      </c>
      <c r="B749" s="19">
        <v>4.7199999999999999E-2</v>
      </c>
      <c r="C749" s="19">
        <v>1.4E-2</v>
      </c>
      <c r="D749" s="19">
        <v>5.0849999999999999E-2</v>
      </c>
      <c r="E749" s="19">
        <v>1.3860684931506849E-2</v>
      </c>
      <c r="F749" s="19">
        <v>4.7060684931506849E-2</v>
      </c>
    </row>
    <row r="750" spans="1:6" x14ac:dyDescent="0.25">
      <c r="A750" s="18">
        <v>43103</v>
      </c>
      <c r="B750" s="19">
        <v>2.1999999999999999E-2</v>
      </c>
      <c r="C750" s="19">
        <v>9.9000000000000008E-3</v>
      </c>
      <c r="D750" s="19">
        <v>5.0470000000000001E-2</v>
      </c>
      <c r="E750" s="19">
        <v>9.7617260273972616E-3</v>
      </c>
      <c r="F750" s="19">
        <v>2.186172602739726E-2</v>
      </c>
    </row>
    <row r="751" spans="1:6" x14ac:dyDescent="0.25">
      <c r="A751" s="18">
        <v>43102</v>
      </c>
      <c r="B751" s="19">
        <v>-2.1600000000000001E-2</v>
      </c>
      <c r="C751" s="19">
        <v>1.17E-2</v>
      </c>
      <c r="D751" s="19">
        <v>5.049E-2</v>
      </c>
      <c r="E751" s="19">
        <v>1.1561671232876713E-2</v>
      </c>
      <c r="F751" s="19">
        <v>-2.173832876712329E-2</v>
      </c>
    </row>
    <row r="752" spans="1:6" x14ac:dyDescent="0.25">
      <c r="A752" s="18">
        <v>43098</v>
      </c>
      <c r="B752" s="19">
        <v>-1.32E-2</v>
      </c>
      <c r="C752" s="19">
        <v>7.7000000000000002E-3</v>
      </c>
      <c r="D752" s="19">
        <v>5.0529999999999999E-2</v>
      </c>
      <c r="E752" s="19">
        <v>7.5615616438356164E-3</v>
      </c>
      <c r="F752" s="19">
        <v>-1.3338438356164384E-2</v>
      </c>
    </row>
    <row r="753" spans="1:6" x14ac:dyDescent="0.25">
      <c r="A753" s="18">
        <v>43097</v>
      </c>
      <c r="B753" s="19">
        <v>-1E-3</v>
      </c>
      <c r="C753" s="19">
        <v>8.5000000000000006E-3</v>
      </c>
      <c r="D753" s="19">
        <v>5.0279999999999998E-2</v>
      </c>
      <c r="E753" s="19">
        <v>8.3622465753424666E-3</v>
      </c>
      <c r="F753" s="19">
        <v>-1.1377534246575342E-3</v>
      </c>
    </row>
    <row r="754" spans="1:6" x14ac:dyDescent="0.25">
      <c r="A754" s="18">
        <v>43096</v>
      </c>
      <c r="B754" s="19">
        <v>1.3299999999999999E-2</v>
      </c>
      <c r="C754" s="19">
        <v>2.5999999999999999E-3</v>
      </c>
      <c r="D754" s="19">
        <v>5.0299999999999997E-2</v>
      </c>
      <c r="E754" s="19">
        <v>2.4621917808219178E-3</v>
      </c>
      <c r="F754" s="19">
        <v>1.3162191780821918E-2</v>
      </c>
    </row>
    <row r="755" spans="1:6" x14ac:dyDescent="0.25">
      <c r="A755" s="18">
        <v>43095</v>
      </c>
      <c r="B755" s="19">
        <v>3.39E-2</v>
      </c>
      <c r="C755" s="19">
        <v>8.0000000000000002E-3</v>
      </c>
      <c r="D755" s="19">
        <v>5.0180000000000002E-2</v>
      </c>
      <c r="E755" s="19">
        <v>7.8625205479452061E-3</v>
      </c>
      <c r="F755" s="19">
        <v>3.3762520547945207E-2</v>
      </c>
    </row>
    <row r="756" spans="1:6" x14ac:dyDescent="0.25">
      <c r="A756" s="18">
        <v>43094</v>
      </c>
      <c r="B756" s="19">
        <v>1.29E-2</v>
      </c>
      <c r="C756" s="19">
        <v>6.3E-3</v>
      </c>
      <c r="D756" s="19">
        <v>0.05</v>
      </c>
      <c r="E756" s="19">
        <v>6.1630136986301374E-3</v>
      </c>
      <c r="F756" s="19">
        <v>1.2763013698630137E-2</v>
      </c>
    </row>
    <row r="757" spans="1:6" x14ac:dyDescent="0.25">
      <c r="A757" s="18">
        <v>43091</v>
      </c>
      <c r="B757" s="19">
        <v>7.6E-3</v>
      </c>
      <c r="C757" s="19">
        <v>6.6E-3</v>
      </c>
      <c r="D757" s="19">
        <v>5.0160000000000003E-2</v>
      </c>
      <c r="E757" s="19">
        <v>6.4625753424657536E-3</v>
      </c>
      <c r="F757" s="19">
        <v>7.4625753424657536E-3</v>
      </c>
    </row>
    <row r="758" spans="1:6" x14ac:dyDescent="0.25">
      <c r="A758" s="18">
        <v>43090</v>
      </c>
      <c r="B758" s="19">
        <v>3.3E-3</v>
      </c>
      <c r="C758" s="19">
        <v>-7.7999999999999996E-3</v>
      </c>
      <c r="D758" s="19">
        <v>5.0500000000000003E-2</v>
      </c>
      <c r="E758" s="19">
        <v>-7.9383561643835612E-3</v>
      </c>
      <c r="F758" s="19">
        <v>3.1616438356164385E-3</v>
      </c>
    </row>
    <row r="759" spans="1:6" x14ac:dyDescent="0.25">
      <c r="A759" s="18">
        <v>43089</v>
      </c>
      <c r="B759" s="19">
        <v>1.8800000000000001E-2</v>
      </c>
      <c r="C759" s="19">
        <v>2.2000000000000001E-3</v>
      </c>
      <c r="D759" s="19">
        <v>5.1479999999999998E-2</v>
      </c>
      <c r="E759" s="19">
        <v>2.0589589041095893E-3</v>
      </c>
      <c r="F759" s="19">
        <v>1.8658958904109589E-2</v>
      </c>
    </row>
    <row r="760" spans="1:6" x14ac:dyDescent="0.25">
      <c r="A760" s="18">
        <v>43088</v>
      </c>
      <c r="B760" s="19">
        <v>-2.2700000000000001E-2</v>
      </c>
      <c r="C760" s="19">
        <v>-6.8999999999999999E-3</v>
      </c>
      <c r="D760" s="19">
        <v>5.1709999999999999E-2</v>
      </c>
      <c r="E760" s="19">
        <v>-7.0416712328767121E-3</v>
      </c>
      <c r="F760" s="19">
        <v>-2.2841671232876715E-2</v>
      </c>
    </row>
    <row r="761" spans="1:6" x14ac:dyDescent="0.25">
      <c r="A761" s="18">
        <v>43087</v>
      </c>
      <c r="B761" s="19">
        <v>6.3200000000000006E-2</v>
      </c>
      <c r="C761" s="19">
        <v>2.4500000000000001E-2</v>
      </c>
      <c r="D761" s="19">
        <v>5.1929999999999997E-2</v>
      </c>
      <c r="E761" s="19">
        <v>2.4357726027397261E-2</v>
      </c>
      <c r="F761" s="19">
        <v>6.305772602739726E-2</v>
      </c>
    </row>
    <row r="762" spans="1:6" x14ac:dyDescent="0.25">
      <c r="A762" s="18">
        <v>43084</v>
      </c>
      <c r="B762" s="19">
        <v>1.4E-2</v>
      </c>
      <c r="C762" s="19">
        <v>-6.9999999999999999E-4</v>
      </c>
      <c r="D762" s="19">
        <v>5.1999999999999998E-2</v>
      </c>
      <c r="E762" s="19">
        <v>-8.4246575342465755E-4</v>
      </c>
      <c r="F762" s="19">
        <v>1.3857534246575343E-2</v>
      </c>
    </row>
    <row r="763" spans="1:6" x14ac:dyDescent="0.25">
      <c r="A763" s="18">
        <v>43083</v>
      </c>
      <c r="B763" s="19">
        <v>-9.1999999999999998E-3</v>
      </c>
      <c r="C763" s="19">
        <v>1.24E-2</v>
      </c>
      <c r="D763" s="19">
        <v>5.2200000000000003E-2</v>
      </c>
      <c r="E763" s="19">
        <v>1.2256986301369862E-2</v>
      </c>
      <c r="F763" s="19">
        <v>-9.3430136986301371E-3</v>
      </c>
    </row>
    <row r="764" spans="1:6" x14ac:dyDescent="0.25">
      <c r="A764" s="18">
        <v>43082</v>
      </c>
      <c r="B764" s="19">
        <v>-4.5999999999999999E-3</v>
      </c>
      <c r="C764" s="19">
        <v>-3.0999999999999999E-3</v>
      </c>
      <c r="D764" s="19">
        <v>5.2630000000000003E-2</v>
      </c>
      <c r="E764" s="19">
        <v>-3.2441917808219175E-3</v>
      </c>
      <c r="F764" s="19">
        <v>-4.7441917808219176E-3</v>
      </c>
    </row>
    <row r="765" spans="1:6" x14ac:dyDescent="0.25">
      <c r="A765" s="18">
        <v>43081</v>
      </c>
      <c r="B765" s="19">
        <v>4.5699999999999998E-2</v>
      </c>
      <c r="C765" s="19">
        <v>1.0699999999999999E-2</v>
      </c>
      <c r="D765" s="19">
        <v>5.3400000000000003E-2</v>
      </c>
      <c r="E765" s="19">
        <v>1.0553698630136986E-2</v>
      </c>
      <c r="F765" s="19">
        <v>4.5553698630136981E-2</v>
      </c>
    </row>
    <row r="766" spans="1:6" x14ac:dyDescent="0.25">
      <c r="A766" s="18">
        <v>43080</v>
      </c>
      <c r="B766" s="19">
        <v>-2.92E-2</v>
      </c>
      <c r="C766" s="19">
        <v>-2.4199999999999999E-2</v>
      </c>
      <c r="D766" s="19">
        <v>5.3539999999999997E-2</v>
      </c>
      <c r="E766" s="19">
        <v>-2.4346684931506848E-2</v>
      </c>
      <c r="F766" s="19">
        <v>-2.9346684931506849E-2</v>
      </c>
    </row>
    <row r="767" spans="1:6" x14ac:dyDescent="0.25">
      <c r="A767" s="18">
        <v>43077</v>
      </c>
      <c r="B767" s="19">
        <v>8.2000000000000007E-3</v>
      </c>
      <c r="C767" s="19">
        <v>1.6000000000000001E-3</v>
      </c>
      <c r="D767" s="19">
        <v>5.3600000000000002E-2</v>
      </c>
      <c r="E767" s="19">
        <v>1.453150684931507E-3</v>
      </c>
      <c r="F767" s="19">
        <v>8.0531506849315076E-3</v>
      </c>
    </row>
    <row r="768" spans="1:6" x14ac:dyDescent="0.25">
      <c r="A768" s="18">
        <v>43076</v>
      </c>
      <c r="B768" s="19">
        <v>2.0400000000000001E-2</v>
      </c>
      <c r="C768" s="19">
        <v>-9.4999999999999998E-3</v>
      </c>
      <c r="D768" s="19">
        <v>5.3679999999999999E-2</v>
      </c>
      <c r="E768" s="19">
        <v>-9.6470684931506852E-3</v>
      </c>
      <c r="F768" s="19">
        <v>2.0252931506849318E-2</v>
      </c>
    </row>
    <row r="769" spans="1:6" x14ac:dyDescent="0.25">
      <c r="A769" s="18">
        <v>43075</v>
      </c>
      <c r="B769" s="19">
        <v>7.3000000000000001E-3</v>
      </c>
      <c r="C769" s="19">
        <v>-5.8999999999999999E-3</v>
      </c>
      <c r="D769" s="19">
        <v>5.373E-2</v>
      </c>
      <c r="E769" s="19">
        <v>-6.0472054794520544E-3</v>
      </c>
      <c r="F769" s="19">
        <v>7.1527945205479455E-3</v>
      </c>
    </row>
    <row r="770" spans="1:6" x14ac:dyDescent="0.25">
      <c r="A770" s="18">
        <v>43074</v>
      </c>
      <c r="B770" s="19">
        <v>1.6E-2</v>
      </c>
      <c r="C770" s="19">
        <v>-1.72E-2</v>
      </c>
      <c r="D770" s="19">
        <v>5.3809999999999997E-2</v>
      </c>
      <c r="E770" s="19">
        <v>-1.7347424657534246E-2</v>
      </c>
      <c r="F770" s="19">
        <v>1.5852575342465754E-2</v>
      </c>
    </row>
    <row r="771" spans="1:6" x14ac:dyDescent="0.25">
      <c r="A771" s="18">
        <v>43073</v>
      </c>
      <c r="B771" s="19">
        <v>-4.8999999999999998E-3</v>
      </c>
      <c r="C771" s="19">
        <v>1.01E-2</v>
      </c>
      <c r="D771" s="19">
        <v>5.382E-2</v>
      </c>
      <c r="E771" s="19">
        <v>9.9525479452054789E-3</v>
      </c>
      <c r="F771" s="19">
        <v>-5.0474520547945205E-3</v>
      </c>
    </row>
    <row r="772" spans="1:6" x14ac:dyDescent="0.25">
      <c r="A772" s="18">
        <v>43070</v>
      </c>
      <c r="B772" s="19">
        <v>2.63E-2</v>
      </c>
      <c r="C772" s="19">
        <v>1.09E-2</v>
      </c>
      <c r="D772" s="19">
        <v>5.3830000000000003E-2</v>
      </c>
      <c r="E772" s="19">
        <v>1.0752520547945205E-2</v>
      </c>
      <c r="F772" s="19">
        <v>2.6152520547945205E-2</v>
      </c>
    </row>
    <row r="773" spans="1:6" x14ac:dyDescent="0.25">
      <c r="A773" s="18">
        <v>43069</v>
      </c>
      <c r="B773" s="19">
        <v>-1.2999999999999999E-3</v>
      </c>
      <c r="C773" s="19">
        <v>-2.3E-3</v>
      </c>
      <c r="D773" s="19">
        <v>5.3870000000000001E-2</v>
      </c>
      <c r="E773" s="19">
        <v>-2.4475890410958906E-3</v>
      </c>
      <c r="F773" s="19">
        <v>-1.4475890410958904E-3</v>
      </c>
    </row>
    <row r="774" spans="1:6" x14ac:dyDescent="0.25">
      <c r="A774" s="18">
        <v>43068</v>
      </c>
      <c r="B774" s="19">
        <v>0</v>
      </c>
      <c r="C774" s="19">
        <v>1.1599999999999999E-2</v>
      </c>
      <c r="D774" s="19">
        <v>5.4030000000000002E-2</v>
      </c>
      <c r="E774" s="19">
        <v>1.1451972602739726E-2</v>
      </c>
      <c r="F774" s="19">
        <v>-1.4802739726027398E-4</v>
      </c>
    </row>
    <row r="775" spans="1:6" x14ac:dyDescent="0.25">
      <c r="A775" s="18">
        <v>43067</v>
      </c>
      <c r="B775" s="19">
        <v>-1.6E-2</v>
      </c>
      <c r="C775" s="19">
        <v>2.8E-3</v>
      </c>
      <c r="D775" s="19">
        <v>5.4089999999999999E-2</v>
      </c>
      <c r="E775" s="19">
        <v>2.6518082191780822E-3</v>
      </c>
      <c r="F775" s="19">
        <v>-1.6148191780821917E-2</v>
      </c>
    </row>
    <row r="776" spans="1:6" x14ac:dyDescent="0.25">
      <c r="A776" s="18">
        <v>43066</v>
      </c>
      <c r="B776" s="19">
        <v>1.12E-2</v>
      </c>
      <c r="C776" s="19">
        <v>3.2000000000000002E-3</v>
      </c>
      <c r="D776" s="19">
        <v>5.4100000000000002E-2</v>
      </c>
      <c r="E776" s="19">
        <v>3.0517808219178086E-3</v>
      </c>
      <c r="F776" s="19">
        <v>1.1051780821917809E-2</v>
      </c>
    </row>
    <row r="777" spans="1:6" x14ac:dyDescent="0.25">
      <c r="A777" s="18">
        <v>43063</v>
      </c>
      <c r="B777" s="19">
        <v>-5.0000000000000001E-3</v>
      </c>
      <c r="C777" s="19">
        <v>2E-3</v>
      </c>
      <c r="D777" s="19">
        <v>5.4080000000000003E-2</v>
      </c>
      <c r="E777" s="19">
        <v>1.8518356164383561E-3</v>
      </c>
      <c r="F777" s="19">
        <v>-5.1481643835616436E-3</v>
      </c>
    </row>
    <row r="778" spans="1:6" x14ac:dyDescent="0.25">
      <c r="A778" s="18">
        <v>43062</v>
      </c>
      <c r="B778" s="19">
        <v>-2.5399999999999999E-2</v>
      </c>
      <c r="C778" s="19">
        <v>1.1000000000000001E-3</v>
      </c>
      <c r="D778" s="19">
        <v>5.4010000000000002E-2</v>
      </c>
      <c r="E778" s="19">
        <v>9.5202739726027398E-4</v>
      </c>
      <c r="F778" s="19">
        <v>-2.5547972602739725E-2</v>
      </c>
    </row>
    <row r="779" spans="1:6" x14ac:dyDescent="0.25">
      <c r="A779" s="18">
        <v>43061</v>
      </c>
      <c r="B779" s="19">
        <v>2.1000000000000001E-2</v>
      </c>
      <c r="C779" s="19">
        <v>1.5599999999999999E-2</v>
      </c>
      <c r="D779" s="19">
        <v>5.4010000000000002E-2</v>
      </c>
      <c r="E779" s="19">
        <v>1.5452027397260273E-2</v>
      </c>
      <c r="F779" s="19">
        <v>2.0852027397260275E-2</v>
      </c>
    </row>
    <row r="780" spans="1:6" x14ac:dyDescent="0.25">
      <c r="A780" s="18">
        <v>43060</v>
      </c>
      <c r="B780" s="19">
        <v>2.5000000000000001E-3</v>
      </c>
      <c r="C780" s="19">
        <v>1.6299999999999999E-2</v>
      </c>
      <c r="D780" s="19">
        <v>5.4010000000000002E-2</v>
      </c>
      <c r="E780" s="19">
        <v>1.6152027397260273E-2</v>
      </c>
      <c r="F780" s="19">
        <v>2.3520273972602742E-3</v>
      </c>
    </row>
    <row r="781" spans="1:6" x14ac:dyDescent="0.25">
      <c r="A781" s="18">
        <v>43059</v>
      </c>
      <c r="B781" s="19">
        <v>1.7600000000000001E-2</v>
      </c>
      <c r="C781" s="19">
        <v>1.44E-2</v>
      </c>
      <c r="D781" s="19">
        <v>5.4030000000000002E-2</v>
      </c>
      <c r="E781" s="19">
        <v>1.4251972602739726E-2</v>
      </c>
      <c r="F781" s="19">
        <v>1.7451972602739726E-2</v>
      </c>
    </row>
    <row r="782" spans="1:6" x14ac:dyDescent="0.25">
      <c r="A782" s="18">
        <v>43056</v>
      </c>
      <c r="B782" s="19">
        <v>-6.3E-3</v>
      </c>
      <c r="C782" s="19">
        <v>-2.3999999999999998E-3</v>
      </c>
      <c r="D782" s="19">
        <v>5.4030000000000002E-2</v>
      </c>
      <c r="E782" s="19">
        <v>-2.5480273972602737E-3</v>
      </c>
      <c r="F782" s="19">
        <v>-6.4480273972602744E-3</v>
      </c>
    </row>
    <row r="783" spans="1:6" x14ac:dyDescent="0.25">
      <c r="A783" s="18">
        <v>43055</v>
      </c>
      <c r="B783" s="19">
        <v>2.5000000000000001E-3</v>
      </c>
      <c r="C783" s="19">
        <v>1.1599999999999999E-2</v>
      </c>
      <c r="D783" s="19">
        <v>5.4030000000000002E-2</v>
      </c>
      <c r="E783" s="19">
        <v>1.1451972602739726E-2</v>
      </c>
      <c r="F783" s="19">
        <v>2.3519726027397261E-3</v>
      </c>
    </row>
    <row r="784" spans="1:6" x14ac:dyDescent="0.25">
      <c r="A784" s="18">
        <v>43054</v>
      </c>
      <c r="B784" s="19">
        <v>-3.8E-3</v>
      </c>
      <c r="C784" s="19">
        <v>1.9E-3</v>
      </c>
      <c r="D784" s="19">
        <v>5.4050000000000001E-2</v>
      </c>
      <c r="E784" s="19">
        <v>1.7519178082191782E-3</v>
      </c>
      <c r="F784" s="19">
        <v>-3.9480821917808216E-3</v>
      </c>
    </row>
    <row r="785" spans="1:6" x14ac:dyDescent="0.25">
      <c r="A785" s="18">
        <v>43053</v>
      </c>
      <c r="B785" s="19">
        <v>6.3E-3</v>
      </c>
      <c r="C785" s="19">
        <v>1.8E-3</v>
      </c>
      <c r="D785" s="19">
        <v>5.3699999999999998E-2</v>
      </c>
      <c r="E785" s="19">
        <v>1.6528767123287671E-3</v>
      </c>
      <c r="F785" s="19">
        <v>6.152876712328767E-3</v>
      </c>
    </row>
    <row r="786" spans="1:6" x14ac:dyDescent="0.25">
      <c r="A786" s="18">
        <v>43052</v>
      </c>
      <c r="B786" s="19">
        <v>3.5200000000000002E-2</v>
      </c>
      <c r="C786" s="19">
        <v>1.2800000000000001E-2</v>
      </c>
      <c r="D786" s="19">
        <v>5.3699999999999998E-2</v>
      </c>
      <c r="E786" s="19">
        <v>1.2652876712328768E-2</v>
      </c>
      <c r="F786" s="19">
        <v>3.5052876712328769E-2</v>
      </c>
    </row>
    <row r="787" spans="1:6" x14ac:dyDescent="0.25">
      <c r="A787" s="18">
        <v>43049</v>
      </c>
      <c r="B787" s="19">
        <v>0</v>
      </c>
      <c r="C787" s="19">
        <v>9.1000000000000004E-3</v>
      </c>
      <c r="D787" s="19">
        <v>5.3109999999999997E-2</v>
      </c>
      <c r="E787" s="19">
        <v>8.9544931506849324E-3</v>
      </c>
      <c r="F787" s="19">
        <v>-1.455068493150685E-4</v>
      </c>
    </row>
    <row r="788" spans="1:6" x14ac:dyDescent="0.25">
      <c r="A788" s="18">
        <v>43048</v>
      </c>
      <c r="B788" s="19">
        <v>2.5999999999999999E-3</v>
      </c>
      <c r="C788" s="19">
        <v>8.0000000000000004E-4</v>
      </c>
      <c r="D788" s="19">
        <v>5.3109999999999997E-2</v>
      </c>
      <c r="E788" s="19">
        <v>6.5449315068493157E-4</v>
      </c>
      <c r="F788" s="19">
        <v>2.4544931506849314E-3</v>
      </c>
    </row>
    <row r="789" spans="1:6" x14ac:dyDescent="0.25">
      <c r="A789" s="18">
        <v>43047</v>
      </c>
      <c r="B789" s="19">
        <v>2.5399999999999999E-2</v>
      </c>
      <c r="C789" s="19">
        <v>1.0999999999999999E-2</v>
      </c>
      <c r="D789" s="19">
        <v>5.3120000000000001E-2</v>
      </c>
      <c r="E789" s="19">
        <v>1.0854465753424657E-2</v>
      </c>
      <c r="F789" s="19">
        <v>2.5254465753424656E-2</v>
      </c>
    </row>
    <row r="790" spans="1:6" x14ac:dyDescent="0.25">
      <c r="A790" s="18">
        <v>43046</v>
      </c>
      <c r="B790" s="19">
        <v>-4.0000000000000001E-3</v>
      </c>
      <c r="C790" s="19">
        <v>1.5E-3</v>
      </c>
      <c r="D790" s="19">
        <v>5.3120000000000001E-2</v>
      </c>
      <c r="E790" s="19">
        <v>1.3544657534246575E-3</v>
      </c>
      <c r="F790" s="19">
        <v>-4.1455342465753428E-3</v>
      </c>
    </row>
    <row r="791" spans="1:6" x14ac:dyDescent="0.25">
      <c r="A791" s="18">
        <v>43045</v>
      </c>
      <c r="B791" s="19">
        <v>2.0400000000000001E-2</v>
      </c>
      <c r="C791" s="19">
        <v>6.4000000000000003E-3</v>
      </c>
      <c r="D791" s="19">
        <v>5.3060000000000003E-2</v>
      </c>
      <c r="E791" s="19">
        <v>6.2546301369863014E-3</v>
      </c>
      <c r="F791" s="19">
        <v>2.0254630136986303E-2</v>
      </c>
    </row>
    <row r="792" spans="1:6" x14ac:dyDescent="0.25">
      <c r="A792" s="18">
        <v>43042</v>
      </c>
      <c r="B792" s="19">
        <v>1.24E-2</v>
      </c>
      <c r="C792" s="19">
        <v>1.2800000000000001E-2</v>
      </c>
      <c r="D792" s="19">
        <v>5.3060000000000003E-2</v>
      </c>
      <c r="E792" s="19">
        <v>1.2654630136986303E-2</v>
      </c>
      <c r="F792" s="19">
        <v>1.2254630136986302E-2</v>
      </c>
    </row>
    <row r="793" spans="1:6" x14ac:dyDescent="0.25">
      <c r="A793" s="18">
        <v>43041</v>
      </c>
      <c r="B793" s="19">
        <v>-5.4999999999999997E-3</v>
      </c>
      <c r="C793" s="19">
        <v>-1.14E-2</v>
      </c>
      <c r="D793" s="19">
        <v>5.314E-2</v>
      </c>
      <c r="E793" s="19">
        <v>-1.1545589041095891E-2</v>
      </c>
      <c r="F793" s="19">
        <v>-5.64558904109589E-3</v>
      </c>
    </row>
    <row r="794" spans="1:6" x14ac:dyDescent="0.25">
      <c r="A794" s="18">
        <v>43040</v>
      </c>
      <c r="B794" s="19">
        <v>2.1000000000000001E-2</v>
      </c>
      <c r="C794" s="19">
        <v>6.4999999999999997E-3</v>
      </c>
      <c r="D794" s="19">
        <v>5.314E-2</v>
      </c>
      <c r="E794" s="19">
        <v>6.3544109589041093E-3</v>
      </c>
      <c r="F794" s="19">
        <v>2.0854410958904109E-2</v>
      </c>
    </row>
    <row r="795" spans="1:6" x14ac:dyDescent="0.25">
      <c r="A795" s="18">
        <v>43039</v>
      </c>
      <c r="B795" s="19">
        <v>-1.9199999999999998E-2</v>
      </c>
      <c r="C795" s="19">
        <v>-9.4000000000000004E-3</v>
      </c>
      <c r="D795" s="19">
        <v>5.3150000000000003E-2</v>
      </c>
      <c r="E795" s="19">
        <v>-9.5456164383561654E-3</v>
      </c>
      <c r="F795" s="19">
        <v>-1.9345616438356163E-2</v>
      </c>
    </row>
    <row r="796" spans="1:6" x14ac:dyDescent="0.25">
      <c r="A796" s="18">
        <v>43038</v>
      </c>
      <c r="B796" s="19">
        <v>5.1900000000000002E-2</v>
      </c>
      <c r="C796" s="19">
        <v>5.7000000000000002E-3</v>
      </c>
      <c r="D796" s="19">
        <v>5.3150000000000003E-2</v>
      </c>
      <c r="E796" s="19">
        <v>5.554383561643836E-3</v>
      </c>
      <c r="F796" s="19">
        <v>5.1754383561643837E-2</v>
      </c>
    </row>
    <row r="797" spans="1:6" x14ac:dyDescent="0.25">
      <c r="A797" s="18">
        <v>43035</v>
      </c>
      <c r="B797" s="19">
        <v>1.0200000000000001E-2</v>
      </c>
      <c r="C797" s="19">
        <v>1.24E-2</v>
      </c>
      <c r="D797" s="19">
        <v>5.3170000000000002E-2</v>
      </c>
      <c r="E797" s="19">
        <v>1.2254328767123287E-2</v>
      </c>
      <c r="F797" s="19">
        <v>1.0054328767123288E-2</v>
      </c>
    </row>
    <row r="798" spans="1:6" x14ac:dyDescent="0.25">
      <c r="A798" s="18">
        <v>43034</v>
      </c>
      <c r="B798" s="19">
        <v>-1.72E-2</v>
      </c>
      <c r="C798" s="19">
        <v>-6.9999999999999999E-4</v>
      </c>
      <c r="D798" s="19">
        <v>5.3170000000000002E-2</v>
      </c>
      <c r="E798" s="19">
        <v>-8.4567123287671237E-4</v>
      </c>
      <c r="F798" s="19">
        <v>-1.7345671232876711E-2</v>
      </c>
    </row>
    <row r="799" spans="1:6" x14ac:dyDescent="0.25">
      <c r="A799" s="18">
        <v>43033</v>
      </c>
      <c r="B799" s="19">
        <v>1.4E-3</v>
      </c>
      <c r="C799" s="19">
        <v>6.6E-3</v>
      </c>
      <c r="D799" s="19">
        <v>5.3170000000000002E-2</v>
      </c>
      <c r="E799" s="19">
        <v>6.4543287671232873E-3</v>
      </c>
      <c r="F799" s="19">
        <v>1.2543287671232877E-3</v>
      </c>
    </row>
    <row r="800" spans="1:6" x14ac:dyDescent="0.25">
      <c r="A800" s="18">
        <v>43032</v>
      </c>
      <c r="B800" s="19">
        <v>2.35E-2</v>
      </c>
      <c r="C800" s="19">
        <v>6.3E-3</v>
      </c>
      <c r="D800" s="19">
        <v>5.3170000000000002E-2</v>
      </c>
      <c r="E800" s="19">
        <v>6.1543287671232873E-3</v>
      </c>
      <c r="F800" s="19">
        <v>2.3354328767123289E-2</v>
      </c>
    </row>
    <row r="801" spans="1:6" x14ac:dyDescent="0.25">
      <c r="A801" s="18">
        <v>43031</v>
      </c>
      <c r="B801" s="19">
        <v>-3.6799999999999999E-2</v>
      </c>
      <c r="C801" s="19">
        <v>-8.2000000000000007E-3</v>
      </c>
      <c r="D801" s="19">
        <v>5.3199999999999997E-2</v>
      </c>
      <c r="E801" s="19">
        <v>-8.3457534246575357E-3</v>
      </c>
      <c r="F801" s="19">
        <v>-3.6945753424657536E-2</v>
      </c>
    </row>
    <row r="802" spans="1:6" x14ac:dyDescent="0.25">
      <c r="A802" s="18">
        <v>43028</v>
      </c>
      <c r="B802" s="19">
        <v>5.7000000000000002E-3</v>
      </c>
      <c r="C802" s="19">
        <v>-2.5000000000000001E-3</v>
      </c>
      <c r="D802" s="19">
        <v>5.3199999999999997E-2</v>
      </c>
      <c r="E802" s="19">
        <v>-2.6457534246575342E-3</v>
      </c>
      <c r="F802" s="19">
        <v>5.554246575342466E-3</v>
      </c>
    </row>
    <row r="803" spans="1:6" x14ac:dyDescent="0.25">
      <c r="A803" s="18">
        <v>43027</v>
      </c>
      <c r="B803" s="19">
        <v>1.15E-2</v>
      </c>
      <c r="C803" s="19">
        <v>1.5E-3</v>
      </c>
      <c r="D803" s="19">
        <v>5.3159999999999999E-2</v>
      </c>
      <c r="E803" s="19">
        <v>1.3543561643835616E-3</v>
      </c>
      <c r="F803" s="19">
        <v>1.1354356164383562E-2</v>
      </c>
    </row>
    <row r="804" spans="1:6" x14ac:dyDescent="0.25">
      <c r="A804" s="18">
        <v>43026</v>
      </c>
      <c r="B804" s="19">
        <v>1.4E-3</v>
      </c>
      <c r="C804" s="19">
        <v>-6.9999999999999999E-4</v>
      </c>
      <c r="D804" s="19">
        <v>5.323E-2</v>
      </c>
      <c r="E804" s="19">
        <v>-8.4583561643835617E-4</v>
      </c>
      <c r="F804" s="19">
        <v>1.2541643835616437E-3</v>
      </c>
    </row>
    <row r="805" spans="1:6" x14ac:dyDescent="0.25">
      <c r="A805" s="18">
        <v>43025</v>
      </c>
      <c r="B805" s="19">
        <v>0</v>
      </c>
      <c r="C805" s="19">
        <v>1.0800000000000001E-2</v>
      </c>
      <c r="D805" s="19">
        <v>5.3240000000000003E-2</v>
      </c>
      <c r="E805" s="19">
        <v>1.065413698630137E-2</v>
      </c>
      <c r="F805" s="19">
        <v>-1.4586301369863016E-4</v>
      </c>
    </row>
    <row r="806" spans="1:6" x14ac:dyDescent="0.25">
      <c r="A806" s="18">
        <v>43024</v>
      </c>
      <c r="B806" s="19">
        <v>-8.6E-3</v>
      </c>
      <c r="C806" s="19">
        <v>-1.9E-3</v>
      </c>
      <c r="D806" s="19">
        <v>5.3240000000000003E-2</v>
      </c>
      <c r="E806" s="19">
        <v>-2.0458630136986301E-3</v>
      </c>
      <c r="F806" s="19">
        <v>-8.7458630136986303E-3</v>
      </c>
    </row>
    <row r="807" spans="1:6" x14ac:dyDescent="0.25">
      <c r="A807" s="18">
        <v>43021</v>
      </c>
      <c r="B807" s="19">
        <v>1.6E-2</v>
      </c>
      <c r="C807" s="19">
        <v>6.1999999999999998E-3</v>
      </c>
      <c r="D807" s="19">
        <v>5.3249999999999999E-2</v>
      </c>
      <c r="E807" s="19">
        <v>6.0541095890410956E-3</v>
      </c>
      <c r="F807" s="19">
        <v>1.5854109589041095E-2</v>
      </c>
    </row>
    <row r="808" spans="1:6" x14ac:dyDescent="0.25">
      <c r="A808" s="18">
        <v>43020</v>
      </c>
      <c r="B808" s="19">
        <v>1.03E-2</v>
      </c>
      <c r="C808" s="19">
        <v>2.3999999999999998E-3</v>
      </c>
      <c r="D808" s="19">
        <v>5.3249999999999999E-2</v>
      </c>
      <c r="E808" s="19">
        <v>2.2541095890410956E-3</v>
      </c>
      <c r="F808" s="19">
        <v>1.0154109589041097E-2</v>
      </c>
    </row>
    <row r="809" spans="1:6" x14ac:dyDescent="0.25">
      <c r="A809" s="18">
        <v>43019</v>
      </c>
      <c r="B809" s="19">
        <v>1.6400000000000001E-2</v>
      </c>
      <c r="C809" s="19">
        <v>4.1000000000000003E-3</v>
      </c>
      <c r="D809" s="19">
        <v>5.3179999999999998E-2</v>
      </c>
      <c r="E809" s="19">
        <v>3.9543013698630138E-3</v>
      </c>
      <c r="F809" s="19">
        <v>1.6254301369863014E-2</v>
      </c>
    </row>
    <row r="810" spans="1:6" x14ac:dyDescent="0.25">
      <c r="A810" s="18">
        <v>43018</v>
      </c>
      <c r="B810" s="19">
        <v>-5.8999999999999999E-3</v>
      </c>
      <c r="C810" s="19">
        <v>2.0999999999999999E-3</v>
      </c>
      <c r="D810" s="19">
        <v>5.3240000000000003E-2</v>
      </c>
      <c r="E810" s="19">
        <v>1.9541369863013696E-3</v>
      </c>
      <c r="F810" s="19">
        <v>-6.0458630136986302E-3</v>
      </c>
    </row>
    <row r="811" spans="1:6" x14ac:dyDescent="0.25">
      <c r="A811" s="18">
        <v>43017</v>
      </c>
      <c r="B811" s="19">
        <v>-4.4000000000000003E-3</v>
      </c>
      <c r="C811" s="19">
        <v>1.4E-3</v>
      </c>
      <c r="D811" s="19">
        <v>5.3400000000000003E-2</v>
      </c>
      <c r="E811" s="19">
        <v>1.2536986301369863E-3</v>
      </c>
      <c r="F811" s="19">
        <v>-4.5463013698630143E-3</v>
      </c>
    </row>
    <row r="812" spans="1:6" x14ac:dyDescent="0.25">
      <c r="A812" s="18">
        <v>43014</v>
      </c>
      <c r="B812" s="19">
        <v>-2.8999999999999998E-3</v>
      </c>
      <c r="C812" s="19">
        <v>3.2000000000000002E-3</v>
      </c>
      <c r="D812" s="19">
        <v>5.3510000000000002E-2</v>
      </c>
      <c r="E812" s="19">
        <v>3.0533972602739727E-3</v>
      </c>
      <c r="F812" s="19">
        <v>-3.0466027397260272E-3</v>
      </c>
    </row>
    <row r="813" spans="1:6" x14ac:dyDescent="0.25">
      <c r="A813" s="18">
        <v>43013</v>
      </c>
      <c r="B813" s="19">
        <v>-2.1600000000000001E-2</v>
      </c>
      <c r="C813" s="19">
        <v>-5.0000000000000001E-4</v>
      </c>
      <c r="D813" s="19">
        <v>5.357E-2</v>
      </c>
      <c r="E813" s="19">
        <v>-6.4676712328767122E-4</v>
      </c>
      <c r="F813" s="19">
        <v>-2.1746767123287672E-2</v>
      </c>
    </row>
    <row r="814" spans="1:6" x14ac:dyDescent="0.25">
      <c r="A814" s="18">
        <v>43012</v>
      </c>
      <c r="B814" s="19">
        <v>1.0200000000000001E-2</v>
      </c>
      <c r="C814" s="19">
        <v>9.5999999999999992E-3</v>
      </c>
      <c r="D814" s="19">
        <v>5.357E-2</v>
      </c>
      <c r="E814" s="19">
        <v>9.4532328767123284E-3</v>
      </c>
      <c r="F814" s="19">
        <v>1.005323287671233E-2</v>
      </c>
    </row>
    <row r="815" spans="1:6" x14ac:dyDescent="0.25">
      <c r="A815" s="18">
        <v>43011</v>
      </c>
      <c r="B815" s="19">
        <v>-1.01E-2</v>
      </c>
      <c r="C815" s="19">
        <v>-5.3E-3</v>
      </c>
      <c r="D815" s="19">
        <v>5.3629999999999997E-2</v>
      </c>
      <c r="E815" s="19">
        <v>-5.4469315068493155E-3</v>
      </c>
      <c r="F815" s="19">
        <v>-1.0246931506849315E-2</v>
      </c>
    </row>
    <row r="816" spans="1:6" x14ac:dyDescent="0.25">
      <c r="A816" s="18">
        <v>43010</v>
      </c>
      <c r="B816" s="19">
        <v>5.7999999999999996E-3</v>
      </c>
      <c r="C816" s="19">
        <v>-2.7000000000000001E-3</v>
      </c>
      <c r="D816" s="19">
        <v>5.364E-2</v>
      </c>
      <c r="E816" s="19">
        <v>-2.8469589041095894E-3</v>
      </c>
      <c r="F816" s="19">
        <v>5.6530410958904103E-3</v>
      </c>
    </row>
    <row r="817" spans="1:6" x14ac:dyDescent="0.25">
      <c r="A817" s="18">
        <v>43007</v>
      </c>
      <c r="B817" s="19">
        <v>-2.2599999999999999E-2</v>
      </c>
      <c r="C817" s="19">
        <v>-5.0000000000000001E-4</v>
      </c>
      <c r="D817" s="19">
        <v>5.3659999999999999E-2</v>
      </c>
      <c r="E817" s="19">
        <v>-6.4701369863013702E-4</v>
      </c>
      <c r="F817" s="19">
        <v>-2.2747013698630136E-2</v>
      </c>
    </row>
    <row r="818" spans="1:6" x14ac:dyDescent="0.25">
      <c r="A818" s="18">
        <v>43006</v>
      </c>
      <c r="B818" s="19">
        <v>0</v>
      </c>
      <c r="C818" s="19">
        <v>1.2999999999999999E-3</v>
      </c>
      <c r="D818" s="19">
        <v>5.3719999999999997E-2</v>
      </c>
      <c r="E818" s="19">
        <v>1.1528219178082192E-3</v>
      </c>
      <c r="F818" s="19">
        <v>-1.4717808219178081E-4</v>
      </c>
    </row>
    <row r="819" spans="1:6" x14ac:dyDescent="0.25">
      <c r="A819" s="18">
        <v>43005</v>
      </c>
      <c r="B819" s="19">
        <v>1.7299999999999999E-2</v>
      </c>
      <c r="C819" s="19">
        <v>-2E-3</v>
      </c>
      <c r="D819" s="19">
        <v>5.3789999999999998E-2</v>
      </c>
      <c r="E819" s="19">
        <v>-2.1473698630136988E-3</v>
      </c>
      <c r="F819" s="19">
        <v>1.7152630136986299E-2</v>
      </c>
    </row>
    <row r="820" spans="1:6" x14ac:dyDescent="0.25">
      <c r="A820" s="18">
        <v>43004</v>
      </c>
      <c r="B820" s="19">
        <v>1.46E-2</v>
      </c>
      <c r="C820" s="19">
        <v>-2.9999999999999997E-4</v>
      </c>
      <c r="D820" s="19">
        <v>5.3789999999999998E-2</v>
      </c>
      <c r="E820" s="19">
        <v>-4.4736986301369857E-4</v>
      </c>
      <c r="F820" s="19">
        <v>1.4452630136986302E-2</v>
      </c>
    </row>
    <row r="821" spans="1:6" x14ac:dyDescent="0.25">
      <c r="A821" s="18">
        <v>43003</v>
      </c>
      <c r="B821" s="19">
        <v>0</v>
      </c>
      <c r="C821" s="19">
        <v>-1.9E-3</v>
      </c>
      <c r="D821" s="19">
        <v>5.3789999999999998E-2</v>
      </c>
      <c r="E821" s="19">
        <v>-2.0473698630136985E-3</v>
      </c>
      <c r="F821" s="19">
        <v>-1.4736986301369862E-4</v>
      </c>
    </row>
    <row r="822" spans="1:6" x14ac:dyDescent="0.25">
      <c r="A822" s="18">
        <v>43000</v>
      </c>
      <c r="B822" s="19">
        <v>7.4000000000000003E-3</v>
      </c>
      <c r="C822" s="19">
        <v>4.0000000000000001E-3</v>
      </c>
      <c r="D822" s="19">
        <v>5.3789999999999998E-2</v>
      </c>
      <c r="E822" s="19">
        <v>3.8526301369863013E-3</v>
      </c>
      <c r="F822" s="19">
        <v>7.252630136986302E-3</v>
      </c>
    </row>
    <row r="823" spans="1:6" x14ac:dyDescent="0.25">
      <c r="A823" s="18">
        <v>42999</v>
      </c>
      <c r="B823" s="19">
        <v>2.8999999999999998E-3</v>
      </c>
      <c r="C823" s="19">
        <v>-2.3999999999999998E-3</v>
      </c>
      <c r="D823" s="19">
        <v>5.3769999999999998E-2</v>
      </c>
      <c r="E823" s="19">
        <v>-2.5473150684931505E-3</v>
      </c>
      <c r="F823" s="19">
        <v>2.7526849315068491E-3</v>
      </c>
    </row>
    <row r="824" spans="1:6" x14ac:dyDescent="0.25">
      <c r="A824" s="18">
        <v>42998</v>
      </c>
      <c r="B824" s="19">
        <v>0</v>
      </c>
      <c r="C824" s="19">
        <v>-1E-4</v>
      </c>
      <c r="D824" s="19">
        <v>5.3769999999999998E-2</v>
      </c>
      <c r="E824" s="19">
        <v>-2.4731506849315067E-4</v>
      </c>
      <c r="F824" s="19">
        <v>-1.4731506849315068E-4</v>
      </c>
    </row>
    <row r="825" spans="1:6" x14ac:dyDescent="0.25">
      <c r="A825" s="18">
        <v>42997</v>
      </c>
      <c r="B825" s="19">
        <v>-8.8000000000000005E-3</v>
      </c>
      <c r="C825" s="19">
        <v>-2.3999999999999998E-3</v>
      </c>
      <c r="D825" s="19">
        <v>5.3769999999999998E-2</v>
      </c>
      <c r="E825" s="19">
        <v>-2.5473150684931505E-3</v>
      </c>
      <c r="F825" s="19">
        <v>-8.9473150684931512E-3</v>
      </c>
    </row>
    <row r="826" spans="1:6" x14ac:dyDescent="0.25">
      <c r="A826" s="18">
        <v>42996</v>
      </c>
      <c r="B826" s="19">
        <v>-1.5E-3</v>
      </c>
      <c r="C826" s="19">
        <v>2.5000000000000001E-3</v>
      </c>
      <c r="D826" s="19">
        <v>5.3760000000000002E-2</v>
      </c>
      <c r="E826" s="19">
        <v>2.3527123287671232E-3</v>
      </c>
      <c r="F826" s="19">
        <v>-1.6472876712328767E-3</v>
      </c>
    </row>
    <row r="827" spans="1:6" x14ac:dyDescent="0.25">
      <c r="A827" s="18">
        <v>42993</v>
      </c>
      <c r="B827" s="19">
        <v>-7.1999999999999998E-3</v>
      </c>
      <c r="C827" s="19">
        <v>-5.9999999999999995E-4</v>
      </c>
      <c r="D827" s="19">
        <v>5.3800000000000001E-2</v>
      </c>
      <c r="E827" s="19">
        <v>-7.4739726027397253E-4</v>
      </c>
      <c r="F827" s="19">
        <v>-7.3473972602739728E-3</v>
      </c>
    </row>
    <row r="828" spans="1:6" x14ac:dyDescent="0.25">
      <c r="A828" s="18">
        <v>42992</v>
      </c>
      <c r="B828" s="19">
        <v>3.5999999999999997E-2</v>
      </c>
      <c r="C828" s="19">
        <v>4.4000000000000003E-3</v>
      </c>
      <c r="D828" s="19">
        <v>5.3830000000000003E-2</v>
      </c>
      <c r="E828" s="19">
        <v>4.2525205479452058E-3</v>
      </c>
      <c r="F828" s="19">
        <v>3.5852520547945202E-2</v>
      </c>
    </row>
    <row r="829" spans="1:6" x14ac:dyDescent="0.25">
      <c r="A829" s="18">
        <v>42991</v>
      </c>
      <c r="B829" s="19">
        <v>9.1000000000000004E-3</v>
      </c>
      <c r="C829" s="19">
        <v>3.5999999999999999E-3</v>
      </c>
      <c r="D829" s="19">
        <v>5.3830000000000003E-2</v>
      </c>
      <c r="E829" s="19">
        <v>3.4525205479452054E-3</v>
      </c>
      <c r="F829" s="19">
        <v>8.9525205479452051E-3</v>
      </c>
    </row>
    <row r="830" spans="1:6" x14ac:dyDescent="0.25">
      <c r="A830" s="18">
        <v>42990</v>
      </c>
      <c r="B830" s="19">
        <v>0</v>
      </c>
      <c r="C830" s="19">
        <v>3.0999999999999999E-3</v>
      </c>
      <c r="D830" s="19">
        <v>5.391E-2</v>
      </c>
      <c r="E830" s="19">
        <v>2.9523013698630135E-3</v>
      </c>
      <c r="F830" s="19">
        <v>-1.476986301369863E-4</v>
      </c>
    </row>
    <row r="831" spans="1:6" x14ac:dyDescent="0.25">
      <c r="A831" s="18">
        <v>42989</v>
      </c>
      <c r="B831" s="19">
        <v>-1.9300000000000001E-2</v>
      </c>
      <c r="C831" s="19">
        <v>-4.7000000000000002E-3</v>
      </c>
      <c r="D831" s="19">
        <v>5.3960000000000001E-2</v>
      </c>
      <c r="E831" s="19">
        <v>-4.8478356164383561E-3</v>
      </c>
      <c r="F831" s="19">
        <v>-1.9447835616438359E-2</v>
      </c>
    </row>
    <row r="832" spans="1:6" x14ac:dyDescent="0.25">
      <c r="A832" s="18">
        <v>42986</v>
      </c>
      <c r="B832" s="19">
        <v>1.3599999999999999E-2</v>
      </c>
      <c r="C832" s="19">
        <v>5.5999999999999999E-3</v>
      </c>
      <c r="D832" s="19">
        <v>5.3850000000000002E-2</v>
      </c>
      <c r="E832" s="19">
        <v>5.4524657534246578E-3</v>
      </c>
      <c r="F832" s="19">
        <v>1.3452465753424656E-2</v>
      </c>
    </row>
    <row r="833" spans="1:6" x14ac:dyDescent="0.25">
      <c r="A833" s="18">
        <v>42985</v>
      </c>
      <c r="B833" s="19">
        <v>0.02</v>
      </c>
      <c r="C833" s="19">
        <v>4.0000000000000001E-3</v>
      </c>
      <c r="D833" s="19">
        <v>5.3870000000000001E-2</v>
      </c>
      <c r="E833" s="19">
        <v>3.8524109589041095E-3</v>
      </c>
      <c r="F833" s="19">
        <v>1.985241095890411E-2</v>
      </c>
    </row>
    <row r="834" spans="1:6" x14ac:dyDescent="0.25">
      <c r="A834" s="18">
        <v>42984</v>
      </c>
      <c r="B834" s="19">
        <v>6.1999999999999998E-3</v>
      </c>
      <c r="C834" s="19">
        <v>1.6000000000000001E-3</v>
      </c>
      <c r="D834" s="19">
        <v>5.3969999999999997E-2</v>
      </c>
      <c r="E834" s="19">
        <v>1.4521369863013699E-3</v>
      </c>
      <c r="F834" s="19">
        <v>6.0521369863013701E-3</v>
      </c>
    </row>
    <row r="835" spans="1:6" x14ac:dyDescent="0.25">
      <c r="A835" s="18">
        <v>42983</v>
      </c>
      <c r="B835" s="19">
        <v>1.89E-2</v>
      </c>
      <c r="C835" s="19">
        <v>4.4999999999999997E-3</v>
      </c>
      <c r="D835" s="19">
        <v>5.4550000000000001E-2</v>
      </c>
      <c r="E835" s="19">
        <v>4.3505479452054787E-3</v>
      </c>
      <c r="F835" s="19">
        <v>1.8750547945205479E-2</v>
      </c>
    </row>
    <row r="836" spans="1:6" x14ac:dyDescent="0.25">
      <c r="A836" s="18">
        <v>42979</v>
      </c>
      <c r="B836" s="19">
        <v>1.44E-2</v>
      </c>
      <c r="C836" s="19">
        <v>7.6E-3</v>
      </c>
      <c r="D836" s="19">
        <v>5.4980000000000001E-2</v>
      </c>
      <c r="E836" s="19">
        <v>7.4493698630136987E-3</v>
      </c>
      <c r="F836" s="19">
        <v>1.4249369863013698E-2</v>
      </c>
    </row>
    <row r="837" spans="1:6" x14ac:dyDescent="0.25">
      <c r="A837" s="18">
        <v>42978</v>
      </c>
      <c r="B837" s="19">
        <v>0</v>
      </c>
      <c r="C837" s="19">
        <v>5.3E-3</v>
      </c>
      <c r="D837" s="19">
        <v>5.5010000000000003E-2</v>
      </c>
      <c r="E837" s="19">
        <v>5.1492876712328764E-3</v>
      </c>
      <c r="F837" s="19">
        <v>-1.5071232876712328E-4</v>
      </c>
    </row>
    <row r="838" spans="1:6" x14ac:dyDescent="0.25">
      <c r="A838" s="18">
        <v>42977</v>
      </c>
      <c r="B838" s="19">
        <v>0</v>
      </c>
      <c r="C838" s="19">
        <v>6.0000000000000001E-3</v>
      </c>
      <c r="D838" s="19">
        <v>5.5210000000000002E-2</v>
      </c>
      <c r="E838" s="19">
        <v>5.8487397260273974E-3</v>
      </c>
      <c r="F838" s="19">
        <v>-1.5126027397260275E-4</v>
      </c>
    </row>
    <row r="839" spans="1:6" x14ac:dyDescent="0.25">
      <c r="A839" s="18">
        <v>42976</v>
      </c>
      <c r="B839" s="19">
        <v>-6.3E-3</v>
      </c>
      <c r="C839" s="19">
        <v>-4.1999999999999997E-3</v>
      </c>
      <c r="D839" s="19">
        <v>5.5399999999999998E-2</v>
      </c>
      <c r="E839" s="19">
        <v>-4.3517808219178077E-3</v>
      </c>
      <c r="F839" s="19">
        <v>-6.451780821917808E-3</v>
      </c>
    </row>
    <row r="840" spans="1:6" x14ac:dyDescent="0.25">
      <c r="A840" s="18">
        <v>42975</v>
      </c>
      <c r="B840" s="19">
        <v>2.6100000000000002E-2</v>
      </c>
      <c r="C840" s="19">
        <v>7.3000000000000001E-3</v>
      </c>
      <c r="D840" s="19">
        <v>5.5309999999999998E-2</v>
      </c>
      <c r="E840" s="19">
        <v>7.1484657534246574E-3</v>
      </c>
      <c r="F840" s="19">
        <v>2.594846575342466E-2</v>
      </c>
    </row>
    <row r="841" spans="1:6" x14ac:dyDescent="0.25">
      <c r="A841" s="18">
        <v>42972</v>
      </c>
      <c r="B841" s="19">
        <v>0</v>
      </c>
      <c r="C841" s="19">
        <v>2.3999999999999998E-3</v>
      </c>
      <c r="D841" s="19">
        <v>5.4969999999999998E-2</v>
      </c>
      <c r="E841" s="19">
        <v>2.2493972602739723E-3</v>
      </c>
      <c r="F841" s="19">
        <v>-1.506027397260274E-4</v>
      </c>
    </row>
    <row r="842" spans="1:6" x14ac:dyDescent="0.25">
      <c r="A842" s="18">
        <v>42971</v>
      </c>
      <c r="B842" s="19">
        <v>6.6E-3</v>
      </c>
      <c r="C842" s="19">
        <v>4.8999999999999998E-3</v>
      </c>
      <c r="D842" s="19">
        <v>5.4620000000000002E-2</v>
      </c>
      <c r="E842" s="19">
        <v>4.7503561643835613E-3</v>
      </c>
      <c r="F842" s="19">
        <v>6.4503561643835614E-3</v>
      </c>
    </row>
    <row r="843" spans="1:6" x14ac:dyDescent="0.25">
      <c r="A843" s="18">
        <v>42970</v>
      </c>
      <c r="B843" s="19">
        <v>4.8999999999999998E-3</v>
      </c>
      <c r="C843" s="19">
        <v>6.1999999999999998E-3</v>
      </c>
      <c r="D843" s="19">
        <v>5.4379999999999998E-2</v>
      </c>
      <c r="E843" s="19">
        <v>6.0510136986301364E-3</v>
      </c>
      <c r="F843" s="19">
        <v>4.7510136986301365E-3</v>
      </c>
    </row>
    <row r="844" spans="1:6" x14ac:dyDescent="0.25">
      <c r="A844" s="18">
        <v>42969</v>
      </c>
      <c r="B844" s="19">
        <v>-6.4999999999999997E-3</v>
      </c>
      <c r="C844" s="19">
        <v>-9.7999999999999997E-3</v>
      </c>
      <c r="D844" s="19">
        <v>5.4379999999999998E-2</v>
      </c>
      <c r="E844" s="19">
        <v>-9.948986301369863E-3</v>
      </c>
      <c r="F844" s="19">
        <v>-6.6489863013698631E-3</v>
      </c>
    </row>
    <row r="845" spans="1:6" x14ac:dyDescent="0.25">
      <c r="A845" s="18">
        <v>42968</v>
      </c>
      <c r="B845" s="19">
        <v>3.3E-3</v>
      </c>
      <c r="C845" s="19">
        <v>-2.0000000000000001E-4</v>
      </c>
      <c r="D845" s="19">
        <v>5.4210000000000001E-2</v>
      </c>
      <c r="E845" s="19">
        <v>-3.4852054794520549E-4</v>
      </c>
      <c r="F845" s="19">
        <v>3.1514794520547946E-3</v>
      </c>
    </row>
    <row r="846" spans="1:6" x14ac:dyDescent="0.25">
      <c r="A846" s="18">
        <v>42965</v>
      </c>
      <c r="B846" s="19">
        <v>-1.6000000000000001E-3</v>
      </c>
      <c r="C846" s="19">
        <v>1.8E-3</v>
      </c>
      <c r="D846" s="19">
        <v>5.407E-2</v>
      </c>
      <c r="E846" s="19">
        <v>1.6518630136986301E-3</v>
      </c>
      <c r="F846" s="19">
        <v>-1.74813698630137E-3</v>
      </c>
    </row>
    <row r="847" spans="1:6" x14ac:dyDescent="0.25">
      <c r="A847" s="18">
        <v>42964</v>
      </c>
      <c r="B847" s="19">
        <v>-2.0899999999999998E-2</v>
      </c>
      <c r="C847" s="19">
        <v>-7.7000000000000002E-3</v>
      </c>
      <c r="D847" s="19">
        <v>5.4080000000000003E-2</v>
      </c>
      <c r="E847" s="19">
        <v>-7.8481643835616437E-3</v>
      </c>
      <c r="F847" s="19">
        <v>-2.1048164383561642E-2</v>
      </c>
    </row>
    <row r="848" spans="1:6" x14ac:dyDescent="0.25">
      <c r="A848" s="18">
        <v>42963</v>
      </c>
      <c r="B848" s="19">
        <v>2.47E-2</v>
      </c>
      <c r="C848" s="19">
        <v>3.3E-3</v>
      </c>
      <c r="D848" s="19">
        <v>5.3740000000000003E-2</v>
      </c>
      <c r="E848" s="19">
        <v>3.1527671232876712E-3</v>
      </c>
      <c r="F848" s="19">
        <v>2.4552767123287671E-2</v>
      </c>
    </row>
    <row r="849" spans="1:6" x14ac:dyDescent="0.25">
      <c r="A849" s="18">
        <v>42962</v>
      </c>
      <c r="B849" s="19">
        <v>-1.6199999999999999E-2</v>
      </c>
      <c r="C849" s="19">
        <v>-6.6E-3</v>
      </c>
      <c r="D849" s="19">
        <v>5.3629999999999997E-2</v>
      </c>
      <c r="E849" s="19">
        <v>-6.7469315068493154E-3</v>
      </c>
      <c r="F849" s="19">
        <v>-1.6346931506849315E-2</v>
      </c>
    </row>
    <row r="850" spans="1:6" x14ac:dyDescent="0.25">
      <c r="A850" s="18">
        <v>42961</v>
      </c>
      <c r="B850" s="19">
        <v>8.2000000000000007E-3</v>
      </c>
      <c r="C850" s="19">
        <v>5.3E-3</v>
      </c>
      <c r="D850" s="19">
        <v>5.3670000000000002E-2</v>
      </c>
      <c r="E850" s="19">
        <v>5.1529589041095893E-3</v>
      </c>
      <c r="F850" s="19">
        <v>8.05295890410959E-3</v>
      </c>
    </row>
    <row r="851" spans="1:6" x14ac:dyDescent="0.25">
      <c r="A851" s="18">
        <v>42958</v>
      </c>
      <c r="B851" s="19">
        <v>-2.7E-2</v>
      </c>
      <c r="C851" s="19">
        <v>-1.6999999999999999E-3</v>
      </c>
      <c r="D851" s="19">
        <v>5.3409999999999999E-2</v>
      </c>
      <c r="E851" s="19">
        <v>-1.8463287671232876E-3</v>
      </c>
      <c r="F851" s="19">
        <v>-2.7146328767123286E-2</v>
      </c>
    </row>
    <row r="852" spans="1:6" x14ac:dyDescent="0.25">
      <c r="A852" s="18">
        <v>42957</v>
      </c>
      <c r="B852" s="19">
        <v>-6.3E-3</v>
      </c>
      <c r="C852" s="19">
        <v>-2.9999999999999997E-4</v>
      </c>
      <c r="D852" s="19">
        <v>5.3339999999999999E-2</v>
      </c>
      <c r="E852" s="19">
        <v>-4.4613698630136987E-4</v>
      </c>
      <c r="F852" s="19">
        <v>-6.4461369863013703E-3</v>
      </c>
    </row>
    <row r="853" spans="1:6" x14ac:dyDescent="0.25">
      <c r="A853" s="18">
        <v>42956</v>
      </c>
      <c r="B853" s="19">
        <v>-1.7100000000000001E-2</v>
      </c>
      <c r="C853" s="19">
        <v>-2.2599999999999999E-2</v>
      </c>
      <c r="D853" s="19">
        <v>5.3190000000000001E-2</v>
      </c>
      <c r="E853" s="19">
        <v>-2.2745726027397259E-2</v>
      </c>
      <c r="F853" s="19">
        <v>-1.7245726027397261E-2</v>
      </c>
    </row>
    <row r="854" spans="1:6" x14ac:dyDescent="0.25">
      <c r="A854" s="18">
        <v>42955</v>
      </c>
      <c r="B854" s="19">
        <v>6.1999999999999998E-3</v>
      </c>
      <c r="C854" s="19">
        <v>-1.8E-3</v>
      </c>
      <c r="D854" s="19">
        <v>5.3069999999999999E-2</v>
      </c>
      <c r="E854" s="19">
        <v>-1.9453972602739725E-3</v>
      </c>
      <c r="F854" s="19">
        <v>6.054602739726027E-3</v>
      </c>
    </row>
    <row r="855" spans="1:6" x14ac:dyDescent="0.25">
      <c r="A855" s="18">
        <v>42954</v>
      </c>
      <c r="B855" s="19">
        <v>1.7500000000000002E-2</v>
      </c>
      <c r="C855" s="19">
        <v>5.4999999999999997E-3</v>
      </c>
      <c r="D855" s="19">
        <v>5.3010000000000002E-2</v>
      </c>
      <c r="E855" s="19">
        <v>5.3547671232876707E-3</v>
      </c>
      <c r="F855" s="19">
        <v>1.7354767123287672E-2</v>
      </c>
    </row>
    <row r="856" spans="1:6" x14ac:dyDescent="0.25">
      <c r="A856" s="18">
        <v>42951</v>
      </c>
      <c r="B856" s="19">
        <v>-1.2500000000000001E-2</v>
      </c>
      <c r="C856" s="19">
        <v>2.0000000000000001E-4</v>
      </c>
      <c r="D856" s="19">
        <v>5.2720000000000003E-2</v>
      </c>
      <c r="E856" s="19">
        <v>5.5561643835616445E-5</v>
      </c>
      <c r="F856" s="19">
        <v>-1.2644438356164384E-2</v>
      </c>
    </row>
    <row r="857" spans="1:6" x14ac:dyDescent="0.25">
      <c r="A857" s="18">
        <v>42950</v>
      </c>
      <c r="B857" s="19">
        <v>0</v>
      </c>
      <c r="C857" s="19">
        <v>2.8999999999999998E-3</v>
      </c>
      <c r="D857" s="19">
        <v>5.2720000000000003E-2</v>
      </c>
      <c r="E857" s="19">
        <v>2.755561643835616E-3</v>
      </c>
      <c r="F857" s="19">
        <v>-1.4443835616438356E-4</v>
      </c>
    </row>
    <row r="858" spans="1:6" x14ac:dyDescent="0.25">
      <c r="A858" s="18">
        <v>42949</v>
      </c>
      <c r="B858" s="19">
        <v>-6.1999999999999998E-3</v>
      </c>
      <c r="C858" s="19">
        <v>-6.9999999999999999E-4</v>
      </c>
      <c r="D858" s="19">
        <v>5.2720000000000003E-2</v>
      </c>
      <c r="E858" s="19">
        <v>-8.4443835616438356E-4</v>
      </c>
      <c r="F858" s="19">
        <v>-6.3444383561643836E-3</v>
      </c>
    </row>
    <row r="859" spans="1:6" x14ac:dyDescent="0.25">
      <c r="A859" s="18">
        <v>42948</v>
      </c>
      <c r="B859" s="19">
        <v>2.5600000000000001E-2</v>
      </c>
      <c r="C859" s="19">
        <v>4.1999999999999997E-3</v>
      </c>
      <c r="D859" s="19">
        <v>5.2720000000000003E-2</v>
      </c>
      <c r="E859" s="19">
        <v>4.055561643835616E-3</v>
      </c>
      <c r="F859" s="19">
        <v>2.5455561643835618E-2</v>
      </c>
    </row>
    <row r="860" spans="1:6" x14ac:dyDescent="0.25">
      <c r="A860" s="18">
        <v>42947</v>
      </c>
      <c r="B860" s="19">
        <v>1.7899999999999999E-2</v>
      </c>
      <c r="C860" s="19">
        <v>8.3000000000000001E-3</v>
      </c>
      <c r="D860" s="19">
        <v>5.2650000000000002E-2</v>
      </c>
      <c r="E860" s="19">
        <v>8.1557534246575348E-3</v>
      </c>
      <c r="F860" s="19">
        <v>1.7755753424657534E-2</v>
      </c>
    </row>
    <row r="861" spans="1:6" x14ac:dyDescent="0.25">
      <c r="A861" s="18">
        <v>42944</v>
      </c>
      <c r="B861" s="19">
        <v>1.49E-2</v>
      </c>
      <c r="C861" s="19">
        <v>7.1999999999999998E-3</v>
      </c>
      <c r="D861" s="19">
        <v>5.2740000000000002E-2</v>
      </c>
      <c r="E861" s="19">
        <v>7.0555068493150684E-3</v>
      </c>
      <c r="F861" s="19">
        <v>1.4755506849315068E-2</v>
      </c>
    </row>
    <row r="862" spans="1:6" x14ac:dyDescent="0.25">
      <c r="A862" s="18">
        <v>42943</v>
      </c>
      <c r="B862" s="19">
        <v>-1.14E-2</v>
      </c>
      <c r="C862" s="19">
        <v>-3.0999999999999999E-3</v>
      </c>
      <c r="D862" s="19">
        <v>5.2609999999999997E-2</v>
      </c>
      <c r="E862" s="19">
        <v>-3.2441369863013699E-3</v>
      </c>
      <c r="F862" s="19">
        <v>-1.154413698630137E-2</v>
      </c>
    </row>
    <row r="863" spans="1:6" x14ac:dyDescent="0.25">
      <c r="A863" s="18">
        <v>42942</v>
      </c>
      <c r="B863" s="19">
        <v>1.32E-2</v>
      </c>
      <c r="C863" s="19">
        <v>8.6E-3</v>
      </c>
      <c r="D863" s="19">
        <v>5.2780000000000001E-2</v>
      </c>
      <c r="E863" s="19">
        <v>8.4553972602739724E-3</v>
      </c>
      <c r="F863" s="19">
        <v>1.3055397260273972E-2</v>
      </c>
    </row>
    <row r="864" spans="1:6" x14ac:dyDescent="0.25">
      <c r="A864" s="18">
        <v>42941</v>
      </c>
      <c r="B864" s="19">
        <v>1.5100000000000001E-2</v>
      </c>
      <c r="C864" s="19">
        <v>9.9000000000000008E-3</v>
      </c>
      <c r="D864" s="19">
        <v>5.2729999999999999E-2</v>
      </c>
      <c r="E864" s="19">
        <v>9.7555342465753432E-3</v>
      </c>
      <c r="F864" s="19">
        <v>1.4955534246575343E-2</v>
      </c>
    </row>
    <row r="865" spans="1:6" x14ac:dyDescent="0.25">
      <c r="A865" s="18">
        <v>42940</v>
      </c>
      <c r="B865" s="19">
        <v>-6.7000000000000002E-3</v>
      </c>
      <c r="C865" s="19">
        <v>-2.8E-3</v>
      </c>
      <c r="D865" s="19">
        <v>5.2600000000000001E-2</v>
      </c>
      <c r="E865" s="19">
        <v>-2.9441095890410957E-3</v>
      </c>
      <c r="F865" s="19">
        <v>-6.8441095890410964E-3</v>
      </c>
    </row>
    <row r="866" spans="1:6" x14ac:dyDescent="0.25">
      <c r="A866" s="18">
        <v>42937</v>
      </c>
      <c r="B866" s="19">
        <v>-3.2300000000000002E-2</v>
      </c>
      <c r="C866" s="19">
        <v>-8.5000000000000006E-3</v>
      </c>
      <c r="D866" s="19">
        <v>5.253E-2</v>
      </c>
      <c r="E866" s="19">
        <v>-8.6439178082191783E-3</v>
      </c>
      <c r="F866" s="19">
        <v>-3.2443917808219182E-2</v>
      </c>
    </row>
    <row r="867" spans="1:6" x14ac:dyDescent="0.25">
      <c r="A867" s="18">
        <v>42936</v>
      </c>
      <c r="B867" s="19">
        <v>-1.12E-2</v>
      </c>
      <c r="C867" s="19">
        <v>-3.7000000000000002E-3</v>
      </c>
      <c r="D867" s="19">
        <v>5.2409999999999998E-2</v>
      </c>
      <c r="E867" s="19">
        <v>-3.8435890410958907E-3</v>
      </c>
      <c r="F867" s="19">
        <v>-1.134358904109589E-2</v>
      </c>
    </row>
    <row r="868" spans="1:6" x14ac:dyDescent="0.25">
      <c r="A868" s="18">
        <v>42935</v>
      </c>
      <c r="B868" s="19">
        <v>3.2899999999999999E-2</v>
      </c>
      <c r="C868" s="19">
        <v>5.0000000000000001E-3</v>
      </c>
      <c r="D868" s="19">
        <v>5.2810000000000003E-2</v>
      </c>
      <c r="E868" s="19">
        <v>4.8553150684931511E-3</v>
      </c>
      <c r="F868" s="19">
        <v>3.2755315068493149E-2</v>
      </c>
    </row>
    <row r="869" spans="1:6" x14ac:dyDescent="0.25">
      <c r="A869" s="18">
        <v>42934</v>
      </c>
      <c r="B869" s="19">
        <v>-2.2499999999999999E-2</v>
      </c>
      <c r="C869" s="19">
        <v>-1.8E-3</v>
      </c>
      <c r="D869" s="19">
        <v>5.3260000000000002E-2</v>
      </c>
      <c r="E869" s="19">
        <v>-1.9459178082191781E-3</v>
      </c>
      <c r="F869" s="19">
        <v>-2.2645917808219177E-2</v>
      </c>
    </row>
    <row r="870" spans="1:6" x14ac:dyDescent="0.25">
      <c r="A870" s="18">
        <v>42933</v>
      </c>
      <c r="B870" s="19">
        <v>-2.1999999999999999E-2</v>
      </c>
      <c r="C870" s="19">
        <v>-1.12E-2</v>
      </c>
      <c r="D870" s="19">
        <v>5.3809999999999997E-2</v>
      </c>
      <c r="E870" s="19">
        <v>-1.1347424657534246E-2</v>
      </c>
      <c r="F870" s="19">
        <v>-2.2147424657534245E-2</v>
      </c>
    </row>
    <row r="871" spans="1:6" x14ac:dyDescent="0.25">
      <c r="A871" s="18">
        <v>42930</v>
      </c>
      <c r="B871" s="19">
        <v>4.7000000000000002E-3</v>
      </c>
      <c r="C871" s="19">
        <v>-8.9999999999999998E-4</v>
      </c>
      <c r="D871" s="19">
        <v>5.3760000000000002E-2</v>
      </c>
      <c r="E871" s="19">
        <v>-1.0472876712328766E-3</v>
      </c>
      <c r="F871" s="19">
        <v>4.5527123287671233E-3</v>
      </c>
    </row>
    <row r="872" spans="1:6" x14ac:dyDescent="0.25">
      <c r="A872" s="18">
        <v>42929</v>
      </c>
      <c r="B872" s="19">
        <v>1.12E-2</v>
      </c>
      <c r="C872" s="19">
        <v>5.3E-3</v>
      </c>
      <c r="D872" s="19">
        <v>5.3679999999999999E-2</v>
      </c>
      <c r="E872" s="19">
        <v>5.1529315068493155E-3</v>
      </c>
      <c r="F872" s="19">
        <v>1.1052931506849314E-2</v>
      </c>
    </row>
    <row r="873" spans="1:6" x14ac:dyDescent="0.25">
      <c r="A873" s="18">
        <v>42928</v>
      </c>
      <c r="B873" s="19">
        <v>3.9899999999999998E-2</v>
      </c>
      <c r="C873" s="19">
        <v>6.3E-3</v>
      </c>
      <c r="D873" s="19">
        <v>5.416E-2</v>
      </c>
      <c r="E873" s="19">
        <v>6.1516164383561642E-3</v>
      </c>
      <c r="F873" s="19">
        <v>3.975161643835616E-2</v>
      </c>
    </row>
    <row r="874" spans="1:6" x14ac:dyDescent="0.25">
      <c r="A874" s="18">
        <v>42927</v>
      </c>
      <c r="B874" s="19">
        <v>-3.3E-3</v>
      </c>
      <c r="C874" s="19">
        <v>3.7000000000000002E-3</v>
      </c>
      <c r="D874" s="19">
        <v>5.4370000000000002E-2</v>
      </c>
      <c r="E874" s="19">
        <v>3.5510410958904111E-3</v>
      </c>
      <c r="F874" s="19">
        <v>-3.4489589041095891E-3</v>
      </c>
    </row>
    <row r="875" spans="1:6" x14ac:dyDescent="0.25">
      <c r="A875" s="18">
        <v>42926</v>
      </c>
      <c r="B875" s="19">
        <v>-6.6E-3</v>
      </c>
      <c r="C875" s="19">
        <v>-1.18E-2</v>
      </c>
      <c r="D875" s="19">
        <v>5.4850000000000003E-2</v>
      </c>
      <c r="E875" s="19">
        <v>-1.1950273972602739E-2</v>
      </c>
      <c r="F875" s="19">
        <v>-6.7502739726027399E-3</v>
      </c>
    </row>
    <row r="876" spans="1:6" x14ac:dyDescent="0.25">
      <c r="A876" s="18">
        <v>42923</v>
      </c>
      <c r="B876" s="19">
        <v>0</v>
      </c>
      <c r="C876" s="19">
        <v>-8.8000000000000005E-3</v>
      </c>
      <c r="D876" s="19">
        <v>5.5890000000000002E-2</v>
      </c>
      <c r="E876" s="19">
        <v>-8.9531232876712327E-3</v>
      </c>
      <c r="F876" s="19">
        <v>-1.5312328767123288E-4</v>
      </c>
    </row>
    <row r="877" spans="1:6" x14ac:dyDescent="0.25">
      <c r="A877" s="18">
        <v>42922</v>
      </c>
      <c r="B877" s="19">
        <v>0.01</v>
      </c>
      <c r="C877" s="19">
        <v>5.5999999999999999E-3</v>
      </c>
      <c r="D877" s="19">
        <v>5.6099999999999997E-2</v>
      </c>
      <c r="E877" s="19">
        <v>5.4463013698630141E-3</v>
      </c>
      <c r="F877" s="19">
        <v>9.8463013698630135E-3</v>
      </c>
    </row>
    <row r="878" spans="1:6" x14ac:dyDescent="0.25">
      <c r="A878" s="18">
        <v>42921</v>
      </c>
      <c r="B878" s="19">
        <v>1.8599999999999998E-2</v>
      </c>
      <c r="C878" s="19">
        <v>3.5999999999999999E-3</v>
      </c>
      <c r="D878" s="19">
        <v>5.6239999999999998E-2</v>
      </c>
      <c r="E878" s="19">
        <v>3.4459178082191779E-3</v>
      </c>
      <c r="F878" s="19">
        <v>1.8445917808219178E-2</v>
      </c>
    </row>
    <row r="879" spans="1:6" x14ac:dyDescent="0.25">
      <c r="A879" s="18">
        <v>42920</v>
      </c>
      <c r="B879" s="19">
        <v>-1.01E-2</v>
      </c>
      <c r="C879" s="19">
        <v>-4.3E-3</v>
      </c>
      <c r="D879" s="19">
        <v>5.6239999999999998E-2</v>
      </c>
      <c r="E879" s="19">
        <v>-4.454082191780822E-3</v>
      </c>
      <c r="F879" s="19">
        <v>-1.0254082191780822E-2</v>
      </c>
    </row>
    <row r="880" spans="1:6" x14ac:dyDescent="0.25">
      <c r="A880" s="18">
        <v>42919</v>
      </c>
      <c r="B880" s="19">
        <v>2.23E-2</v>
      </c>
      <c r="C880" s="19">
        <v>3.0999999999999999E-3</v>
      </c>
      <c r="D880" s="19">
        <v>5.6239999999999998E-2</v>
      </c>
      <c r="E880" s="19">
        <v>2.9459178082191779E-3</v>
      </c>
      <c r="F880" s="19">
        <v>2.214591780821918E-2</v>
      </c>
    </row>
    <row r="881" spans="1:6" x14ac:dyDescent="0.25">
      <c r="A881" s="18">
        <v>42916</v>
      </c>
      <c r="B881" s="19">
        <v>1.7500000000000002E-2</v>
      </c>
      <c r="C881" s="19">
        <v>6.1000000000000004E-3</v>
      </c>
      <c r="D881" s="19">
        <v>5.6340000000000001E-2</v>
      </c>
      <c r="E881" s="19">
        <v>5.9456438356164385E-3</v>
      </c>
      <c r="F881" s="19">
        <v>1.7345643835616441E-2</v>
      </c>
    </row>
    <row r="882" spans="1:6" x14ac:dyDescent="0.25">
      <c r="A882" s="18">
        <v>42915</v>
      </c>
      <c r="B882" s="19">
        <v>0</v>
      </c>
      <c r="C882" s="19">
        <v>3.5000000000000001E-3</v>
      </c>
      <c r="D882" s="19">
        <v>5.6529999999999997E-2</v>
      </c>
      <c r="E882" s="19">
        <v>3.3451232876712329E-3</v>
      </c>
      <c r="F882" s="19">
        <v>-1.5487671232876712E-4</v>
      </c>
    </row>
    <row r="883" spans="1:6" x14ac:dyDescent="0.25">
      <c r="A883" s="18">
        <v>42914</v>
      </c>
      <c r="B883" s="19">
        <v>-1.6999999999999999E-3</v>
      </c>
      <c r="C883" s="19">
        <v>2E-3</v>
      </c>
      <c r="D883" s="19">
        <v>5.6500000000000002E-2</v>
      </c>
      <c r="E883" s="19">
        <v>1.8452054794520548E-3</v>
      </c>
      <c r="F883" s="19">
        <v>-1.8547945205479451E-3</v>
      </c>
    </row>
    <row r="884" spans="1:6" x14ac:dyDescent="0.25">
      <c r="A884" s="18">
        <v>42913</v>
      </c>
      <c r="B884" s="19">
        <v>7.0000000000000001E-3</v>
      </c>
      <c r="C884" s="19">
        <v>-6.4999999999999997E-3</v>
      </c>
      <c r="D884" s="19">
        <v>5.6500000000000002E-2</v>
      </c>
      <c r="E884" s="19">
        <v>-6.6547945205479445E-3</v>
      </c>
      <c r="F884" s="19">
        <v>6.8452054794520554E-3</v>
      </c>
    </row>
    <row r="885" spans="1:6" x14ac:dyDescent="0.25">
      <c r="A885" s="18">
        <v>42912</v>
      </c>
      <c r="B885" s="19">
        <v>5.3E-3</v>
      </c>
      <c r="C885" s="19">
        <v>4.5999999999999999E-3</v>
      </c>
      <c r="D885" s="19">
        <v>5.6500000000000002E-2</v>
      </c>
      <c r="E885" s="19">
        <v>4.4452054794520551E-3</v>
      </c>
      <c r="F885" s="19">
        <v>5.1452054794520552E-3</v>
      </c>
    </row>
    <row r="886" spans="1:6" x14ac:dyDescent="0.25">
      <c r="A886" s="18">
        <v>42909</v>
      </c>
      <c r="B886" s="19">
        <v>-5.3E-3</v>
      </c>
      <c r="C886" s="19">
        <v>3.5000000000000001E-3</v>
      </c>
      <c r="D886" s="19">
        <v>5.6520000000000001E-2</v>
      </c>
      <c r="E886" s="19">
        <v>3.3451506849315068E-3</v>
      </c>
      <c r="F886" s="19">
        <v>-5.4548493150684933E-3</v>
      </c>
    </row>
    <row r="887" spans="1:6" x14ac:dyDescent="0.25">
      <c r="A887" s="18">
        <v>42908</v>
      </c>
      <c r="B887" s="19">
        <v>-1.21E-2</v>
      </c>
      <c r="C887" s="19">
        <v>-1.4E-3</v>
      </c>
      <c r="D887" s="19">
        <v>5.6829999999999999E-2</v>
      </c>
      <c r="E887" s="19">
        <v>-1.5556986301369863E-3</v>
      </c>
      <c r="F887" s="19">
        <v>-1.2255698630136987E-2</v>
      </c>
    </row>
    <row r="888" spans="1:6" x14ac:dyDescent="0.25">
      <c r="A888" s="18">
        <v>42907</v>
      </c>
      <c r="B888" s="19">
        <v>-6.8999999999999999E-3</v>
      </c>
      <c r="C888" s="19">
        <v>-8.0000000000000004E-4</v>
      </c>
      <c r="D888" s="19">
        <v>5.6829999999999999E-2</v>
      </c>
      <c r="E888" s="19">
        <v>-9.5569863013698637E-4</v>
      </c>
      <c r="F888" s="19">
        <v>-7.055698630136986E-3</v>
      </c>
    </row>
    <row r="889" spans="1:6" x14ac:dyDescent="0.25">
      <c r="A889" s="18">
        <v>42906</v>
      </c>
      <c r="B889" s="19">
        <v>-1.6999999999999999E-3</v>
      </c>
      <c r="C889" s="19">
        <v>1.5E-3</v>
      </c>
      <c r="D889" s="19">
        <v>5.7320000000000003E-2</v>
      </c>
      <c r="E889" s="19">
        <v>1.3429589041095891E-3</v>
      </c>
      <c r="F889" s="19">
        <v>-1.8570410958904109E-3</v>
      </c>
    </row>
    <row r="890" spans="1:6" x14ac:dyDescent="0.25">
      <c r="A890" s="18">
        <v>42905</v>
      </c>
      <c r="B890" s="19">
        <v>1.2200000000000001E-2</v>
      </c>
      <c r="C890" s="19">
        <v>7.3000000000000001E-3</v>
      </c>
      <c r="D890" s="19">
        <v>5.7459999999999997E-2</v>
      </c>
      <c r="E890" s="19">
        <v>7.1425753424657536E-3</v>
      </c>
      <c r="F890" s="19">
        <v>1.2042575342465753E-2</v>
      </c>
    </row>
    <row r="891" spans="1:6" x14ac:dyDescent="0.25">
      <c r="A891" s="18">
        <v>42902</v>
      </c>
      <c r="B891" s="19">
        <v>1.0500000000000001E-2</v>
      </c>
      <c r="C891" s="19">
        <v>8.9999999999999998E-4</v>
      </c>
      <c r="D891" s="19">
        <v>5.7590000000000002E-2</v>
      </c>
      <c r="E891" s="19">
        <v>7.422191780821917E-4</v>
      </c>
      <c r="F891" s="19">
        <v>1.0342219178082193E-2</v>
      </c>
    </row>
    <row r="892" spans="1:6" x14ac:dyDescent="0.25">
      <c r="A892" s="18">
        <v>42901</v>
      </c>
      <c r="B892" s="19">
        <v>-1.04E-2</v>
      </c>
      <c r="C892" s="19">
        <v>-2.9999999999999997E-4</v>
      </c>
      <c r="D892" s="19">
        <v>5.781E-2</v>
      </c>
      <c r="E892" s="19">
        <v>-4.5838356164383558E-4</v>
      </c>
      <c r="F892" s="19">
        <v>-1.0558383561643835E-2</v>
      </c>
    </row>
    <row r="893" spans="1:6" x14ac:dyDescent="0.25">
      <c r="A893" s="18">
        <v>42900</v>
      </c>
      <c r="B893" s="19">
        <v>2.3099999999999999E-2</v>
      </c>
      <c r="C893" s="19">
        <v>5.1000000000000004E-3</v>
      </c>
      <c r="D893" s="19">
        <v>5.8290000000000002E-2</v>
      </c>
      <c r="E893" s="19">
        <v>4.9403013698630137E-3</v>
      </c>
      <c r="F893" s="19">
        <v>2.2940301369863011E-2</v>
      </c>
    </row>
    <row r="894" spans="1:6" x14ac:dyDescent="0.25">
      <c r="A894" s="18">
        <v>42899</v>
      </c>
      <c r="B894" s="19">
        <v>1.8100000000000002E-2</v>
      </c>
      <c r="C894" s="19">
        <v>7.7000000000000002E-3</v>
      </c>
      <c r="D894" s="19">
        <v>5.8400000000000001E-2</v>
      </c>
      <c r="E894" s="19">
        <v>7.5399999999999998E-3</v>
      </c>
      <c r="F894" s="19">
        <v>1.7940000000000001E-2</v>
      </c>
    </row>
    <row r="895" spans="1:6" x14ac:dyDescent="0.25">
      <c r="A895" s="18">
        <v>42898</v>
      </c>
      <c r="B895" s="19">
        <v>5.4999999999999997E-3</v>
      </c>
      <c r="C895" s="19">
        <v>1.8E-3</v>
      </c>
      <c r="D895" s="19">
        <v>5.8400000000000001E-2</v>
      </c>
      <c r="E895" s="19">
        <v>1.64E-3</v>
      </c>
      <c r="F895" s="19">
        <v>5.3399999999999993E-3</v>
      </c>
    </row>
    <row r="896" spans="1:6" x14ac:dyDescent="0.25">
      <c r="A896" s="18">
        <v>42895</v>
      </c>
      <c r="B896" s="19">
        <v>-1.0800000000000001E-2</v>
      </c>
      <c r="C896" s="19">
        <v>-5.0000000000000001E-4</v>
      </c>
      <c r="D896" s="19">
        <v>5.8229999999999997E-2</v>
      </c>
      <c r="E896" s="19">
        <v>-6.5953424657534242E-4</v>
      </c>
      <c r="F896" s="19">
        <v>-1.0959534246575343E-2</v>
      </c>
    </row>
    <row r="897" spans="1:6" x14ac:dyDescent="0.25">
      <c r="A897" s="18">
        <v>42894</v>
      </c>
      <c r="B897" s="19">
        <v>0</v>
      </c>
      <c r="C897" s="19">
        <v>-4.4000000000000003E-3</v>
      </c>
      <c r="D897" s="19">
        <v>5.8479999999999997E-2</v>
      </c>
      <c r="E897" s="19">
        <v>-4.5602191780821921E-3</v>
      </c>
      <c r="F897" s="19">
        <v>-1.6021917808219178E-4</v>
      </c>
    </row>
    <row r="898" spans="1:6" x14ac:dyDescent="0.25">
      <c r="A898" s="18">
        <v>42893</v>
      </c>
      <c r="B898" s="19">
        <v>1.8E-3</v>
      </c>
      <c r="C898" s="19">
        <v>2.8999999999999998E-3</v>
      </c>
      <c r="D898" s="19">
        <v>5.8479999999999997E-2</v>
      </c>
      <c r="E898" s="19">
        <v>2.7397808219178079E-3</v>
      </c>
      <c r="F898" s="19">
        <v>1.6397808219178081E-3</v>
      </c>
    </row>
    <row r="899" spans="1:6" x14ac:dyDescent="0.25">
      <c r="A899" s="18">
        <v>42892</v>
      </c>
      <c r="B899" s="19">
        <v>3.5999999999999999E-3</v>
      </c>
      <c r="C899" s="19">
        <v>1.0500000000000001E-2</v>
      </c>
      <c r="D899" s="19">
        <v>5.8500000000000003E-2</v>
      </c>
      <c r="E899" s="19">
        <v>1.033972602739726E-2</v>
      </c>
      <c r="F899" s="19">
        <v>3.43972602739726E-3</v>
      </c>
    </row>
    <row r="900" spans="1:6" x14ac:dyDescent="0.25">
      <c r="A900" s="18">
        <v>42891</v>
      </c>
      <c r="B900" s="19">
        <v>1.0999999999999999E-2</v>
      </c>
      <c r="C900" s="19">
        <v>6.3E-3</v>
      </c>
      <c r="D900" s="19">
        <v>5.851E-2</v>
      </c>
      <c r="E900" s="19">
        <v>6.1396986301369867E-3</v>
      </c>
      <c r="F900" s="19">
        <v>1.0839698630136986E-2</v>
      </c>
    </row>
    <row r="901" spans="1:6" x14ac:dyDescent="0.25">
      <c r="A901" s="18">
        <v>42888</v>
      </c>
      <c r="B901" s="19">
        <v>-1.9699999999999999E-2</v>
      </c>
      <c r="C901" s="19">
        <v>-4.0000000000000001E-3</v>
      </c>
      <c r="D901" s="19">
        <v>5.8549999999999998E-2</v>
      </c>
      <c r="E901" s="19">
        <v>-4.1604109589041096E-3</v>
      </c>
      <c r="F901" s="19">
        <v>-1.9860410958904107E-2</v>
      </c>
    </row>
    <row r="902" spans="1:6" x14ac:dyDescent="0.25">
      <c r="A902" s="18">
        <v>42887</v>
      </c>
      <c r="B902" s="19">
        <v>1.8E-3</v>
      </c>
      <c r="C902" s="19">
        <v>5.4000000000000003E-3</v>
      </c>
      <c r="D902" s="19">
        <v>5.8650000000000001E-2</v>
      </c>
      <c r="E902" s="19">
        <v>5.2393150684931509E-3</v>
      </c>
      <c r="F902" s="19">
        <v>1.6393150684931505E-3</v>
      </c>
    </row>
    <row r="903" spans="1:6" x14ac:dyDescent="0.25">
      <c r="A903" s="18">
        <v>42886</v>
      </c>
      <c r="B903" s="19">
        <v>-1.77E-2</v>
      </c>
      <c r="C903" s="19">
        <v>-5.0000000000000001E-4</v>
      </c>
      <c r="D903" s="19">
        <v>5.6710000000000003E-2</v>
      </c>
      <c r="E903" s="19">
        <v>-6.5536986301369864E-4</v>
      </c>
      <c r="F903" s="19">
        <v>-1.7855369863013698E-2</v>
      </c>
    </row>
    <row r="904" spans="1:6" x14ac:dyDescent="0.25">
      <c r="A904" s="18">
        <v>42885</v>
      </c>
      <c r="B904" s="19">
        <v>-2.41E-2</v>
      </c>
      <c r="C904" s="19">
        <v>-1.0800000000000001E-2</v>
      </c>
      <c r="D904" s="19">
        <v>5.6829999999999999E-2</v>
      </c>
      <c r="E904" s="19">
        <v>-1.0955698630136988E-2</v>
      </c>
      <c r="F904" s="19">
        <v>-2.4255698630136987E-2</v>
      </c>
    </row>
    <row r="905" spans="1:6" x14ac:dyDescent="0.25">
      <c r="A905" s="18">
        <v>42884</v>
      </c>
      <c r="B905" s="19">
        <v>2.1100000000000001E-2</v>
      </c>
      <c r="C905" s="19">
        <v>3.8E-3</v>
      </c>
      <c r="D905" s="19">
        <v>5.6829999999999999E-2</v>
      </c>
      <c r="E905" s="19">
        <v>3.6443013698630139E-3</v>
      </c>
      <c r="F905" s="19">
        <v>2.0944301369863014E-2</v>
      </c>
    </row>
    <row r="906" spans="1:6" x14ac:dyDescent="0.25">
      <c r="A906" s="18">
        <v>42881</v>
      </c>
      <c r="B906" s="19">
        <v>-2.24E-2</v>
      </c>
      <c r="C906" s="19">
        <v>2E-3</v>
      </c>
      <c r="D906" s="19">
        <v>5.6860000000000001E-2</v>
      </c>
      <c r="E906" s="19">
        <v>1.8442191780821918E-3</v>
      </c>
      <c r="F906" s="19">
        <v>-2.2555780821917809E-2</v>
      </c>
    </row>
    <row r="907" spans="1:6" x14ac:dyDescent="0.25">
      <c r="A907" s="18">
        <v>42880</v>
      </c>
      <c r="B907" s="19">
        <v>1.7500000000000002E-2</v>
      </c>
      <c r="C907" s="19">
        <v>-1.1000000000000001E-3</v>
      </c>
      <c r="D907" s="19">
        <v>5.7009999999999998E-2</v>
      </c>
      <c r="E907" s="19">
        <v>-1.2561917808219178E-3</v>
      </c>
      <c r="F907" s="19">
        <v>1.7343808219178084E-2</v>
      </c>
    </row>
    <row r="908" spans="1:6" x14ac:dyDescent="0.25">
      <c r="A908" s="18">
        <v>42879</v>
      </c>
      <c r="B908" s="19">
        <v>-5.1999999999999998E-3</v>
      </c>
      <c r="C908" s="19">
        <v>2.3999999999999998E-3</v>
      </c>
      <c r="D908" s="19">
        <v>5.731E-2</v>
      </c>
      <c r="E908" s="19">
        <v>2.2429863013698629E-3</v>
      </c>
      <c r="F908" s="19">
        <v>-5.3570136986301371E-3</v>
      </c>
    </row>
    <row r="909" spans="1:6" x14ac:dyDescent="0.25">
      <c r="A909" s="18">
        <v>42878</v>
      </c>
      <c r="B909" s="19">
        <v>-1.2E-2</v>
      </c>
      <c r="C909" s="19">
        <v>-4.3E-3</v>
      </c>
      <c r="D909" s="19">
        <v>5.7610000000000001E-2</v>
      </c>
      <c r="E909" s="19">
        <v>-4.4578356164383564E-3</v>
      </c>
      <c r="F909" s="19">
        <v>-1.2157835616438356E-2</v>
      </c>
    </row>
    <row r="910" spans="1:6" x14ac:dyDescent="0.25">
      <c r="A910" s="18">
        <v>42877</v>
      </c>
      <c r="B910" s="19">
        <v>3.9399999999999998E-2</v>
      </c>
      <c r="C910" s="19">
        <v>1.4E-2</v>
      </c>
      <c r="D910" s="19">
        <v>5.7570000000000003E-2</v>
      </c>
      <c r="E910" s="19">
        <v>1.384227397260274E-2</v>
      </c>
      <c r="F910" s="19">
        <v>3.9242273972602736E-2</v>
      </c>
    </row>
    <row r="911" spans="1:6" x14ac:dyDescent="0.25">
      <c r="A911" s="18">
        <v>42874</v>
      </c>
      <c r="B911" s="19">
        <v>2.1899999999999999E-2</v>
      </c>
      <c r="C911" s="19">
        <v>9.4000000000000004E-3</v>
      </c>
      <c r="D911" s="19">
        <v>5.7570000000000003E-2</v>
      </c>
      <c r="E911" s="19">
        <v>9.2422739726027402E-3</v>
      </c>
      <c r="F911" s="19">
        <v>2.1742273972602737E-2</v>
      </c>
    </row>
    <row r="912" spans="1:6" x14ac:dyDescent="0.25">
      <c r="A912" s="18">
        <v>42873</v>
      </c>
      <c r="B912" s="19">
        <v>5.4999999999999997E-3</v>
      </c>
      <c r="C912" s="19">
        <v>-2.9999999999999997E-4</v>
      </c>
      <c r="D912" s="19">
        <v>5.7610000000000001E-2</v>
      </c>
      <c r="E912" s="19">
        <v>-4.5783561643835617E-4</v>
      </c>
      <c r="F912" s="19">
        <v>5.3421643835616433E-3</v>
      </c>
    </row>
    <row r="913" spans="1:6" x14ac:dyDescent="0.25">
      <c r="A913" s="18">
        <v>42872</v>
      </c>
      <c r="B913" s="19">
        <v>-3.7000000000000002E-3</v>
      </c>
      <c r="C913" s="19">
        <v>3.0000000000000001E-3</v>
      </c>
      <c r="D913" s="19">
        <v>5.7770000000000002E-2</v>
      </c>
      <c r="E913" s="19">
        <v>2.8417260273972604E-3</v>
      </c>
      <c r="F913" s="19">
        <v>-3.8582739726027398E-3</v>
      </c>
    </row>
    <row r="914" spans="1:6" x14ac:dyDescent="0.25">
      <c r="A914" s="18">
        <v>42871</v>
      </c>
      <c r="B914" s="19">
        <v>9.1999999999999998E-3</v>
      </c>
      <c r="C914" s="19">
        <v>-4.0000000000000002E-4</v>
      </c>
      <c r="D914" s="19">
        <v>5.7799999999999997E-2</v>
      </c>
      <c r="E914" s="19">
        <v>-5.5835616438356165E-4</v>
      </c>
      <c r="F914" s="19">
        <v>9.0416438356164374E-3</v>
      </c>
    </row>
    <row r="915" spans="1:6" x14ac:dyDescent="0.25">
      <c r="A915" s="18">
        <v>42870</v>
      </c>
      <c r="B915" s="19">
        <v>-7.3000000000000001E-3</v>
      </c>
      <c r="C915" s="19">
        <v>0</v>
      </c>
      <c r="D915" s="19">
        <v>5.7880000000000001E-2</v>
      </c>
      <c r="E915" s="19">
        <v>-1.5857534246575342E-4</v>
      </c>
      <c r="F915" s="19">
        <v>-7.4585753424657531E-3</v>
      </c>
    </row>
    <row r="916" spans="1:6" x14ac:dyDescent="0.25">
      <c r="A916" s="18">
        <v>42867</v>
      </c>
      <c r="B916" s="19">
        <v>-1.09E-2</v>
      </c>
      <c r="C916" s="19">
        <v>5.0000000000000001E-4</v>
      </c>
      <c r="D916" s="19">
        <v>5.8049999999999997E-2</v>
      </c>
      <c r="E916" s="19">
        <v>3.4095890410958905E-4</v>
      </c>
      <c r="F916" s="19">
        <v>-1.1059041095890411E-2</v>
      </c>
    </row>
    <row r="917" spans="1:6" x14ac:dyDescent="0.25">
      <c r="A917" s="18">
        <v>42866</v>
      </c>
      <c r="B917" s="19">
        <v>1.8E-3</v>
      </c>
      <c r="C917" s="19">
        <v>8.9999999999999998E-4</v>
      </c>
      <c r="D917" s="19">
        <v>5.8049999999999997E-2</v>
      </c>
      <c r="E917" s="19">
        <v>7.4095890410958896E-4</v>
      </c>
      <c r="F917" s="19">
        <v>1.6409589041095889E-3</v>
      </c>
    </row>
    <row r="918" spans="1:6" x14ac:dyDescent="0.25">
      <c r="A918" s="18">
        <v>42865</v>
      </c>
      <c r="B918" s="19">
        <v>-1.0800000000000001E-2</v>
      </c>
      <c r="C918" s="19">
        <v>3.0000000000000001E-3</v>
      </c>
      <c r="D918" s="19">
        <v>5.8029999999999998E-2</v>
      </c>
      <c r="E918" s="19">
        <v>2.8410136986301371E-3</v>
      </c>
      <c r="F918" s="19">
        <v>-1.0958986301369864E-2</v>
      </c>
    </row>
    <row r="919" spans="1:6" x14ac:dyDescent="0.25">
      <c r="A919" s="18">
        <v>42864</v>
      </c>
      <c r="B919" s="19">
        <v>1.09E-2</v>
      </c>
      <c r="C919" s="19">
        <v>4.4999999999999997E-3</v>
      </c>
      <c r="D919" s="19">
        <v>5.8099999999999999E-2</v>
      </c>
      <c r="E919" s="19">
        <v>4.3408219178082191E-3</v>
      </c>
      <c r="F919" s="19">
        <v>1.0740821917808219E-2</v>
      </c>
    </row>
    <row r="920" spans="1:6" x14ac:dyDescent="0.25">
      <c r="A920" s="18">
        <v>42863</v>
      </c>
      <c r="B920" s="19">
        <v>7.3000000000000001E-3</v>
      </c>
      <c r="C920" s="19">
        <v>-1.6000000000000001E-3</v>
      </c>
      <c r="D920" s="19">
        <v>5.8090000000000003E-2</v>
      </c>
      <c r="E920" s="19">
        <v>-1.759150684931507E-3</v>
      </c>
      <c r="F920" s="19">
        <v>7.1408493150684933E-3</v>
      </c>
    </row>
    <row r="921" spans="1:6" x14ac:dyDescent="0.25">
      <c r="A921" s="18">
        <v>42860</v>
      </c>
      <c r="B921" s="19">
        <v>-1.09E-2</v>
      </c>
      <c r="C921" s="19">
        <v>-2.8E-3</v>
      </c>
      <c r="D921" s="19">
        <v>5.8090000000000003E-2</v>
      </c>
      <c r="E921" s="19">
        <v>-2.9591506849315067E-3</v>
      </c>
      <c r="F921" s="19">
        <v>-1.1059150684931508E-2</v>
      </c>
    </row>
    <row r="922" spans="1:6" x14ac:dyDescent="0.25">
      <c r="A922" s="18">
        <v>42859</v>
      </c>
      <c r="B922" s="19">
        <v>0</v>
      </c>
      <c r="C922" s="19">
        <v>3.3999999999999998E-3</v>
      </c>
      <c r="D922" s="19">
        <v>5.8090000000000003E-2</v>
      </c>
      <c r="E922" s="19">
        <v>3.2408493150684931E-3</v>
      </c>
      <c r="F922" s="19">
        <v>-1.5915068493150685E-4</v>
      </c>
    </row>
    <row r="923" spans="1:6" x14ac:dyDescent="0.25">
      <c r="A923" s="18">
        <v>42858</v>
      </c>
      <c r="B923" s="19">
        <v>-5.4000000000000003E-3</v>
      </c>
      <c r="C923" s="19">
        <v>2.5000000000000001E-3</v>
      </c>
      <c r="D923" s="19">
        <v>5.7950000000000002E-2</v>
      </c>
      <c r="E923" s="19">
        <v>2.341232876712329E-3</v>
      </c>
      <c r="F923" s="19">
        <v>-5.5587671232876718E-3</v>
      </c>
    </row>
    <row r="924" spans="1:6" x14ac:dyDescent="0.25">
      <c r="A924" s="18">
        <v>42853</v>
      </c>
      <c r="B924" s="19">
        <v>-5.4000000000000003E-3</v>
      </c>
      <c r="C924" s="19">
        <v>1.6999999999999999E-3</v>
      </c>
      <c r="D924" s="19">
        <v>5.7930000000000002E-2</v>
      </c>
      <c r="E924" s="19">
        <v>1.5412876712328767E-3</v>
      </c>
      <c r="F924" s="19">
        <v>-5.5587123287671233E-3</v>
      </c>
    </row>
    <row r="925" spans="1:6" x14ac:dyDescent="0.25">
      <c r="A925" s="18">
        <v>42852</v>
      </c>
      <c r="B925" s="19">
        <v>2.3900000000000001E-2</v>
      </c>
      <c r="C925" s="19">
        <v>9.1000000000000004E-3</v>
      </c>
      <c r="D925" s="19">
        <v>5.7930000000000002E-2</v>
      </c>
      <c r="E925" s="19">
        <v>8.9412876712328775E-3</v>
      </c>
      <c r="F925" s="19">
        <v>2.3741287671232878E-2</v>
      </c>
    </row>
    <row r="926" spans="1:6" x14ac:dyDescent="0.25">
      <c r="A926" s="18">
        <v>42851</v>
      </c>
      <c r="B926" s="19">
        <v>1.49E-2</v>
      </c>
      <c r="C926" s="19">
        <v>3.5000000000000001E-3</v>
      </c>
      <c r="D926" s="19">
        <v>5.774E-2</v>
      </c>
      <c r="E926" s="19">
        <v>3.3418082191780823E-3</v>
      </c>
      <c r="F926" s="19">
        <v>1.4741808219178082E-2</v>
      </c>
    </row>
    <row r="927" spans="1:6" x14ac:dyDescent="0.25">
      <c r="A927" s="18">
        <v>42850</v>
      </c>
      <c r="B927" s="19">
        <v>-7.4000000000000003E-3</v>
      </c>
      <c r="C927" s="19">
        <v>-2.5999999999999999E-3</v>
      </c>
      <c r="D927" s="19">
        <v>5.7729999999999997E-2</v>
      </c>
      <c r="E927" s="19">
        <v>-2.7581643835616438E-3</v>
      </c>
      <c r="F927" s="19">
        <v>-7.5581643835616443E-3</v>
      </c>
    </row>
    <row r="928" spans="1:6" x14ac:dyDescent="0.25">
      <c r="A928" s="18">
        <v>42849</v>
      </c>
      <c r="B928" s="19">
        <v>9.2999999999999992E-3</v>
      </c>
      <c r="C928" s="19">
        <v>-4.1999999999999997E-3</v>
      </c>
      <c r="D928" s="19">
        <v>5.7700000000000001E-2</v>
      </c>
      <c r="E928" s="19">
        <v>-4.3580821917808214E-3</v>
      </c>
      <c r="F928" s="19">
        <v>9.1419178082191768E-3</v>
      </c>
    </row>
    <row r="929" spans="1:6" x14ac:dyDescent="0.25">
      <c r="A929" s="18">
        <v>42846</v>
      </c>
      <c r="B929" s="19">
        <v>-7.4000000000000003E-3</v>
      </c>
      <c r="C929" s="19">
        <v>-4.0000000000000002E-4</v>
      </c>
      <c r="D929" s="19">
        <v>5.7700000000000001E-2</v>
      </c>
      <c r="E929" s="19">
        <v>-5.5808219178082191E-4</v>
      </c>
      <c r="F929" s="19">
        <v>-7.5580821917808219E-3</v>
      </c>
    </row>
    <row r="930" spans="1:6" x14ac:dyDescent="0.25">
      <c r="A930" s="18">
        <v>42845</v>
      </c>
      <c r="B930" s="19">
        <v>-1.8200000000000001E-2</v>
      </c>
      <c r="C930" s="19">
        <v>-5.7000000000000002E-3</v>
      </c>
      <c r="D930" s="19">
        <v>5.7669999999999999E-2</v>
      </c>
      <c r="E930" s="19">
        <v>-5.8580000000000004E-3</v>
      </c>
      <c r="F930" s="19">
        <v>-1.8357999999999999E-2</v>
      </c>
    </row>
    <row r="931" spans="1:6" x14ac:dyDescent="0.25">
      <c r="A931" s="18">
        <v>42844</v>
      </c>
      <c r="B931" s="19">
        <v>-1.8E-3</v>
      </c>
      <c r="C931" s="19">
        <v>2.5999999999999999E-3</v>
      </c>
      <c r="D931" s="19">
        <v>5.7579999999999999E-2</v>
      </c>
      <c r="E931" s="19">
        <v>2.4422465753424659E-3</v>
      </c>
      <c r="F931" s="19">
        <v>-1.9577534246575344E-3</v>
      </c>
    </row>
    <row r="932" spans="1:6" x14ac:dyDescent="0.25">
      <c r="A932" s="18">
        <v>42843</v>
      </c>
      <c r="B932" s="19">
        <v>2.0400000000000001E-2</v>
      </c>
      <c r="C932" s="19">
        <v>5.7999999999999996E-3</v>
      </c>
      <c r="D932" s="19">
        <v>5.7660000000000003E-2</v>
      </c>
      <c r="E932" s="19">
        <v>5.6420273972602733E-3</v>
      </c>
      <c r="F932" s="19">
        <v>2.0242027397260276E-2</v>
      </c>
    </row>
    <row r="933" spans="1:6" x14ac:dyDescent="0.25">
      <c r="A933" s="18">
        <v>42842</v>
      </c>
      <c r="B933" s="19">
        <v>1.9E-3</v>
      </c>
      <c r="C933" s="19">
        <v>-1.06E-2</v>
      </c>
      <c r="D933" s="19">
        <v>5.7669999999999999E-2</v>
      </c>
      <c r="E933" s="19">
        <v>-1.0758E-2</v>
      </c>
      <c r="F933" s="19">
        <v>1.7420000000000001E-3</v>
      </c>
    </row>
    <row r="934" spans="1:6" x14ac:dyDescent="0.25">
      <c r="A934" s="18">
        <v>42839</v>
      </c>
      <c r="B934" s="19">
        <v>-1.46E-2</v>
      </c>
      <c r="C934" s="19">
        <v>-8.0999999999999996E-3</v>
      </c>
      <c r="D934" s="19">
        <v>5.7750000000000003E-2</v>
      </c>
      <c r="E934" s="19">
        <v>-8.258219178082192E-3</v>
      </c>
      <c r="F934" s="19">
        <v>-1.4758219178082193E-2</v>
      </c>
    </row>
    <row r="935" spans="1:6" x14ac:dyDescent="0.25">
      <c r="A935" s="18">
        <v>42838</v>
      </c>
      <c r="B935" s="19">
        <v>-1.26E-2</v>
      </c>
      <c r="C935" s="19">
        <v>-1.6999999999999999E-3</v>
      </c>
      <c r="D935" s="19">
        <v>5.7820000000000003E-2</v>
      </c>
      <c r="E935" s="19">
        <v>-1.8584109589041096E-3</v>
      </c>
      <c r="F935" s="19">
        <v>-1.275841095890411E-2</v>
      </c>
    </row>
    <row r="936" spans="1:6" x14ac:dyDescent="0.25">
      <c r="A936" s="18">
        <v>42837</v>
      </c>
      <c r="B936" s="19">
        <v>-2.46E-2</v>
      </c>
      <c r="C936" s="19">
        <v>-7.9000000000000008E-3</v>
      </c>
      <c r="D936" s="19">
        <v>5.7869999999999998E-2</v>
      </c>
      <c r="E936" s="19">
        <v>-8.0585479452054808E-3</v>
      </c>
      <c r="F936" s="19">
        <v>-2.4758547945205479E-2</v>
      </c>
    </row>
    <row r="937" spans="1:6" x14ac:dyDescent="0.25">
      <c r="A937" s="18">
        <v>42836</v>
      </c>
      <c r="B937" s="19">
        <v>-1.8E-3</v>
      </c>
      <c r="C937" s="19">
        <v>2E-3</v>
      </c>
      <c r="D937" s="19">
        <v>5.8029999999999998E-2</v>
      </c>
      <c r="E937" s="19">
        <v>1.8410136986301371E-3</v>
      </c>
      <c r="F937" s="19">
        <v>-1.9589863013698629E-3</v>
      </c>
    </row>
    <row r="938" spans="1:6" x14ac:dyDescent="0.25">
      <c r="A938" s="18">
        <v>42835</v>
      </c>
      <c r="B938" s="19">
        <v>-5.1999999999999998E-3</v>
      </c>
      <c r="C938" s="19">
        <v>2.5999999999999999E-3</v>
      </c>
      <c r="D938" s="19">
        <v>5.8020000000000002E-2</v>
      </c>
      <c r="E938" s="19">
        <v>2.4410410958904108E-3</v>
      </c>
      <c r="F938" s="19">
        <v>-5.3589589041095889E-3</v>
      </c>
    </row>
    <row r="939" spans="1:6" x14ac:dyDescent="0.25">
      <c r="A939" s="18">
        <v>42832</v>
      </c>
      <c r="B939" s="19">
        <v>4.3799999999999999E-2</v>
      </c>
      <c r="C939" s="19">
        <v>6.4999999999999997E-3</v>
      </c>
      <c r="D939" s="19">
        <v>5.8119999999999998E-2</v>
      </c>
      <c r="E939" s="19">
        <v>6.3407671232876706E-3</v>
      </c>
      <c r="F939" s="19">
        <v>4.3640767123287669E-2</v>
      </c>
    </row>
    <row r="940" spans="1:6" x14ac:dyDescent="0.25">
      <c r="A940" s="18">
        <v>42830</v>
      </c>
      <c r="B940" s="19">
        <v>9.1999999999999998E-3</v>
      </c>
      <c r="C940" s="19">
        <v>-1.2999999999999999E-3</v>
      </c>
      <c r="D940" s="19">
        <v>5.8310000000000001E-2</v>
      </c>
      <c r="E940" s="19">
        <v>-1.4597534246575342E-3</v>
      </c>
      <c r="F940" s="19">
        <v>9.0402465753424664E-3</v>
      </c>
    </row>
    <row r="941" spans="1:6" x14ac:dyDescent="0.25">
      <c r="A941" s="18">
        <v>42829</v>
      </c>
      <c r="B941" s="19">
        <v>-7.3000000000000001E-3</v>
      </c>
      <c r="C941" s="19">
        <v>2.3999999999999998E-3</v>
      </c>
      <c r="D941" s="19">
        <v>5.8349999999999999E-2</v>
      </c>
      <c r="E941" s="19">
        <v>2.2401369863013698E-3</v>
      </c>
      <c r="F941" s="19">
        <v>-7.4598630136986305E-3</v>
      </c>
    </row>
    <row r="942" spans="1:6" x14ac:dyDescent="0.25">
      <c r="A942" s="18">
        <v>42828</v>
      </c>
      <c r="B942" s="19">
        <v>-5.4999999999999997E-3</v>
      </c>
      <c r="C942" s="19">
        <v>1E-4</v>
      </c>
      <c r="D942" s="19">
        <v>5.8349999999999999E-2</v>
      </c>
      <c r="E942" s="19">
        <v>-5.986301369863014E-5</v>
      </c>
      <c r="F942" s="19">
        <v>-5.6598630136986301E-3</v>
      </c>
    </row>
    <row r="943" spans="1:6" x14ac:dyDescent="0.25">
      <c r="A943" s="18">
        <v>42825</v>
      </c>
      <c r="B943" s="19">
        <v>1.0999999999999999E-2</v>
      </c>
      <c r="C943" s="19">
        <v>-2.0999999999999999E-3</v>
      </c>
      <c r="D943" s="19">
        <v>5.8259999999999999E-2</v>
      </c>
      <c r="E943" s="19">
        <v>-2.2596164383561642E-3</v>
      </c>
      <c r="F943" s="19">
        <v>1.0840383561643834E-2</v>
      </c>
    </row>
    <row r="944" spans="1:6" x14ac:dyDescent="0.25">
      <c r="A944" s="18">
        <v>42824</v>
      </c>
      <c r="B944" s="19">
        <v>1.12E-2</v>
      </c>
      <c r="C944" s="19">
        <v>4.7000000000000002E-3</v>
      </c>
      <c r="D944" s="19">
        <v>5.8319999999999997E-2</v>
      </c>
      <c r="E944" s="19">
        <v>4.5402191780821921E-3</v>
      </c>
      <c r="F944" s="19">
        <v>1.1040219178082192E-2</v>
      </c>
    </row>
    <row r="945" spans="1:6" x14ac:dyDescent="0.25">
      <c r="A945" s="18">
        <v>42823</v>
      </c>
      <c r="B945" s="19">
        <v>3.7000000000000002E-3</v>
      </c>
      <c r="C945" s="19">
        <v>1.6999999999999999E-3</v>
      </c>
      <c r="D945" s="19">
        <v>5.8319999999999997E-2</v>
      </c>
      <c r="E945" s="19">
        <v>1.5402191780821916E-3</v>
      </c>
      <c r="F945" s="19">
        <v>3.5402191780821921E-3</v>
      </c>
    </row>
    <row r="946" spans="1:6" x14ac:dyDescent="0.25">
      <c r="A946" s="18">
        <v>42822</v>
      </c>
      <c r="B946" s="19">
        <v>-7.4000000000000003E-3</v>
      </c>
      <c r="C946" s="19">
        <v>-5.8999999999999999E-3</v>
      </c>
      <c r="D946" s="19">
        <v>5.8319999999999997E-2</v>
      </c>
      <c r="E946" s="19">
        <v>-6.059780821917808E-3</v>
      </c>
      <c r="F946" s="19">
        <v>-7.5597808219178084E-3</v>
      </c>
    </row>
    <row r="947" spans="1:6" x14ac:dyDescent="0.25">
      <c r="A947" s="18">
        <v>42821</v>
      </c>
      <c r="B947" s="19">
        <v>-9.1999999999999998E-3</v>
      </c>
      <c r="C947" s="19">
        <v>1.9E-3</v>
      </c>
      <c r="D947" s="19">
        <v>5.8319999999999997E-2</v>
      </c>
      <c r="E947" s="19">
        <v>1.7402191780821917E-3</v>
      </c>
      <c r="F947" s="19">
        <v>-9.359780821917808E-3</v>
      </c>
    </row>
    <row r="948" spans="1:6" x14ac:dyDescent="0.25">
      <c r="A948" s="18">
        <v>42818</v>
      </c>
      <c r="B948" s="19">
        <v>2.4400000000000002E-2</v>
      </c>
      <c r="C948" s="19">
        <v>3.5999999999999999E-3</v>
      </c>
      <c r="D948" s="19">
        <v>5.8319999999999997E-2</v>
      </c>
      <c r="E948" s="19">
        <v>3.4402191780821918E-3</v>
      </c>
      <c r="F948" s="19">
        <v>2.4240219178082192E-2</v>
      </c>
    </row>
    <row r="949" spans="1:6" x14ac:dyDescent="0.25">
      <c r="A949" s="18">
        <v>42817</v>
      </c>
      <c r="B949" s="19">
        <v>3.8E-3</v>
      </c>
      <c r="C949" s="19">
        <v>9.2999999999999992E-3</v>
      </c>
      <c r="D949" s="19">
        <v>5.8340000000000003E-2</v>
      </c>
      <c r="E949" s="19">
        <v>9.1401643835616435E-3</v>
      </c>
      <c r="F949" s="19">
        <v>3.6401643835616438E-3</v>
      </c>
    </row>
    <row r="950" spans="1:6" x14ac:dyDescent="0.25">
      <c r="A950" s="18">
        <v>42816</v>
      </c>
      <c r="B950" s="19">
        <v>-2.5700000000000001E-2</v>
      </c>
      <c r="C950" s="19">
        <v>-4.4999999999999997E-3</v>
      </c>
      <c r="D950" s="19">
        <v>5.8229999999999997E-2</v>
      </c>
      <c r="E950" s="19">
        <v>-4.6595342465753425E-3</v>
      </c>
      <c r="F950" s="19">
        <v>-2.5859534246575343E-2</v>
      </c>
    </row>
    <row r="951" spans="1:6" x14ac:dyDescent="0.25">
      <c r="A951" s="18">
        <v>42815</v>
      </c>
      <c r="B951" s="19">
        <v>-7.3000000000000001E-3</v>
      </c>
      <c r="C951" s="19">
        <v>1.6000000000000001E-3</v>
      </c>
      <c r="D951" s="19">
        <v>5.8229999999999997E-2</v>
      </c>
      <c r="E951" s="19">
        <v>1.4404657534246577E-3</v>
      </c>
      <c r="F951" s="19">
        <v>-7.4595342465753429E-3</v>
      </c>
    </row>
    <row r="952" spans="1:6" x14ac:dyDescent="0.25">
      <c r="A952" s="18">
        <v>42814</v>
      </c>
      <c r="B952" s="19">
        <v>-3.5999999999999999E-3</v>
      </c>
      <c r="C952" s="19">
        <v>6.4000000000000003E-3</v>
      </c>
      <c r="D952" s="19">
        <v>5.8209999999999998E-2</v>
      </c>
      <c r="E952" s="19">
        <v>6.240520547945206E-3</v>
      </c>
      <c r="F952" s="19">
        <v>-3.7594794520547942E-3</v>
      </c>
    </row>
    <row r="953" spans="1:6" x14ac:dyDescent="0.25">
      <c r="A953" s="18">
        <v>42811</v>
      </c>
      <c r="B953" s="19">
        <v>-1.0800000000000001E-2</v>
      </c>
      <c r="C953" s="19">
        <v>-6.1000000000000004E-3</v>
      </c>
      <c r="D953" s="19">
        <v>5.8409999999999997E-2</v>
      </c>
      <c r="E953" s="19">
        <v>-6.2600273972602746E-3</v>
      </c>
      <c r="F953" s="19">
        <v>-1.0960027397260274E-2</v>
      </c>
    </row>
    <row r="954" spans="1:6" x14ac:dyDescent="0.25">
      <c r="A954" s="18">
        <v>42810</v>
      </c>
      <c r="B954" s="19">
        <v>1.09E-2</v>
      </c>
      <c r="C954" s="19">
        <v>2.5000000000000001E-3</v>
      </c>
      <c r="D954" s="19">
        <v>5.8700000000000002E-2</v>
      </c>
      <c r="E954" s="19">
        <v>2.3391780821917811E-3</v>
      </c>
      <c r="F954" s="19">
        <v>1.0739178082191781E-2</v>
      </c>
    </row>
    <row r="955" spans="1:6" x14ac:dyDescent="0.25">
      <c r="A955" s="18">
        <v>42809</v>
      </c>
      <c r="B955" s="19">
        <v>0</v>
      </c>
      <c r="C955" s="19">
        <v>-2.2000000000000001E-3</v>
      </c>
      <c r="D955" s="19">
        <v>5.8749999999999997E-2</v>
      </c>
      <c r="E955" s="19">
        <v>-2.3609589041095891E-3</v>
      </c>
      <c r="F955" s="19">
        <v>-1.6095890410958903E-4</v>
      </c>
    </row>
    <row r="956" spans="1:6" x14ac:dyDescent="0.25">
      <c r="A956" s="18">
        <v>42808</v>
      </c>
      <c r="B956" s="19">
        <v>5.4999999999999997E-3</v>
      </c>
      <c r="C956" s="19">
        <v>6.4000000000000003E-3</v>
      </c>
      <c r="D956" s="19">
        <v>5.8689999999999999E-2</v>
      </c>
      <c r="E956" s="19">
        <v>6.2392054794520547E-3</v>
      </c>
      <c r="F956" s="19">
        <v>5.3392054794520541E-3</v>
      </c>
    </row>
    <row r="957" spans="1:6" x14ac:dyDescent="0.25">
      <c r="A957" s="18">
        <v>42807</v>
      </c>
      <c r="B957" s="19">
        <v>-1.9699999999999999E-2</v>
      </c>
      <c r="C957" s="19">
        <v>-2.8999999999999998E-3</v>
      </c>
      <c r="D957" s="19">
        <v>5.8689999999999999E-2</v>
      </c>
      <c r="E957" s="19">
        <v>-3.060794520547945E-3</v>
      </c>
      <c r="F957" s="19">
        <v>-1.9860794520547943E-2</v>
      </c>
    </row>
    <row r="958" spans="1:6" x14ac:dyDescent="0.25">
      <c r="A958" s="18">
        <v>42804</v>
      </c>
      <c r="B958" s="19">
        <v>-1.7600000000000001E-2</v>
      </c>
      <c r="C958" s="19">
        <v>-5.0000000000000001E-3</v>
      </c>
      <c r="D958" s="19">
        <v>5.8709999999999998E-2</v>
      </c>
      <c r="E958" s="19">
        <v>-5.1608493150684933E-3</v>
      </c>
      <c r="F958" s="19">
        <v>-1.7760849315068494E-2</v>
      </c>
    </row>
    <row r="959" spans="1:6" x14ac:dyDescent="0.25">
      <c r="A959" s="18">
        <v>42803</v>
      </c>
      <c r="B959" s="19">
        <v>-1.7299999999999999E-2</v>
      </c>
      <c r="C959" s="19">
        <v>-1.1000000000000001E-3</v>
      </c>
      <c r="D959" s="19">
        <v>5.8740000000000001E-2</v>
      </c>
      <c r="E959" s="19">
        <v>-1.2609315068493152E-3</v>
      </c>
      <c r="F959" s="19">
        <v>-1.7460931506849315E-2</v>
      </c>
    </row>
    <row r="960" spans="1:6" x14ac:dyDescent="0.25">
      <c r="A960" s="18">
        <v>42802</v>
      </c>
      <c r="B960" s="19">
        <v>-6.8999999999999999E-3</v>
      </c>
      <c r="C960" s="19">
        <v>1E-4</v>
      </c>
      <c r="D960" s="19">
        <v>5.876E-2</v>
      </c>
      <c r="E960" s="19">
        <v>-6.0986301369863013E-5</v>
      </c>
      <c r="F960" s="19">
        <v>-7.0609863013698631E-3</v>
      </c>
    </row>
    <row r="961" spans="1:6" x14ac:dyDescent="0.25">
      <c r="A961" s="18">
        <v>42801</v>
      </c>
      <c r="B961" s="19">
        <v>0</v>
      </c>
      <c r="C961" s="19">
        <v>2.9999999999999997E-4</v>
      </c>
      <c r="D961" s="19">
        <v>5.876E-2</v>
      </c>
      <c r="E961" s="19">
        <v>1.3901369863013696E-4</v>
      </c>
      <c r="F961" s="19">
        <v>-1.6098630136986302E-4</v>
      </c>
    </row>
    <row r="962" spans="1:6" x14ac:dyDescent="0.25">
      <c r="A962" s="18">
        <v>42800</v>
      </c>
      <c r="B962" s="19">
        <v>-6.7999999999999996E-3</v>
      </c>
      <c r="C962" s="19">
        <v>5.1000000000000004E-3</v>
      </c>
      <c r="D962" s="19">
        <v>5.876E-2</v>
      </c>
      <c r="E962" s="19">
        <v>4.9390136986301372E-3</v>
      </c>
      <c r="F962" s="19">
        <v>-6.9609863013698628E-3</v>
      </c>
    </row>
    <row r="963" spans="1:6" x14ac:dyDescent="0.25">
      <c r="A963" s="18">
        <v>42797</v>
      </c>
      <c r="B963" s="19">
        <v>1.03E-2</v>
      </c>
      <c r="C963" s="19">
        <v>7.1999999999999998E-3</v>
      </c>
      <c r="D963" s="19">
        <v>5.8819999999999997E-2</v>
      </c>
      <c r="E963" s="19">
        <v>7.0388493150684928E-3</v>
      </c>
      <c r="F963" s="19">
        <v>1.0138849315068494E-2</v>
      </c>
    </row>
    <row r="964" spans="1:6" x14ac:dyDescent="0.25">
      <c r="A964" s="18">
        <v>42796</v>
      </c>
      <c r="B964" s="19">
        <v>-1.5299999999999999E-2</v>
      </c>
      <c r="C964" s="19">
        <v>-2.8E-3</v>
      </c>
      <c r="D964" s="19">
        <v>5.8819999999999997E-2</v>
      </c>
      <c r="E964" s="19">
        <v>-2.961150684931507E-3</v>
      </c>
      <c r="F964" s="19">
        <v>-1.5461150684931506E-2</v>
      </c>
    </row>
    <row r="965" spans="1:6" x14ac:dyDescent="0.25">
      <c r="A965" s="18">
        <v>42795</v>
      </c>
      <c r="B965" s="19">
        <v>-2.3199999999999998E-2</v>
      </c>
      <c r="C965" s="19">
        <v>-1.8E-3</v>
      </c>
      <c r="D965" s="19">
        <v>5.8819999999999997E-2</v>
      </c>
      <c r="E965" s="19">
        <v>-1.961150684931507E-3</v>
      </c>
      <c r="F965" s="19">
        <v>-2.3361150684931505E-2</v>
      </c>
    </row>
    <row r="966" spans="1:6" x14ac:dyDescent="0.25">
      <c r="A966" s="18">
        <v>42794</v>
      </c>
      <c r="B966" s="19">
        <v>-2.58E-2</v>
      </c>
      <c r="C966" s="19">
        <v>-9.2999999999999992E-3</v>
      </c>
      <c r="D966" s="19">
        <v>5.8819999999999997E-2</v>
      </c>
      <c r="E966" s="19">
        <v>-9.4611506849315054E-3</v>
      </c>
      <c r="F966" s="19">
        <v>-2.5961150684931506E-2</v>
      </c>
    </row>
    <row r="967" spans="1:6" x14ac:dyDescent="0.25">
      <c r="A967" s="18">
        <v>42793</v>
      </c>
      <c r="B967" s="19">
        <v>3.2000000000000002E-3</v>
      </c>
      <c r="C967" s="19">
        <v>4.1999999999999997E-3</v>
      </c>
      <c r="D967" s="19">
        <v>5.8880000000000002E-2</v>
      </c>
      <c r="E967" s="19">
        <v>4.0386849315068489E-3</v>
      </c>
      <c r="F967" s="19">
        <v>3.0386849315068493E-3</v>
      </c>
    </row>
    <row r="968" spans="1:6" x14ac:dyDescent="0.25">
      <c r="A968" s="18">
        <v>42790</v>
      </c>
      <c r="B968" s="19">
        <v>-2.06E-2</v>
      </c>
      <c r="C968" s="19">
        <v>-3.3E-3</v>
      </c>
      <c r="D968" s="19">
        <v>5.8939999999999999E-2</v>
      </c>
      <c r="E968" s="19">
        <v>-3.4614794520547946E-3</v>
      </c>
      <c r="F968" s="19">
        <v>-2.0761479452054796E-2</v>
      </c>
    </row>
    <row r="969" spans="1:6" x14ac:dyDescent="0.25">
      <c r="A969" s="18">
        <v>42789</v>
      </c>
      <c r="B969" s="19">
        <v>1.61E-2</v>
      </c>
      <c r="C969" s="19">
        <v>-5.0000000000000001E-4</v>
      </c>
      <c r="D969" s="19">
        <v>5.8970000000000002E-2</v>
      </c>
      <c r="E969" s="19">
        <v>-6.6156164383561651E-4</v>
      </c>
      <c r="F969" s="19">
        <v>1.5938438356164382E-2</v>
      </c>
    </row>
    <row r="970" spans="1:6" x14ac:dyDescent="0.25">
      <c r="A970" s="18">
        <v>42788</v>
      </c>
      <c r="B970" s="19">
        <v>3.85E-2</v>
      </c>
      <c r="C970" s="19">
        <v>1E-3</v>
      </c>
      <c r="D970" s="19">
        <v>5.8999999999999997E-2</v>
      </c>
      <c r="E970" s="19">
        <v>8.3835616438356162E-4</v>
      </c>
      <c r="F970" s="19">
        <v>3.8338356164383559E-2</v>
      </c>
    </row>
    <row r="971" spans="1:6" x14ac:dyDescent="0.25">
      <c r="A971" s="18">
        <v>42787</v>
      </c>
      <c r="B971" s="19">
        <v>1.1900000000000001E-2</v>
      </c>
      <c r="C971" s="19">
        <v>8.3999999999999995E-3</v>
      </c>
      <c r="D971" s="19">
        <v>5.9040000000000002E-2</v>
      </c>
      <c r="E971" s="19">
        <v>8.2382465753424658E-3</v>
      </c>
      <c r="F971" s="19">
        <v>1.1738246575342467E-2</v>
      </c>
    </row>
    <row r="972" spans="1:6" x14ac:dyDescent="0.25">
      <c r="A972" s="18">
        <v>42786</v>
      </c>
      <c r="B972" s="19">
        <v>1.6999999999999999E-3</v>
      </c>
      <c r="C972" s="19">
        <v>3.8999999999999998E-3</v>
      </c>
      <c r="D972" s="19">
        <v>5.9029999999999999E-2</v>
      </c>
      <c r="E972" s="19">
        <v>3.7382739726027395E-3</v>
      </c>
      <c r="F972" s="19">
        <v>1.5382739726027396E-3</v>
      </c>
    </row>
    <row r="973" spans="1:6" x14ac:dyDescent="0.25">
      <c r="A973" s="18">
        <v>42783</v>
      </c>
      <c r="B973" s="19">
        <v>-6.7000000000000002E-3</v>
      </c>
      <c r="C973" s="19">
        <v>-2.0999999999999999E-3</v>
      </c>
      <c r="D973" s="19">
        <v>5.9020000000000003E-2</v>
      </c>
      <c r="E973" s="19">
        <v>-2.2616986301369863E-3</v>
      </c>
      <c r="F973" s="19">
        <v>-6.8616986301369863E-3</v>
      </c>
    </row>
    <row r="974" spans="1:6" x14ac:dyDescent="0.25">
      <c r="A974" s="18">
        <v>42782</v>
      </c>
      <c r="B974" s="19">
        <v>3.3999999999999998E-3</v>
      </c>
      <c r="C974" s="19">
        <v>-3.0999999999999999E-3</v>
      </c>
      <c r="D974" s="19">
        <v>5.8909999999999997E-2</v>
      </c>
      <c r="E974" s="19">
        <v>-3.2613972602739726E-3</v>
      </c>
      <c r="F974" s="19">
        <v>3.2386027397260271E-3</v>
      </c>
    </row>
    <row r="975" spans="1:6" x14ac:dyDescent="0.25">
      <c r="A975" s="18">
        <v>42781</v>
      </c>
      <c r="B975" s="19">
        <v>0</v>
      </c>
      <c r="C975" s="19">
        <v>7.4999999999999997E-3</v>
      </c>
      <c r="D975" s="19">
        <v>5.9130000000000002E-2</v>
      </c>
      <c r="E975" s="19">
        <v>7.3379999999999999E-3</v>
      </c>
      <c r="F975" s="19">
        <v>-1.6200000000000001E-4</v>
      </c>
    </row>
    <row r="976" spans="1:6" x14ac:dyDescent="0.25">
      <c r="A976" s="18">
        <v>42780</v>
      </c>
      <c r="B976" s="19">
        <v>0</v>
      </c>
      <c r="C976" s="19">
        <v>5.0000000000000001E-4</v>
      </c>
      <c r="D976" s="19">
        <v>5.9180000000000003E-2</v>
      </c>
      <c r="E976" s="19">
        <v>3.3786301369863011E-4</v>
      </c>
      <c r="F976" s="19">
        <v>-1.6213698630136988E-4</v>
      </c>
    </row>
    <row r="977" spans="1:6" x14ac:dyDescent="0.25">
      <c r="A977" s="18">
        <v>42779</v>
      </c>
      <c r="B977" s="19">
        <v>1.6999999999999999E-3</v>
      </c>
      <c r="C977" s="19">
        <v>3.0000000000000001E-3</v>
      </c>
      <c r="D977" s="19">
        <v>5.9290000000000002E-2</v>
      </c>
      <c r="E977" s="19">
        <v>2.8375616438356165E-3</v>
      </c>
      <c r="F977" s="19">
        <v>1.5375616438356163E-3</v>
      </c>
    </row>
    <row r="978" spans="1:6" x14ac:dyDescent="0.25">
      <c r="A978" s="18">
        <v>42776</v>
      </c>
      <c r="B978" s="19">
        <v>1.72E-2</v>
      </c>
      <c r="C978" s="19">
        <v>4.4999999999999997E-3</v>
      </c>
      <c r="D978" s="19">
        <v>5.9400000000000001E-2</v>
      </c>
      <c r="E978" s="19">
        <v>4.3372602739726023E-3</v>
      </c>
      <c r="F978" s="19">
        <v>1.7037260273972604E-2</v>
      </c>
    </row>
    <row r="979" spans="1:6" x14ac:dyDescent="0.25">
      <c r="A979" s="18">
        <v>42775</v>
      </c>
      <c r="B979" s="19">
        <v>-1.8599999999999998E-2</v>
      </c>
      <c r="C979" s="19">
        <v>-2E-3</v>
      </c>
      <c r="D979" s="19">
        <v>5.9409999999999998E-2</v>
      </c>
      <c r="E979" s="19">
        <v>-2.1627671232876712E-3</v>
      </c>
      <c r="F979" s="19">
        <v>-1.8762767123287671E-2</v>
      </c>
    </row>
    <row r="980" spans="1:6" x14ac:dyDescent="0.25">
      <c r="A980" s="18">
        <v>42774</v>
      </c>
      <c r="B980" s="19">
        <v>-1.4999999999999999E-2</v>
      </c>
      <c r="C980" s="19">
        <v>2.0000000000000001E-4</v>
      </c>
      <c r="D980" s="19">
        <v>5.9670000000000001E-2</v>
      </c>
      <c r="E980" s="19">
        <v>3.6520547945205495E-5</v>
      </c>
      <c r="F980" s="19">
        <v>-1.5163479452054793E-2</v>
      </c>
    </row>
    <row r="981" spans="1:6" x14ac:dyDescent="0.25">
      <c r="A981" s="18">
        <v>42773</v>
      </c>
      <c r="B981" s="19">
        <v>0</v>
      </c>
      <c r="C981" s="19">
        <v>2.7000000000000001E-3</v>
      </c>
      <c r="D981" s="19">
        <v>5.9670000000000001E-2</v>
      </c>
      <c r="E981" s="19">
        <v>2.5365205479452057E-3</v>
      </c>
      <c r="F981" s="19">
        <v>-1.6347945205479451E-4</v>
      </c>
    </row>
    <row r="982" spans="1:6" x14ac:dyDescent="0.25">
      <c r="A982" s="18">
        <v>42772</v>
      </c>
      <c r="B982" s="19">
        <v>8.3999999999999995E-3</v>
      </c>
      <c r="C982" s="19">
        <v>-4.0000000000000002E-4</v>
      </c>
      <c r="D982" s="19">
        <v>5.9769999999999997E-2</v>
      </c>
      <c r="E982" s="19">
        <v>-5.6375342465753424E-4</v>
      </c>
      <c r="F982" s="19">
        <v>8.2362465753424655E-3</v>
      </c>
    </row>
    <row r="983" spans="1:6" x14ac:dyDescent="0.25">
      <c r="A983" s="18">
        <v>42769</v>
      </c>
      <c r="B983" s="19">
        <v>-1.6500000000000001E-2</v>
      </c>
      <c r="C983" s="19">
        <v>-4.0000000000000001E-3</v>
      </c>
      <c r="D983" s="19">
        <v>5.9950000000000003E-2</v>
      </c>
      <c r="E983" s="19">
        <v>-4.1642465753424654E-3</v>
      </c>
      <c r="F983" s="19">
        <v>-1.6664246575342465E-2</v>
      </c>
    </row>
    <row r="984" spans="1:6" x14ac:dyDescent="0.25">
      <c r="A984" s="18">
        <v>42768</v>
      </c>
      <c r="B984" s="19">
        <v>6.7000000000000002E-3</v>
      </c>
      <c r="C984" s="19">
        <v>8.5000000000000006E-3</v>
      </c>
      <c r="D984" s="19">
        <v>6.0100000000000001E-2</v>
      </c>
      <c r="E984" s="19">
        <v>8.3353424657534245E-3</v>
      </c>
      <c r="F984" s="19">
        <v>6.535342465753425E-3</v>
      </c>
    </row>
    <row r="985" spans="1:6" x14ac:dyDescent="0.25">
      <c r="A985" s="18">
        <v>42760</v>
      </c>
      <c r="B985" s="19">
        <v>1.6999999999999999E-3</v>
      </c>
      <c r="C985" s="19">
        <v>8.6E-3</v>
      </c>
      <c r="D985" s="19">
        <v>6.0100000000000001E-2</v>
      </c>
      <c r="E985" s="19">
        <v>8.4353424657534239E-3</v>
      </c>
      <c r="F985" s="19">
        <v>1.5353424657534246E-3</v>
      </c>
    </row>
    <row r="986" spans="1:6" x14ac:dyDescent="0.25">
      <c r="A986" s="18">
        <v>42759</v>
      </c>
      <c r="B986" s="19">
        <v>2.5600000000000001E-2</v>
      </c>
      <c r="C986" s="19">
        <v>6.1000000000000004E-3</v>
      </c>
      <c r="D986" s="19">
        <v>6.0080000000000001E-2</v>
      </c>
      <c r="E986" s="19">
        <v>5.9353972602739728E-3</v>
      </c>
      <c r="F986" s="19">
        <v>2.5435397260273974E-2</v>
      </c>
    </row>
    <row r="987" spans="1:6" x14ac:dyDescent="0.25">
      <c r="A987" s="18">
        <v>42758</v>
      </c>
      <c r="B987" s="19">
        <v>6.8999999999999999E-3</v>
      </c>
      <c r="C987" s="19">
        <v>1.2999999999999999E-3</v>
      </c>
      <c r="D987" s="19">
        <v>6.0350000000000001E-2</v>
      </c>
      <c r="E987" s="19">
        <v>1.1346575342465752E-3</v>
      </c>
      <c r="F987" s="19">
        <v>6.7346575342465756E-3</v>
      </c>
    </row>
    <row r="988" spans="1:6" x14ac:dyDescent="0.25">
      <c r="A988" s="18">
        <v>42755</v>
      </c>
      <c r="B988" s="19">
        <v>1.2200000000000001E-2</v>
      </c>
      <c r="C988" s="19">
        <v>5.7999999999999996E-3</v>
      </c>
      <c r="D988" s="19">
        <v>6.0350000000000001E-2</v>
      </c>
      <c r="E988" s="19">
        <v>5.6346575342465753E-3</v>
      </c>
      <c r="F988" s="19">
        <v>1.2034657534246576E-2</v>
      </c>
    </row>
    <row r="989" spans="1:6" x14ac:dyDescent="0.25">
      <c r="A989" s="18">
        <v>42754</v>
      </c>
      <c r="B989" s="19">
        <v>0</v>
      </c>
      <c r="C989" s="19">
        <v>-1.4E-3</v>
      </c>
      <c r="D989" s="19">
        <v>6.0350000000000001E-2</v>
      </c>
      <c r="E989" s="19">
        <v>-1.5653424657534247E-3</v>
      </c>
      <c r="F989" s="19">
        <v>-1.6534246575342467E-4</v>
      </c>
    </row>
    <row r="990" spans="1:6" x14ac:dyDescent="0.25">
      <c r="A990" s="18">
        <v>42753</v>
      </c>
      <c r="B990" s="19">
        <v>1.23E-2</v>
      </c>
      <c r="C990" s="19">
        <v>-2.0999999999999999E-3</v>
      </c>
      <c r="D990" s="19">
        <v>6.046E-2</v>
      </c>
      <c r="E990" s="19">
        <v>-2.2656438356164384E-3</v>
      </c>
      <c r="F990" s="19">
        <v>1.2134356164383561E-2</v>
      </c>
    </row>
    <row r="991" spans="1:6" x14ac:dyDescent="0.25">
      <c r="A991" s="18">
        <v>42752</v>
      </c>
      <c r="B991" s="19">
        <v>-2.24E-2</v>
      </c>
      <c r="C991" s="19">
        <v>0.01</v>
      </c>
      <c r="D991" s="19">
        <v>6.0479999999999999E-2</v>
      </c>
      <c r="E991" s="19">
        <v>9.8343013698630136E-3</v>
      </c>
      <c r="F991" s="19">
        <v>-2.2565698630136986E-2</v>
      </c>
    </row>
    <row r="992" spans="1:6" x14ac:dyDescent="0.25">
      <c r="A992" s="18">
        <v>42751</v>
      </c>
      <c r="B992" s="19">
        <v>-2.6800000000000001E-2</v>
      </c>
      <c r="C992" s="19">
        <v>-1.04E-2</v>
      </c>
      <c r="D992" s="19">
        <v>6.0499999999999998E-2</v>
      </c>
      <c r="E992" s="19">
        <v>-1.0565753424657534E-2</v>
      </c>
      <c r="F992" s="19">
        <v>-2.6965753424657537E-2</v>
      </c>
    </row>
    <row r="993" spans="1:6" x14ac:dyDescent="0.25">
      <c r="A993" s="18">
        <v>42748</v>
      </c>
      <c r="B993" s="19">
        <v>-1.49E-2</v>
      </c>
      <c r="C993" s="19">
        <v>-2.8E-3</v>
      </c>
      <c r="D993" s="19">
        <v>6.0510000000000001E-2</v>
      </c>
      <c r="E993" s="19">
        <v>-2.965780821917808E-3</v>
      </c>
      <c r="F993" s="19">
        <v>-1.5065780821917809E-2</v>
      </c>
    </row>
    <row r="994" spans="1:6" x14ac:dyDescent="0.25">
      <c r="A994" s="18">
        <v>42747</v>
      </c>
      <c r="B994" s="19">
        <v>1.6999999999999999E-3</v>
      </c>
      <c r="C994" s="19">
        <v>-2.9999999999999997E-4</v>
      </c>
      <c r="D994" s="19">
        <v>6.0639999999999999E-2</v>
      </c>
      <c r="E994" s="19">
        <v>-4.6613698630136981E-4</v>
      </c>
      <c r="F994" s="19">
        <v>1.53386301369863E-3</v>
      </c>
    </row>
    <row r="995" spans="1:6" x14ac:dyDescent="0.25">
      <c r="A995" s="18">
        <v>42746</v>
      </c>
      <c r="B995" s="19">
        <v>6.7000000000000002E-3</v>
      </c>
      <c r="C995" s="19">
        <v>8.8999999999999999E-3</v>
      </c>
      <c r="D995" s="19">
        <v>6.0760000000000002E-2</v>
      </c>
      <c r="E995" s="19">
        <v>8.7335342465753429E-3</v>
      </c>
      <c r="F995" s="19">
        <v>6.5335342465753423E-3</v>
      </c>
    </row>
    <row r="996" spans="1:6" x14ac:dyDescent="0.25">
      <c r="A996" s="18">
        <v>42745</v>
      </c>
      <c r="B996" s="19">
        <v>-8.3000000000000001E-3</v>
      </c>
      <c r="C996" s="19">
        <v>-2.2000000000000001E-3</v>
      </c>
      <c r="D996" s="19">
        <v>6.0929999999999998E-2</v>
      </c>
      <c r="E996" s="19">
        <v>-2.3669315068493152E-3</v>
      </c>
      <c r="F996" s="19">
        <v>-8.4669315068493147E-3</v>
      </c>
    </row>
    <row r="997" spans="1:6" x14ac:dyDescent="0.25">
      <c r="A997" s="18">
        <v>42744</v>
      </c>
      <c r="B997" s="19">
        <v>1.6999999999999999E-3</v>
      </c>
      <c r="C997" s="19">
        <v>4.1000000000000003E-3</v>
      </c>
      <c r="D997" s="19">
        <v>6.1030000000000001E-2</v>
      </c>
      <c r="E997" s="19">
        <v>3.9327945205479458E-3</v>
      </c>
      <c r="F997" s="19">
        <v>1.5327945205479451E-3</v>
      </c>
    </row>
    <row r="998" spans="1:6" x14ac:dyDescent="0.25">
      <c r="A998" s="18">
        <v>42741</v>
      </c>
      <c r="B998" s="19">
        <v>-1.7899999999999999E-2</v>
      </c>
      <c r="C998" s="19">
        <v>5.8999999999999999E-3</v>
      </c>
      <c r="D998" s="19">
        <v>6.1030000000000001E-2</v>
      </c>
      <c r="E998" s="19">
        <v>5.7327945205479453E-3</v>
      </c>
      <c r="F998" s="19">
        <v>-1.8067205479452054E-2</v>
      </c>
    </row>
    <row r="999" spans="1:6" x14ac:dyDescent="0.25">
      <c r="A999" s="18">
        <v>42740</v>
      </c>
      <c r="B999" s="19">
        <v>0</v>
      </c>
      <c r="C999" s="19">
        <v>1.6000000000000001E-3</v>
      </c>
      <c r="D999" s="19">
        <v>6.0940000000000001E-2</v>
      </c>
      <c r="E999" s="19">
        <v>1.433041095890411E-3</v>
      </c>
      <c r="F999" s="19">
        <v>-1.6695890410958904E-4</v>
      </c>
    </row>
    <row r="1000" spans="1:6" x14ac:dyDescent="0.25">
      <c r="A1000" s="18">
        <v>42739</v>
      </c>
      <c r="B1000" s="19">
        <v>2.3300000000000001E-2</v>
      </c>
      <c r="C1000" s="19">
        <v>4.0000000000000001E-3</v>
      </c>
      <c r="D1000" s="19">
        <v>6.0929999999999998E-2</v>
      </c>
      <c r="E1000" s="19">
        <v>3.833068493150685E-3</v>
      </c>
      <c r="F1000" s="19">
        <v>2.3133068493150687E-2</v>
      </c>
    </row>
    <row r="1001" spans="1:6" x14ac:dyDescent="0.25">
      <c r="A1001" s="18">
        <v>42738</v>
      </c>
      <c r="B1001" s="19">
        <v>-8.3000000000000001E-3</v>
      </c>
      <c r="C1001" s="19">
        <v>1.0699999999999999E-2</v>
      </c>
      <c r="D1001" s="19">
        <v>6.0940000000000001E-2</v>
      </c>
      <c r="E1001" s="19">
        <v>1.053304109589041E-2</v>
      </c>
      <c r="F1001" s="19">
        <v>-8.4669589041095894E-3</v>
      </c>
    </row>
    <row r="1002" spans="1:6" x14ac:dyDescent="0.25">
      <c r="A1002" s="18">
        <v>42734</v>
      </c>
      <c r="B1002" s="19">
        <v>1.5100000000000001E-2</v>
      </c>
      <c r="C1002" s="19">
        <v>2.0000000000000001E-4</v>
      </c>
      <c r="D1002" s="19">
        <v>6.0949999999999997E-2</v>
      </c>
      <c r="E1002" s="19">
        <v>3.3013698630137008E-5</v>
      </c>
      <c r="F1002" s="19">
        <v>1.4933013698630138E-2</v>
      </c>
    </row>
    <row r="1003" spans="1:6" x14ac:dyDescent="0.25">
      <c r="A1003" s="18">
        <v>42733</v>
      </c>
      <c r="B1003" s="19">
        <v>-3.3E-3</v>
      </c>
      <c r="C1003" s="19">
        <v>1.8E-3</v>
      </c>
      <c r="D1003" s="19">
        <v>6.0940000000000001E-2</v>
      </c>
      <c r="E1003" s="19">
        <v>1.6330410958904109E-3</v>
      </c>
      <c r="F1003" s="19">
        <v>-3.4669589041095889E-3</v>
      </c>
    </row>
    <row r="1004" spans="1:6" x14ac:dyDescent="0.25">
      <c r="A1004" s="18">
        <v>42732</v>
      </c>
      <c r="B1004" s="19">
        <v>-1.6999999999999999E-3</v>
      </c>
      <c r="C1004" s="19">
        <v>-5.0000000000000001E-4</v>
      </c>
      <c r="D1004" s="19">
        <v>6.096E-2</v>
      </c>
      <c r="E1004" s="19">
        <v>-6.6701369863013697E-4</v>
      </c>
      <c r="F1004" s="19">
        <v>-1.8670136986301369E-3</v>
      </c>
    </row>
    <row r="1005" spans="1:6" x14ac:dyDescent="0.25">
      <c r="A1005" s="18">
        <v>42731</v>
      </c>
      <c r="B1005" s="19">
        <v>-1.7999999999999999E-2</v>
      </c>
      <c r="C1005" s="19">
        <v>2.0999999999999999E-3</v>
      </c>
      <c r="D1005" s="19">
        <v>6.096E-2</v>
      </c>
      <c r="E1005" s="19">
        <v>1.9329863013698629E-3</v>
      </c>
      <c r="F1005" s="19">
        <v>-1.8167013698630136E-2</v>
      </c>
    </row>
    <row r="1006" spans="1:6" x14ac:dyDescent="0.25">
      <c r="A1006" s="18">
        <v>42730</v>
      </c>
      <c r="B1006" s="19">
        <v>-1.4500000000000001E-2</v>
      </c>
      <c r="C1006" s="19">
        <v>-2.8999999999999998E-3</v>
      </c>
      <c r="D1006" s="19">
        <v>6.0970000000000003E-2</v>
      </c>
      <c r="E1006" s="19">
        <v>-3.0670410958904106E-3</v>
      </c>
      <c r="F1006" s="19">
        <v>-1.4667041095890412E-2</v>
      </c>
    </row>
    <row r="1007" spans="1:6" x14ac:dyDescent="0.25">
      <c r="A1007" s="18">
        <v>42727</v>
      </c>
      <c r="B1007" s="19">
        <v>-2.3599999999999999E-2</v>
      </c>
      <c r="C1007" s="19">
        <v>2.9999999999999997E-4</v>
      </c>
      <c r="D1007" s="19">
        <v>6.1030000000000001E-2</v>
      </c>
      <c r="E1007" s="19">
        <v>1.3279452054794518E-4</v>
      </c>
      <c r="F1007" s="19">
        <v>-2.3767205479452054E-2</v>
      </c>
    </row>
    <row r="1008" spans="1:6" x14ac:dyDescent="0.25">
      <c r="A1008" s="18">
        <v>42726</v>
      </c>
      <c r="B1008" s="19">
        <v>-2.3099999999999999E-2</v>
      </c>
      <c r="C1008" s="19">
        <v>-4.1999999999999997E-3</v>
      </c>
      <c r="D1008" s="19">
        <v>6.1219999999999997E-2</v>
      </c>
      <c r="E1008" s="19">
        <v>-4.3677260273972604E-3</v>
      </c>
      <c r="F1008" s="19">
        <v>-2.3267726027397261E-2</v>
      </c>
    </row>
    <row r="1009" spans="1:6" x14ac:dyDescent="0.25">
      <c r="A1009" s="18">
        <v>42725</v>
      </c>
      <c r="B1009" s="19">
        <v>2.1999999999999999E-2</v>
      </c>
      <c r="C1009" s="19">
        <v>6.4999999999999997E-3</v>
      </c>
      <c r="D1009" s="19">
        <v>6.1039999999999997E-2</v>
      </c>
      <c r="E1009" s="19">
        <v>6.3327671232876713E-3</v>
      </c>
      <c r="F1009" s="19">
        <v>2.1832767123287671E-2</v>
      </c>
    </row>
    <row r="1010" spans="1:6" x14ac:dyDescent="0.25">
      <c r="A1010" s="18">
        <v>42724</v>
      </c>
      <c r="B1010" s="19">
        <v>-0.02</v>
      </c>
      <c r="C1010" s="19">
        <v>-1.7299999999999999E-2</v>
      </c>
      <c r="D1010" s="19">
        <v>6.105E-2</v>
      </c>
      <c r="E1010" s="19">
        <v>-1.7467260273972603E-2</v>
      </c>
      <c r="F1010" s="19">
        <v>-2.0167260273972604E-2</v>
      </c>
    </row>
    <row r="1011" spans="1:6" x14ac:dyDescent="0.25">
      <c r="A1011" s="18">
        <v>42723</v>
      </c>
      <c r="B1011" s="19">
        <v>1.09E-2</v>
      </c>
      <c r="C1011" s="19">
        <v>-1.1999999999999999E-3</v>
      </c>
      <c r="D1011" s="19">
        <v>6.105E-2</v>
      </c>
      <c r="E1011" s="19">
        <v>-1.3672602739726026E-3</v>
      </c>
      <c r="F1011" s="19">
        <v>1.0732739726027398E-2</v>
      </c>
    </row>
    <row r="1012" spans="1:6" x14ac:dyDescent="0.25">
      <c r="A1012" s="18">
        <v>42720</v>
      </c>
      <c r="B1012" s="19">
        <v>-3.0999999999999999E-3</v>
      </c>
      <c r="C1012" s="19">
        <v>1.3899999999999999E-2</v>
      </c>
      <c r="D1012" s="19">
        <v>6.1069999999999999E-2</v>
      </c>
      <c r="E1012" s="19">
        <v>1.3732684931506849E-2</v>
      </c>
      <c r="F1012" s="19">
        <v>-3.2673150684931506E-3</v>
      </c>
    </row>
    <row r="1013" spans="1:6" x14ac:dyDescent="0.25">
      <c r="A1013" s="18">
        <v>42719</v>
      </c>
      <c r="B1013" s="19">
        <v>-9.1999999999999998E-3</v>
      </c>
      <c r="C1013" s="19">
        <v>1.1999999999999999E-3</v>
      </c>
      <c r="D1013" s="19">
        <v>6.0900000000000003E-2</v>
      </c>
      <c r="E1013" s="19">
        <v>1.0331506849315067E-3</v>
      </c>
      <c r="F1013" s="19">
        <v>-9.3668493150684921E-3</v>
      </c>
    </row>
    <row r="1014" spans="1:6" x14ac:dyDescent="0.25">
      <c r="A1014" s="18">
        <v>42718</v>
      </c>
      <c r="B1014" s="19">
        <v>0</v>
      </c>
      <c r="C1014" s="19">
        <v>1.6E-2</v>
      </c>
      <c r="D1014" s="19">
        <v>6.0499999999999998E-2</v>
      </c>
      <c r="E1014" s="19">
        <v>1.5834246575342464E-2</v>
      </c>
      <c r="F1014" s="19">
        <v>-1.6575342465753425E-4</v>
      </c>
    </row>
    <row r="1015" spans="1:6" x14ac:dyDescent="0.25">
      <c r="A1015" s="18">
        <v>42717</v>
      </c>
      <c r="B1015" s="19">
        <v>-1.52E-2</v>
      </c>
      <c r="C1015" s="19">
        <v>-7.6E-3</v>
      </c>
      <c r="D1015" s="19">
        <v>6.055E-2</v>
      </c>
      <c r="E1015" s="19">
        <v>-7.7658904109589042E-3</v>
      </c>
      <c r="F1015" s="19">
        <v>-1.5365890410958904E-2</v>
      </c>
    </row>
    <row r="1016" spans="1:6" x14ac:dyDescent="0.25">
      <c r="A1016" s="18">
        <v>42716</v>
      </c>
      <c r="B1016" s="19">
        <v>0</v>
      </c>
      <c r="C1016" s="19">
        <v>-5.1000000000000004E-3</v>
      </c>
      <c r="D1016" s="19">
        <v>6.0479999999999999E-2</v>
      </c>
      <c r="E1016" s="19">
        <v>-5.2656986301369869E-3</v>
      </c>
      <c r="F1016" s="19">
        <v>-1.656986301369863E-4</v>
      </c>
    </row>
    <row r="1017" spans="1:6" x14ac:dyDescent="0.25">
      <c r="A1017" s="18">
        <v>42713</v>
      </c>
      <c r="B1017" s="19">
        <v>1.54E-2</v>
      </c>
      <c r="C1017" s="19">
        <v>6.3E-3</v>
      </c>
      <c r="D1017" s="19">
        <v>6.0380000000000003E-2</v>
      </c>
      <c r="E1017" s="19">
        <v>6.1345753424657534E-3</v>
      </c>
      <c r="F1017" s="19">
        <v>1.5234575342465754E-2</v>
      </c>
    </row>
    <row r="1018" spans="1:6" x14ac:dyDescent="0.25">
      <c r="A1018" s="18">
        <v>42712</v>
      </c>
      <c r="B1018" s="19">
        <v>-4.5999999999999999E-3</v>
      </c>
      <c r="C1018" s="19">
        <v>8.2000000000000007E-3</v>
      </c>
      <c r="D1018" s="19">
        <v>6.0380000000000003E-2</v>
      </c>
      <c r="E1018" s="19">
        <v>8.0345753424657541E-3</v>
      </c>
      <c r="F1018" s="19">
        <v>-4.7654246575342465E-3</v>
      </c>
    </row>
    <row r="1019" spans="1:6" x14ac:dyDescent="0.25">
      <c r="A1019" s="18">
        <v>42711</v>
      </c>
      <c r="B1019" s="19">
        <v>-2.3900000000000001E-2</v>
      </c>
      <c r="C1019" s="19">
        <v>3.0999999999999999E-3</v>
      </c>
      <c r="D1019" s="19">
        <v>6.0380000000000003E-2</v>
      </c>
      <c r="E1019" s="19">
        <v>2.9345753424657533E-3</v>
      </c>
      <c r="F1019" s="19">
        <v>-2.4065424657534248E-2</v>
      </c>
    </row>
    <row r="1020" spans="1:6" x14ac:dyDescent="0.25">
      <c r="A1020" s="18">
        <v>42710</v>
      </c>
      <c r="B1020" s="19">
        <v>6.0000000000000001E-3</v>
      </c>
      <c r="C1020" s="19">
        <v>-1.32E-2</v>
      </c>
      <c r="D1020" s="19">
        <v>6.0389999999999999E-2</v>
      </c>
      <c r="E1020" s="19">
        <v>-1.3365452054794521E-2</v>
      </c>
      <c r="F1020" s="19">
        <v>5.8345479452054797E-3</v>
      </c>
    </row>
    <row r="1021" spans="1:6" x14ac:dyDescent="0.25">
      <c r="A1021" s="18">
        <v>42709</v>
      </c>
      <c r="B1021" s="19">
        <v>-2.06E-2</v>
      </c>
      <c r="C1021" s="19">
        <v>-7.4000000000000003E-3</v>
      </c>
      <c r="D1021" s="19">
        <v>6.0389999999999999E-2</v>
      </c>
      <c r="E1021" s="19">
        <v>-7.5654520547945208E-3</v>
      </c>
      <c r="F1021" s="19">
        <v>-2.076545205479452E-2</v>
      </c>
    </row>
    <row r="1022" spans="1:6" x14ac:dyDescent="0.25">
      <c r="A1022" s="18">
        <v>42706</v>
      </c>
      <c r="B1022" s="19">
        <v>-5.8999999999999999E-3</v>
      </c>
      <c r="C1022" s="19">
        <v>-2.0999999999999999E-3</v>
      </c>
      <c r="D1022" s="19">
        <v>6.0510000000000001E-2</v>
      </c>
      <c r="E1022" s="19">
        <v>-2.2657808219178079E-3</v>
      </c>
      <c r="F1022" s="19">
        <v>-6.0657808219178079E-3</v>
      </c>
    </row>
    <row r="1023" spans="1:6" x14ac:dyDescent="0.25">
      <c r="A1023" s="18">
        <v>42705</v>
      </c>
      <c r="B1023" s="19">
        <v>6.8900000000000003E-2</v>
      </c>
      <c r="C1023" s="19">
        <v>2.2000000000000001E-3</v>
      </c>
      <c r="D1023" s="19">
        <v>6.046E-2</v>
      </c>
      <c r="E1023" s="19">
        <v>2.0343561643835616E-3</v>
      </c>
      <c r="F1023" s="19">
        <v>6.8734356164383559E-2</v>
      </c>
    </row>
    <row r="1024" spans="1:6" x14ac:dyDescent="0.25">
      <c r="A1024" s="18">
        <v>42704</v>
      </c>
      <c r="B1024" s="19">
        <v>-9.2999999999999992E-3</v>
      </c>
      <c r="C1024" s="19">
        <v>1.03E-2</v>
      </c>
      <c r="D1024" s="19">
        <v>6.046E-2</v>
      </c>
      <c r="E1024" s="19">
        <v>1.0134356164383561E-2</v>
      </c>
      <c r="F1024" s="19">
        <v>-9.4656438356164382E-3</v>
      </c>
    </row>
    <row r="1025" spans="1:6" x14ac:dyDescent="0.25">
      <c r="A1025" s="18">
        <v>42703</v>
      </c>
      <c r="B1025" s="19">
        <v>-5.1499999999999997E-2</v>
      </c>
      <c r="C1025" s="19">
        <v>-1.06E-2</v>
      </c>
      <c r="D1025" s="19">
        <v>6.0499999999999998E-2</v>
      </c>
      <c r="E1025" s="19">
        <v>-1.0765753424657534E-2</v>
      </c>
      <c r="F1025" s="19">
        <v>-5.1665753424657533E-2</v>
      </c>
    </row>
    <row r="1026" spans="1:6" x14ac:dyDescent="0.25">
      <c r="A1026" s="18">
        <v>42702</v>
      </c>
      <c r="B1026" s="19">
        <v>0</v>
      </c>
      <c r="C1026" s="19">
        <v>-1.5699999999999999E-2</v>
      </c>
      <c r="D1026" s="19">
        <v>6.0600000000000001E-2</v>
      </c>
      <c r="E1026" s="19">
        <v>-1.5866027397260271E-2</v>
      </c>
      <c r="F1026" s="19">
        <v>-1.6602739726027398E-4</v>
      </c>
    </row>
    <row r="1027" spans="1:6" x14ac:dyDescent="0.25">
      <c r="A1027" s="18">
        <v>42699</v>
      </c>
      <c r="B1027" s="19">
        <v>-2.8999999999999998E-3</v>
      </c>
      <c r="C1027" s="19">
        <v>-3.3999999999999998E-3</v>
      </c>
      <c r="D1027" s="19">
        <v>6.0600000000000001E-2</v>
      </c>
      <c r="E1027" s="19">
        <v>-3.566027397260274E-3</v>
      </c>
      <c r="F1027" s="19">
        <v>-3.066027397260274E-3</v>
      </c>
    </row>
    <row r="1028" spans="1:6" x14ac:dyDescent="0.25">
      <c r="A1028" s="18">
        <v>42698</v>
      </c>
      <c r="B1028" s="19">
        <v>-5.7999999999999996E-3</v>
      </c>
      <c r="C1028" s="19">
        <v>-7.3000000000000001E-3</v>
      </c>
      <c r="D1028" s="19">
        <v>6.0600000000000001E-2</v>
      </c>
      <c r="E1028" s="19">
        <v>-7.4660273972602742E-3</v>
      </c>
      <c r="F1028" s="19">
        <v>-5.9660273972602738E-3</v>
      </c>
    </row>
    <row r="1029" spans="1:6" x14ac:dyDescent="0.25">
      <c r="A1029" s="18">
        <v>42697</v>
      </c>
      <c r="B1029" s="19">
        <v>-1.5E-3</v>
      </c>
      <c r="C1029" s="19">
        <v>1.8E-3</v>
      </c>
      <c r="D1029" s="19">
        <v>6.0609999999999997E-2</v>
      </c>
      <c r="E1029" s="19">
        <v>1.633945205479452E-3</v>
      </c>
      <c r="F1029" s="19">
        <v>-1.666054794520548E-3</v>
      </c>
    </row>
    <row r="1030" spans="1:6" x14ac:dyDescent="0.25">
      <c r="A1030" s="18">
        <v>42696</v>
      </c>
      <c r="B1030" s="19">
        <v>2.0799999999999999E-2</v>
      </c>
      <c r="C1030" s="19">
        <v>1.1299999999999999E-2</v>
      </c>
      <c r="D1030" s="19">
        <v>6.062E-2</v>
      </c>
      <c r="E1030" s="19">
        <v>1.1133917808219177E-2</v>
      </c>
      <c r="F1030" s="19">
        <v>2.0633917808219177E-2</v>
      </c>
    </row>
    <row r="1031" spans="1:6" x14ac:dyDescent="0.25">
      <c r="A1031" s="18">
        <v>42695</v>
      </c>
      <c r="B1031" s="19">
        <v>1.5E-3</v>
      </c>
      <c r="C1031" s="19">
        <v>1.5E-3</v>
      </c>
      <c r="D1031" s="19">
        <v>6.0970000000000003E-2</v>
      </c>
      <c r="E1031" s="19">
        <v>1.332958904109589E-3</v>
      </c>
      <c r="F1031" s="19">
        <v>1.332958904109589E-3</v>
      </c>
    </row>
    <row r="1032" spans="1:6" x14ac:dyDescent="0.25">
      <c r="A1032" s="18">
        <v>42692</v>
      </c>
      <c r="B1032" s="19">
        <v>0</v>
      </c>
      <c r="C1032" s="19">
        <v>-2E-3</v>
      </c>
      <c r="D1032" s="19">
        <v>6.0970000000000003E-2</v>
      </c>
      <c r="E1032" s="19">
        <v>-2.1670410958904108E-3</v>
      </c>
      <c r="F1032" s="19">
        <v>-1.6704109589041097E-4</v>
      </c>
    </row>
    <row r="1033" spans="1:6" x14ac:dyDescent="0.25">
      <c r="A1033" s="18">
        <v>42691</v>
      </c>
      <c r="B1033" s="19">
        <v>-1.5E-3</v>
      </c>
      <c r="C1033" s="19">
        <v>0</v>
      </c>
      <c r="D1033" s="19">
        <v>6.0999999999999999E-2</v>
      </c>
      <c r="E1033" s="19">
        <v>-1.6712328767123287E-4</v>
      </c>
      <c r="F1033" s="19">
        <v>-1.6671232876712329E-3</v>
      </c>
    </row>
    <row r="1034" spans="1:6" x14ac:dyDescent="0.25">
      <c r="A1034" s="18">
        <v>42690</v>
      </c>
      <c r="B1034" s="19">
        <v>1.5E-3</v>
      </c>
      <c r="C1034" s="19">
        <v>5.0000000000000001E-4</v>
      </c>
      <c r="D1034" s="19">
        <v>6.0319999999999999E-2</v>
      </c>
      <c r="E1034" s="19">
        <v>3.3473972602739729E-4</v>
      </c>
      <c r="F1034" s="19">
        <v>1.3347397260273972E-3</v>
      </c>
    </row>
    <row r="1035" spans="1:6" x14ac:dyDescent="0.25">
      <c r="A1035" s="18">
        <v>42689</v>
      </c>
      <c r="B1035" s="19">
        <v>3.0000000000000001E-3</v>
      </c>
      <c r="C1035" s="19">
        <v>1.8E-3</v>
      </c>
      <c r="D1035" s="19">
        <v>5.9979999999999999E-2</v>
      </c>
      <c r="E1035" s="19">
        <v>1.6356712328767123E-3</v>
      </c>
      <c r="F1035" s="19">
        <v>2.8356712328767124E-3</v>
      </c>
    </row>
    <row r="1036" spans="1:6" x14ac:dyDescent="0.25">
      <c r="A1036" s="18">
        <v>42688</v>
      </c>
      <c r="B1036" s="19">
        <v>-1.6199999999999999E-2</v>
      </c>
      <c r="C1036" s="19">
        <v>-9.1000000000000004E-3</v>
      </c>
      <c r="D1036" s="19">
        <v>5.9950000000000003E-2</v>
      </c>
      <c r="E1036" s="19">
        <v>-9.2642465753424667E-3</v>
      </c>
      <c r="F1036" s="19">
        <v>-1.6364246575342464E-2</v>
      </c>
    </row>
    <row r="1037" spans="1:6" x14ac:dyDescent="0.25">
      <c r="A1037" s="18">
        <v>42685</v>
      </c>
      <c r="B1037" s="19">
        <v>1.5E-3</v>
      </c>
      <c r="C1037" s="19">
        <v>1.5E-3</v>
      </c>
      <c r="D1037" s="19">
        <v>5.9909999999999998E-2</v>
      </c>
      <c r="E1037" s="19">
        <v>1.3358630136986302E-3</v>
      </c>
      <c r="F1037" s="19">
        <v>1.3358630136986302E-3</v>
      </c>
    </row>
    <row r="1038" spans="1:6" x14ac:dyDescent="0.25">
      <c r="A1038" s="18">
        <v>42684</v>
      </c>
      <c r="B1038" s="19">
        <v>1.34E-2</v>
      </c>
      <c r="C1038" s="19">
        <v>1.18E-2</v>
      </c>
      <c r="D1038" s="19">
        <v>6.0010000000000001E-2</v>
      </c>
      <c r="E1038" s="19">
        <v>1.1635589041095891E-2</v>
      </c>
      <c r="F1038" s="19">
        <v>1.3235589041095891E-2</v>
      </c>
    </row>
    <row r="1039" spans="1:6" x14ac:dyDescent="0.25">
      <c r="A1039" s="18">
        <v>42683</v>
      </c>
      <c r="B1039" s="19">
        <v>-8.8999999999999999E-3</v>
      </c>
      <c r="C1039" s="19">
        <v>-9.1999999999999998E-3</v>
      </c>
      <c r="D1039" s="19">
        <v>6.0010000000000001E-2</v>
      </c>
      <c r="E1039" s="19">
        <v>-9.364410958904109E-3</v>
      </c>
      <c r="F1039" s="19">
        <v>-9.0644109589041091E-3</v>
      </c>
    </row>
    <row r="1040" spans="1:6" x14ac:dyDescent="0.25">
      <c r="A1040" s="18">
        <v>42682</v>
      </c>
      <c r="B1040" s="19">
        <v>5.8999999999999999E-3</v>
      </c>
      <c r="C1040" s="19">
        <v>3.3999999999999998E-3</v>
      </c>
      <c r="D1040" s="19">
        <v>5.9970000000000002E-2</v>
      </c>
      <c r="E1040" s="19">
        <v>3.235698630136986E-3</v>
      </c>
      <c r="F1040" s="19">
        <v>5.735698630136986E-3</v>
      </c>
    </row>
    <row r="1041" spans="1:6" x14ac:dyDescent="0.25">
      <c r="A1041" s="18">
        <v>42681</v>
      </c>
      <c r="B1041" s="19">
        <v>2.4400000000000002E-2</v>
      </c>
      <c r="C1041" s="19">
        <v>1.11E-2</v>
      </c>
      <c r="D1041" s="19">
        <v>5.9740000000000001E-2</v>
      </c>
      <c r="E1041" s="19">
        <v>1.0936328767123289E-2</v>
      </c>
      <c r="F1041" s="19">
        <v>2.423632876712329E-2</v>
      </c>
    </row>
    <row r="1042" spans="1:6" x14ac:dyDescent="0.25">
      <c r="A1042" s="18">
        <v>42678</v>
      </c>
      <c r="B1042" s="19">
        <v>6.1000000000000004E-3</v>
      </c>
      <c r="C1042" s="19">
        <v>-1.2999999999999999E-3</v>
      </c>
      <c r="D1042" s="19">
        <v>5.9740000000000001E-2</v>
      </c>
      <c r="E1042" s="19">
        <v>-1.4636712328767122E-3</v>
      </c>
      <c r="F1042" s="19">
        <v>5.9363287671232879E-3</v>
      </c>
    </row>
    <row r="1043" spans="1:6" x14ac:dyDescent="0.25">
      <c r="A1043" s="18">
        <v>42677</v>
      </c>
      <c r="B1043" s="19">
        <v>-9.1000000000000004E-3</v>
      </c>
      <c r="C1043" s="19">
        <v>-5.5999999999999999E-3</v>
      </c>
      <c r="D1043" s="19">
        <v>5.969E-2</v>
      </c>
      <c r="E1043" s="19">
        <v>-5.7635342465753425E-3</v>
      </c>
      <c r="F1043" s="19">
        <v>-9.2635342465753421E-3</v>
      </c>
    </row>
    <row r="1044" spans="1:6" x14ac:dyDescent="0.25">
      <c r="A1044" s="18">
        <v>42676</v>
      </c>
      <c r="B1044" s="19">
        <v>-8.9999999999999993E-3</v>
      </c>
      <c r="C1044" s="19">
        <v>-7.7000000000000002E-3</v>
      </c>
      <c r="D1044" s="19">
        <v>5.9700000000000003E-2</v>
      </c>
      <c r="E1044" s="19">
        <v>-7.8635616438356166E-3</v>
      </c>
      <c r="F1044" s="19">
        <v>-9.1635616438356157E-3</v>
      </c>
    </row>
    <row r="1045" spans="1:6" x14ac:dyDescent="0.25">
      <c r="A1045" s="18">
        <v>42675</v>
      </c>
      <c r="B1045" s="19">
        <v>7.6E-3</v>
      </c>
      <c r="C1045" s="19">
        <v>1.1999999999999999E-3</v>
      </c>
      <c r="D1045" s="19">
        <v>5.9700000000000003E-2</v>
      </c>
      <c r="E1045" s="19">
        <v>1.0364383561643833E-3</v>
      </c>
      <c r="F1045" s="19">
        <v>7.4364383561643837E-3</v>
      </c>
    </row>
    <row r="1046" spans="1:6" x14ac:dyDescent="0.25">
      <c r="A1046" s="18">
        <v>42674</v>
      </c>
      <c r="B1046" s="19">
        <v>-2.9399999999999999E-2</v>
      </c>
      <c r="C1046" s="19">
        <v>-9.4999999999999998E-3</v>
      </c>
      <c r="D1046" s="19">
        <v>5.9709999999999999E-2</v>
      </c>
      <c r="E1046" s="19">
        <v>-9.6635890410958908E-3</v>
      </c>
      <c r="F1046" s="19">
        <v>-2.9563589041095888E-2</v>
      </c>
    </row>
    <row r="1047" spans="1:6" x14ac:dyDescent="0.25">
      <c r="A1047" s="18">
        <v>42671</v>
      </c>
      <c r="B1047" s="19">
        <v>2.8999999999999998E-3</v>
      </c>
      <c r="C1047" s="19">
        <v>7.9000000000000008E-3</v>
      </c>
      <c r="D1047" s="19">
        <v>5.9729999999999998E-2</v>
      </c>
      <c r="E1047" s="19">
        <v>7.7363561643835621E-3</v>
      </c>
      <c r="F1047" s="19">
        <v>2.7363561643835616E-3</v>
      </c>
    </row>
    <row r="1048" spans="1:6" x14ac:dyDescent="0.25">
      <c r="A1048" s="18">
        <v>42670</v>
      </c>
      <c r="B1048" s="19">
        <v>1.5E-3</v>
      </c>
      <c r="C1048" s="19">
        <v>4.8999999999999998E-3</v>
      </c>
      <c r="D1048" s="19">
        <v>5.9729999999999998E-2</v>
      </c>
      <c r="E1048" s="19">
        <v>4.7363561643835612E-3</v>
      </c>
      <c r="F1048" s="19">
        <v>1.3363561643835618E-3</v>
      </c>
    </row>
    <row r="1049" spans="1:6" x14ac:dyDescent="0.25">
      <c r="A1049" s="18">
        <v>42669</v>
      </c>
      <c r="B1049" s="19">
        <v>-8.8000000000000005E-3</v>
      </c>
      <c r="C1049" s="19">
        <v>-3.8E-3</v>
      </c>
      <c r="D1049" s="19">
        <v>5.9749999999999998E-2</v>
      </c>
      <c r="E1049" s="19">
        <v>-3.9636986301369859E-3</v>
      </c>
      <c r="F1049" s="19">
        <v>-8.9636986301369868E-3</v>
      </c>
    </row>
    <row r="1050" spans="1:6" x14ac:dyDescent="0.25">
      <c r="A1050" s="18">
        <v>42668</v>
      </c>
      <c r="B1050" s="19">
        <v>2.8999999999999998E-3</v>
      </c>
      <c r="C1050" s="19">
        <v>-2.7000000000000001E-3</v>
      </c>
      <c r="D1050" s="19">
        <v>5.9859999999999997E-2</v>
      </c>
      <c r="E1050" s="19">
        <v>-2.8640000000000002E-3</v>
      </c>
      <c r="F1050" s="19">
        <v>2.7359999999999997E-3</v>
      </c>
    </row>
    <row r="1051" spans="1:6" x14ac:dyDescent="0.25">
      <c r="A1051" s="18">
        <v>42667</v>
      </c>
      <c r="B1051" s="19">
        <v>-1.2999999999999999E-2</v>
      </c>
      <c r="C1051" s="19">
        <v>-9.9000000000000008E-3</v>
      </c>
      <c r="D1051" s="19">
        <v>5.9830000000000001E-2</v>
      </c>
      <c r="E1051" s="19">
        <v>-1.0063917808219179E-2</v>
      </c>
      <c r="F1051" s="19">
        <v>-1.3163917808219178E-2</v>
      </c>
    </row>
    <row r="1052" spans="1:6" x14ac:dyDescent="0.25">
      <c r="A1052" s="18">
        <v>42664</v>
      </c>
      <c r="B1052" s="19">
        <v>0</v>
      </c>
      <c r="C1052" s="19">
        <v>-2.3E-3</v>
      </c>
      <c r="D1052" s="19">
        <v>5.9920000000000001E-2</v>
      </c>
      <c r="E1052" s="19">
        <v>-2.4641643835616438E-3</v>
      </c>
      <c r="F1052" s="19">
        <v>-1.6416438356164383E-4</v>
      </c>
    </row>
    <row r="1053" spans="1:6" x14ac:dyDescent="0.25">
      <c r="A1053" s="18">
        <v>42663</v>
      </c>
      <c r="B1053" s="19">
        <v>-1.4E-3</v>
      </c>
      <c r="C1053" s="19">
        <v>-3.5999999999999999E-3</v>
      </c>
      <c r="D1053" s="19">
        <v>6.019E-2</v>
      </c>
      <c r="E1053" s="19">
        <v>-3.7649041095890409E-3</v>
      </c>
      <c r="F1053" s="19">
        <v>-1.5649041095890412E-3</v>
      </c>
    </row>
    <row r="1054" spans="1:6" x14ac:dyDescent="0.25">
      <c r="A1054" s="18">
        <v>42662</v>
      </c>
      <c r="B1054" s="19">
        <v>8.8000000000000005E-3</v>
      </c>
      <c r="C1054" s="19">
        <v>1.01E-2</v>
      </c>
      <c r="D1054" s="19">
        <v>6.0249999999999998E-2</v>
      </c>
      <c r="E1054" s="19">
        <v>9.9349315068493153E-3</v>
      </c>
      <c r="F1054" s="19">
        <v>8.6349315068493162E-3</v>
      </c>
    </row>
    <row r="1055" spans="1:6" x14ac:dyDescent="0.25">
      <c r="A1055" s="18">
        <v>42661</v>
      </c>
      <c r="B1055" s="19">
        <v>-1.44E-2</v>
      </c>
      <c r="C1055" s="19">
        <v>1.6000000000000001E-3</v>
      </c>
      <c r="D1055" s="19">
        <v>6.0560000000000003E-2</v>
      </c>
      <c r="E1055" s="19">
        <v>1.4340821917808221E-3</v>
      </c>
      <c r="F1055" s="19">
        <v>-1.4565917808219178E-2</v>
      </c>
    </row>
    <row r="1056" spans="1:6" x14ac:dyDescent="0.25">
      <c r="A1056" s="18">
        <v>42660</v>
      </c>
      <c r="B1056" s="19">
        <v>-1.84E-2</v>
      </c>
      <c r="C1056" s="19">
        <v>-8.8000000000000005E-3</v>
      </c>
      <c r="D1056" s="19">
        <v>6.0449999999999997E-2</v>
      </c>
      <c r="E1056" s="19">
        <v>-8.9656164383561648E-3</v>
      </c>
      <c r="F1056" s="19">
        <v>-1.8565616438356164E-2</v>
      </c>
    </row>
    <row r="1057" spans="1:6" x14ac:dyDescent="0.25">
      <c r="A1057" s="18">
        <v>42657</v>
      </c>
      <c r="B1057" s="19">
        <v>-2.8E-3</v>
      </c>
      <c r="C1057" s="19">
        <v>2.5999999999999999E-3</v>
      </c>
      <c r="D1057" s="19">
        <v>6.021E-2</v>
      </c>
      <c r="E1057" s="19">
        <v>2.4350410958904108E-3</v>
      </c>
      <c r="F1057" s="19">
        <v>-2.964958904109589E-3</v>
      </c>
    </row>
    <row r="1058" spans="1:6" x14ac:dyDescent="0.25">
      <c r="A1058" s="18">
        <v>42656</v>
      </c>
      <c r="B1058" s="19">
        <v>7.1000000000000004E-3</v>
      </c>
      <c r="C1058" s="19">
        <v>4.1000000000000003E-3</v>
      </c>
      <c r="D1058" s="19">
        <v>5.9959999999999999E-2</v>
      </c>
      <c r="E1058" s="19">
        <v>3.9357260273972603E-3</v>
      </c>
      <c r="F1058" s="19">
        <v>6.9357260273972604E-3</v>
      </c>
    </row>
    <row r="1059" spans="1:6" x14ac:dyDescent="0.25">
      <c r="A1059" s="18">
        <v>42655</v>
      </c>
      <c r="B1059" s="19">
        <v>-2.0799999999999999E-2</v>
      </c>
      <c r="C1059" s="19">
        <v>1E-4</v>
      </c>
      <c r="D1059" s="19">
        <v>5.9959999999999999E-2</v>
      </c>
      <c r="E1059" s="19">
        <v>-6.4273972602739733E-5</v>
      </c>
      <c r="F1059" s="19">
        <v>-2.096427397260274E-2</v>
      </c>
    </row>
    <row r="1060" spans="1:6" x14ac:dyDescent="0.25">
      <c r="A1060" s="18">
        <v>42654</v>
      </c>
      <c r="B1060" s="19">
        <v>6.6699999999999995E-2</v>
      </c>
      <c r="C1060" s="19">
        <v>1.21E-2</v>
      </c>
      <c r="D1060" s="19">
        <v>5.9830000000000001E-2</v>
      </c>
      <c r="E1060" s="19">
        <v>1.1936082191780821E-2</v>
      </c>
      <c r="F1060" s="19">
        <v>6.6536082191780824E-2</v>
      </c>
    </row>
    <row r="1061" spans="1:6" x14ac:dyDescent="0.25">
      <c r="A1061" s="18">
        <v>42653</v>
      </c>
      <c r="B1061" s="19">
        <v>-4.8000000000000001E-2</v>
      </c>
      <c r="C1061" s="19">
        <v>-1.43E-2</v>
      </c>
      <c r="D1061" s="19">
        <v>5.9830000000000001E-2</v>
      </c>
      <c r="E1061" s="19">
        <v>-1.4463917808219179E-2</v>
      </c>
      <c r="F1061" s="19">
        <v>-4.816391780821918E-2</v>
      </c>
    </row>
    <row r="1062" spans="1:6" x14ac:dyDescent="0.25">
      <c r="A1062" s="18">
        <v>42650</v>
      </c>
      <c r="B1062" s="19">
        <v>5.7000000000000002E-3</v>
      </c>
      <c r="C1062" s="19">
        <v>-4.8999999999999998E-3</v>
      </c>
      <c r="D1062" s="19">
        <v>6.0220000000000003E-2</v>
      </c>
      <c r="E1062" s="19">
        <v>-5.0649863013698627E-3</v>
      </c>
      <c r="F1062" s="19">
        <v>5.5350136986301373E-3</v>
      </c>
    </row>
    <row r="1063" spans="1:6" x14ac:dyDescent="0.25">
      <c r="A1063" s="18">
        <v>42649</v>
      </c>
      <c r="B1063" s="19">
        <v>-1.54E-2</v>
      </c>
      <c r="C1063" s="19">
        <v>4.0000000000000002E-4</v>
      </c>
      <c r="D1063" s="19">
        <v>6.0220000000000003E-2</v>
      </c>
      <c r="E1063" s="19">
        <v>2.3501369863013699E-4</v>
      </c>
      <c r="F1063" s="19">
        <v>-1.5564986301369864E-2</v>
      </c>
    </row>
    <row r="1064" spans="1:6" x14ac:dyDescent="0.25">
      <c r="A1064" s="18">
        <v>42648</v>
      </c>
      <c r="B1064" s="19">
        <v>7.0000000000000001E-3</v>
      </c>
      <c r="C1064" s="19">
        <v>4.1999999999999997E-3</v>
      </c>
      <c r="D1064" s="19">
        <v>6.1499999999999999E-2</v>
      </c>
      <c r="E1064" s="19">
        <v>4.0315068493150686E-3</v>
      </c>
      <c r="F1064" s="19">
        <v>6.831506849315069E-3</v>
      </c>
    </row>
    <row r="1065" spans="1:6" x14ac:dyDescent="0.25">
      <c r="A1065" s="18">
        <v>42647</v>
      </c>
      <c r="B1065" s="19">
        <v>1.4E-3</v>
      </c>
      <c r="C1065" s="19">
        <v>1.6999999999999999E-3</v>
      </c>
      <c r="D1065" s="19">
        <v>6.2010000000000003E-2</v>
      </c>
      <c r="E1065" s="19">
        <v>1.5301095890410958E-3</v>
      </c>
      <c r="F1065" s="19">
        <v>1.2301095890410959E-3</v>
      </c>
    </row>
    <row r="1066" spans="1:6" x14ac:dyDescent="0.25">
      <c r="A1066" s="18">
        <v>42646</v>
      </c>
      <c r="B1066" s="19">
        <v>7.1000000000000004E-3</v>
      </c>
      <c r="C1066" s="19">
        <v>-3.8999999999999998E-3</v>
      </c>
      <c r="D1066" s="19">
        <v>6.2530000000000002E-2</v>
      </c>
      <c r="E1066" s="19">
        <v>-4.0713150684931502E-3</v>
      </c>
      <c r="F1066" s="19">
        <v>6.92868493150685E-3</v>
      </c>
    </row>
    <row r="1067" spans="1:6" x14ac:dyDescent="0.25">
      <c r="A1067" s="18">
        <v>42643</v>
      </c>
      <c r="B1067" s="19">
        <v>-3.6900000000000002E-2</v>
      </c>
      <c r="C1067" s="19">
        <v>-4.1000000000000003E-3</v>
      </c>
      <c r="D1067" s="19">
        <v>6.2179999999999999E-2</v>
      </c>
      <c r="E1067" s="19">
        <v>-4.2703561643835618E-3</v>
      </c>
      <c r="F1067" s="19">
        <v>-3.7070356164383561E-2</v>
      </c>
    </row>
    <row r="1068" spans="1:6" x14ac:dyDescent="0.25">
      <c r="A1068" s="18">
        <v>42642</v>
      </c>
      <c r="B1068" s="19">
        <v>4.5699999999999998E-2</v>
      </c>
      <c r="C1068" s="19">
        <v>2.7000000000000001E-3</v>
      </c>
      <c r="D1068" s="19">
        <v>6.2050000000000001E-2</v>
      </c>
      <c r="E1068" s="19">
        <v>2.5300000000000001E-3</v>
      </c>
      <c r="F1068" s="19">
        <v>4.5530000000000001E-2</v>
      </c>
    </row>
    <row r="1069" spans="1:6" x14ac:dyDescent="0.25">
      <c r="A1069" s="18">
        <v>42641</v>
      </c>
      <c r="B1069" s="19">
        <v>1.01E-2</v>
      </c>
      <c r="C1069" s="19">
        <v>2.7000000000000001E-3</v>
      </c>
      <c r="D1069" s="19">
        <v>6.1960000000000001E-2</v>
      </c>
      <c r="E1069" s="19">
        <v>2.5302465753424658E-3</v>
      </c>
      <c r="F1069" s="19">
        <v>9.9302465753424649E-3</v>
      </c>
    </row>
    <row r="1070" spans="1:6" x14ac:dyDescent="0.25">
      <c r="A1070" s="18">
        <v>42640</v>
      </c>
      <c r="B1070" s="19">
        <v>1.17E-2</v>
      </c>
      <c r="C1070" s="19">
        <v>1.1599999999999999E-2</v>
      </c>
      <c r="D1070" s="19">
        <v>6.3119999999999996E-2</v>
      </c>
      <c r="E1070" s="19">
        <v>1.1427068493150684E-2</v>
      </c>
      <c r="F1070" s="19">
        <v>1.1527068493150685E-2</v>
      </c>
    </row>
    <row r="1071" spans="1:6" x14ac:dyDescent="0.25">
      <c r="A1071" s="18">
        <v>42639</v>
      </c>
      <c r="B1071" s="19">
        <v>-1.5E-3</v>
      </c>
      <c r="C1071" s="19">
        <v>4.4000000000000003E-3</v>
      </c>
      <c r="D1071" s="19">
        <v>6.4149999999999999E-2</v>
      </c>
      <c r="E1071" s="19">
        <v>4.2242465753424656E-3</v>
      </c>
      <c r="F1071" s="19">
        <v>-1.6757534246575343E-3</v>
      </c>
    </row>
    <row r="1072" spans="1:6" x14ac:dyDescent="0.25">
      <c r="A1072" s="18">
        <v>42636</v>
      </c>
      <c r="B1072" s="19">
        <v>1.18E-2</v>
      </c>
      <c r="C1072" s="19">
        <v>4.0000000000000001E-3</v>
      </c>
      <c r="D1072" s="19">
        <v>6.4219999999999999E-2</v>
      </c>
      <c r="E1072" s="19">
        <v>3.8240547945205482E-3</v>
      </c>
      <c r="F1072" s="19">
        <v>1.1624054794520548E-2</v>
      </c>
    </row>
    <row r="1073" spans="1:6" x14ac:dyDescent="0.25">
      <c r="A1073" s="18">
        <v>42635</v>
      </c>
      <c r="B1073" s="19">
        <v>3.0000000000000001E-3</v>
      </c>
      <c r="C1073" s="19">
        <v>4.3E-3</v>
      </c>
      <c r="D1073" s="19">
        <v>6.5530000000000005E-2</v>
      </c>
      <c r="E1073" s="19">
        <v>4.120465753424658E-3</v>
      </c>
      <c r="F1073" s="19">
        <v>2.8204657534246576E-3</v>
      </c>
    </row>
    <row r="1074" spans="1:6" x14ac:dyDescent="0.25">
      <c r="A1074" s="18">
        <v>42634</v>
      </c>
      <c r="B1074" s="19">
        <v>2.4199999999999999E-2</v>
      </c>
      <c r="C1074" s="19">
        <v>7.7000000000000002E-3</v>
      </c>
      <c r="D1074" s="19">
        <v>6.6439999999999999E-2</v>
      </c>
      <c r="E1074" s="19">
        <v>7.5179726027397266E-3</v>
      </c>
      <c r="F1074" s="19">
        <v>2.4017972602739725E-2</v>
      </c>
    </row>
    <row r="1075" spans="1:6" x14ac:dyDescent="0.25">
      <c r="A1075" s="18">
        <v>42633</v>
      </c>
      <c r="B1075" s="19">
        <v>3.1300000000000001E-2</v>
      </c>
      <c r="C1075" s="19">
        <v>8.3000000000000001E-3</v>
      </c>
      <c r="D1075" s="19">
        <v>6.6500000000000004E-2</v>
      </c>
      <c r="E1075" s="19">
        <v>8.1178082191780826E-3</v>
      </c>
      <c r="F1075" s="19">
        <v>3.1117808219178082E-2</v>
      </c>
    </row>
    <row r="1076" spans="1:6" x14ac:dyDescent="0.25">
      <c r="A1076" s="18">
        <v>42632</v>
      </c>
      <c r="B1076" s="19">
        <v>1.2699999999999999E-2</v>
      </c>
      <c r="C1076" s="19">
        <v>1.01E-2</v>
      </c>
      <c r="D1076" s="19">
        <v>6.651E-2</v>
      </c>
      <c r="E1076" s="19">
        <v>9.9177808219178074E-3</v>
      </c>
      <c r="F1076" s="19">
        <v>1.2517780821917807E-2</v>
      </c>
    </row>
    <row r="1077" spans="1:6" x14ac:dyDescent="0.25">
      <c r="A1077" s="18">
        <v>42629</v>
      </c>
      <c r="B1077" s="19">
        <v>3.2000000000000002E-3</v>
      </c>
      <c r="C1077" s="19">
        <v>-7.4000000000000003E-3</v>
      </c>
      <c r="D1077" s="19">
        <v>6.6650000000000001E-2</v>
      </c>
      <c r="E1077" s="19">
        <v>-7.5826027397260277E-3</v>
      </c>
      <c r="F1077" s="19">
        <v>3.0173972602739727E-3</v>
      </c>
    </row>
    <row r="1078" spans="1:6" x14ac:dyDescent="0.25">
      <c r="A1078" s="18">
        <v>42628</v>
      </c>
      <c r="B1078" s="19">
        <v>-7.9000000000000008E-3</v>
      </c>
      <c r="C1078" s="19">
        <v>-6.9999999999999999E-4</v>
      </c>
      <c r="D1078" s="19">
        <v>6.7629999999999996E-2</v>
      </c>
      <c r="E1078" s="19">
        <v>-8.8528767123287669E-4</v>
      </c>
      <c r="F1078" s="19">
        <v>-8.0852876712328783E-3</v>
      </c>
    </row>
    <row r="1079" spans="1:6" x14ac:dyDescent="0.25">
      <c r="A1079" s="18">
        <v>42627</v>
      </c>
      <c r="B1079" s="19">
        <v>0</v>
      </c>
      <c r="C1079" s="19">
        <v>-4.7000000000000002E-3</v>
      </c>
      <c r="D1079" s="19">
        <v>6.7629999999999996E-2</v>
      </c>
      <c r="E1079" s="19">
        <v>-4.8852876712328769E-3</v>
      </c>
      <c r="F1079" s="19">
        <v>-1.852876712328767E-4</v>
      </c>
    </row>
    <row r="1080" spans="1:6" x14ac:dyDescent="0.25">
      <c r="A1080" s="18">
        <v>42626</v>
      </c>
      <c r="B1080" s="19">
        <v>6.3E-3</v>
      </c>
      <c r="C1080" s="19">
        <v>-1E-4</v>
      </c>
      <c r="D1080" s="19">
        <v>6.7629999999999996E-2</v>
      </c>
      <c r="E1080" s="19">
        <v>-2.8528767123287669E-4</v>
      </c>
      <c r="F1080" s="19">
        <v>6.1147123287671233E-3</v>
      </c>
    </row>
    <row r="1081" spans="1:6" x14ac:dyDescent="0.25">
      <c r="A1081" s="18">
        <v>42625</v>
      </c>
      <c r="B1081" s="19">
        <v>-2.1700000000000001E-2</v>
      </c>
      <c r="C1081" s="19">
        <v>-1.0699999999999999E-2</v>
      </c>
      <c r="D1081" s="19">
        <v>6.7629999999999996E-2</v>
      </c>
      <c r="E1081" s="19">
        <v>-1.0885287671232875E-2</v>
      </c>
      <c r="F1081" s="19">
        <v>-2.1885287671232878E-2</v>
      </c>
    </row>
    <row r="1082" spans="1:6" x14ac:dyDescent="0.25">
      <c r="A1082" s="18">
        <v>42622</v>
      </c>
      <c r="B1082" s="19">
        <v>0</v>
      </c>
      <c r="C1082" s="19">
        <v>1.1999999999999999E-3</v>
      </c>
      <c r="D1082" s="19">
        <v>6.7629999999999996E-2</v>
      </c>
      <c r="E1082" s="19">
        <v>1.0147123287671232E-3</v>
      </c>
      <c r="F1082" s="19">
        <v>-1.852876712328767E-4</v>
      </c>
    </row>
    <row r="1083" spans="1:6" x14ac:dyDescent="0.25">
      <c r="A1083" s="18">
        <v>42621</v>
      </c>
      <c r="B1083" s="19">
        <v>2.3800000000000002E-2</v>
      </c>
      <c r="C1083" s="19">
        <v>7.1999999999999998E-3</v>
      </c>
      <c r="D1083" s="19">
        <v>6.7879999999999996E-2</v>
      </c>
      <c r="E1083" s="19">
        <v>7.0140273972602741E-3</v>
      </c>
      <c r="F1083" s="19">
        <v>2.3614027397260276E-2</v>
      </c>
    </row>
    <row r="1084" spans="1:6" x14ac:dyDescent="0.25">
      <c r="A1084" s="18">
        <v>42620</v>
      </c>
      <c r="B1084" s="19">
        <v>-1.5599999999999999E-2</v>
      </c>
      <c r="C1084" s="19">
        <v>-3.8999999999999998E-3</v>
      </c>
      <c r="D1084" s="19">
        <v>6.7909999999999998E-2</v>
      </c>
      <c r="E1084" s="19">
        <v>-4.0860547945205479E-3</v>
      </c>
      <c r="F1084" s="19">
        <v>-1.5786054794520547E-2</v>
      </c>
    </row>
    <row r="1085" spans="1:6" x14ac:dyDescent="0.25">
      <c r="A1085" s="18">
        <v>42619</v>
      </c>
      <c r="B1085" s="19">
        <v>1.5900000000000001E-2</v>
      </c>
      <c r="C1085" s="19">
        <v>-1E-3</v>
      </c>
      <c r="D1085" s="19">
        <v>6.8000000000000005E-2</v>
      </c>
      <c r="E1085" s="19">
        <v>-1.1863013698630138E-3</v>
      </c>
      <c r="F1085" s="19">
        <v>1.5713698630136986E-2</v>
      </c>
    </row>
    <row r="1086" spans="1:6" x14ac:dyDescent="0.25">
      <c r="A1086" s="18">
        <v>42618</v>
      </c>
      <c r="B1086" s="19">
        <v>-7.9000000000000008E-3</v>
      </c>
      <c r="C1086" s="19">
        <v>-6.8999999999999999E-3</v>
      </c>
      <c r="D1086" s="19">
        <v>6.8040000000000003E-2</v>
      </c>
      <c r="E1086" s="19">
        <v>-7.0864109589041093E-3</v>
      </c>
      <c r="F1086" s="19">
        <v>-8.0864109589041111E-3</v>
      </c>
    </row>
    <row r="1087" spans="1:6" x14ac:dyDescent="0.25">
      <c r="A1087" s="18">
        <v>42614</v>
      </c>
      <c r="B1087" s="19">
        <v>-7.7999999999999996E-3</v>
      </c>
      <c r="C1087" s="19">
        <v>-8.0999999999999996E-3</v>
      </c>
      <c r="D1087" s="19">
        <v>6.8339999999999998E-2</v>
      </c>
      <c r="E1087" s="19">
        <v>-8.287232876712328E-3</v>
      </c>
      <c r="F1087" s="19">
        <v>-7.9872328767123281E-3</v>
      </c>
    </row>
    <row r="1088" spans="1:6" x14ac:dyDescent="0.25">
      <c r="A1088" s="18">
        <v>42613</v>
      </c>
      <c r="B1088" s="19">
        <v>-7.7999999999999996E-3</v>
      </c>
      <c r="C1088" s="19">
        <v>2.8999999999999998E-3</v>
      </c>
      <c r="D1088" s="19">
        <v>6.8349999999999994E-2</v>
      </c>
      <c r="E1088" s="19">
        <v>2.7127397260273971E-3</v>
      </c>
      <c r="F1088" s="19">
        <v>-7.9872602739726028E-3</v>
      </c>
    </row>
    <row r="1089" spans="1:6" x14ac:dyDescent="0.25">
      <c r="A1089" s="18">
        <v>42612</v>
      </c>
      <c r="B1089" s="19">
        <v>2.3800000000000002E-2</v>
      </c>
      <c r="C1089" s="19">
        <v>4.7999999999999996E-3</v>
      </c>
      <c r="D1089" s="19">
        <v>6.8360000000000004E-2</v>
      </c>
      <c r="E1089" s="19">
        <v>4.6127123287671226E-3</v>
      </c>
      <c r="F1089" s="19">
        <v>2.3612712328767126E-2</v>
      </c>
    </row>
    <row r="1090" spans="1:6" x14ac:dyDescent="0.25">
      <c r="A1090" s="18">
        <v>42611</v>
      </c>
      <c r="B1090" s="19">
        <v>-7.9000000000000008E-3</v>
      </c>
      <c r="C1090" s="19">
        <v>2.5000000000000001E-3</v>
      </c>
      <c r="D1090" s="19">
        <v>6.8360000000000004E-2</v>
      </c>
      <c r="E1090" s="19">
        <v>2.3127123287671235E-3</v>
      </c>
      <c r="F1090" s="19">
        <v>-8.0872876712328769E-3</v>
      </c>
    </row>
    <row r="1091" spans="1:6" x14ac:dyDescent="0.25">
      <c r="A1091" s="18">
        <v>42608</v>
      </c>
      <c r="B1091" s="19">
        <v>2.4199999999999999E-2</v>
      </c>
      <c r="C1091" s="19">
        <v>1.4E-2</v>
      </c>
      <c r="D1091" s="19">
        <v>6.8360000000000004E-2</v>
      </c>
      <c r="E1091" s="19">
        <v>1.3812712328767124E-2</v>
      </c>
      <c r="F1091" s="19">
        <v>2.4012712328767123E-2</v>
      </c>
    </row>
    <row r="1092" spans="1:6" x14ac:dyDescent="0.25">
      <c r="A1092" s="18">
        <v>42607</v>
      </c>
      <c r="B1092" s="19">
        <v>-2.3599999999999999E-2</v>
      </c>
      <c r="C1092" s="19">
        <v>-3.3999999999999998E-3</v>
      </c>
      <c r="D1092" s="19">
        <v>6.8339999999999998E-2</v>
      </c>
      <c r="E1092" s="19">
        <v>-3.5872328767123287E-3</v>
      </c>
      <c r="F1092" s="19">
        <v>-2.378723287671233E-2</v>
      </c>
    </row>
    <row r="1093" spans="1:6" x14ac:dyDescent="0.25">
      <c r="A1093" s="18">
        <v>42606</v>
      </c>
      <c r="B1093" s="19">
        <v>0</v>
      </c>
      <c r="C1093" s="19">
        <v>2.3999999999999998E-3</v>
      </c>
      <c r="D1093" s="19">
        <v>6.8559999999999996E-2</v>
      </c>
      <c r="E1093" s="19">
        <v>2.2121643835616438E-3</v>
      </c>
      <c r="F1093" s="19">
        <v>-1.8783561643835616E-4</v>
      </c>
    </row>
    <row r="1094" spans="1:6" x14ac:dyDescent="0.25">
      <c r="A1094" s="18">
        <v>42605</v>
      </c>
      <c r="B1094" s="19">
        <v>-3.0499999999999999E-2</v>
      </c>
      <c r="C1094" s="19">
        <v>2.3E-3</v>
      </c>
      <c r="D1094" s="19">
        <v>6.8659999999999999E-2</v>
      </c>
      <c r="E1094" s="19">
        <v>2.111890410958904E-3</v>
      </c>
      <c r="F1094" s="19">
        <v>-3.0688109589041095E-2</v>
      </c>
    </row>
    <row r="1095" spans="1:6" x14ac:dyDescent="0.25">
      <c r="A1095" s="18">
        <v>42604</v>
      </c>
      <c r="B1095" s="19">
        <v>1.55E-2</v>
      </c>
      <c r="C1095" s="19">
        <v>-6.8999999999999999E-3</v>
      </c>
      <c r="D1095" s="19">
        <v>6.88E-2</v>
      </c>
      <c r="E1095" s="19">
        <v>-7.0884931506849311E-3</v>
      </c>
      <c r="F1095" s="19">
        <v>1.5311506849315069E-2</v>
      </c>
    </row>
    <row r="1096" spans="1:6" x14ac:dyDescent="0.25">
      <c r="A1096" s="18">
        <v>42601</v>
      </c>
      <c r="B1096" s="19">
        <v>4.0300000000000002E-2</v>
      </c>
      <c r="C1096" s="19">
        <v>2.5000000000000001E-3</v>
      </c>
      <c r="D1096" s="19">
        <v>6.88E-2</v>
      </c>
      <c r="E1096" s="19">
        <v>2.3115068493150684E-3</v>
      </c>
      <c r="F1096" s="19">
        <v>4.0111506849315068E-2</v>
      </c>
    </row>
    <row r="1097" spans="1:6" x14ac:dyDescent="0.25">
      <c r="A1097" s="18">
        <v>42600</v>
      </c>
      <c r="B1097" s="19">
        <v>-2.3599999999999999E-2</v>
      </c>
      <c r="C1097" s="19">
        <v>2.0000000000000001E-4</v>
      </c>
      <c r="D1097" s="19">
        <v>6.8820000000000006E-2</v>
      </c>
      <c r="E1097" s="19">
        <v>1.1452054794520549E-5</v>
      </c>
      <c r="F1097" s="19">
        <v>-2.378854794520548E-2</v>
      </c>
    </row>
    <row r="1098" spans="1:6" x14ac:dyDescent="0.25">
      <c r="A1098" s="18">
        <v>42599</v>
      </c>
      <c r="B1098" s="19">
        <v>0</v>
      </c>
      <c r="C1098" s="19">
        <v>3.5999999999999999E-3</v>
      </c>
      <c r="D1098" s="19">
        <v>6.8909999999999999E-2</v>
      </c>
      <c r="E1098" s="19">
        <v>3.4112054794520545E-3</v>
      </c>
      <c r="F1098" s="19">
        <v>-1.8879452054794521E-4</v>
      </c>
    </row>
    <row r="1099" spans="1:6" x14ac:dyDescent="0.25">
      <c r="A1099" s="18">
        <v>42598</v>
      </c>
      <c r="B1099" s="19">
        <v>-7.7999999999999996E-3</v>
      </c>
      <c r="C1099" s="19">
        <v>-2.0999999999999999E-3</v>
      </c>
      <c r="D1099" s="19">
        <v>6.8919999999999995E-2</v>
      </c>
      <c r="E1099" s="19">
        <v>-2.2888219178082191E-3</v>
      </c>
      <c r="F1099" s="19">
        <v>-7.9888219178082184E-3</v>
      </c>
    </row>
    <row r="1100" spans="1:6" x14ac:dyDescent="0.25">
      <c r="A1100" s="18">
        <v>42597</v>
      </c>
      <c r="B1100" s="19">
        <v>1.5900000000000001E-2</v>
      </c>
      <c r="C1100" s="19">
        <v>5.7000000000000002E-3</v>
      </c>
      <c r="D1100" s="19">
        <v>6.8970000000000004E-2</v>
      </c>
      <c r="E1100" s="19">
        <v>5.5110410958904114E-3</v>
      </c>
      <c r="F1100" s="19">
        <v>1.5711041095890412E-2</v>
      </c>
    </row>
    <row r="1101" spans="1:6" x14ac:dyDescent="0.25">
      <c r="A1101" s="18">
        <v>42594</v>
      </c>
      <c r="B1101" s="19">
        <v>1.61E-2</v>
      </c>
      <c r="C1101" s="19">
        <v>-6.8999999999999999E-3</v>
      </c>
      <c r="D1101" s="19">
        <v>6.9209999999999994E-2</v>
      </c>
      <c r="E1101" s="19">
        <v>-7.0896164383561638E-3</v>
      </c>
      <c r="F1101" s="19">
        <v>1.5910383561643836E-2</v>
      </c>
    </row>
    <row r="1102" spans="1:6" x14ac:dyDescent="0.25">
      <c r="A1102" s="18">
        <v>42593</v>
      </c>
      <c r="B1102" s="19">
        <v>0</v>
      </c>
      <c r="C1102" s="19">
        <v>1.84E-2</v>
      </c>
      <c r="D1102" s="19">
        <v>6.923E-2</v>
      </c>
      <c r="E1102" s="19">
        <v>1.8210328767123286E-2</v>
      </c>
      <c r="F1102" s="19">
        <v>-1.8967123287671233E-4</v>
      </c>
    </row>
    <row r="1103" spans="1:6" x14ac:dyDescent="0.25">
      <c r="A1103" s="18">
        <v>42592</v>
      </c>
      <c r="B1103" s="19">
        <v>8.0999999999999996E-3</v>
      </c>
      <c r="C1103" s="19">
        <v>1.72E-2</v>
      </c>
      <c r="D1103" s="19">
        <v>6.9239999999999996E-2</v>
      </c>
      <c r="E1103" s="19">
        <v>1.7010301369863014E-2</v>
      </c>
      <c r="F1103" s="19">
        <v>7.9103013698630133E-3</v>
      </c>
    </row>
    <row r="1104" spans="1:6" x14ac:dyDescent="0.25">
      <c r="A1104" s="18">
        <v>42591</v>
      </c>
      <c r="B1104" s="19">
        <v>1.6500000000000001E-2</v>
      </c>
      <c r="C1104" s="19">
        <v>1.2500000000000001E-2</v>
      </c>
      <c r="D1104" s="19">
        <v>6.9239999999999996E-2</v>
      </c>
      <c r="E1104" s="19">
        <v>1.2310301369863014E-2</v>
      </c>
      <c r="F1104" s="19">
        <v>1.6310301369863014E-2</v>
      </c>
    </row>
    <row r="1105" spans="1:6" x14ac:dyDescent="0.25">
      <c r="A1105" s="18">
        <v>42590</v>
      </c>
      <c r="B1105" s="19">
        <v>1.6799999999999999E-2</v>
      </c>
      <c r="C1105" s="19">
        <v>3.3E-3</v>
      </c>
      <c r="D1105" s="19">
        <v>6.9239999999999996E-2</v>
      </c>
      <c r="E1105" s="19">
        <v>3.1103013698630137E-3</v>
      </c>
      <c r="F1105" s="19">
        <v>1.6610301369863013E-2</v>
      </c>
    </row>
    <row r="1106" spans="1:6" x14ac:dyDescent="0.25">
      <c r="A1106" s="18">
        <v>42587</v>
      </c>
      <c r="B1106" s="19">
        <v>0</v>
      </c>
      <c r="C1106" s="19">
        <v>-7.1999999999999998E-3</v>
      </c>
      <c r="D1106" s="19">
        <v>6.9250000000000006E-2</v>
      </c>
      <c r="E1106" s="19">
        <v>-7.3897260273972599E-3</v>
      </c>
      <c r="F1106" s="19">
        <v>-1.897260273972603E-4</v>
      </c>
    </row>
    <row r="1107" spans="1:6" x14ac:dyDescent="0.25">
      <c r="A1107" s="18">
        <v>42586</v>
      </c>
      <c r="B1107" s="19">
        <v>8.5000000000000006E-3</v>
      </c>
      <c r="C1107" s="19">
        <v>5.0000000000000001E-4</v>
      </c>
      <c r="D1107" s="19">
        <v>6.9250000000000006E-2</v>
      </c>
      <c r="E1107" s="19">
        <v>3.1027397260273968E-4</v>
      </c>
      <c r="F1107" s="19">
        <v>8.3102739726027396E-3</v>
      </c>
    </row>
    <row r="1108" spans="1:6" x14ac:dyDescent="0.25">
      <c r="A1108" s="18">
        <v>42585</v>
      </c>
      <c r="B1108" s="19">
        <v>-8.3999999999999995E-3</v>
      </c>
      <c r="C1108" s="19">
        <v>-7.0000000000000001E-3</v>
      </c>
      <c r="D1108" s="19">
        <v>6.9290000000000004E-2</v>
      </c>
      <c r="E1108" s="19">
        <v>-7.1898356164383564E-3</v>
      </c>
      <c r="F1108" s="19">
        <v>-8.5898356164383557E-3</v>
      </c>
    </row>
    <row r="1109" spans="1:6" x14ac:dyDescent="0.25">
      <c r="A1109" s="18">
        <v>42584</v>
      </c>
      <c r="B1109" s="19">
        <v>-8.3000000000000001E-3</v>
      </c>
      <c r="C1109" s="19">
        <v>-1.9E-2</v>
      </c>
      <c r="D1109" s="19">
        <v>6.9239999999999996E-2</v>
      </c>
      <c r="E1109" s="19">
        <v>-1.9189698630136986E-2</v>
      </c>
      <c r="F1109" s="19">
        <v>-8.4896986301369864E-3</v>
      </c>
    </row>
    <row r="1110" spans="1:6" x14ac:dyDescent="0.25">
      <c r="A1110" s="18">
        <v>42583</v>
      </c>
      <c r="B1110" s="19">
        <v>2.5600000000000001E-2</v>
      </c>
      <c r="C1110" s="19">
        <v>-5.8999999999999999E-3</v>
      </c>
      <c r="D1110" s="19">
        <v>6.9180000000000005E-2</v>
      </c>
      <c r="E1110" s="19">
        <v>-6.0895342465753424E-3</v>
      </c>
      <c r="F1110" s="19">
        <v>2.541046575342466E-2</v>
      </c>
    </row>
    <row r="1111" spans="1:6" x14ac:dyDescent="0.25">
      <c r="A1111" s="18">
        <v>42580</v>
      </c>
      <c r="B1111" s="19">
        <v>8.6E-3</v>
      </c>
      <c r="C1111" s="19">
        <v>-7.4999999999999997E-3</v>
      </c>
      <c r="D1111" s="19">
        <v>6.9209999999999994E-2</v>
      </c>
      <c r="E1111" s="19">
        <v>-7.6896164383561637E-3</v>
      </c>
      <c r="F1111" s="19">
        <v>8.410383561643836E-3</v>
      </c>
    </row>
    <row r="1112" spans="1:6" x14ac:dyDescent="0.25">
      <c r="A1112" s="18">
        <v>42579</v>
      </c>
      <c r="B1112" s="19">
        <v>-4.1300000000000003E-2</v>
      </c>
      <c r="C1112" s="19">
        <v>1.6000000000000001E-3</v>
      </c>
      <c r="D1112" s="19">
        <v>6.9199999999999998E-2</v>
      </c>
      <c r="E1112" s="19">
        <v>1.4104109589041097E-3</v>
      </c>
      <c r="F1112" s="19">
        <v>-4.1489589041095891E-2</v>
      </c>
    </row>
    <row r="1113" spans="1:6" x14ac:dyDescent="0.25">
      <c r="A1113" s="18">
        <v>42578</v>
      </c>
      <c r="B1113" s="19">
        <v>2.5399999999999999E-2</v>
      </c>
      <c r="C1113" s="19">
        <v>1.1599999999999999E-2</v>
      </c>
      <c r="D1113" s="19">
        <v>6.9220000000000004E-2</v>
      </c>
      <c r="E1113" s="19">
        <v>1.1410356164383561E-2</v>
      </c>
      <c r="F1113" s="19">
        <v>2.5210356164383562E-2</v>
      </c>
    </row>
    <row r="1114" spans="1:6" x14ac:dyDescent="0.25">
      <c r="A1114" s="18">
        <v>42577</v>
      </c>
      <c r="B1114" s="19">
        <v>-4.8399999999999999E-2</v>
      </c>
      <c r="C1114" s="19">
        <v>-1.1000000000000001E-3</v>
      </c>
      <c r="D1114" s="19">
        <v>6.9220000000000004E-2</v>
      </c>
      <c r="E1114" s="19">
        <v>-1.2896438356164385E-3</v>
      </c>
      <c r="F1114" s="19">
        <v>-4.8589643835616439E-2</v>
      </c>
    </row>
    <row r="1115" spans="1:6" x14ac:dyDescent="0.25">
      <c r="A1115" s="18">
        <v>42576</v>
      </c>
      <c r="B1115" s="19">
        <v>8.0999999999999996E-3</v>
      </c>
      <c r="C1115" s="19">
        <v>-8.9999999999999998E-4</v>
      </c>
      <c r="D1115" s="19">
        <v>6.9279999999999994E-2</v>
      </c>
      <c r="E1115" s="19">
        <v>-1.0898082191780822E-3</v>
      </c>
      <c r="F1115" s="19">
        <v>7.910191780821918E-3</v>
      </c>
    </row>
    <row r="1116" spans="1:6" x14ac:dyDescent="0.25">
      <c r="A1116" s="18">
        <v>42573</v>
      </c>
      <c r="B1116" s="19">
        <v>-2.3800000000000002E-2</v>
      </c>
      <c r="C1116" s="19">
        <v>-1.47E-2</v>
      </c>
      <c r="D1116" s="19">
        <v>6.9260000000000002E-2</v>
      </c>
      <c r="E1116" s="19">
        <v>-1.4889753424657533E-2</v>
      </c>
      <c r="F1116" s="19">
        <v>-2.3989753424657537E-2</v>
      </c>
    </row>
    <row r="1117" spans="1:6" x14ac:dyDescent="0.25">
      <c r="A1117" s="18">
        <v>42572</v>
      </c>
      <c r="B1117" s="19">
        <v>8.0000000000000002E-3</v>
      </c>
      <c r="C1117" s="19">
        <v>-1E-3</v>
      </c>
      <c r="D1117" s="19">
        <v>6.9260000000000002E-2</v>
      </c>
      <c r="E1117" s="19">
        <v>-1.1897534246575344E-3</v>
      </c>
      <c r="F1117" s="19">
        <v>7.8102465753424662E-3</v>
      </c>
    </row>
    <row r="1118" spans="1:6" x14ac:dyDescent="0.25">
      <c r="A1118" s="18">
        <v>42571</v>
      </c>
      <c r="B1118" s="19">
        <v>-2.3400000000000001E-2</v>
      </c>
      <c r="C1118" s="19">
        <v>-1.12E-2</v>
      </c>
      <c r="D1118" s="19">
        <v>6.9250000000000006E-2</v>
      </c>
      <c r="E1118" s="19">
        <v>-1.1389726027397261E-2</v>
      </c>
      <c r="F1118" s="19">
        <v>-2.358972602739726E-2</v>
      </c>
    </row>
    <row r="1119" spans="1:6" x14ac:dyDescent="0.25">
      <c r="A1119" s="18">
        <v>42570</v>
      </c>
      <c r="B1119" s="19">
        <v>-1.54E-2</v>
      </c>
      <c r="C1119" s="19">
        <v>-8.5000000000000006E-3</v>
      </c>
      <c r="D1119" s="19">
        <v>6.9360000000000005E-2</v>
      </c>
      <c r="E1119" s="19">
        <v>-8.6900273972602745E-3</v>
      </c>
      <c r="F1119" s="19">
        <v>-1.5590027397260274E-2</v>
      </c>
    </row>
    <row r="1120" spans="1:6" x14ac:dyDescent="0.25">
      <c r="A1120" s="18">
        <v>42569</v>
      </c>
      <c r="B1120" s="19">
        <v>1.5599999999999999E-2</v>
      </c>
      <c r="C1120" s="19">
        <v>1.35E-2</v>
      </c>
      <c r="D1120" s="19">
        <v>6.9360000000000005E-2</v>
      </c>
      <c r="E1120" s="19">
        <v>1.3309972602739726E-2</v>
      </c>
      <c r="F1120" s="19">
        <v>1.5409972602739725E-2</v>
      </c>
    </row>
    <row r="1121" spans="1:6" x14ac:dyDescent="0.25">
      <c r="A1121" s="18">
        <v>42566</v>
      </c>
      <c r="B1121" s="19">
        <v>-7.7999999999999996E-3</v>
      </c>
      <c r="C1121" s="19">
        <v>-3.2000000000000002E-3</v>
      </c>
      <c r="D1121" s="19">
        <v>6.9360000000000005E-2</v>
      </c>
      <c r="E1121" s="19">
        <v>-3.390027397260274E-3</v>
      </c>
      <c r="F1121" s="19">
        <v>-7.9900273972602735E-3</v>
      </c>
    </row>
    <row r="1122" spans="1:6" x14ac:dyDescent="0.25">
      <c r="A1122" s="18">
        <v>42565</v>
      </c>
      <c r="B1122" s="19">
        <v>-2.2700000000000001E-2</v>
      </c>
      <c r="C1122" s="19">
        <v>-1.2500000000000001E-2</v>
      </c>
      <c r="D1122" s="19">
        <v>6.9360000000000005E-2</v>
      </c>
      <c r="E1122" s="19">
        <v>-1.2690027397260275E-2</v>
      </c>
      <c r="F1122" s="19">
        <v>-2.2890027397260277E-2</v>
      </c>
    </row>
    <row r="1123" spans="1:6" x14ac:dyDescent="0.25">
      <c r="A1123" s="18">
        <v>42564</v>
      </c>
      <c r="B1123" s="19">
        <v>2.3300000000000001E-2</v>
      </c>
      <c r="C1123" s="19">
        <v>2.46E-2</v>
      </c>
      <c r="D1123" s="19">
        <v>6.9379999999999997E-2</v>
      </c>
      <c r="E1123" s="19">
        <v>2.4409917808219179E-2</v>
      </c>
      <c r="F1123" s="19">
        <v>2.310991780821918E-2</v>
      </c>
    </row>
    <row r="1124" spans="1:6" x14ac:dyDescent="0.25">
      <c r="A1124" s="18">
        <v>42563</v>
      </c>
      <c r="B1124" s="19">
        <v>7.7999999999999996E-3</v>
      </c>
      <c r="C1124" s="19">
        <v>1.0200000000000001E-2</v>
      </c>
      <c r="D1124" s="19">
        <v>6.9379999999999997E-2</v>
      </c>
      <c r="E1124" s="19">
        <v>1.0009917808219179E-2</v>
      </c>
      <c r="F1124" s="19">
        <v>7.6099178082191781E-3</v>
      </c>
    </row>
    <row r="1125" spans="1:6" x14ac:dyDescent="0.25">
      <c r="A1125" s="18">
        <v>42562</v>
      </c>
      <c r="B1125" s="19">
        <v>-3.0300000000000001E-2</v>
      </c>
      <c r="C1125" s="19">
        <v>-9.7000000000000003E-3</v>
      </c>
      <c r="D1125" s="19">
        <v>6.9379999999999997E-2</v>
      </c>
      <c r="E1125" s="19">
        <v>-9.8900821917808218E-3</v>
      </c>
      <c r="F1125" s="19">
        <v>-3.0490082191780822E-2</v>
      </c>
    </row>
    <row r="1126" spans="1:6" x14ac:dyDescent="0.25">
      <c r="A1126" s="18">
        <v>42559</v>
      </c>
      <c r="B1126" s="19">
        <v>-1.49E-2</v>
      </c>
      <c r="C1126" s="19">
        <v>-3.7000000000000002E-3</v>
      </c>
      <c r="D1126" s="19">
        <v>6.9199999999999998E-2</v>
      </c>
      <c r="E1126" s="19">
        <v>-3.8895890410958907E-3</v>
      </c>
      <c r="F1126" s="19">
        <v>-1.5089589041095891E-2</v>
      </c>
    </row>
    <row r="1127" spans="1:6" x14ac:dyDescent="0.25">
      <c r="A1127" s="18">
        <v>42558</v>
      </c>
      <c r="B1127" s="19">
        <v>3.8800000000000001E-2</v>
      </c>
      <c r="C1127" s="19">
        <v>1.7999999999999999E-2</v>
      </c>
      <c r="D1127" s="19">
        <v>6.9190000000000002E-2</v>
      </c>
      <c r="E1127" s="19">
        <v>1.7810438356164381E-2</v>
      </c>
      <c r="F1127" s="19">
        <v>3.8610438356164387E-2</v>
      </c>
    </row>
    <row r="1128" spans="1:6" x14ac:dyDescent="0.25">
      <c r="A1128" s="18">
        <v>42557</v>
      </c>
      <c r="B1128" s="19">
        <v>-1.5299999999999999E-2</v>
      </c>
      <c r="C1128" s="19">
        <v>-2.2000000000000001E-3</v>
      </c>
      <c r="D1128" s="19">
        <v>6.9080000000000003E-2</v>
      </c>
      <c r="E1128" s="19">
        <v>-2.3892602739726031E-3</v>
      </c>
      <c r="F1128" s="19">
        <v>-1.5489260273972603E-2</v>
      </c>
    </row>
    <row r="1129" spans="1:6" x14ac:dyDescent="0.25">
      <c r="A1129" s="18">
        <v>42556</v>
      </c>
      <c r="B1129" s="19">
        <v>-1.4999999999999999E-2</v>
      </c>
      <c r="C1129" s="19">
        <v>4.4999999999999997E-3</v>
      </c>
      <c r="D1129" s="19">
        <v>6.9080000000000003E-2</v>
      </c>
      <c r="E1129" s="19">
        <v>4.3107397260273971E-3</v>
      </c>
      <c r="F1129" s="19">
        <v>-1.5189260273972603E-2</v>
      </c>
    </row>
    <row r="1130" spans="1:6" x14ac:dyDescent="0.25">
      <c r="A1130" s="18">
        <v>42555</v>
      </c>
      <c r="B1130" s="19">
        <v>1.5299999999999999E-2</v>
      </c>
      <c r="C1130" s="19">
        <v>1.2E-2</v>
      </c>
      <c r="D1130" s="19">
        <v>6.9080000000000003E-2</v>
      </c>
      <c r="E1130" s="19">
        <v>1.1810739726027397E-2</v>
      </c>
      <c r="F1130" s="19">
        <v>1.5110739726027396E-2</v>
      </c>
    </row>
    <row r="1131" spans="1:6" x14ac:dyDescent="0.25">
      <c r="A1131" s="18">
        <v>42552</v>
      </c>
      <c r="B1131" s="19">
        <v>4.8000000000000001E-2</v>
      </c>
      <c r="C1131" s="19">
        <v>1.2699999999999999E-2</v>
      </c>
      <c r="D1131" s="19">
        <v>6.9089999999999999E-2</v>
      </c>
      <c r="E1131" s="19">
        <v>1.2510712328767123E-2</v>
      </c>
      <c r="F1131" s="19">
        <v>4.7810712328767123E-2</v>
      </c>
    </row>
    <row r="1132" spans="1:6" x14ac:dyDescent="0.25">
      <c r="A1132" s="18">
        <v>42551</v>
      </c>
      <c r="B1132" s="19">
        <v>8.0999999999999996E-3</v>
      </c>
      <c r="C1132" s="19">
        <v>3.3999999999999998E-3</v>
      </c>
      <c r="D1132" s="19">
        <v>6.8989999999999996E-2</v>
      </c>
      <c r="E1132" s="19">
        <v>3.210986301369863E-3</v>
      </c>
      <c r="F1132" s="19">
        <v>7.9109863013698632E-3</v>
      </c>
    </row>
    <row r="1133" spans="1:6" x14ac:dyDescent="0.25">
      <c r="A1133" s="18">
        <v>42550</v>
      </c>
      <c r="B1133" s="19">
        <v>2.4799999999999999E-2</v>
      </c>
      <c r="C1133" s="19">
        <v>1.2699999999999999E-2</v>
      </c>
      <c r="D1133" s="19">
        <v>6.8970000000000004E-2</v>
      </c>
      <c r="E1133" s="19">
        <v>1.2511041095890411E-2</v>
      </c>
      <c r="F1133" s="19">
        <v>2.461104109589041E-2</v>
      </c>
    </row>
    <row r="1134" spans="1:6" x14ac:dyDescent="0.25">
      <c r="A1134" s="18">
        <v>42549</v>
      </c>
      <c r="B1134" s="19">
        <v>0</v>
      </c>
      <c r="C1134" s="19">
        <v>1.5E-3</v>
      </c>
      <c r="D1134" s="19">
        <v>6.8940000000000001E-2</v>
      </c>
      <c r="E1134" s="19">
        <v>1.3111232876712329E-3</v>
      </c>
      <c r="F1134" s="19">
        <v>-1.8887671232876714E-4</v>
      </c>
    </row>
    <row r="1135" spans="1:6" x14ac:dyDescent="0.25">
      <c r="A1135" s="18">
        <v>42548</v>
      </c>
      <c r="B1135" s="19">
        <v>8.3000000000000001E-3</v>
      </c>
      <c r="C1135" s="19">
        <v>8.0000000000000004E-4</v>
      </c>
      <c r="D1135" s="19">
        <v>6.8959999999999994E-2</v>
      </c>
      <c r="E1135" s="19">
        <v>6.1106849315068499E-4</v>
      </c>
      <c r="F1135" s="19">
        <v>8.1110684931506843E-3</v>
      </c>
    </row>
    <row r="1136" spans="1:6" x14ac:dyDescent="0.25">
      <c r="A1136" s="18">
        <v>42545</v>
      </c>
      <c r="B1136" s="19">
        <v>-1.6400000000000001E-2</v>
      </c>
      <c r="C1136" s="19">
        <v>-1.8200000000000001E-2</v>
      </c>
      <c r="D1136" s="19">
        <v>6.8959999999999994E-2</v>
      </c>
      <c r="E1136" s="19">
        <v>-1.8388931506849317E-2</v>
      </c>
      <c r="F1136" s="19">
        <v>-1.6588931506849317E-2</v>
      </c>
    </row>
    <row r="1137" spans="1:6" x14ac:dyDescent="0.25">
      <c r="A1137" s="18">
        <v>42544</v>
      </c>
      <c r="B1137" s="19">
        <v>8.3000000000000001E-3</v>
      </c>
      <c r="C1137" s="19">
        <v>9.4000000000000004E-3</v>
      </c>
      <c r="D1137" s="19">
        <v>6.9010000000000002E-2</v>
      </c>
      <c r="E1137" s="19">
        <v>9.2109315068493146E-3</v>
      </c>
      <c r="F1137" s="19">
        <v>8.1109315068493143E-3</v>
      </c>
    </row>
    <row r="1138" spans="1:6" x14ac:dyDescent="0.25">
      <c r="A1138" s="18">
        <v>42543</v>
      </c>
      <c r="B1138" s="19">
        <v>0</v>
      </c>
      <c r="C1138" s="19">
        <v>-2.5000000000000001E-3</v>
      </c>
      <c r="D1138" s="19">
        <v>6.9000000000000006E-2</v>
      </c>
      <c r="E1138" s="19">
        <v>-2.6890410958904112E-3</v>
      </c>
      <c r="F1138" s="19">
        <v>-1.8904109589041096E-4</v>
      </c>
    </row>
    <row r="1139" spans="1:6" x14ac:dyDescent="0.25">
      <c r="A1139" s="18">
        <v>42542</v>
      </c>
      <c r="B1139" s="19">
        <v>-1.6299999999999999E-2</v>
      </c>
      <c r="C1139" s="19">
        <v>2.5000000000000001E-3</v>
      </c>
      <c r="D1139" s="19">
        <v>6.9029999999999994E-2</v>
      </c>
      <c r="E1139" s="19">
        <v>2.3108767123287671E-3</v>
      </c>
      <c r="F1139" s="19">
        <v>-1.6489123287671232E-2</v>
      </c>
    </row>
    <row r="1140" spans="1:6" x14ac:dyDescent="0.25">
      <c r="A1140" s="18">
        <v>42541</v>
      </c>
      <c r="B1140" s="19">
        <v>3.3599999999999998E-2</v>
      </c>
      <c r="C1140" s="19">
        <v>1.1599999999999999E-2</v>
      </c>
      <c r="D1140" s="19">
        <v>6.9010000000000002E-2</v>
      </c>
      <c r="E1140" s="19">
        <v>1.1410931506849313E-2</v>
      </c>
      <c r="F1140" s="19">
        <v>3.341093150684931E-2</v>
      </c>
    </row>
    <row r="1141" spans="1:6" x14ac:dyDescent="0.25">
      <c r="A1141" s="18">
        <v>42538</v>
      </c>
      <c r="B1141" s="19">
        <v>-8.3000000000000001E-3</v>
      </c>
      <c r="C1141" s="19">
        <v>-9.4000000000000004E-3</v>
      </c>
      <c r="D1141" s="19">
        <v>6.9059999999999996E-2</v>
      </c>
      <c r="E1141" s="19">
        <v>-9.5892054794520544E-3</v>
      </c>
      <c r="F1141" s="19">
        <v>-8.4892054794520541E-3</v>
      </c>
    </row>
    <row r="1142" spans="1:6" x14ac:dyDescent="0.25">
      <c r="A1142" s="18">
        <v>42537</v>
      </c>
      <c r="B1142" s="19">
        <v>-2.4400000000000002E-2</v>
      </c>
      <c r="C1142" s="19">
        <v>-3.0000000000000001E-3</v>
      </c>
      <c r="D1142" s="19">
        <v>6.905E-2</v>
      </c>
      <c r="E1142" s="19">
        <v>-3.1891780821917807E-3</v>
      </c>
      <c r="F1142" s="19">
        <v>-2.4589178082191781E-2</v>
      </c>
    </row>
    <row r="1143" spans="1:6" x14ac:dyDescent="0.25">
      <c r="A1143" s="18">
        <v>42536</v>
      </c>
      <c r="B1143" s="19">
        <v>2.5000000000000001E-2</v>
      </c>
      <c r="C1143" s="19">
        <v>2.5000000000000001E-3</v>
      </c>
      <c r="D1143" s="19">
        <v>6.9019999999999998E-2</v>
      </c>
      <c r="E1143" s="19">
        <v>2.3109041095890413E-3</v>
      </c>
      <c r="F1143" s="19">
        <v>2.4810904109589041E-2</v>
      </c>
    </row>
    <row r="1144" spans="1:6" x14ac:dyDescent="0.25">
      <c r="A1144" s="18">
        <v>42535</v>
      </c>
      <c r="B1144" s="19">
        <v>0</v>
      </c>
      <c r="C1144" s="19">
        <v>3.0000000000000001E-3</v>
      </c>
      <c r="D1144" s="19">
        <v>6.9040000000000004E-2</v>
      </c>
      <c r="E1144" s="19">
        <v>2.8108493150684932E-3</v>
      </c>
      <c r="F1144" s="19">
        <v>-1.8915068493150687E-4</v>
      </c>
    </row>
    <row r="1145" spans="1:6" x14ac:dyDescent="0.25">
      <c r="A1145" s="18">
        <v>42534</v>
      </c>
      <c r="B1145" s="19">
        <v>-8.3000000000000001E-3</v>
      </c>
      <c r="C1145" s="19">
        <v>-9.9000000000000008E-3</v>
      </c>
      <c r="D1145" s="19">
        <v>6.9040000000000004E-2</v>
      </c>
      <c r="E1145" s="19">
        <v>-1.0089150684931507E-2</v>
      </c>
      <c r="F1145" s="19">
        <v>-8.4891506849315065E-3</v>
      </c>
    </row>
    <row r="1146" spans="1:6" x14ac:dyDescent="0.25">
      <c r="A1146" s="18">
        <v>42531</v>
      </c>
      <c r="B1146" s="19">
        <v>-2.4199999999999999E-2</v>
      </c>
      <c r="C1146" s="19">
        <v>-2.2000000000000001E-3</v>
      </c>
      <c r="D1146" s="19">
        <v>6.905E-2</v>
      </c>
      <c r="E1146" s="19">
        <v>-2.3891780821917808E-3</v>
      </c>
      <c r="F1146" s="19">
        <v>-2.4389178082191779E-2</v>
      </c>
    </row>
    <row r="1147" spans="1:6" x14ac:dyDescent="0.25">
      <c r="A1147" s="18">
        <v>42530</v>
      </c>
      <c r="B1147" s="19">
        <v>2.4799999999999999E-2</v>
      </c>
      <c r="C1147" s="19">
        <v>5.4000000000000003E-3</v>
      </c>
      <c r="D1147" s="19">
        <v>6.9430000000000006E-2</v>
      </c>
      <c r="E1147" s="19">
        <v>5.2097808219178088E-3</v>
      </c>
      <c r="F1147" s="19">
        <v>2.4609780821917806E-2</v>
      </c>
    </row>
    <row r="1148" spans="1:6" x14ac:dyDescent="0.25">
      <c r="A1148" s="18">
        <v>42529</v>
      </c>
      <c r="B1148" s="19">
        <v>-1.6299999999999999E-2</v>
      </c>
      <c r="C1148" s="19">
        <v>5.1999999999999998E-3</v>
      </c>
      <c r="D1148" s="19">
        <v>6.9430000000000006E-2</v>
      </c>
      <c r="E1148" s="19">
        <v>5.0097808219178083E-3</v>
      </c>
      <c r="F1148" s="19">
        <v>-1.6490219178082192E-2</v>
      </c>
    </row>
    <row r="1149" spans="1:6" x14ac:dyDescent="0.25">
      <c r="A1149" s="18">
        <v>42528</v>
      </c>
      <c r="B1149" s="19">
        <v>1.6500000000000001E-2</v>
      </c>
      <c r="C1149" s="19">
        <v>7.4000000000000003E-3</v>
      </c>
      <c r="D1149" s="19">
        <v>6.9430000000000006E-2</v>
      </c>
      <c r="E1149" s="19">
        <v>7.2097808219178088E-3</v>
      </c>
      <c r="F1149" s="19">
        <v>1.6309780821917808E-2</v>
      </c>
    </row>
    <row r="1150" spans="1:6" x14ac:dyDescent="0.25">
      <c r="A1150" s="18">
        <v>42527</v>
      </c>
      <c r="B1150" s="19">
        <v>0</v>
      </c>
      <c r="C1150" s="19">
        <v>-2.8999999999999998E-3</v>
      </c>
      <c r="D1150" s="19">
        <v>6.9430000000000006E-2</v>
      </c>
      <c r="E1150" s="19">
        <v>-3.0902191780821917E-3</v>
      </c>
      <c r="F1150" s="19">
        <v>-1.902191780821918E-4</v>
      </c>
    </row>
    <row r="1151" spans="1:6" x14ac:dyDescent="0.25">
      <c r="A1151" s="18">
        <v>42524</v>
      </c>
      <c r="B1151" s="19">
        <v>-1.6299999999999999E-2</v>
      </c>
      <c r="C1151" s="19">
        <v>-2.3999999999999998E-3</v>
      </c>
      <c r="D1151" s="19">
        <v>6.9430000000000006E-2</v>
      </c>
      <c r="E1151" s="19">
        <v>-2.5902191780821917E-3</v>
      </c>
      <c r="F1151" s="19">
        <v>-1.6490219178082192E-2</v>
      </c>
    </row>
    <row r="1152" spans="1:6" x14ac:dyDescent="0.25">
      <c r="A1152" s="18">
        <v>42523</v>
      </c>
      <c r="B1152" s="19">
        <v>2.5000000000000001E-2</v>
      </c>
      <c r="C1152" s="19">
        <v>5.7000000000000002E-3</v>
      </c>
      <c r="D1152" s="19">
        <v>6.9430000000000006E-2</v>
      </c>
      <c r="E1152" s="19">
        <v>5.5097808219178087E-3</v>
      </c>
      <c r="F1152" s="19">
        <v>2.4809780821917808E-2</v>
      </c>
    </row>
    <row r="1153" spans="1:6" x14ac:dyDescent="0.25">
      <c r="A1153" s="18">
        <v>42522</v>
      </c>
      <c r="B1153" s="19">
        <v>0</v>
      </c>
      <c r="C1153" s="19">
        <v>2.3E-3</v>
      </c>
      <c r="D1153" s="19">
        <v>6.9430000000000006E-2</v>
      </c>
      <c r="E1153" s="19">
        <v>2.109780821917808E-3</v>
      </c>
      <c r="F1153" s="19">
        <v>-1.902191780821918E-4</v>
      </c>
    </row>
    <row r="1154" spans="1:6" x14ac:dyDescent="0.25">
      <c r="A1154" s="18">
        <v>42521</v>
      </c>
      <c r="B1154" s="19">
        <v>5.2600000000000001E-2</v>
      </c>
      <c r="C1154" s="19">
        <v>6.4000000000000003E-3</v>
      </c>
      <c r="D1154" s="19">
        <v>6.9430000000000006E-2</v>
      </c>
      <c r="E1154" s="19">
        <v>6.2097808219178088E-3</v>
      </c>
      <c r="F1154" s="19">
        <v>5.2409780821917808E-2</v>
      </c>
    </row>
    <row r="1155" spans="1:6" x14ac:dyDescent="0.25">
      <c r="A1155" s="18">
        <v>42520</v>
      </c>
      <c r="B1155" s="19">
        <v>8.8000000000000005E-3</v>
      </c>
      <c r="C1155" s="19">
        <v>1.0500000000000001E-2</v>
      </c>
      <c r="D1155" s="19">
        <v>6.9430000000000006E-2</v>
      </c>
      <c r="E1155" s="19">
        <v>1.0309780821917809E-2</v>
      </c>
      <c r="F1155" s="19">
        <v>8.609780821917809E-3</v>
      </c>
    </row>
    <row r="1156" spans="1:6" x14ac:dyDescent="0.25">
      <c r="A1156" s="18">
        <v>42517</v>
      </c>
      <c r="B1156" s="19">
        <v>-8.8000000000000005E-3</v>
      </c>
      <c r="C1156" s="19">
        <v>6.1999999999999998E-3</v>
      </c>
      <c r="D1156" s="19">
        <v>6.9430000000000006E-2</v>
      </c>
      <c r="E1156" s="19">
        <v>6.0097808219178083E-3</v>
      </c>
      <c r="F1156" s="19">
        <v>-8.990219178082192E-3</v>
      </c>
    </row>
    <row r="1157" spans="1:6" x14ac:dyDescent="0.25">
      <c r="A1157" s="18">
        <v>42516</v>
      </c>
      <c r="B1157" s="19">
        <v>-8.6999999999999994E-3</v>
      </c>
      <c r="C1157" s="19">
        <v>-1.23E-2</v>
      </c>
      <c r="D1157" s="19">
        <v>6.9430000000000006E-2</v>
      </c>
      <c r="E1157" s="19">
        <v>-1.2490219178082192E-2</v>
      </c>
      <c r="F1157" s="19">
        <v>-8.8902191780821909E-3</v>
      </c>
    </row>
    <row r="1158" spans="1:6" x14ac:dyDescent="0.25">
      <c r="A1158" s="18">
        <v>42515</v>
      </c>
      <c r="B1158" s="19">
        <v>1.77E-2</v>
      </c>
      <c r="C1158" s="19">
        <v>4.0000000000000002E-4</v>
      </c>
      <c r="D1158" s="19">
        <v>6.9430000000000006E-2</v>
      </c>
      <c r="E1158" s="19">
        <v>2.0978082191780821E-4</v>
      </c>
      <c r="F1158" s="19">
        <v>1.7509780821917807E-2</v>
      </c>
    </row>
    <row r="1159" spans="1:6" x14ac:dyDescent="0.25">
      <c r="A1159" s="18">
        <v>42514</v>
      </c>
      <c r="B1159" s="19">
        <v>0</v>
      </c>
      <c r="C1159" s="19">
        <v>1E-3</v>
      </c>
      <c r="D1159" s="19">
        <v>6.9430000000000006E-2</v>
      </c>
      <c r="E1159" s="19">
        <v>8.0978082191780819E-4</v>
      </c>
      <c r="F1159" s="19">
        <v>-1.902191780821918E-4</v>
      </c>
    </row>
    <row r="1160" spans="1:6" x14ac:dyDescent="0.25">
      <c r="A1160" s="18">
        <v>42513</v>
      </c>
      <c r="B1160" s="19">
        <v>-1.7399999999999999E-2</v>
      </c>
      <c r="C1160" s="19">
        <v>-6.1000000000000004E-3</v>
      </c>
      <c r="D1160" s="19">
        <v>6.9430000000000006E-2</v>
      </c>
      <c r="E1160" s="19">
        <v>-6.2902191780821919E-3</v>
      </c>
      <c r="F1160" s="19">
        <v>-1.7590219178082192E-2</v>
      </c>
    </row>
    <row r="1161" spans="1:6" x14ac:dyDescent="0.25">
      <c r="A1161" s="18">
        <v>42510</v>
      </c>
      <c r="B1161" s="19">
        <v>0</v>
      </c>
      <c r="C1161" s="19">
        <v>-7.1000000000000004E-3</v>
      </c>
      <c r="D1161" s="19">
        <v>6.9430000000000006E-2</v>
      </c>
      <c r="E1161" s="19">
        <v>-7.2902191780821919E-3</v>
      </c>
      <c r="F1161" s="19">
        <v>-1.902191780821918E-4</v>
      </c>
    </row>
    <row r="1162" spans="1:6" x14ac:dyDescent="0.25">
      <c r="A1162" s="18">
        <v>42509</v>
      </c>
      <c r="B1162" s="19">
        <v>-8.6E-3</v>
      </c>
      <c r="C1162" s="19">
        <v>-5.1999999999999998E-3</v>
      </c>
      <c r="D1162" s="19">
        <v>6.9430000000000006E-2</v>
      </c>
      <c r="E1162" s="19">
        <v>-5.3902191780821913E-3</v>
      </c>
      <c r="F1162" s="19">
        <v>-8.7902191780821915E-3</v>
      </c>
    </row>
    <row r="1163" spans="1:6" x14ac:dyDescent="0.25">
      <c r="A1163" s="18">
        <v>42508</v>
      </c>
      <c r="B1163" s="19">
        <v>-1.6899999999999998E-2</v>
      </c>
      <c r="C1163" s="19">
        <v>-3.7000000000000002E-3</v>
      </c>
      <c r="D1163" s="19">
        <v>6.9430000000000006E-2</v>
      </c>
      <c r="E1163" s="19">
        <v>-3.8902191780821921E-3</v>
      </c>
      <c r="F1163" s="19">
        <v>-1.7090219178082192E-2</v>
      </c>
    </row>
    <row r="1164" spans="1:6" x14ac:dyDescent="0.25">
      <c r="A1164" s="18">
        <v>42507</v>
      </c>
      <c r="B1164" s="19">
        <v>6.3100000000000003E-2</v>
      </c>
      <c r="C1164" s="19">
        <v>1.46E-2</v>
      </c>
      <c r="D1164" s="19">
        <v>6.9430000000000006E-2</v>
      </c>
      <c r="E1164" s="19">
        <v>1.4409780821917809E-2</v>
      </c>
      <c r="F1164" s="19">
        <v>6.290978082191781E-2</v>
      </c>
    </row>
    <row r="1165" spans="1:6" x14ac:dyDescent="0.25">
      <c r="A1165" s="18">
        <v>42506</v>
      </c>
      <c r="B1165" s="19">
        <v>2.7799999999999998E-2</v>
      </c>
      <c r="C1165" s="19">
        <v>8.0999999999999996E-3</v>
      </c>
      <c r="D1165" s="19">
        <v>6.9430000000000006E-2</v>
      </c>
      <c r="E1165" s="19">
        <v>7.9097808219178081E-3</v>
      </c>
      <c r="F1165" s="19">
        <v>2.7609780821917805E-2</v>
      </c>
    </row>
    <row r="1166" spans="1:6" x14ac:dyDescent="0.25">
      <c r="A1166" s="18">
        <v>42503</v>
      </c>
      <c r="B1166" s="19">
        <v>2.86E-2</v>
      </c>
      <c r="C1166" s="19">
        <v>-2.0999999999999999E-3</v>
      </c>
      <c r="D1166" s="19">
        <v>6.9430000000000006E-2</v>
      </c>
      <c r="E1166" s="19">
        <v>-2.2902191780821918E-3</v>
      </c>
      <c r="F1166" s="19">
        <v>2.8409780821917807E-2</v>
      </c>
    </row>
    <row r="1167" spans="1:6" x14ac:dyDescent="0.25">
      <c r="A1167" s="18">
        <v>42502</v>
      </c>
      <c r="B1167" s="19">
        <v>9.5999999999999992E-3</v>
      </c>
      <c r="C1167" s="19">
        <v>-3.2000000000000002E-3</v>
      </c>
      <c r="D1167" s="19">
        <v>6.9430000000000006E-2</v>
      </c>
      <c r="E1167" s="19">
        <v>-3.3902191780821921E-3</v>
      </c>
      <c r="F1167" s="19">
        <v>9.4097808219178077E-3</v>
      </c>
    </row>
    <row r="1168" spans="1:6" x14ac:dyDescent="0.25">
      <c r="A1168" s="18">
        <v>42501</v>
      </c>
      <c r="B1168" s="19">
        <v>1.9599999999999999E-2</v>
      </c>
      <c r="C1168" s="19">
        <v>1.49E-2</v>
      </c>
      <c r="D1168" s="19">
        <v>6.9430000000000006E-2</v>
      </c>
      <c r="E1168" s="19">
        <v>1.4709780821917809E-2</v>
      </c>
      <c r="F1168" s="19">
        <v>1.9409780821917806E-2</v>
      </c>
    </row>
    <row r="1169" spans="1:6" x14ac:dyDescent="0.25">
      <c r="A1169" s="18">
        <v>42500</v>
      </c>
      <c r="B1169" s="19">
        <v>0</v>
      </c>
      <c r="C1169" s="19">
        <v>2E-3</v>
      </c>
      <c r="D1169" s="19">
        <v>6.9430000000000006E-2</v>
      </c>
      <c r="E1169" s="19">
        <v>1.8097808219178083E-3</v>
      </c>
      <c r="F1169" s="19">
        <v>-1.902191780821918E-4</v>
      </c>
    </row>
    <row r="1170" spans="1:6" x14ac:dyDescent="0.25">
      <c r="A1170" s="18">
        <v>42499</v>
      </c>
      <c r="B1170" s="19">
        <v>9.9000000000000008E-3</v>
      </c>
      <c r="C1170" s="19">
        <v>-4.4000000000000003E-3</v>
      </c>
      <c r="D1170" s="19">
        <v>6.9430000000000006E-2</v>
      </c>
      <c r="E1170" s="19">
        <v>-4.5902191780821918E-3</v>
      </c>
      <c r="F1170" s="19">
        <v>9.7097808219178093E-3</v>
      </c>
    </row>
    <row r="1171" spans="1:6" x14ac:dyDescent="0.25">
      <c r="A1171" s="18">
        <v>42496</v>
      </c>
      <c r="B1171" s="19">
        <v>0.01</v>
      </c>
      <c r="C1171" s="19">
        <v>8.3000000000000001E-3</v>
      </c>
      <c r="D1171" s="19">
        <v>6.9430000000000006E-2</v>
      </c>
      <c r="E1171" s="19">
        <v>8.1097808219178086E-3</v>
      </c>
      <c r="F1171" s="19">
        <v>9.8097808219178087E-3</v>
      </c>
    </row>
    <row r="1172" spans="1:6" x14ac:dyDescent="0.25">
      <c r="A1172" s="18">
        <v>42495</v>
      </c>
      <c r="B1172" s="19">
        <v>-9.9000000000000008E-3</v>
      </c>
      <c r="C1172" s="19">
        <v>4.1000000000000003E-3</v>
      </c>
      <c r="D1172" s="19">
        <v>6.9430000000000006E-2</v>
      </c>
      <c r="E1172" s="19">
        <v>3.9097808219178088E-3</v>
      </c>
      <c r="F1172" s="19">
        <v>-1.0090219178082192E-2</v>
      </c>
    </row>
    <row r="1173" spans="1:6" x14ac:dyDescent="0.25">
      <c r="A1173" s="18">
        <v>42494</v>
      </c>
      <c r="B1173" s="19">
        <v>-9.7999999999999997E-3</v>
      </c>
      <c r="C1173" s="19">
        <v>1.1999999999999999E-3</v>
      </c>
      <c r="D1173" s="19">
        <v>6.9430000000000006E-2</v>
      </c>
      <c r="E1173" s="19">
        <v>1.0097808219178082E-3</v>
      </c>
      <c r="F1173" s="19">
        <v>-9.9902191780821912E-3</v>
      </c>
    </row>
    <row r="1174" spans="1:6" x14ac:dyDescent="0.25">
      <c r="A1174" s="18">
        <v>42489</v>
      </c>
      <c r="B1174" s="19">
        <v>0</v>
      </c>
      <c r="C1174" s="19">
        <v>1.1299999999999999E-2</v>
      </c>
      <c r="D1174" s="19">
        <v>6.9430000000000006E-2</v>
      </c>
      <c r="E1174" s="19">
        <v>1.1109780821917808E-2</v>
      </c>
      <c r="F1174" s="19">
        <v>-1.902191780821918E-4</v>
      </c>
    </row>
    <row r="1175" spans="1:6" x14ac:dyDescent="0.25">
      <c r="A1175" s="18">
        <v>42488</v>
      </c>
      <c r="B1175" s="19">
        <v>9.9000000000000008E-3</v>
      </c>
      <c r="C1175" s="19">
        <v>-3.8999999999999998E-3</v>
      </c>
      <c r="D1175" s="19">
        <v>6.9430000000000006E-2</v>
      </c>
      <c r="E1175" s="19">
        <v>-4.0902191780821913E-3</v>
      </c>
      <c r="F1175" s="19">
        <v>9.7097808219178093E-3</v>
      </c>
    </row>
    <row r="1176" spans="1:6" x14ac:dyDescent="0.25">
      <c r="A1176" s="18">
        <v>42487</v>
      </c>
      <c r="B1176" s="19">
        <v>2.0199999999999999E-2</v>
      </c>
      <c r="C1176" s="19">
        <v>-7.6E-3</v>
      </c>
      <c r="D1176" s="19">
        <v>6.9430000000000006E-2</v>
      </c>
      <c r="E1176" s="19">
        <v>-7.7902191780821915E-3</v>
      </c>
      <c r="F1176" s="19">
        <v>2.0009780821917806E-2</v>
      </c>
    </row>
    <row r="1177" spans="1:6" x14ac:dyDescent="0.25">
      <c r="A1177" s="18">
        <v>42486</v>
      </c>
      <c r="B1177" s="19">
        <v>2.4799999999999999E-2</v>
      </c>
      <c r="C1177" s="19">
        <v>1.17E-2</v>
      </c>
      <c r="D1177" s="19">
        <v>6.9430000000000006E-2</v>
      </c>
      <c r="E1177" s="19">
        <v>1.1509780821917809E-2</v>
      </c>
      <c r="F1177" s="19">
        <v>2.4609780821917806E-2</v>
      </c>
    </row>
    <row r="1178" spans="1:6" x14ac:dyDescent="0.25">
      <c r="A1178" s="18">
        <v>42485</v>
      </c>
      <c r="B1178" s="19">
        <v>-2.4199999999999999E-2</v>
      </c>
      <c r="C1178" s="19">
        <v>-1.5E-3</v>
      </c>
      <c r="D1178" s="19">
        <v>6.9430000000000006E-2</v>
      </c>
      <c r="E1178" s="19">
        <v>-1.6902191780821918E-3</v>
      </c>
      <c r="F1178" s="19">
        <v>-2.4390219178082193E-2</v>
      </c>
    </row>
    <row r="1179" spans="1:6" x14ac:dyDescent="0.25">
      <c r="A1179" s="18">
        <v>42482</v>
      </c>
      <c r="B1179" s="19">
        <v>3.9899999999999998E-2</v>
      </c>
      <c r="C1179" s="19">
        <v>2.9100000000000001E-2</v>
      </c>
      <c r="D1179" s="19">
        <v>6.9430000000000006E-2</v>
      </c>
      <c r="E1179" s="19">
        <v>2.8909780821917808E-2</v>
      </c>
      <c r="F1179" s="19">
        <v>3.9709780821917805E-2</v>
      </c>
    </row>
    <row r="1180" spans="1:6" x14ac:dyDescent="0.25">
      <c r="A1180" s="18">
        <v>42481</v>
      </c>
      <c r="B1180" s="19">
        <v>6.25E-2</v>
      </c>
      <c r="C1180" s="19">
        <v>1.3599999999999999E-2</v>
      </c>
      <c r="D1180" s="19">
        <v>6.9430000000000006E-2</v>
      </c>
      <c r="E1180" s="19">
        <v>1.3409780821917808E-2</v>
      </c>
      <c r="F1180" s="19">
        <v>6.2309780821917807E-2</v>
      </c>
    </row>
    <row r="1181" spans="1:6" x14ac:dyDescent="0.25">
      <c r="A1181" s="18">
        <v>42480</v>
      </c>
      <c r="B1181" s="19">
        <v>1.1299999999999999E-2</v>
      </c>
      <c r="C1181" s="19">
        <v>-4.0000000000000002E-4</v>
      </c>
      <c r="D1181" s="19">
        <v>6.9430000000000006E-2</v>
      </c>
      <c r="E1181" s="19">
        <v>-5.902191780821918E-4</v>
      </c>
      <c r="F1181" s="19">
        <v>1.1109780821917808E-2</v>
      </c>
    </row>
    <row r="1182" spans="1:6" x14ac:dyDescent="0.25">
      <c r="A1182" s="18">
        <v>42479</v>
      </c>
      <c r="B1182" s="19">
        <v>-4.3200000000000002E-2</v>
      </c>
      <c r="C1182" s="19">
        <v>-0.02</v>
      </c>
      <c r="D1182" s="19">
        <v>6.9430000000000006E-2</v>
      </c>
      <c r="E1182" s="19">
        <v>-2.0190219178082194E-2</v>
      </c>
      <c r="F1182" s="19">
        <v>-4.3390219178082196E-2</v>
      </c>
    </row>
    <row r="1183" spans="1:6" x14ac:dyDescent="0.25">
      <c r="A1183" s="18">
        <v>42475</v>
      </c>
      <c r="B1183" s="19">
        <v>8.6999999999999994E-3</v>
      </c>
      <c r="C1183" s="19">
        <v>5.9999999999999995E-4</v>
      </c>
      <c r="D1183" s="19">
        <v>6.9430000000000006E-2</v>
      </c>
      <c r="E1183" s="19">
        <v>4.0978082191780812E-4</v>
      </c>
      <c r="F1183" s="19">
        <v>8.5097808219178079E-3</v>
      </c>
    </row>
    <row r="1184" spans="1:6" x14ac:dyDescent="0.25">
      <c r="A1184" s="18">
        <v>42474</v>
      </c>
      <c r="B1184" s="19">
        <v>-6.4999999999999997E-3</v>
      </c>
      <c r="C1184" s="19">
        <v>2.5000000000000001E-3</v>
      </c>
      <c r="D1184" s="19">
        <v>6.9430000000000006E-2</v>
      </c>
      <c r="E1184" s="19">
        <v>2.3097808219178081E-3</v>
      </c>
      <c r="F1184" s="19">
        <v>-6.6902191780821912E-3</v>
      </c>
    </row>
    <row r="1185" spans="1:6" x14ac:dyDescent="0.25">
      <c r="A1185" s="18">
        <v>42473</v>
      </c>
      <c r="B1185" s="19">
        <v>1.54E-2</v>
      </c>
      <c r="C1185" s="19">
        <v>-3.0999999999999999E-3</v>
      </c>
      <c r="D1185" s="19">
        <v>6.9430000000000006E-2</v>
      </c>
      <c r="E1185" s="19">
        <v>-3.2902191780821918E-3</v>
      </c>
      <c r="F1185" s="19">
        <v>1.5209780821917809E-2</v>
      </c>
    </row>
    <row r="1186" spans="1:6" x14ac:dyDescent="0.25">
      <c r="A1186" s="18">
        <v>42472</v>
      </c>
      <c r="B1186" s="19">
        <v>1.11E-2</v>
      </c>
      <c r="C1186" s="19">
        <v>1E-3</v>
      </c>
      <c r="D1186" s="19">
        <v>6.9430000000000006E-2</v>
      </c>
      <c r="E1186" s="19">
        <v>8.0978082191780819E-4</v>
      </c>
      <c r="F1186" s="19">
        <v>1.0909780821917809E-2</v>
      </c>
    </row>
    <row r="1187" spans="1:6" x14ac:dyDescent="0.25">
      <c r="A1187" s="18">
        <v>42471</v>
      </c>
      <c r="B1187" s="19">
        <v>2.0400000000000001E-2</v>
      </c>
      <c r="C1187" s="19">
        <v>1.21E-2</v>
      </c>
      <c r="D1187" s="19">
        <v>6.9430000000000006E-2</v>
      </c>
      <c r="E1187" s="19">
        <v>1.1909780821917808E-2</v>
      </c>
      <c r="F1187" s="19">
        <v>2.0209780821917808E-2</v>
      </c>
    </row>
    <row r="1188" spans="1:6" x14ac:dyDescent="0.25">
      <c r="A1188" s="18">
        <v>42468</v>
      </c>
      <c r="B1188" s="19">
        <v>0</v>
      </c>
      <c r="C1188" s="19">
        <v>1.2999999999999999E-3</v>
      </c>
      <c r="D1188" s="19">
        <v>6.9430000000000006E-2</v>
      </c>
      <c r="E1188" s="19">
        <v>1.1097808219178082E-3</v>
      </c>
      <c r="F1188" s="19">
        <v>-1.902191780821918E-4</v>
      </c>
    </row>
    <row r="1189" spans="1:6" x14ac:dyDescent="0.25">
      <c r="A1189" s="18">
        <v>42467</v>
      </c>
      <c r="B1189" s="19">
        <v>2.5600000000000001E-2</v>
      </c>
      <c r="C1189" s="19">
        <v>6.7000000000000002E-3</v>
      </c>
      <c r="D1189" s="19">
        <v>6.9430000000000006E-2</v>
      </c>
      <c r="E1189" s="19">
        <v>6.5097808219178087E-3</v>
      </c>
      <c r="F1189" s="19">
        <v>2.5409780821917808E-2</v>
      </c>
    </row>
    <row r="1190" spans="1:6" x14ac:dyDescent="0.25">
      <c r="A1190" s="18">
        <v>42466</v>
      </c>
      <c r="B1190" s="19">
        <v>4.8800000000000003E-2</v>
      </c>
      <c r="C1190" s="19">
        <v>1.3299999999999999E-2</v>
      </c>
      <c r="D1190" s="19">
        <v>6.9430000000000006E-2</v>
      </c>
      <c r="E1190" s="19">
        <v>1.3109780821917808E-2</v>
      </c>
      <c r="F1190" s="19">
        <v>4.860978082191781E-2</v>
      </c>
    </row>
    <row r="1191" spans="1:6" x14ac:dyDescent="0.25">
      <c r="A1191" s="18">
        <v>42465</v>
      </c>
      <c r="B1191" s="19">
        <v>1.49E-2</v>
      </c>
      <c r="C1191" s="19">
        <v>8.0999999999999996E-3</v>
      </c>
      <c r="D1191" s="19">
        <v>6.9430000000000006E-2</v>
      </c>
      <c r="E1191" s="19">
        <v>7.9097808219178081E-3</v>
      </c>
      <c r="F1191" s="19">
        <v>1.4709780821917809E-2</v>
      </c>
    </row>
    <row r="1192" spans="1:6" x14ac:dyDescent="0.25">
      <c r="A1192" s="18">
        <v>42464</v>
      </c>
      <c r="B1192" s="19">
        <v>-2.6499999999999999E-2</v>
      </c>
      <c r="C1192" s="19">
        <v>-4.7000000000000002E-3</v>
      </c>
      <c r="D1192" s="19">
        <v>6.9430000000000006E-2</v>
      </c>
      <c r="E1192" s="19">
        <v>-4.8902191780821917E-3</v>
      </c>
      <c r="F1192" s="19">
        <v>-2.6690219178082192E-2</v>
      </c>
    </row>
    <row r="1193" spans="1:6" x14ac:dyDescent="0.25">
      <c r="A1193" s="18">
        <v>42461</v>
      </c>
      <c r="B1193" s="19">
        <v>1.2200000000000001E-2</v>
      </c>
      <c r="C1193" s="19">
        <v>-5.0000000000000001E-3</v>
      </c>
      <c r="D1193" s="19">
        <v>6.8680000000000005E-2</v>
      </c>
      <c r="E1193" s="19">
        <v>-5.1881643835616437E-3</v>
      </c>
      <c r="F1193" s="19">
        <v>1.2011835616438357E-2</v>
      </c>
    </row>
    <row r="1194" spans="1:6" x14ac:dyDescent="0.25">
      <c r="A1194" s="18">
        <v>42460</v>
      </c>
      <c r="B1194" s="19">
        <v>-4.65E-2</v>
      </c>
      <c r="C1194" s="19">
        <v>-1.52E-2</v>
      </c>
      <c r="D1194" s="19">
        <v>6.8680000000000005E-2</v>
      </c>
      <c r="E1194" s="19">
        <v>-1.5388164383561644E-2</v>
      </c>
      <c r="F1194" s="19">
        <v>-4.6688164383561645E-2</v>
      </c>
    </row>
    <row r="1195" spans="1:6" x14ac:dyDescent="0.25">
      <c r="A1195" s="18">
        <v>42459</v>
      </c>
      <c r="B1195" s="19">
        <v>-1.15E-2</v>
      </c>
      <c r="C1195" s="19">
        <v>2.8999999999999998E-3</v>
      </c>
      <c r="D1195" s="19">
        <v>6.8739999999999996E-2</v>
      </c>
      <c r="E1195" s="19">
        <v>2.711671232876712E-3</v>
      </c>
      <c r="F1195" s="19">
        <v>-1.1688328767123288E-2</v>
      </c>
    </row>
    <row r="1196" spans="1:6" x14ac:dyDescent="0.25">
      <c r="A1196" s="18">
        <v>42458</v>
      </c>
      <c r="B1196" s="19">
        <v>-3.7600000000000001E-2</v>
      </c>
      <c r="C1196" s="19">
        <v>-1.29E-2</v>
      </c>
      <c r="D1196" s="19">
        <v>6.8739999999999996E-2</v>
      </c>
      <c r="E1196" s="19">
        <v>-1.3088328767123288E-2</v>
      </c>
      <c r="F1196" s="19">
        <v>-3.7788328767123291E-2</v>
      </c>
    </row>
    <row r="1197" spans="1:6" x14ac:dyDescent="0.25">
      <c r="A1197" s="18">
        <v>42457</v>
      </c>
      <c r="B1197" s="19">
        <v>0</v>
      </c>
      <c r="C1197" s="19">
        <v>6.4000000000000003E-3</v>
      </c>
      <c r="D1197" s="19">
        <v>6.8739999999999996E-2</v>
      </c>
      <c r="E1197" s="19">
        <v>6.2116712328767129E-3</v>
      </c>
      <c r="F1197" s="19">
        <v>-1.8832876712328767E-4</v>
      </c>
    </row>
    <row r="1198" spans="1:6" x14ac:dyDescent="0.25">
      <c r="A1198" s="18">
        <v>42454</v>
      </c>
      <c r="B1198" s="19">
        <v>2.2000000000000001E-3</v>
      </c>
      <c r="C1198" s="19">
        <v>2.5000000000000001E-3</v>
      </c>
      <c r="D1198" s="19">
        <v>6.8750000000000006E-2</v>
      </c>
      <c r="E1198" s="19">
        <v>2.3116438356164384E-3</v>
      </c>
      <c r="F1198" s="19">
        <v>2.0116438356164385E-3</v>
      </c>
    </row>
    <row r="1199" spans="1:6" x14ac:dyDescent="0.25">
      <c r="A1199" s="18">
        <v>42453</v>
      </c>
      <c r="B1199" s="19">
        <v>-2.8000000000000001E-2</v>
      </c>
      <c r="C1199" s="19">
        <v>-7.0000000000000001E-3</v>
      </c>
      <c r="D1199" s="19">
        <v>6.8750000000000006E-2</v>
      </c>
      <c r="E1199" s="19">
        <v>-7.1883561643835622E-3</v>
      </c>
      <c r="F1199" s="19">
        <v>-2.8188356164383564E-2</v>
      </c>
    </row>
    <row r="1200" spans="1:6" x14ac:dyDescent="0.25">
      <c r="A1200" s="18">
        <v>42452</v>
      </c>
      <c r="B1200" s="19">
        <v>1.9800000000000002E-2</v>
      </c>
      <c r="C1200" s="19">
        <v>6.7000000000000002E-3</v>
      </c>
      <c r="D1200" s="19">
        <v>6.8750000000000006E-2</v>
      </c>
      <c r="E1200" s="19">
        <v>6.5116438356164381E-3</v>
      </c>
      <c r="F1200" s="19">
        <v>1.9611643835616439E-2</v>
      </c>
    </row>
    <row r="1201" spans="1:6" x14ac:dyDescent="0.25">
      <c r="A1201" s="18">
        <v>42451</v>
      </c>
      <c r="B1201" s="19">
        <v>1.11E-2</v>
      </c>
      <c r="C1201" s="19">
        <v>-2.3999999999999998E-3</v>
      </c>
      <c r="D1201" s="19">
        <v>6.8720000000000003E-2</v>
      </c>
      <c r="E1201" s="19">
        <v>-2.5882739726027395E-3</v>
      </c>
      <c r="F1201" s="19">
        <v>1.0911726027397262E-2</v>
      </c>
    </row>
    <row r="1202" spans="1:6" x14ac:dyDescent="0.25">
      <c r="A1202" s="18">
        <v>42450</v>
      </c>
      <c r="B1202" s="19">
        <v>-2.5999999999999999E-2</v>
      </c>
      <c r="C1202" s="19">
        <v>-6.1999999999999998E-3</v>
      </c>
      <c r="D1202" s="19">
        <v>6.8720000000000003E-2</v>
      </c>
      <c r="E1202" s="19">
        <v>-6.3882739726027395E-3</v>
      </c>
      <c r="F1202" s="19">
        <v>-2.6188273972602739E-2</v>
      </c>
    </row>
    <row r="1203" spans="1:6" x14ac:dyDescent="0.25">
      <c r="A1203" s="18">
        <v>42447</v>
      </c>
      <c r="B1203" s="19">
        <v>-1.49E-2</v>
      </c>
      <c r="C1203" s="19">
        <v>-5.8999999999999999E-3</v>
      </c>
      <c r="D1203" s="19">
        <v>6.8760000000000002E-2</v>
      </c>
      <c r="E1203" s="19">
        <v>-6.0883835616438358E-3</v>
      </c>
      <c r="F1203" s="19">
        <v>-1.5088383561643836E-2</v>
      </c>
    </row>
    <row r="1204" spans="1:6" x14ac:dyDescent="0.25">
      <c r="A1204" s="18">
        <v>42446</v>
      </c>
      <c r="B1204" s="19">
        <v>0</v>
      </c>
      <c r="C1204" s="19">
        <v>3.8E-3</v>
      </c>
      <c r="D1204" s="19">
        <v>6.8760000000000002E-2</v>
      </c>
      <c r="E1204" s="19">
        <v>3.6116164383561645E-3</v>
      </c>
      <c r="F1204" s="19">
        <v>-1.8838356164383561E-4</v>
      </c>
    </row>
    <row r="1205" spans="1:6" x14ac:dyDescent="0.25">
      <c r="A1205" s="18">
        <v>42445</v>
      </c>
      <c r="B1205" s="19">
        <v>8.6E-3</v>
      </c>
      <c r="C1205" s="19">
        <v>5.3E-3</v>
      </c>
      <c r="D1205" s="19">
        <v>6.8720000000000003E-2</v>
      </c>
      <c r="E1205" s="19">
        <v>5.1117260273972603E-3</v>
      </c>
      <c r="F1205" s="19">
        <v>8.4117260273972611E-3</v>
      </c>
    </row>
    <row r="1206" spans="1:6" x14ac:dyDescent="0.25">
      <c r="A1206" s="18">
        <v>42444</v>
      </c>
      <c r="B1206" s="19">
        <v>-3.5299999999999998E-2</v>
      </c>
      <c r="C1206" s="19">
        <v>-6.7999999999999996E-3</v>
      </c>
      <c r="D1206" s="19">
        <v>6.8720000000000003E-2</v>
      </c>
      <c r="E1206" s="19">
        <v>-6.9882739726027394E-3</v>
      </c>
      <c r="F1206" s="19">
        <v>-3.5488273972602735E-2</v>
      </c>
    </row>
    <row r="1207" spans="1:6" x14ac:dyDescent="0.25">
      <c r="A1207" s="18">
        <v>42443</v>
      </c>
      <c r="B1207" s="19">
        <v>2.0999999999999999E-3</v>
      </c>
      <c r="C1207" s="19">
        <v>1.1999999999999999E-3</v>
      </c>
      <c r="D1207" s="19">
        <v>6.8629999999999997E-2</v>
      </c>
      <c r="E1207" s="19">
        <v>1.0119726027397258E-3</v>
      </c>
      <c r="F1207" s="19">
        <v>1.9119726027397258E-3</v>
      </c>
    </row>
    <row r="1208" spans="1:6" x14ac:dyDescent="0.25">
      <c r="A1208" s="18">
        <v>42440</v>
      </c>
      <c r="B1208" s="19">
        <v>-4.1000000000000003E-3</v>
      </c>
      <c r="C1208" s="19">
        <v>2.3E-3</v>
      </c>
      <c r="D1208" s="19">
        <v>6.8629999999999997E-2</v>
      </c>
      <c r="E1208" s="19">
        <v>2.1119726027397259E-3</v>
      </c>
      <c r="F1208" s="19">
        <v>-4.288027397260274E-3</v>
      </c>
    </row>
    <row r="1209" spans="1:6" x14ac:dyDescent="0.25">
      <c r="A1209" s="18">
        <v>42439</v>
      </c>
      <c r="B1209" s="19">
        <v>1.9E-2</v>
      </c>
      <c r="C1209" s="19">
        <v>7.3000000000000001E-3</v>
      </c>
      <c r="D1209" s="19">
        <v>6.8629999999999997E-2</v>
      </c>
      <c r="E1209" s="19">
        <v>7.1119726027397264E-3</v>
      </c>
      <c r="F1209" s="19">
        <v>1.8811972602739726E-2</v>
      </c>
    </row>
    <row r="1210" spans="1:6" x14ac:dyDescent="0.25">
      <c r="A1210" s="18">
        <v>42438</v>
      </c>
      <c r="B1210" s="19">
        <v>-1.66E-2</v>
      </c>
      <c r="C1210" s="19">
        <v>-5.1999999999999998E-3</v>
      </c>
      <c r="D1210" s="19">
        <v>6.8919999999999995E-2</v>
      </c>
      <c r="E1210" s="19">
        <v>-5.3888219178082186E-3</v>
      </c>
      <c r="F1210" s="19">
        <v>-1.6788821917808221E-2</v>
      </c>
    </row>
    <row r="1211" spans="1:6" x14ac:dyDescent="0.25">
      <c r="A1211" s="18">
        <v>42437</v>
      </c>
      <c r="B1211" s="19">
        <v>-2.4299999999999999E-2</v>
      </c>
      <c r="C1211" s="19">
        <v>-2.5999999999999999E-3</v>
      </c>
      <c r="D1211" s="19">
        <v>6.8900000000000003E-2</v>
      </c>
      <c r="E1211" s="19">
        <v>-2.788767123287671E-3</v>
      </c>
      <c r="F1211" s="19">
        <v>-2.448876712328767E-2</v>
      </c>
    </row>
    <row r="1212" spans="1:6" x14ac:dyDescent="0.25">
      <c r="A1212" s="18">
        <v>42436</v>
      </c>
      <c r="B1212" s="19">
        <v>6.7000000000000004E-2</v>
      </c>
      <c r="C1212" s="19">
        <v>4.4000000000000003E-3</v>
      </c>
      <c r="D1212" s="19">
        <v>6.8640000000000007E-2</v>
      </c>
      <c r="E1212" s="19">
        <v>4.211945205479452E-3</v>
      </c>
      <c r="F1212" s="19">
        <v>6.681194520547945E-2</v>
      </c>
    </row>
    <row r="1213" spans="1:6" x14ac:dyDescent="0.25">
      <c r="A1213" s="18">
        <v>42433</v>
      </c>
      <c r="B1213" s="19">
        <v>2.4299999999999999E-2</v>
      </c>
      <c r="C1213" s="19">
        <v>5.7000000000000002E-3</v>
      </c>
      <c r="D1213" s="19">
        <v>6.8709999999999993E-2</v>
      </c>
      <c r="E1213" s="19">
        <v>5.5117534246575343E-3</v>
      </c>
      <c r="F1213" s="19">
        <v>2.4111753424657534E-2</v>
      </c>
    </row>
    <row r="1214" spans="1:6" x14ac:dyDescent="0.25">
      <c r="A1214" s="18">
        <v>42432</v>
      </c>
      <c r="B1214" s="19">
        <v>2.4899999999999999E-2</v>
      </c>
      <c r="C1214" s="19">
        <v>4.0000000000000002E-4</v>
      </c>
      <c r="D1214" s="19">
        <v>6.8709999999999993E-2</v>
      </c>
      <c r="E1214" s="19">
        <v>2.1175342465753428E-4</v>
      </c>
      <c r="F1214" s="19">
        <v>2.4711753424657534E-2</v>
      </c>
    </row>
    <row r="1215" spans="1:6" x14ac:dyDescent="0.25">
      <c r="A1215" s="18">
        <v>42431</v>
      </c>
      <c r="B1215" s="19">
        <v>1.15E-2</v>
      </c>
      <c r="C1215" s="19">
        <v>1.54E-2</v>
      </c>
      <c r="D1215" s="19">
        <v>6.8709999999999993E-2</v>
      </c>
      <c r="E1215" s="19">
        <v>1.5211753424657535E-2</v>
      </c>
      <c r="F1215" s="19">
        <v>1.1311753424657534E-2</v>
      </c>
    </row>
    <row r="1216" spans="1:6" x14ac:dyDescent="0.25">
      <c r="A1216" s="18">
        <v>42430</v>
      </c>
      <c r="B1216" s="19">
        <v>2.1100000000000001E-2</v>
      </c>
      <c r="C1216" s="19">
        <v>3.8999999999999998E-3</v>
      </c>
      <c r="D1216" s="19">
        <v>6.8659999999999999E-2</v>
      </c>
      <c r="E1216" s="19">
        <v>3.7118904109589039E-3</v>
      </c>
      <c r="F1216" s="19">
        <v>2.0911890410958905E-2</v>
      </c>
    </row>
    <row r="1217" spans="1:6" x14ac:dyDescent="0.25">
      <c r="A1217" s="18">
        <v>42429</v>
      </c>
      <c r="B1217" s="19">
        <v>4.7000000000000002E-3</v>
      </c>
      <c r="C1217" s="19">
        <v>-1.1900000000000001E-2</v>
      </c>
      <c r="D1217" s="19">
        <v>6.8629999999999997E-2</v>
      </c>
      <c r="E1217" s="19">
        <v>-1.2088027397260274E-2</v>
      </c>
      <c r="F1217" s="19">
        <v>4.5119726027397266E-3</v>
      </c>
    </row>
    <row r="1218" spans="1:6" x14ac:dyDescent="0.25">
      <c r="A1218" s="18">
        <v>42426</v>
      </c>
      <c r="B1218" s="19">
        <v>1.67E-2</v>
      </c>
      <c r="C1218" s="19">
        <v>5.7999999999999996E-3</v>
      </c>
      <c r="D1218" s="19">
        <v>6.8760000000000002E-2</v>
      </c>
      <c r="E1218" s="19">
        <v>5.6116164383561637E-3</v>
      </c>
      <c r="F1218" s="19">
        <v>1.6511616438356164E-2</v>
      </c>
    </row>
    <row r="1219" spans="1:6" x14ac:dyDescent="0.25">
      <c r="A1219" s="18">
        <v>42425</v>
      </c>
      <c r="B1219" s="19">
        <v>-2.3400000000000001E-2</v>
      </c>
      <c r="C1219" s="19">
        <v>-9.1999999999999998E-3</v>
      </c>
      <c r="D1219" s="19">
        <v>6.8769999999999998E-2</v>
      </c>
      <c r="E1219" s="19">
        <v>-9.3884109589041087E-3</v>
      </c>
      <c r="F1219" s="19">
        <v>-2.358841095890411E-2</v>
      </c>
    </row>
    <row r="1220" spans="1:6" x14ac:dyDescent="0.25">
      <c r="A1220" s="18">
        <v>42424</v>
      </c>
      <c r="B1220" s="19">
        <v>-1.15E-2</v>
      </c>
      <c r="C1220" s="19">
        <v>1.2E-2</v>
      </c>
      <c r="D1220" s="19">
        <v>6.9400000000000003E-2</v>
      </c>
      <c r="E1220" s="19">
        <v>1.1809863013698631E-2</v>
      </c>
      <c r="F1220" s="19">
        <v>-1.1690136986301369E-2</v>
      </c>
    </row>
    <row r="1221" spans="1:6" x14ac:dyDescent="0.25">
      <c r="A1221" s="18">
        <v>42423</v>
      </c>
      <c r="B1221" s="19">
        <v>9.2999999999999992E-3</v>
      </c>
      <c r="C1221" s="19">
        <v>1E-3</v>
      </c>
      <c r="D1221" s="19">
        <v>6.9400000000000003E-2</v>
      </c>
      <c r="E1221" s="19">
        <v>8.098630136986302E-4</v>
      </c>
      <c r="F1221" s="19">
        <v>9.1098630136986301E-3</v>
      </c>
    </row>
    <row r="1222" spans="1:6" x14ac:dyDescent="0.25">
      <c r="A1222" s="18">
        <v>42422</v>
      </c>
      <c r="B1222" s="19">
        <v>9.4000000000000004E-3</v>
      </c>
      <c r="C1222" s="19">
        <v>1.21E-2</v>
      </c>
      <c r="D1222" s="19">
        <v>6.9440000000000002E-2</v>
      </c>
      <c r="E1222" s="19">
        <v>1.1909753424657533E-2</v>
      </c>
      <c r="F1222" s="19">
        <v>9.2097534246575342E-3</v>
      </c>
    </row>
    <row r="1223" spans="1:6" x14ac:dyDescent="0.25">
      <c r="A1223" s="18">
        <v>42419</v>
      </c>
      <c r="B1223" s="19">
        <v>1.9199999999999998E-2</v>
      </c>
      <c r="C1223" s="19">
        <v>2.8E-3</v>
      </c>
      <c r="D1223" s="19">
        <v>6.9309999999999997E-2</v>
      </c>
      <c r="E1223" s="19">
        <v>2.6101095890410961E-3</v>
      </c>
      <c r="F1223" s="19">
        <v>1.9010109589041094E-2</v>
      </c>
    </row>
    <row r="1224" spans="1:6" x14ac:dyDescent="0.25">
      <c r="A1224" s="18">
        <v>42418</v>
      </c>
      <c r="B1224" s="19">
        <v>5.8400000000000001E-2</v>
      </c>
      <c r="C1224" s="19">
        <v>9.9000000000000008E-3</v>
      </c>
      <c r="D1224" s="19">
        <v>6.991E-2</v>
      </c>
      <c r="E1224" s="19">
        <v>9.7084657534246589E-3</v>
      </c>
      <c r="F1224" s="19">
        <v>5.8208465753424657E-2</v>
      </c>
    </row>
    <row r="1225" spans="1:6" x14ac:dyDescent="0.25">
      <c r="A1225" s="18">
        <v>42417</v>
      </c>
      <c r="B1225" s="19">
        <v>-1.4999999999999999E-2</v>
      </c>
      <c r="C1225" s="19">
        <v>-1.8E-3</v>
      </c>
      <c r="D1225" s="19">
        <v>7.0059999999999997E-2</v>
      </c>
      <c r="E1225" s="19">
        <v>-1.9919452054794522E-3</v>
      </c>
      <c r="F1225" s="19">
        <v>-1.5191945205479451E-2</v>
      </c>
    </row>
    <row r="1226" spans="1:6" x14ac:dyDescent="0.25">
      <c r="A1226" s="18">
        <v>42416</v>
      </c>
      <c r="B1226" s="19">
        <v>4.7100000000000003E-2</v>
      </c>
      <c r="C1226" s="19">
        <v>7.7999999999999996E-3</v>
      </c>
      <c r="D1226" s="19">
        <v>7.0940000000000003E-2</v>
      </c>
      <c r="E1226" s="19">
        <v>7.6056438356164376E-3</v>
      </c>
      <c r="F1226" s="19">
        <v>4.6905643835616441E-2</v>
      </c>
    </row>
    <row r="1227" spans="1:6" x14ac:dyDescent="0.25">
      <c r="A1227" s="18">
        <v>42415</v>
      </c>
      <c r="B1227" s="19">
        <v>5.3E-3</v>
      </c>
      <c r="C1227" s="19">
        <v>-1.8E-3</v>
      </c>
      <c r="D1227" s="19">
        <v>7.0949999999999999E-2</v>
      </c>
      <c r="E1227" s="19">
        <v>-1.9943835616438354E-3</v>
      </c>
      <c r="F1227" s="19">
        <v>5.1056164383561642E-3</v>
      </c>
    </row>
    <row r="1228" spans="1:6" x14ac:dyDescent="0.25">
      <c r="A1228" s="18">
        <v>42405</v>
      </c>
      <c r="B1228" s="19">
        <v>0</v>
      </c>
      <c r="C1228" s="19">
        <v>4.7999999999999996E-3</v>
      </c>
      <c r="D1228" s="19">
        <v>7.059E-2</v>
      </c>
      <c r="E1228" s="19">
        <v>4.6066027397260265E-3</v>
      </c>
      <c r="F1228" s="19">
        <v>-1.9339726027397261E-4</v>
      </c>
    </row>
    <row r="1229" spans="1:6" x14ac:dyDescent="0.25">
      <c r="A1229" s="18">
        <v>42404</v>
      </c>
      <c r="B1229" s="19">
        <v>-5.1999999999999998E-3</v>
      </c>
      <c r="C1229" s="19">
        <v>5.7000000000000002E-3</v>
      </c>
      <c r="D1229" s="19">
        <v>7.0400000000000004E-2</v>
      </c>
      <c r="E1229" s="19">
        <v>5.5071232876712332E-3</v>
      </c>
      <c r="F1229" s="19">
        <v>-5.3928767123287667E-3</v>
      </c>
    </row>
    <row r="1230" spans="1:6" x14ac:dyDescent="0.25">
      <c r="A1230" s="18">
        <v>42403</v>
      </c>
      <c r="B1230" s="19">
        <v>6.1100000000000002E-2</v>
      </c>
      <c r="C1230" s="19">
        <v>4.8999999999999998E-3</v>
      </c>
      <c r="D1230" s="19">
        <v>7.0470000000000005E-2</v>
      </c>
      <c r="E1230" s="19">
        <v>4.7069315068493153E-3</v>
      </c>
      <c r="F1230" s="19">
        <v>6.0906931506849317E-2</v>
      </c>
    </row>
    <row r="1231" spans="1:6" x14ac:dyDescent="0.25">
      <c r="A1231" s="18">
        <v>42402</v>
      </c>
      <c r="B1231" s="19">
        <v>-0.04</v>
      </c>
      <c r="C1231" s="19">
        <v>-7.6E-3</v>
      </c>
      <c r="D1231" s="19">
        <v>7.0470000000000005E-2</v>
      </c>
      <c r="E1231" s="19">
        <v>-7.7930684931506846E-3</v>
      </c>
      <c r="F1231" s="19">
        <v>-4.0193068493150685E-2</v>
      </c>
    </row>
    <row r="1232" spans="1:6" x14ac:dyDescent="0.25">
      <c r="A1232" s="18">
        <v>42401</v>
      </c>
      <c r="B1232" s="19">
        <v>-4.3400000000000001E-2</v>
      </c>
      <c r="C1232" s="19">
        <v>-8.6E-3</v>
      </c>
      <c r="D1232" s="19">
        <v>7.0510000000000003E-2</v>
      </c>
      <c r="E1232" s="19">
        <v>-8.7931780821917816E-3</v>
      </c>
      <c r="F1232" s="19">
        <v>-4.3593178082191784E-2</v>
      </c>
    </row>
    <row r="1233" spans="1:6" x14ac:dyDescent="0.25">
      <c r="A1233" s="18">
        <v>42398</v>
      </c>
      <c r="B1233" s="19">
        <v>6.8099999999999994E-2</v>
      </c>
      <c r="C1233" s="19">
        <v>1.0699999999999999E-2</v>
      </c>
      <c r="D1233" s="19">
        <v>7.0370000000000002E-2</v>
      </c>
      <c r="E1233" s="19">
        <v>1.0507205479452055E-2</v>
      </c>
      <c r="F1233" s="19">
        <v>6.7907205479452046E-2</v>
      </c>
    </row>
    <row r="1234" spans="1:6" x14ac:dyDescent="0.25">
      <c r="A1234" s="18">
        <v>42397</v>
      </c>
      <c r="B1234" s="19">
        <v>5.4999999999999997E-3</v>
      </c>
      <c r="C1234" s="19">
        <v>-5.8999999999999999E-3</v>
      </c>
      <c r="D1234" s="19">
        <v>7.0580000000000004E-2</v>
      </c>
      <c r="E1234" s="19">
        <v>-6.0933698630136982E-3</v>
      </c>
      <c r="F1234" s="19">
        <v>5.3066301369863013E-3</v>
      </c>
    </row>
    <row r="1235" spans="1:6" x14ac:dyDescent="0.25">
      <c r="A1235" s="18">
        <v>42396</v>
      </c>
      <c r="B1235" s="19">
        <v>2.8199999999999999E-2</v>
      </c>
      <c r="C1235" s="19">
        <v>9.1999999999999998E-3</v>
      </c>
      <c r="D1235" s="19">
        <v>7.0449999999999999E-2</v>
      </c>
      <c r="E1235" s="19">
        <v>9.0069863013698629E-3</v>
      </c>
      <c r="F1235" s="19">
        <v>2.8006986301369861E-2</v>
      </c>
    </row>
    <row r="1236" spans="1:6" x14ac:dyDescent="0.25">
      <c r="A1236" s="18">
        <v>42395</v>
      </c>
      <c r="B1236" s="19">
        <v>3.7999999999999999E-2</v>
      </c>
      <c r="C1236" s="19">
        <v>-8.5000000000000006E-3</v>
      </c>
      <c r="D1236" s="19">
        <v>7.059E-2</v>
      </c>
      <c r="E1236" s="19">
        <v>-8.6933972602739728E-3</v>
      </c>
      <c r="F1236" s="19">
        <v>3.7806602739726025E-2</v>
      </c>
    </row>
    <row r="1237" spans="1:6" x14ac:dyDescent="0.25">
      <c r="A1237" s="18">
        <v>42394</v>
      </c>
      <c r="B1237" s="19">
        <v>6.88E-2</v>
      </c>
      <c r="C1237" s="19">
        <v>3.85E-2</v>
      </c>
      <c r="D1237" s="19">
        <v>7.059E-2</v>
      </c>
      <c r="E1237" s="19">
        <v>3.8306602739726026E-2</v>
      </c>
      <c r="F1237" s="19">
        <v>6.8606602739726033E-2</v>
      </c>
    </row>
    <row r="1238" spans="1:6" x14ac:dyDescent="0.25">
      <c r="A1238" s="18">
        <v>42391</v>
      </c>
      <c r="B1238" s="19">
        <v>6.6699999999999995E-2</v>
      </c>
      <c r="C1238" s="19">
        <v>6.9999999999999999E-4</v>
      </c>
      <c r="D1238" s="19">
        <v>7.0569999999999994E-2</v>
      </c>
      <c r="E1238" s="19">
        <v>5.0665753424657535E-4</v>
      </c>
      <c r="F1238" s="19">
        <v>6.6506657534246574E-2</v>
      </c>
    </row>
    <row r="1239" spans="1:6" x14ac:dyDescent="0.25">
      <c r="A1239" s="18">
        <v>42390</v>
      </c>
      <c r="B1239" s="19">
        <v>-2.2800000000000001E-2</v>
      </c>
      <c r="C1239" s="19">
        <v>-1.43E-2</v>
      </c>
      <c r="D1239" s="19">
        <v>7.0550000000000002E-2</v>
      </c>
      <c r="E1239" s="19">
        <v>-1.4493287671232877E-2</v>
      </c>
      <c r="F1239" s="19">
        <v>-2.2993287671232876E-2</v>
      </c>
    </row>
    <row r="1240" spans="1:6" x14ac:dyDescent="0.25">
      <c r="A1240" s="18">
        <v>42389</v>
      </c>
      <c r="B1240" s="19">
        <v>-3.7600000000000001E-2</v>
      </c>
      <c r="C1240" s="19">
        <v>-1.18E-2</v>
      </c>
      <c r="D1240" s="19">
        <v>7.0550000000000002E-2</v>
      </c>
      <c r="E1240" s="19">
        <v>-1.1993287671232877E-2</v>
      </c>
      <c r="F1240" s="19">
        <v>-3.7793287671232877E-2</v>
      </c>
    </row>
    <row r="1241" spans="1:6" x14ac:dyDescent="0.25">
      <c r="A1241" s="18">
        <v>42388</v>
      </c>
      <c r="B1241" s="19">
        <v>0</v>
      </c>
      <c r="C1241" s="19">
        <v>1.7899999999999999E-2</v>
      </c>
      <c r="D1241" s="19">
        <v>7.0550000000000002E-2</v>
      </c>
      <c r="E1241" s="19">
        <v>1.7706712328767124E-2</v>
      </c>
      <c r="F1241" s="19">
        <v>-1.9328767123287673E-4</v>
      </c>
    </row>
    <row r="1242" spans="1:6" x14ac:dyDescent="0.25">
      <c r="A1242" s="18">
        <v>42387</v>
      </c>
      <c r="B1242" s="19">
        <v>-7.0000000000000007E-2</v>
      </c>
      <c r="C1242" s="19">
        <v>-3.0700000000000002E-2</v>
      </c>
      <c r="D1242" s="19">
        <v>7.077E-2</v>
      </c>
      <c r="E1242" s="19">
        <v>-3.0893890410958906E-2</v>
      </c>
      <c r="F1242" s="19">
        <v>-7.0193890410958915E-2</v>
      </c>
    </row>
    <row r="1243" spans="1:6" x14ac:dyDescent="0.25">
      <c r="A1243" s="18">
        <v>42384</v>
      </c>
      <c r="B1243" s="19">
        <v>-2.8999999999999998E-3</v>
      </c>
      <c r="C1243" s="19">
        <v>-1.8100000000000002E-2</v>
      </c>
      <c r="D1243" s="19">
        <v>7.059E-2</v>
      </c>
      <c r="E1243" s="19">
        <v>-1.8293397260273975E-2</v>
      </c>
      <c r="F1243" s="19">
        <v>-3.0933972602739724E-3</v>
      </c>
    </row>
    <row r="1244" spans="1:6" x14ac:dyDescent="0.25">
      <c r="A1244" s="18">
        <v>42383</v>
      </c>
      <c r="B1244" s="19">
        <v>-1.7100000000000001E-2</v>
      </c>
      <c r="C1244" s="19">
        <v>-1.3100000000000001E-2</v>
      </c>
      <c r="D1244" s="19">
        <v>7.0569999999999994E-2</v>
      </c>
      <c r="E1244" s="19">
        <v>-1.3293342465753425E-2</v>
      </c>
      <c r="F1244" s="19">
        <v>-1.7293342465753425E-2</v>
      </c>
    </row>
    <row r="1245" spans="1:6" x14ac:dyDescent="0.25">
      <c r="A1245" s="18">
        <v>42382</v>
      </c>
      <c r="B1245" s="19">
        <v>8.6E-3</v>
      </c>
      <c r="C1245" s="19">
        <v>-6.8999999999999999E-3</v>
      </c>
      <c r="D1245" s="19">
        <v>7.0569999999999994E-2</v>
      </c>
      <c r="E1245" s="19">
        <v>-7.0933424657534244E-3</v>
      </c>
      <c r="F1245" s="19">
        <v>8.4066575342465755E-3</v>
      </c>
    </row>
    <row r="1246" spans="1:6" x14ac:dyDescent="0.25">
      <c r="A1246" s="18">
        <v>42381</v>
      </c>
      <c r="B1246" s="19">
        <v>-8.6E-3</v>
      </c>
      <c r="C1246" s="19">
        <v>1.15E-2</v>
      </c>
      <c r="D1246" s="19">
        <v>7.0529999999999995E-2</v>
      </c>
      <c r="E1246" s="19">
        <v>1.1306767123287671E-2</v>
      </c>
      <c r="F1246" s="19">
        <v>-8.7932328767123293E-3</v>
      </c>
    </row>
    <row r="1247" spans="1:6" x14ac:dyDescent="0.25">
      <c r="A1247" s="18">
        <v>42380</v>
      </c>
      <c r="B1247" s="19">
        <v>0</v>
      </c>
      <c r="C1247" s="19">
        <v>-3.8999999999999998E-3</v>
      </c>
      <c r="D1247" s="19">
        <v>7.0529999999999995E-2</v>
      </c>
      <c r="E1247" s="19">
        <v>-4.0932328767123282E-3</v>
      </c>
      <c r="F1247" s="19">
        <v>-1.9323287671232876E-4</v>
      </c>
    </row>
    <row r="1248" spans="1:6" x14ac:dyDescent="0.25">
      <c r="A1248" s="18">
        <v>42377</v>
      </c>
      <c r="B1248" s="19">
        <v>1.4500000000000001E-2</v>
      </c>
      <c r="C1248" s="19">
        <v>-9.4000000000000004E-3</v>
      </c>
      <c r="D1248" s="19">
        <v>7.0540000000000005E-2</v>
      </c>
      <c r="E1248" s="19">
        <v>-9.5932602739726026E-3</v>
      </c>
      <c r="F1248" s="19">
        <v>1.4306739726027399E-2</v>
      </c>
    </row>
    <row r="1249" spans="1:6" x14ac:dyDescent="0.25">
      <c r="A1249" s="18">
        <v>42376</v>
      </c>
      <c r="B1249" s="19">
        <v>-4.9599999999999998E-2</v>
      </c>
      <c r="C1249" s="19">
        <v>-1.6E-2</v>
      </c>
      <c r="D1249" s="19">
        <v>7.0540000000000005E-2</v>
      </c>
      <c r="E1249" s="19">
        <v>-1.6193260273972603E-2</v>
      </c>
      <c r="F1249" s="19">
        <v>-4.97932602739726E-2</v>
      </c>
    </row>
    <row r="1250" spans="1:6" x14ac:dyDescent="0.25">
      <c r="A1250" s="18">
        <v>42375</v>
      </c>
      <c r="B1250" s="19">
        <v>5.4999999999999997E-3</v>
      </c>
      <c r="C1250" s="19">
        <v>8.0999999999999996E-3</v>
      </c>
      <c r="D1250" s="19">
        <v>7.0540000000000005E-2</v>
      </c>
      <c r="E1250" s="19">
        <v>7.9067397260273974E-3</v>
      </c>
      <c r="F1250" s="19">
        <v>5.3067397260273966E-3</v>
      </c>
    </row>
    <row r="1251" spans="1:6" x14ac:dyDescent="0.25">
      <c r="A1251" s="18">
        <v>42374</v>
      </c>
      <c r="B1251" s="19">
        <v>-2.8E-3</v>
      </c>
      <c r="C1251" s="19">
        <v>-7.7999999999999996E-3</v>
      </c>
      <c r="D1251" s="19">
        <v>7.0540000000000005E-2</v>
      </c>
      <c r="E1251" s="19">
        <v>-7.9932602739726018E-3</v>
      </c>
      <c r="F1251" s="19">
        <v>-2.9932602739726026E-3</v>
      </c>
    </row>
    <row r="1252" spans="1:6" x14ac:dyDescent="0.25">
      <c r="A1252" s="18">
        <v>42373</v>
      </c>
      <c r="B1252" s="19">
        <v>0</v>
      </c>
      <c r="C1252" s="19">
        <v>-8.0000000000000002E-3</v>
      </c>
      <c r="D1252" s="19">
        <v>7.0760000000000003E-2</v>
      </c>
      <c r="E1252" s="19">
        <v>-8.1938630136986299E-3</v>
      </c>
      <c r="F1252" s="19">
        <v>-1.9386301369863016E-4</v>
      </c>
    </row>
  </sheetData>
  <phoneticPr fontId="1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99BEC1DDE2D459892A57D8E6BAEC7" ma:contentTypeVersion="4" ma:contentTypeDescription="Create a new document." ma:contentTypeScope="" ma:versionID="bc96a0344ae22c549b0bfd59551121cb">
  <xsd:schema xmlns:xsd="http://www.w3.org/2001/XMLSchema" xmlns:xs="http://www.w3.org/2001/XMLSchema" xmlns:p="http://schemas.microsoft.com/office/2006/metadata/properties" xmlns:ns3="cfa69d07-4db3-4f92-b86e-bfd3fd61da43" targetNamespace="http://schemas.microsoft.com/office/2006/metadata/properties" ma:root="true" ma:fieldsID="8d59b03cbd90c6f2ccb3c7fc0693f72c" ns3:_="">
    <xsd:import namespace="cfa69d07-4db3-4f92-b86e-bfd3fd61da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69d07-4db3-4f92-b86e-bfd3fd61da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0 6 a e 1 b 7 a - f 3 0 b - 4 4 6 7 - b d f c - 7 5 d c 6 a 2 f 3 6 6 e "   x m l n s = " h t t p : / / s c h e m a s . m i c r o s o f t . c o m / D a t a M a s h u p " > A A A A A M U I A A B Q S w M E F A A C A A g A o 5 s r V E I V 7 1 2 k A A A A 9 g A A A B I A H A B D b 2 5 m a W c v U G F j a 2 F n Z S 5 4 b W w g o h g A K K A U A A A A A A A A A A A A A A A A A A A A A A A A A A A A h Y + x D o I w G I R 3 E 9 + B d K c t d Y L 8 l M F V j I k J c W 2 g w U Z o D S 2 U d 3 P w k X w F I Y q 6 O d 7 d l 9 z d 4 3 a H b G y b Y J C d V U a n K M I U B d Y J X Y n G a J k i b V D G 1 y s 4 i P I i a h l M t L b J a K s U n Z 2 7 J o R 4 7 7 H f Y N P V h F E a k V O + O 5 Z n 2 Q r 0 g d V / O F R 6 r i 0 l 4 l C 8 1 n C G 4 x g z y j A F s n i Q K / 3 N 2 b R 3 T n 9 M 2 P a N 6 z v J B x U W e y C L B P K + w J 9 Q S w M E F A A C A A g A o 5 s r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O b K 1 R D T R H V y A U A A D Q q A A A T A B w A R m 9 y b X V s Y X M v U 2 V j d G l v b j E u b S C i G A A o o B Q A A A A A A A A A A A A A A A A A A A A A A A A A A A D t W U 1 v 2 z Y Y v g f I f y A U B H A A x b P s J A N W + J D Z 3 Z o m c Z r Y y y X u g Z U Z W 4 B E G f p I E w Q 5 7 b B D U W A 9 7 L w v D D s N u + w U H 3 Z I / o j + y U j J s S m K k i h / o O m a H t K E o v g + z 8 v n J a m H L t I 9 w 8 a g H f 2 v P V t d W V 1 x B 9 B B P b C m N I P R 3 8 A 0 g t E P P j g I R u / 0 A X C D 0 V / g 2 9 2 2 A u r A R N 7 q C i D / 2 r b v 6 I i 0 N N y L c t P W f Q t h r / S N Y a J y w 8 Y e + c M t K Y 2 v u t + 5 y H G 7 A x 9 Z R v c I o 6 Z j X K D u Q 3 + 3 e 3 j 3 D w a D Y P R e 7 9 7 / G N z + a o z / e L G / 3 T 3 u d B o A 3 / 2 G + 0 C H d n f X d Y 0 + p q 9 1 C Z h u B t C y 7 l 4 o G + p Z E 5 m G Z X j I q S u q o o K G b f o W d u t f q u A 5 1 u 2 e g f v 1 n e 1 K R V P B s W 9 7 q O 1 d m a g + / b X c s j F 6 v a F G h N e U V 4 5 t k W c 9 8 A L B H m F F 8 9 G B b 0 j H 8 Z N x e y n K j Q r O x u 2 7 p t n W o Q k d t + 4 5 P j t k Y w B x n 4 z Y u R q i 6 X A d B 2 L 3 3 H a s C D F 9 6 J Y E 8 d X r a 6 X V v / v l i p D z S C f Q g x 6 6 U c G 1 c h D c / o m B 7 g e j D 8 b D Q w 9 d e u H D w 2 D 0 c 6 K x A e 1 E W 2 c Q 3 P 4 x T D T v H y S a 1 k F n A K / A / Y d g 9 B M N + A q R B G A P 9 g k Z 0 v H m Z k r 5 B A 1 N q B M W p 9 D 0 G d L j 9 r C 1 x G V G V c q V C v m p q O N e z k P 3 D k G g c n x T g 2 m p 0 T h Q N N 7 8 4 a q S 4 T S q T h q z c D w 2 S V q u f n h 0 V D 4 i o W D f e o O c + J x Z 9 g V 5 c V x B L C / 6 Y N x c 4 g G p Y 6 0 J R j r y B s h J j t d G J l m V p u P x g d W p 4 H n o n A Z j M T G 0 x O j p g 2 S 0 O D h B m h S y y I C h Y + h I E c p f O T F A a Z 2 p A q C H i Q F 9 6 E b v b S h s f g + R Q 7 N 2 7 C P H Q A z A F n J J v b + 0 D V x K 0 q C B o 2 Q Q D O k L 9 2 k L 7 O E e u o z 3 l + l O 4 + 4 b u F c + Q O f e k U / W 0 S n i 5 5 d D S L r 1 Q O 4 4 E z L R K + H v E Y V S g r g c r u R 0 c F N P u + S N U + b H y H 1 B V l 9 a u s D k s 0 Z F V 5 j C a W u P V W V B R l S 2 F p H t W K r 2 O e m 4 l 6 V T T U 6 o m q x S 2 z 7 Z b j y C y Q d m M P r d A B 3 n j h w I h g M j u P 3 X B 1 o F t O 6 / t 8 A p f d M D L W h J S n q W c e f S f v G A B Y p E y x L r b C m c o 5 w K B 5 S u u + I j p x Y o u y t V c 7 f J J U w v r W a J L S H z 3 L T b o 5 g a v u v Z j F 5 I 6 0 Q n c Z o k t e P O K k C Q Y D 9 b k 8 H w + g u t U h G n r p a b u h h G S n q C I P N A G N v j N b n T R Y 2 e B W S 2 W T a Q 7 Z B z s / g k E D 5 K P X h o s Z P H d P e P L b p s x o V L 6 U L V / h H q i F v Y q 1 k n K T 7 V M T U U P R + x u t L E 4 k 9 g E + p f M C m c 4 L m J r 6 a r M Q 6 K q l G 0 e 6 Z m r 5 Z / D p 1 y i S c v Z 5 d m y 2 R L 4 q u A g x U u V k L 1 Z h Y x N + F a R n H F A c p V l t T y + T l U 3 V a B q t M y z 5 H z s z 8 5 V z J W 8 l p 6 7 S Q 4 q Y u E y a d y d c X A q R j l 7 C / 2 c + b x e 2 C T E / 6 T E R Z X 7 B 7 2 d r a i x Y t x w r j W y A r j G i d e G N c + n x n W t h 3 K 4 8 R + y 5 o g p D H h g D E M j 2 i R l 5 v I J a P S u b u J K 5 w d U 0 7 c M 3 2 v P P 4 q K L 5 w Z J f L z l O 5 z F 0 u + b X B S j l G M 6 7 l B h x a F D f 8 N L T 4 d C v x u G 8 l F r U Q z 2 p 0 s / H Z A / E y T e 2 E / b c O I q r A w I B z u C e A m m Q y F + N d R y N 9 b t b 1 L F b 1 4 3 O e k 9 K Z K o d 8 d I U D L c g 4 z p f J p + I b S 9 + i J Q z f B X 4 c K a m z U k 2 d F e 4 O 7 n 8 1 K R / X z K 8 u 2 c x f p n c / k z G 4 J H N 9 i R Y H U T q 1 k h z k + Q 6 m v 3 1 t 4 x 5 5 c / M K Q S f V d 5 O 5 j e c N y 3 B L F u 3 A q f f y x e 4 E N K E n K g 6 Z c Q 2 Q f 4 M y 0 z W A h M e b c s F R 1 l g 6 y Y 1 o Y V c a G k M m D C p J p 5 p P p 8 b Q q b K O d b b 8 Q m q V N H b 5 5 m 8 c J c O u u o w 7 m 9 D m S z l k L s A n 1 z i f P C V S O o 0 M s 1 / g k g v P P L P Z t q l 2 f 6 i y v M P V f L Z r 3 g K X y m h b m l G N V 1 a R V Z V 8 v J t 0 v 7 D f 4 m l A 2 k h b k p y 2 i 3 F i C 6 A m L l M W Q H j F s H l y n r P g b M p U b m 1 n W 4 x j S 4 w j D j W 8 E u G Q i F d y a T C s 8 x L H 8 + w / U E s B A i 0 A F A A C A A g A o 5 s r V E I V 7 1 2 k A A A A 9 g A A A B I A A A A A A A A A A A A A A A A A A A A A A E N v b m Z p Z y 9 Q Y W N r Y W d l L n h t b F B L A Q I t A B Q A A g A I A K O b K 1 R T c j g s m w A A A O E A A A A T A A A A A A A A A A A A A A A A A P A A A A B b Q 2 9 u d G V u d F 9 U e X B l c 1 0 u e G 1 s U E s B A i 0 A F A A C A A g A o 5 s r V E N N E d X I B Q A A N C o A A B M A A A A A A A A A A A A A A A A A 2 A E A A E Z v c m 1 1 b G F z L 1 N l Y 3 R p b 2 4 x L m 1 Q S w U G A A A A A A M A A w D C A A A A 7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1 w A A A A A A A B J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P C 9 J d G V t U G F 0 a D 4 8 L 0 l 0 Z W 1 M b 2 N h d G l v b j 4 8 U 3 R h Y m x l R W 5 0 c m l l c z 4 8 R W 5 0 c n k g V H l w Z T 0 i S X N Q c m l 2 Y X R l I i B W Y W x 1 Z T 0 i b D A i I C 8 + P E V u d H J 5 I F R 5 c G U 9 I k Z p b G x D b 2 x 1 b W 5 O Y W 1 l c y I g V m F s d W U 9 I n N b J n F 1 b 3 Q 7 T m f D o H k m c X V v d D s s J n F 1 b 3 Q 7 R 0 F T I H B y a W N l J n F 1 b 3 Q 7 L C Z x d W 9 0 O 1 Z O S S B w c m l j Z S Z x d W 9 0 O y w m c X V v d D t S a S A o J S B Q Z X J j Z W 5 0 Y W d l I G N o Y W 5 n Z S B n Y X M g c H J p Y 2 U p J n F 1 b 3 Q 7 L C Z x d W 9 0 O 1 J t I C g l Y 2 h h b m d l I G 9 m I F Z O S S k m c X V v d D s s J n F 1 b 3 Q 7 U m Y m c X V v d D t d I i A v P j x F b n R y e S B U e X B l P S J G a W x s Q 2 9 s d W 1 u V H l w Z X M i I F Z h b H V l P S J z Q 1 F V R E J B U U Q i I C 8 + P E V u d H J 5 I F R 5 c G U 9 I k Z p b G x M Y X N 0 V X B k Y X R l Z C I g V m F s d W U 9 I m Q y M D I y L T A x L T A 5 V D E 0 O j A 0 O j Q 2 L j I w M T E x M D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E y N T E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j b 3 Z l c n l U Y X J n Z X R T a G V l d C I g V m F s d W U 9 I n N j Y X B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d W 5 0 I i B W Y W x 1 Z T 0 i b D E 1 O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4 b u v I G x p 4 b u H d S B M 4 b u L Y 2 g g c + G 7 r S B W T i B J b m R l e C 9 D a G F u Z 2 V k I F R 5 c G U u e 0 5 n w 6 B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O G 7 r y B s a e G 7 h 3 U g T O G 7 i 2 N o I H P h u 6 0 g U 3 X h u q V 0 I F R o d S B s 4 b u j a S B U c s O h a S B w a G n h u r 9 1 I D E w I E 7 E g 2 0 g V m n h u 4 d 0 I E 5 h b S 9 D a G F u Z 2 V k I F R 5 c G U u e 0 5 n w 6 B 5 L D B 9 J n F 1 b 3 Q 7 L C Z x d W 9 0 O 0 t l e U N v b H V t b k N v d W 5 0 J n F 1 b 3 Q 7 O j F 9 X S w m c X V v d D t j b 2 x 1 b W 5 J Z G V u d G l 0 a W V z J n F 1 b 3 Q 7 O l s m c X V v d D t T Z W N 0 a W 9 u M S 9 E 4 b u v I G x p 4 b u H d S B M 4 b u L Y 2 g g c + G 7 r S B H Q V M v Q 2 h h b m d l Z C B U e X B l L n t O Z 8 O g e S w w f S Z x d W 9 0 O y w m c X V v d D t T Z W N 0 a W 9 u M S 9 E 4 b u v I G x p 4 b u H d S B M 4 b u L Y 2 g g c + G 7 r S B H Q V M v Q 2 h h b m d l Z C B U e X B l M S 5 7 T O G 6 p 2 4 g Y 3 X h u 5 F p L D F 9 J n F 1 b 3 Q 7 L C Z x d W 9 0 O 1 N l Y 3 R p b 2 4 x L 0 T h u 6 8 g b G n h u 4 d 1 I E z h u 4 t j a C B z 4 b u t I F Z O I E l u Z G V 4 L 0 N o Y W 5 n Z W Q g V H l w Z S 5 7 T O G 6 p 2 4 g Y 3 X h u 5 F p L D F 9 J n F 1 b 3 Q 7 L C Z x d W 9 0 O 1 N l Y 3 R p b 2 4 x L 0 T h u 6 8 g b G n h u 4 d 1 I E z h u 4 t j a C B z 4 b u t I E d B U y 9 D a G F u Z 2 V k I F R 5 c G U z L n t D d X N 0 b 2 0 s N 3 0 m c X V v d D s s J n F 1 b 3 Q 7 U 2 V j d G l v b j E v R O G 7 r y B s a e G 7 h 3 U g T O G 7 i 2 N o I H P h u 6 0 g R 0 F T L 0 N o Y W 5 n Z W Q g V H l w Z T Q u e 1 J t I C g l Y 2 h h b m d l I G 9 m I F Z O S S k s N n 0 m c X V v d D s s J n F 1 b 3 Q 7 U 2 V j d G l v b j E v R O G 7 r y B s a e G 7 h 3 U g T O G 7 i 2 N o I H P h u 6 0 g U 3 X h u q V 0 I F R o d S B s 4 b u j a S B U c s O h a S B w a G n h u r 9 1 I D E w I E 7 E g 2 0 g V m n h u 4 d 0 I E 5 h b S 9 D a G F u Z 2 V k I F R 5 c G U u e 0 z h u q d u I G N 1 4 b u R a S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4 b u v I G x p 4 b u H d S B M 4 b u L Y 2 g g c + G 7 r S B H Q V M v Q 2 h h b m d l Z C B U e X B l L n t O Z 8 O g e S w w f S Z x d W 9 0 O y w m c X V v d D t T Z W N 0 a W 9 u M S 9 E 4 b u v I G x p 4 b u H d S B M 4 b u L Y 2 g g c + G 7 r S B H Q V M v Q 2 h h b m d l Z C B U e X B l M S 5 7 T O G 6 p 2 4 g Y 3 X h u 5 F p L D F 9 J n F 1 b 3 Q 7 L C Z x d W 9 0 O 1 N l Y 3 R p b 2 4 x L 0 T h u 6 8 g b G n h u 4 d 1 I E z h u 4 t j a C B z 4 b u t I F Z O I E l u Z G V 4 L 0 N o Y W 5 n Z W Q g V H l w Z S 5 7 T O G 6 p 2 4 g Y 3 X h u 5 F p L D F 9 J n F 1 b 3 Q 7 L C Z x d W 9 0 O 1 N l Y 3 R p b 2 4 x L 0 T h u 6 8 g b G n h u 4 d 1 I E z h u 4 t j a C B z 4 b u t I E d B U y 9 D a G F u Z 2 V k I F R 5 c G U z L n t D d X N 0 b 2 0 s N 3 0 m c X V v d D s s J n F 1 b 3 Q 7 U 2 V j d G l v b j E v R O G 7 r y B s a e G 7 h 3 U g T O G 7 i 2 N o I H P h u 6 0 g R 0 F T L 0 N o Y W 5 n Z W Q g V H l w Z T Q u e 1 J t I C g l Y 2 h h b m d l I G 9 m I F Z O S S k s N n 0 m c X V v d D s s J n F 1 b 3 Q 7 U 2 V j d G l v b j E v R O G 7 r y B s a e G 7 h 3 U g T O G 7 i 2 N o I H P h u 6 0 g U 3 X h u q V 0 I F R o d S B s 4 b u j a S B U c s O h a S B w a G n h u r 9 1 I D E w I E 7 E g 2 0 g V m n h u 4 d 0 I E 5 h b S 9 D a G F u Z 2 V k I F R 5 c G U u e 0 z h u q d u I G N 1 4 b u R a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4 b u v I G x p 4 b u H d S B M 4 b u L Y 2 g g c + G 7 r S B W T i B J b m R l e C 9 D a G F u Z 2 V k I F R 5 c G U u e 0 5 n w 6 B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O G 7 r y B s a e G 7 h 3 U g T O G 7 i 2 N o I H P h u 6 0 g U 3 X h u q V 0 I F R o d S B s 4 b u j a S B U c s O h a S B w a G n h u r 9 1 I D E w I E 7 E g 2 0 g V m n h u 4 d 0 I E 5 h b S 9 D a G F u Z 2 V k I F R 5 c G U u e 0 5 n w 6 B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E d B U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E d B U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W T i U y M E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D o H k m c X V v d D s s J n F 1 b 3 Q 7 T O G 6 p 2 4 g Y 3 X h u 5 F p J n F 1 b 3 Q 7 L C Z x d W 9 0 O 0 3 h u 5 8 m c X V v d D s s J n F 1 b 3 Q 7 Q 2 F v J n F 1 b 3 Q 7 L C Z x d W 9 0 O 1 R o 4 b q l c C Z x d W 9 0 O y w m c X V v d D t L T C Z x d W 9 0 O y w m c X V v d D s l I F R o Y X k g x J H h u 5 V p J n F 1 b 3 Q 7 X S I g L z 4 8 R W 5 0 c n k g V H l w Z T 0 i R m l s b E N v b H V t b l R 5 c G V z I i B W Y W x 1 Z T 0 i c 0 N R T U R B d 0 1 H Q k E 9 P S I g L z 4 8 R W 5 0 c n k g V H l w Z T 0 i R m l s b E x h c 3 R V c G R h d G V k I i B W Y W x 1 Z T 0 i Z D I w M j I t M D E t M T F U M T E 6 N T E 6 N T I u M z E 0 N D E 0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4 b u v I G x p 4 b u H d S B M 4 b u L Y 2 g g c + G 7 r S B W T i B J b m R l e C 9 D a G F u Z 2 V k I F R 5 c G U u e 0 5 n w 6 B 5 L D B 9 J n F 1 b 3 Q 7 L C Z x d W 9 0 O 1 N l Y 3 R p b 2 4 x L 0 T h u 6 8 g b G n h u 4 d 1 I E z h u 4 t j a C B z 4 b u t I F Z O I E l u Z G V 4 L 0 N o Y W 5 n Z W Q g V H l w Z S 5 7 T O G 6 p 2 4 g Y 3 X h u 5 F p L D F 9 J n F 1 b 3 Q 7 L C Z x d W 9 0 O 1 N l Y 3 R p b 2 4 x L 0 T h u 6 8 g b G n h u 4 d 1 I E z h u 4 t j a C B z 4 b u t I F Z O I E l u Z G V 4 L 0 N o Y W 5 n Z W Q g V H l w Z S 5 7 T e G 7 n y w y f S Z x d W 9 0 O y w m c X V v d D t T Z W N 0 a W 9 u M S 9 E 4 b u v I G x p 4 b u H d S B M 4 b u L Y 2 g g c + G 7 r S B W T i B J b m R l e C 9 D a G F u Z 2 V k I F R 5 c G U u e 0 N h b y w z f S Z x d W 9 0 O y w m c X V v d D t T Z W N 0 a W 9 u M S 9 E 4 b u v I G x p 4 b u H d S B M 4 b u L Y 2 g g c + G 7 r S B W T i B J b m R l e C 9 D a G F u Z 2 V k I F R 5 c G U u e 1 R o 4 b q l c C w 0 f S Z x d W 9 0 O y w m c X V v d D t T Z W N 0 a W 9 u M S 9 E 4 b u v I G x p 4 b u H d S B M 4 b u L Y 2 g g c + G 7 r S B W T i B J b m R l e C 9 D a G F u Z 2 V k I F R 5 c G U u e 0 t M L D V 9 J n F 1 b 3 Q 7 L C Z x d W 9 0 O 1 N l Y 3 R p b 2 4 x L 0 T h u 6 8 g b G n h u 4 d 1 I E z h u 4 t j a C B z 4 b u t I F Z O I E l u Z G V 4 L 0 N o Y W 5 n Z W Q g V H l w Z S 5 7 J S B U a G F 5 I M S R 4 b u V a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4 b u v I G x p 4 b u H d S B M 4 b u L Y 2 g g c + G 7 r S B W T i B J b m R l e C 9 D a G F u Z 2 V k I F R 5 c G U u e 0 5 n w 6 B 5 L D B 9 J n F 1 b 3 Q 7 L C Z x d W 9 0 O 1 N l Y 3 R p b 2 4 x L 0 T h u 6 8 g b G n h u 4 d 1 I E z h u 4 t j a C B z 4 b u t I F Z O I E l u Z G V 4 L 0 N o Y W 5 n Z W Q g V H l w Z S 5 7 T O G 6 p 2 4 g Y 3 X h u 5 F p L D F 9 J n F 1 b 3 Q 7 L C Z x d W 9 0 O 1 N l Y 3 R p b 2 4 x L 0 T h u 6 8 g b G n h u 4 d 1 I E z h u 4 t j a C B z 4 b u t I F Z O I E l u Z G V 4 L 0 N o Y W 5 n Z W Q g V H l w Z S 5 7 T e G 7 n y w y f S Z x d W 9 0 O y w m c X V v d D t T Z W N 0 a W 9 u M S 9 E 4 b u v I G x p 4 b u H d S B M 4 b u L Y 2 g g c + G 7 r S B W T i B J b m R l e C 9 D a G F u Z 2 V k I F R 5 c G U u e 0 N h b y w z f S Z x d W 9 0 O y w m c X V v d D t T Z W N 0 a W 9 u M S 9 E 4 b u v I G x p 4 b u H d S B M 4 b u L Y 2 g g c + G 7 r S B W T i B J b m R l e C 9 D a G F u Z 2 V k I F R 5 c G U u e 1 R o 4 b q l c C w 0 f S Z x d W 9 0 O y w m c X V v d D t T Z W N 0 a W 9 u M S 9 E 4 b u v I G x p 4 b u H d S B M 4 b u L Y 2 g g c + G 7 r S B W T i B J b m R l e C 9 D a G F u Z 2 V k I F R 5 c G U u e 0 t M L D V 9 J n F 1 b 3 Q 7 L C Z x d W 9 0 O 1 N l Y 3 R p b 2 4 x L 0 T h u 6 8 g b G n h u 4 d 1 I E z h u 4 t j a C B z 4 b u t I F Z O I E l u Z G V 4 L 0 N o Y W 5 n Z W Q g V H l w Z S 5 7 J S B U a G F 5 I M S R 4 b u V a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W T i U y M E l u Z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V k 4 l M j B J b m R l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F Z O J T I w S W 5 k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F N 1 J U U x J U J B J U E 1 d C U y M F R o d S U y M G w l R T E l Q k I l Q T N p J T I w V H I l Q z M l Q T F p J T I w c G h p J U U x J U J B J U J G d S U y M D E w J T I w T i V D N C U 4 M 2 0 l M j B W a S V F M S V C Q i U 4 N 3 Q l M j B O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V Q x N D o w M j o 0 N C 4 4 M D A 5 M j M w W i I g L z 4 8 R W 5 0 c n k g V H l w Z T 0 i R m l s b E N v b H V t b l R 5 c G V z I i B W Y W x 1 Z T 0 i c 0 N R T U R B d 0 1 F I i A v P j x F b n R y e S B U e X B l P S J G a W x s Q 2 9 s d W 1 u T m F t Z X M i I F Z h b H V l P S J z W y Z x d W 9 0 O 0 5 n w 6 B 5 J n F 1 b 3 Q 7 L C Z x d W 9 0 O 0 z h u q d u I G N 1 4 b u R a S Z x d W 9 0 O y w m c X V v d D t N 4 b u f J n F 1 b 3 Q 7 L C Z x d W 9 0 O 0 N h b y Z x d W 9 0 O y w m c X V v d D t U a O G 6 p X A m c X V v d D s s J n F 1 b 3 Q 7 J S B U a G F 5 I M S R 4 b u V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u 6 8 g b G n h u 4 d 1 I E z h u 4 t j a C B z 4 b u t I F N 1 4 b q l d C B U a H U g b O G 7 o 2 k g V H L D o W k g c G h p 4 b q / d S A x M C B O x I N t I F Z p 4 b u H d C B O Y W 0 v Q 2 h h b m d l Z C B U e X B l L n t O Z 8 O g e S w w f S Z x d W 9 0 O y w m c X V v d D t T Z W N 0 a W 9 u M S 9 E 4 b u v I G x p 4 b u H d S B M 4 b u L Y 2 g g c + G 7 r S B T d e G 6 p X Q g V G h 1 I G z h u 6 N p I F R y w 6 F p I H B o a e G 6 v 3 U g M T A g T s S D b S B W a e G 7 h 3 Q g T m F t L 0 N o Y W 5 n Z W Q g V H l w Z S 5 7 T O G 6 p 2 4 g Y 3 X h u 5 F p L D F 9 J n F 1 b 3 Q 7 L C Z x d W 9 0 O 1 N l Y 3 R p b 2 4 x L 0 T h u 6 8 g b G n h u 4 d 1 I E z h u 4 t j a C B z 4 b u t I F N 1 4 b q l d C B U a H U g b O G 7 o 2 k g V H L D o W k g c G h p 4 b q / d S A x M C B O x I N t I F Z p 4 b u H d C B O Y W 0 v Q 2 h h b m d l Z C B U e X B l L n t N 4 b u f L D J 9 J n F 1 b 3 Q 7 L C Z x d W 9 0 O 1 N l Y 3 R p b 2 4 x L 0 T h u 6 8 g b G n h u 4 d 1 I E z h u 4 t j a C B z 4 b u t I F N 1 4 b q l d C B U a H U g b O G 7 o 2 k g V H L D o W k g c G h p 4 b q / d S A x M C B O x I N t I F Z p 4 b u H d C B O Y W 0 v Q 2 h h b m d l Z C B U e X B l L n t D Y W 8 s M 3 0 m c X V v d D s s J n F 1 b 3 Q 7 U 2 V j d G l v b j E v R O G 7 r y B s a e G 7 h 3 U g T O G 7 i 2 N o I H P h u 6 0 g U 3 X h u q V 0 I F R o d S B s 4 b u j a S B U c s O h a S B w a G n h u r 9 1 I D E w I E 7 E g 2 0 g V m n h u 4 d 0 I E 5 h b S 9 D a G F u Z 2 V k I F R 5 c G U u e 1 R o 4 b q l c C w 0 f S Z x d W 9 0 O y w m c X V v d D t T Z W N 0 a W 9 u M S 9 E 4 b u v I G x p 4 b u H d S B M 4 b u L Y 2 g g c + G 7 r S B T d e G 6 p X Q g V G h 1 I G z h u 6 N p I F R y w 6 F p I H B o a e G 6 v 3 U g M T A g T s S D b S B W a e G 7 h 3 Q g T m F t L 0 N o Y W 5 n Z W Q g V H l w Z S 5 7 J S B U a G F 5 I M S R 4 b u V a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4 b u v I G x p 4 b u H d S B M 4 b u L Y 2 g g c + G 7 r S B T d e G 6 p X Q g V G h 1 I G z h u 6 N p I F R y w 6 F p I H B o a e G 6 v 3 U g M T A g T s S D b S B W a e G 7 h 3 Q g T m F t L 0 N o Y W 5 n Z W Q g V H l w Z S 5 7 T m f D o H k s M H 0 m c X V v d D s s J n F 1 b 3 Q 7 U 2 V j d G l v b j E v R O G 7 r y B s a e G 7 h 3 U g T O G 7 i 2 N o I H P h u 6 0 g U 3 X h u q V 0 I F R o d S B s 4 b u j a S B U c s O h a S B w a G n h u r 9 1 I D E w I E 7 E g 2 0 g V m n h u 4 d 0 I E 5 h b S 9 D a G F u Z 2 V k I F R 5 c G U u e 0 z h u q d u I G N 1 4 b u R a S w x f S Z x d W 9 0 O y w m c X V v d D t T Z W N 0 a W 9 u M S 9 E 4 b u v I G x p 4 b u H d S B M 4 b u L Y 2 g g c + G 7 r S B T d e G 6 p X Q g V G h 1 I G z h u 6 N p I F R y w 6 F p I H B o a e G 6 v 3 U g M T A g T s S D b S B W a e G 7 h 3 Q g T m F t L 0 N o Y W 5 n Z W Q g V H l w Z S 5 7 T e G 7 n y w y f S Z x d W 9 0 O y w m c X V v d D t T Z W N 0 a W 9 u M S 9 E 4 b u v I G x p 4 b u H d S B M 4 b u L Y 2 g g c + G 7 r S B T d e G 6 p X Q g V G h 1 I G z h u 6 N p I F R y w 6 F p I H B o a e G 6 v 3 U g M T A g T s S D b S B W a e G 7 h 3 Q g T m F t L 0 N o Y W 5 n Z W Q g V H l w Z S 5 7 Q 2 F v L D N 9 J n F 1 b 3 Q 7 L C Z x d W 9 0 O 1 N l Y 3 R p b 2 4 x L 0 T h u 6 8 g b G n h u 4 d 1 I E z h u 4 t j a C B z 4 b u t I F N 1 4 b q l d C B U a H U g b O G 7 o 2 k g V H L D o W k g c G h p 4 b q / d S A x M C B O x I N t I F Z p 4 b u H d C B O Y W 0 v Q 2 h h b m d l Z C B U e X B l L n t U a O G 6 p X A s N H 0 m c X V v d D s s J n F 1 b 3 Q 7 U 2 V j d G l v b j E v R O G 7 r y B s a e G 7 h 3 U g T O G 7 i 2 N o I H P h u 6 0 g U 3 X h u q V 0 I F R o d S B s 4 b u j a S B U c s O h a S B w a G n h u r 9 1 I D E w I E 7 E g 2 0 g V m n h u 4 d 0 I E 5 h b S 9 D a G F u Z 2 V k I F R 5 c G U u e y U g V G h h e S D E k e G 7 l W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U 3 U l R T E l Q k E l Q T V 0 J T I w V G h 1 J T I w b C V F M S V C Q i V B M 2 k l M j B U c i V D M y V B M W k l M j B w a G k l R T E l Q k E l Q k Z 1 J T I w M T A l M j B O J U M 0 J T g z b S U y M F Z p J U U x J U J C J T g 3 d C U y M E 5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F N 1 J U U x J U J B J U E 1 d C U y M F R o d S U y M G w l R T E l Q k I l Q T N p J T I w V H I l Q z M l Q T F p J T I w c G h p J U U x J U J B J U J G d S U y M D E w J T I w T i V D N C U 4 M 2 0 l M j B W a S V F M S V C Q i U 4 N 3 Q l M j B O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T d S V F M S V C Q S V B N X Q l M j B U a H U l M j B s J U U x J U J C J U E z a S U y M F R y J U M z J U E x a S U y M H B o a S V F M S V C Q S V C R n U l M j A x M C U y M E 4 l Q z Q l O D N t J T I w V m k l R T E l Q k I l O D d 0 J T I w T m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V 4 c G F u Z G V k J T I w R C V F M S V C Q i V B R i U y M G x p J U U x J U J C J T g 3 d S U y M E w l R T E l Q k I l O E J j a C U y M H M l R T E l Q k I l Q U Q l M j B W T i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J T I w T C V F M S V C Q i U 4 Q m N o J T I w c y V F M S V C Q i V B R C U y M E d B U y 9 F e H B h b m R l Z C U y M E Q l R T E l Q k I l Q U Y l M j B s a S V F M S V C Q i U 4 N 3 U l M j B M J U U x J U J C J T h C Y 2 g l M j B z J U U x J U J C J U F E J T I w U 3 U l R T E l Q k E l Q T V 0 J T I w V G h 1 J T I w b C V F M S V C Q i V B M 2 k l M j B U c i V D M y V B M W k l M j B w a G k l R T E l Q k E l Q k Z 1 J T I w M T A l M j B O J U M 0 J T g z b S U y M F Z p J U U x J U J C J T g 3 d C U y M E 5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l M j B M J U U x J U J C J T h C Y 2 g l M j B z J U U x J U J C J U F E J T I w R 0 F T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H Q V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U y M E w l R T E l Q k I l O E J j a C U y M H M l R T E l Q k I l Q U Q l M j B W T i U y M E l u Z G V 4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t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b S B k Y X R h L 0 Z p b G x l Z C B E b 3 d u L n t E Y X R l L D B 9 J n F 1 b 3 Q 7 L C Z x d W 9 0 O 1 N l Y 3 R p b 2 4 x L 0 N h c G 0 g Z G F 0 Y S 9 G a W x s Z W Q g R G 9 3 b i 5 7 J S B D a G F u Z 2 U g a W 4 g R 0 F T I H B y a W N l L D F 9 J n F 1 b 3 Q 7 L C Z x d W 9 0 O 1 N l Y 3 R p b 2 4 x L 0 N h c G 0 g Z G F 0 Y S 9 G a W x s Z W Q g R G 9 3 b i 5 7 J U N o Y W 5 n Z S B p b i B W T k l u Z G V 4 L D J 9 J n F 1 b 3 Q 7 L C Z x d W 9 0 O 1 N l Y 3 R p b 2 4 x L 0 N h c G 0 g Z G F 0 Y S 9 G a W x s Z W Q g R G 9 3 b i 5 7 U m F 0 Z S B v Z i B y Z X R 1 c m 4 g b 2 Y g Q m 9 u Z C A x M C 1 5 Z W F y L D N 9 J n F 1 b 3 Q 7 L C Z x d W 9 0 O 1 N l Y 3 R p b 2 4 x L 0 N h c G 0 g Z G F 0 Y S 9 B Z G R l Z C B D d X N 0 b 2 0 z L n t S b S 1 S Z i w 0 f S Z x d W 9 0 O y w m c X V v d D t T Z W N 0 a W 9 u M S 9 D Y X B t I G R h d G E v Q W R k Z W Q g Q 3 V z d G 9 t N C 5 7 U m k t U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w b S B k Y X R h L 0 Z p b G x l Z C B E b 3 d u L n t E Y X R l L D B 9 J n F 1 b 3 Q 7 L C Z x d W 9 0 O 1 N l Y 3 R p b 2 4 x L 0 N h c G 0 g Z G F 0 Y S 9 G a W x s Z W Q g R G 9 3 b i 5 7 J S B D a G F u Z 2 U g a W 4 g R 0 F T I H B y a W N l L D F 9 J n F 1 b 3 Q 7 L C Z x d W 9 0 O 1 N l Y 3 R p b 2 4 x L 0 N h c G 0 g Z G F 0 Y S 9 G a W x s Z W Q g R G 9 3 b i 5 7 J U N o Y W 5 n Z S B p b i B W T k l u Z G V 4 L D J 9 J n F 1 b 3 Q 7 L C Z x d W 9 0 O 1 N l Y 3 R p b 2 4 x L 0 N h c G 0 g Z G F 0 Y S 9 G a W x s Z W Q g R G 9 3 b i 5 7 U m F 0 Z S B v Z i B y Z X R 1 c m 4 g b 2 Y g Q m 9 u Z C A x M C 1 5 Z W F y L D N 9 J n F 1 b 3 Q 7 L C Z x d W 9 0 O 1 N l Y 3 R p b 2 4 x L 0 N h c G 0 g Z G F 0 Y S 9 B Z G R l Z C B D d X N 0 b 2 0 z L n t S b S 1 S Z i w 0 f S Z x d W 9 0 O y w m c X V v d D t T Z W N 0 a W 9 u M S 9 D Y X B t I G R h d G E v Q W R k Z W Q g Q 3 V z d G 9 t N C 5 7 U m k t U m Y s N X 0 m c X V v d D t d L C Z x d W 9 0 O 1 J l b G F 0 a W 9 u c 2 h p c E l u Z m 8 m c X V v d D s 6 W 1 1 9 I i A v P j x F b n R y e S B U e X B l P S J G a W x s Q 2 9 s d W 1 u T m F t Z X M i I F Z h b H V l P S J z W y Z x d W 9 0 O 0 R h d G U m c X V v d D s s J n F 1 b 3 Q 7 J S B D a G F u Z 2 U g a W 4 g R 0 F T I H B y a W N l J n F 1 b 3 Q 7 L C Z x d W 9 0 O y V D a G F u Z 2 U g a W 4 g V k 5 J b m R l e C Z x d W 9 0 O y w m c X V v d D t S Y X R l I G 9 m I H J l d H V y b i B v Z i B C b 2 5 k I D E w L X l l Y X I m c X V v d D s s J n F 1 b 3 Q 7 U m 0 t U m Y m c X V v d D s s J n F 1 b 3 Q 7 U m k t U m Y m c X V v d D t d I i A v P j x F b n R y e S B U e X B l P S J G a W x s Q 2 9 s d W 1 u V H l w Z X M i I F Z h b H V l P S J z Q 1 F R R U J B Q U E i I C 8 + P E V u d H J 5 I F R 5 c G U 9 I k Z p b G x M Y X N 0 V X B k Y X R l Z C I g V m F s d W U 9 I m Q y M D I y L T A x L T E x V D E y O j E 1 O j E 5 L j Y 2 M T k 4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U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F w b S B k Y X R h I i A v P j x F b n R y e S B U e X B l P S J M b 2 F k Z W R U b 0 F u Y W x 5 c 2 l z U 2 V y d m l j Z X M i I F Z h b H V l P S J s M C I g L z 4 8 R W 5 0 c n k g V H l w Z T 0 i U X V l c n l J R C I g V m F s d W U 9 I n N k N m E 1 N G M y M y 1 j M T d i L T Q w M m U t O D F k M S 1 k Z D g w M T l i O D A y N m Q i I C 8 + P C 9 T d G F i b G V F b n R y a W V z P j w v S X R l b T 4 8 S X R l b T 4 8 S X R l b U x v Y 2 F 0 a W 9 u P j x J d G V t V H l w Z T 5 G b 3 J t d W x h P C 9 J d G V t V H l w Z T 4 8 S X R l b V B h d G g + U 2 V j d G l v b j E v Q 2 F w b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V 4 c G F u Z G V k J T I w R C V F M S V C Q i V B R i U y M G x p J U U x J U J C J T g 3 d S U y M E w l R T E l Q k I l O E J j a C U y M H M l R T E l Q k I l Q U Q l M j B W T i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b S U y M G R h d G E v R X h w Y W 5 k Z W Q l M j B E J U U x J U J C J U F G J T I w b G k l R T E l Q k I l O D d 1 J T I w T C V F M S V C Q i U 4 Q m N o J T I w c y V F M S V C Q i V B R C U y M F N 1 J U U x J U J B J U E 1 d C U y M F R o d S U y M G w l R T E l Q k I l Q T N p J T I w V H I l Q z M l Q T F p J T I w c G h p J U U x J U J B J U J G d S U y M D E w J T I w T i V D N C U 4 M 2 0 l M j B W a S V F M S V C Q i U 4 N 3 Q l M j B O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t J T I w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0 l M j B k Y X R h L 0 Z p b G x l Z C U y M E R v d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l F y Y / b 5 U e k c e 7 U H z d Z + A A A A A A C A A A A A A A Q Z g A A A A E A A C A A A A B k 3 A v N J d z T L s Z H G D 6 w 9 l s h B E X Q Q n M B c r k E X B A o J U m 0 k Q A A A A A O g A A A A A I A A C A A A A C p Q u F d e e m r 7 k 2 Q K T S 5 x t 3 i b a g I v d C Y v K N X y W w 2 W R Q f x l A A A A D h 3 x H I y j y I q 7 y h y c U d O 7 3 c L E S / r e n H J f D / A f f e 6 h h s C U Q c e g 5 b b U + v t 5 w 0 + w 7 1 / d t t e 9 o 9 l W R 2 P E x A L Z e X H G 8 z X 0 k 8 y O t b L u Z 1 s O g d 2 K R 8 v k A A A A D K c d p h p s o W 8 O 6 2 H 8 U w h M 9 H 0 Y / N 5 i V C C C 1 o h R y Z x B S 0 6 N l j l X Y R h 1 j x m u y B u c B F d D Z t k o q R / i p l B i / T 3 K F y M C S L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922512-23D9-4631-B696-0B5E3E453A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69d07-4db3-4f92-b86e-bfd3fd61da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094CDD-1E40-4542-B1BE-F5A39D6DDB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F3F252-D730-418A-9F94-FB543BE2A1C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F0167DB-E29D-46B7-9BAB-C635567FACD4}">
  <ds:schemaRefs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fa69d07-4db3-4f92-b86e-bfd3fd61da4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</vt:lpstr>
      <vt:lpstr>Original BS and IS</vt:lpstr>
      <vt:lpstr>BS and IS</vt:lpstr>
      <vt:lpstr>Historical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 Minh</dc:creator>
  <cp:keywords/>
  <dc:description/>
  <cp:lastModifiedBy>Minh Hue</cp:lastModifiedBy>
  <cp:revision/>
  <dcterms:created xsi:type="dcterms:W3CDTF">2021-12-28T03:35:22Z</dcterms:created>
  <dcterms:modified xsi:type="dcterms:W3CDTF">2022-10-09T14:14:09Z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0x01010061F99BEC1DDE2D459892A57D8E6BAEC7</vt:lpwstr>
  </property>
</Properties>
</file>