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ang\Documents\储量Excel\"/>
    </mc:Choice>
  </mc:AlternateContent>
  <bookViews>
    <workbookView xWindow="120" yWindow="75" windowWidth="17400" windowHeight="10530"/>
  </bookViews>
  <sheets>
    <sheet name="参数表" sheetId="1" r:id="rId1"/>
    <sheet name="类比表" sheetId="2" r:id="rId2"/>
    <sheet name="分层" sheetId="3" r:id="rId3"/>
    <sheet name="试气" sheetId="4" r:id="rId4"/>
    <sheet name="P2x8单井厚度" sheetId="5" r:id="rId5"/>
    <sheet name="P1s1单井厚度" sheetId="6" r:id="rId6"/>
  </sheets>
  <definedNames>
    <definedName name="_xlnm._FilterDatabase" localSheetId="5" hidden="1">P1s1单井厚度!$A$4:$U$115</definedName>
    <definedName name="_xlnm._FilterDatabase" localSheetId="4" hidden="1">P2x8单井厚度!$A$4:$BP$174</definedName>
    <definedName name="_xlnm._FilterDatabase" localSheetId="2" hidden="1">分层!#REF!</definedName>
    <definedName name="_xlnm._FilterDatabase" localSheetId="3" hidden="1">试气!$A$3:$GV$82</definedName>
    <definedName name="_xlnm.Print_Area" localSheetId="5">P1s1单井厚度!$A$1:$U$115</definedName>
    <definedName name="_xlnm.Print_Area" localSheetId="2">分层!$A$1:$GA$17</definedName>
    <definedName name="_xlnm.Print_Titles" localSheetId="5">P1s1单井厚度!#REF!</definedName>
    <definedName name="_xlnm.Print_Titles" localSheetId="4">P2x8单井厚度!#REF!</definedName>
    <definedName name="_xlnm.Print_Titles" localSheetId="2">分层!$A:$C</definedName>
    <definedName name="_xlnm.Print_Titles" localSheetId="3">试气!$1:$3</definedName>
  </definedNames>
  <calcPr calcId="152511" fullCalcOnLoad="1"/>
</workbook>
</file>

<file path=xl/calcChain.xml><?xml version="1.0" encoding="utf-8"?>
<calcChain xmlns="http://schemas.openxmlformats.org/spreadsheetml/2006/main">
  <c r="D42" i="1" l="1"/>
  <c r="C24" i="1"/>
  <c r="G42" i="1"/>
  <c r="G44" i="1" s="1"/>
  <c r="F24" i="1"/>
  <c r="C13" i="1"/>
  <c r="D13" i="1"/>
  <c r="E13" i="1"/>
  <c r="E18" i="1" s="1"/>
  <c r="E45" i="1" s="1"/>
  <c r="F13" i="1"/>
  <c r="G13" i="1"/>
  <c r="H13" i="1"/>
  <c r="C15" i="1"/>
  <c r="C18" i="1" s="1"/>
  <c r="C45" i="1" s="1"/>
  <c r="D15" i="1"/>
  <c r="E15" i="1"/>
  <c r="F15" i="1"/>
  <c r="G15" i="1"/>
  <c r="G18" i="1" s="1"/>
  <c r="H15" i="1"/>
  <c r="D18" i="1"/>
  <c r="F18" i="1"/>
  <c r="H18" i="1"/>
  <c r="C26" i="1"/>
  <c r="C27" i="1" s="1"/>
  <c r="F26" i="1"/>
  <c r="F27" i="1" s="1"/>
  <c r="D38" i="1"/>
  <c r="D36" i="1" s="1"/>
  <c r="E38" i="1"/>
  <c r="E36" i="1" s="1"/>
  <c r="G38" i="1"/>
  <c r="G36" i="1" s="1"/>
  <c r="H38" i="1"/>
  <c r="H36" i="1" s="1"/>
  <c r="C44" i="1"/>
  <c r="D44" i="1"/>
  <c r="D45" i="1" s="1"/>
  <c r="E44" i="1"/>
  <c r="F44" i="1"/>
  <c r="H44" i="1"/>
  <c r="H45" i="1" s="1"/>
  <c r="F45" i="1"/>
  <c r="F48" i="1" s="1"/>
  <c r="D60" i="1"/>
  <c r="G60" i="1"/>
  <c r="H60" i="1"/>
  <c r="F7" i="3"/>
  <c r="I7" i="3"/>
  <c r="L7" i="3"/>
  <c r="O7" i="3"/>
  <c r="R7" i="3"/>
  <c r="U7" i="3"/>
  <c r="X7" i="3"/>
  <c r="AA7" i="3"/>
  <c r="AD7" i="3"/>
  <c r="AG7" i="3"/>
  <c r="AJ7" i="3"/>
  <c r="AM7" i="3"/>
  <c r="AP7" i="3"/>
  <c r="AS7" i="3"/>
  <c r="AV7" i="3"/>
  <c r="AY7" i="3"/>
  <c r="BB7" i="3"/>
  <c r="BE7" i="3"/>
  <c r="BH7" i="3"/>
  <c r="BK7" i="3"/>
  <c r="BN7" i="3"/>
  <c r="BQ7" i="3"/>
  <c r="BT7" i="3"/>
  <c r="BW7" i="3"/>
  <c r="BZ7" i="3"/>
  <c r="CC7" i="3"/>
  <c r="CF7" i="3"/>
  <c r="CI7" i="3"/>
  <c r="CL7" i="3"/>
  <c r="CO7" i="3"/>
  <c r="CR7" i="3"/>
  <c r="CU7" i="3"/>
  <c r="CX7" i="3"/>
  <c r="DA7" i="3"/>
  <c r="DD7" i="3"/>
  <c r="DG7" i="3"/>
  <c r="DJ7" i="3"/>
  <c r="DM7" i="3"/>
  <c r="DP7" i="3"/>
  <c r="DS7" i="3"/>
  <c r="DV7" i="3"/>
  <c r="DY7" i="3"/>
  <c r="EB7" i="3"/>
  <c r="EE7" i="3"/>
  <c r="EH7" i="3"/>
  <c r="EK7" i="3"/>
  <c r="EN7" i="3"/>
  <c r="EQ7" i="3"/>
  <c r="ET7" i="3"/>
  <c r="EW7" i="3"/>
  <c r="EZ7" i="3"/>
  <c r="FC7" i="3"/>
  <c r="FF7" i="3"/>
  <c r="FI7" i="3"/>
  <c r="FL7" i="3"/>
  <c r="FO7" i="3"/>
  <c r="FR7" i="3"/>
  <c r="FU7" i="3"/>
  <c r="F8" i="3"/>
  <c r="I8" i="3"/>
  <c r="L8" i="3"/>
  <c r="O8" i="3"/>
  <c r="R8" i="3"/>
  <c r="U8" i="3"/>
  <c r="X8" i="3"/>
  <c r="AA8" i="3"/>
  <c r="AD8" i="3"/>
  <c r="AG8" i="3"/>
  <c r="AJ8" i="3"/>
  <c r="AM8" i="3"/>
  <c r="AP8" i="3"/>
  <c r="AS8" i="3"/>
  <c r="AV8" i="3"/>
  <c r="AY8" i="3"/>
  <c r="BB8" i="3"/>
  <c r="BE8" i="3"/>
  <c r="BH8" i="3"/>
  <c r="BK8" i="3"/>
  <c r="BN8" i="3"/>
  <c r="BQ8" i="3"/>
  <c r="BT8" i="3"/>
  <c r="BW8" i="3"/>
  <c r="BZ8" i="3"/>
  <c r="CC8" i="3"/>
  <c r="CF8" i="3"/>
  <c r="CI8" i="3"/>
  <c r="CL8" i="3"/>
  <c r="CO8" i="3"/>
  <c r="CR8" i="3"/>
  <c r="CU8" i="3"/>
  <c r="CX8" i="3"/>
  <c r="DA8" i="3"/>
  <c r="DD8" i="3"/>
  <c r="DG8" i="3"/>
  <c r="DJ8" i="3"/>
  <c r="DM8" i="3"/>
  <c r="DP8" i="3"/>
  <c r="DS8" i="3"/>
  <c r="DV8" i="3"/>
  <c r="DY8" i="3"/>
  <c r="EB8" i="3"/>
  <c r="EE8" i="3"/>
  <c r="EH8" i="3"/>
  <c r="EK8" i="3"/>
  <c r="EN8" i="3"/>
  <c r="EQ8" i="3"/>
  <c r="ET8" i="3"/>
  <c r="EW8" i="3"/>
  <c r="EZ8" i="3"/>
  <c r="FC8" i="3"/>
  <c r="FF8" i="3"/>
  <c r="FI8" i="3"/>
  <c r="FL8" i="3"/>
  <c r="FO8" i="3"/>
  <c r="FR8" i="3"/>
  <c r="FU8" i="3"/>
  <c r="F9" i="3"/>
  <c r="I9" i="3"/>
  <c r="L9" i="3"/>
  <c r="O9" i="3"/>
  <c r="R9" i="3"/>
  <c r="U9" i="3"/>
  <c r="X9" i="3"/>
  <c r="AA9" i="3"/>
  <c r="AD9" i="3"/>
  <c r="AG9" i="3"/>
  <c r="AJ9" i="3"/>
  <c r="AM9" i="3"/>
  <c r="AP9" i="3"/>
  <c r="AS9" i="3"/>
  <c r="AV9" i="3"/>
  <c r="AY9" i="3"/>
  <c r="BB9" i="3"/>
  <c r="BE9" i="3"/>
  <c r="BH9" i="3"/>
  <c r="BK9" i="3"/>
  <c r="BN9" i="3"/>
  <c r="BQ9" i="3"/>
  <c r="BT9" i="3"/>
  <c r="BW9" i="3"/>
  <c r="BZ9" i="3"/>
  <c r="CC9" i="3"/>
  <c r="CF9" i="3"/>
  <c r="CI9" i="3"/>
  <c r="CL9" i="3"/>
  <c r="CO9" i="3"/>
  <c r="CR9" i="3"/>
  <c r="CU9" i="3"/>
  <c r="CX9" i="3"/>
  <c r="DA9" i="3"/>
  <c r="DD9" i="3"/>
  <c r="DG9" i="3"/>
  <c r="DJ9" i="3"/>
  <c r="DM9" i="3"/>
  <c r="DP9" i="3"/>
  <c r="DS9" i="3"/>
  <c r="DV9" i="3"/>
  <c r="DY9" i="3"/>
  <c r="EB9" i="3"/>
  <c r="EE9" i="3"/>
  <c r="EH9" i="3"/>
  <c r="EK9" i="3"/>
  <c r="EN9" i="3"/>
  <c r="EQ9" i="3"/>
  <c r="ET9" i="3"/>
  <c r="EW9" i="3"/>
  <c r="EZ9" i="3"/>
  <c r="FC9" i="3"/>
  <c r="FF9" i="3"/>
  <c r="FI9" i="3"/>
  <c r="FL9" i="3"/>
  <c r="FO9" i="3"/>
  <c r="FR9" i="3"/>
  <c r="FU9" i="3"/>
  <c r="F10" i="3"/>
  <c r="I10" i="3"/>
  <c r="L10" i="3"/>
  <c r="O10" i="3"/>
  <c r="R10" i="3"/>
  <c r="U10" i="3"/>
  <c r="X10" i="3"/>
  <c r="AA10" i="3"/>
  <c r="AD10" i="3"/>
  <c r="AG10" i="3"/>
  <c r="AJ10" i="3"/>
  <c r="AM10" i="3"/>
  <c r="AP10" i="3"/>
  <c r="AS10" i="3"/>
  <c r="AV10" i="3"/>
  <c r="AY10" i="3"/>
  <c r="BB10" i="3"/>
  <c r="BE10" i="3"/>
  <c r="BH10" i="3"/>
  <c r="BK10" i="3"/>
  <c r="BN10" i="3"/>
  <c r="BQ10" i="3"/>
  <c r="BT10" i="3"/>
  <c r="BW10" i="3"/>
  <c r="BZ10" i="3"/>
  <c r="CC10" i="3"/>
  <c r="CF10" i="3"/>
  <c r="CI10" i="3"/>
  <c r="CL10" i="3"/>
  <c r="CO10" i="3"/>
  <c r="CR10" i="3"/>
  <c r="CU10" i="3"/>
  <c r="CX10" i="3"/>
  <c r="DA10" i="3"/>
  <c r="DD10" i="3"/>
  <c r="DG10" i="3"/>
  <c r="DJ10" i="3"/>
  <c r="DM10" i="3"/>
  <c r="DP10" i="3"/>
  <c r="DS10" i="3"/>
  <c r="DV10" i="3"/>
  <c r="DY10" i="3"/>
  <c r="EB10" i="3"/>
  <c r="EE10" i="3"/>
  <c r="EH10" i="3"/>
  <c r="EK10" i="3"/>
  <c r="EN10" i="3"/>
  <c r="EQ10" i="3"/>
  <c r="ET10" i="3"/>
  <c r="EW10" i="3"/>
  <c r="EZ10" i="3"/>
  <c r="FC10" i="3"/>
  <c r="FF10" i="3"/>
  <c r="FI10" i="3"/>
  <c r="FL10" i="3"/>
  <c r="FO10" i="3"/>
  <c r="FR10" i="3"/>
  <c r="FU10" i="3"/>
  <c r="F11" i="3"/>
  <c r="I11" i="3"/>
  <c r="L11" i="3"/>
  <c r="O11" i="3"/>
  <c r="R11" i="3"/>
  <c r="U11" i="3"/>
  <c r="X11" i="3"/>
  <c r="AA11" i="3"/>
  <c r="AD11" i="3"/>
  <c r="AG11" i="3"/>
  <c r="AJ11" i="3"/>
  <c r="AM11" i="3"/>
  <c r="AP11" i="3"/>
  <c r="AS11" i="3"/>
  <c r="AV11" i="3"/>
  <c r="AY11" i="3"/>
  <c r="BB11" i="3"/>
  <c r="BE11" i="3"/>
  <c r="BH11" i="3"/>
  <c r="BK11" i="3"/>
  <c r="BN11" i="3"/>
  <c r="BQ11" i="3"/>
  <c r="BT11" i="3"/>
  <c r="BW11" i="3"/>
  <c r="BZ11" i="3"/>
  <c r="CC11" i="3"/>
  <c r="CF11" i="3"/>
  <c r="CI11" i="3"/>
  <c r="CL11" i="3"/>
  <c r="CO11" i="3"/>
  <c r="CR11" i="3"/>
  <c r="CU11" i="3"/>
  <c r="CX11" i="3"/>
  <c r="DA11" i="3"/>
  <c r="DD11" i="3"/>
  <c r="DG11" i="3"/>
  <c r="DJ11" i="3"/>
  <c r="DM11" i="3"/>
  <c r="DP11" i="3"/>
  <c r="DS11" i="3"/>
  <c r="DV11" i="3"/>
  <c r="DY11" i="3"/>
  <c r="EB11" i="3"/>
  <c r="EE11" i="3"/>
  <c r="EH11" i="3"/>
  <c r="EK11" i="3"/>
  <c r="EN11" i="3"/>
  <c r="EQ11" i="3"/>
  <c r="ET11" i="3"/>
  <c r="EW11" i="3"/>
  <c r="EZ11" i="3"/>
  <c r="FC11" i="3"/>
  <c r="FF11" i="3"/>
  <c r="FI11" i="3"/>
  <c r="FL11" i="3"/>
  <c r="FO11" i="3"/>
  <c r="FR11" i="3"/>
  <c r="FU11" i="3"/>
  <c r="F12" i="3"/>
  <c r="I12" i="3"/>
  <c r="L12" i="3"/>
  <c r="O12" i="3"/>
  <c r="R12" i="3"/>
  <c r="U12" i="3"/>
  <c r="X12" i="3"/>
  <c r="AA12" i="3"/>
  <c r="AD12" i="3"/>
  <c r="AG12" i="3"/>
  <c r="AJ12" i="3"/>
  <c r="AM12" i="3"/>
  <c r="AP12" i="3"/>
  <c r="AS12" i="3"/>
  <c r="AV12" i="3"/>
  <c r="AY12" i="3"/>
  <c r="BB12" i="3"/>
  <c r="BE12" i="3"/>
  <c r="BH12" i="3"/>
  <c r="BK12" i="3"/>
  <c r="BN12" i="3"/>
  <c r="BQ12" i="3"/>
  <c r="BT12" i="3"/>
  <c r="BW12" i="3"/>
  <c r="BZ12" i="3"/>
  <c r="CC12" i="3"/>
  <c r="CF12" i="3"/>
  <c r="CI12" i="3"/>
  <c r="CL12" i="3"/>
  <c r="CO12" i="3"/>
  <c r="CR12" i="3"/>
  <c r="CU12" i="3"/>
  <c r="CX12" i="3"/>
  <c r="DA12" i="3"/>
  <c r="DD12" i="3"/>
  <c r="DG12" i="3"/>
  <c r="DJ12" i="3"/>
  <c r="DM12" i="3"/>
  <c r="DP12" i="3"/>
  <c r="DS12" i="3"/>
  <c r="DV12" i="3"/>
  <c r="DY12" i="3"/>
  <c r="EB12" i="3"/>
  <c r="EE12" i="3"/>
  <c r="EH12" i="3"/>
  <c r="EK12" i="3"/>
  <c r="EN12" i="3"/>
  <c r="EQ12" i="3"/>
  <c r="ET12" i="3"/>
  <c r="EW12" i="3"/>
  <c r="EZ12" i="3"/>
  <c r="FC12" i="3"/>
  <c r="FF12" i="3"/>
  <c r="FI12" i="3"/>
  <c r="FL12" i="3"/>
  <c r="FO12" i="3"/>
  <c r="FR12" i="3"/>
  <c r="FU12" i="3"/>
  <c r="F13" i="3"/>
  <c r="I13" i="3"/>
  <c r="L13" i="3"/>
  <c r="O13" i="3"/>
  <c r="R13" i="3"/>
  <c r="U13" i="3"/>
  <c r="X13" i="3"/>
  <c r="AA13" i="3"/>
  <c r="AD13" i="3"/>
  <c r="AG13" i="3"/>
  <c r="AJ13" i="3"/>
  <c r="AM13" i="3"/>
  <c r="AP13" i="3"/>
  <c r="AS13" i="3"/>
  <c r="AV13" i="3"/>
  <c r="AY13" i="3"/>
  <c r="BB13" i="3"/>
  <c r="BE13" i="3"/>
  <c r="BH13" i="3"/>
  <c r="BK13" i="3"/>
  <c r="BN13" i="3"/>
  <c r="BQ13" i="3"/>
  <c r="BT13" i="3"/>
  <c r="BW13" i="3"/>
  <c r="BZ13" i="3"/>
  <c r="CC13" i="3"/>
  <c r="CF13" i="3"/>
  <c r="CI13" i="3"/>
  <c r="CL13" i="3"/>
  <c r="CO13" i="3"/>
  <c r="CR13" i="3"/>
  <c r="CU13" i="3"/>
  <c r="CX13" i="3"/>
  <c r="DA13" i="3"/>
  <c r="DD13" i="3"/>
  <c r="DG13" i="3"/>
  <c r="DJ13" i="3"/>
  <c r="DM13" i="3"/>
  <c r="DP13" i="3"/>
  <c r="DS13" i="3"/>
  <c r="DV13" i="3"/>
  <c r="DY13" i="3"/>
  <c r="EB13" i="3"/>
  <c r="EE13" i="3"/>
  <c r="EH13" i="3"/>
  <c r="EK13" i="3"/>
  <c r="EN13" i="3"/>
  <c r="EQ13" i="3"/>
  <c r="ET13" i="3"/>
  <c r="EW13" i="3"/>
  <c r="EZ13" i="3"/>
  <c r="FC13" i="3"/>
  <c r="FF13" i="3"/>
  <c r="FI13" i="3"/>
  <c r="FL13" i="3"/>
  <c r="FO13" i="3"/>
  <c r="FR13" i="3"/>
  <c r="FU13" i="3"/>
  <c r="F14" i="3"/>
  <c r="I14" i="3"/>
  <c r="L14" i="3"/>
  <c r="O14" i="3"/>
  <c r="R14" i="3"/>
  <c r="U14" i="3"/>
  <c r="X14" i="3"/>
  <c r="AA14" i="3"/>
  <c r="AD14" i="3"/>
  <c r="AG14" i="3"/>
  <c r="AJ14" i="3"/>
  <c r="AM14" i="3"/>
  <c r="AP14" i="3"/>
  <c r="AS14" i="3"/>
  <c r="AV14" i="3"/>
  <c r="BB14" i="3"/>
  <c r="BE14" i="3"/>
  <c r="BK14" i="3"/>
  <c r="BN14" i="3"/>
  <c r="BQ14" i="3"/>
  <c r="BT14" i="3"/>
  <c r="BW14" i="3"/>
  <c r="CC14" i="3"/>
  <c r="CF14" i="3"/>
  <c r="CI14" i="3"/>
  <c r="CL14" i="3"/>
  <c r="CO14" i="3"/>
  <c r="CR14" i="3"/>
  <c r="CU14" i="3"/>
  <c r="CX14" i="3"/>
  <c r="DA14" i="3"/>
  <c r="DD14" i="3"/>
  <c r="DG14" i="3"/>
  <c r="DJ14" i="3"/>
  <c r="DM14" i="3"/>
  <c r="DP14" i="3"/>
  <c r="DS14" i="3"/>
  <c r="DV14" i="3"/>
  <c r="DY14" i="3"/>
  <c r="EB14" i="3"/>
  <c r="EE14" i="3"/>
  <c r="EH14" i="3"/>
  <c r="EK14" i="3"/>
  <c r="EN14" i="3"/>
  <c r="EQ14" i="3"/>
  <c r="ET14" i="3"/>
  <c r="EW14" i="3"/>
  <c r="EZ14" i="3"/>
  <c r="FC14" i="3"/>
  <c r="FF14" i="3"/>
  <c r="FI14" i="3"/>
  <c r="FL14" i="3"/>
  <c r="FO14" i="3"/>
  <c r="FR14" i="3"/>
  <c r="FU14" i="3"/>
  <c r="F15" i="3"/>
  <c r="I15" i="3"/>
  <c r="L15" i="3"/>
  <c r="O15" i="3"/>
  <c r="R15" i="3"/>
  <c r="U15" i="3"/>
  <c r="X15" i="3"/>
  <c r="AA15" i="3"/>
  <c r="AD15" i="3"/>
  <c r="AG15" i="3"/>
  <c r="AJ15" i="3"/>
  <c r="AM15" i="3"/>
  <c r="AP15" i="3"/>
  <c r="AV15" i="3"/>
  <c r="BE15" i="3"/>
  <c r="BT15" i="3"/>
  <c r="BW15" i="3"/>
  <c r="CL15" i="3"/>
  <c r="CO15" i="3"/>
  <c r="CR15" i="3"/>
  <c r="CU15" i="3"/>
  <c r="DG15" i="3"/>
  <c r="DJ15" i="3"/>
  <c r="DY15" i="3"/>
  <c r="EB15" i="3"/>
  <c r="EE15" i="3"/>
  <c r="EK15" i="3"/>
  <c r="EN15" i="3"/>
  <c r="EQ15" i="3"/>
  <c r="EW15" i="3"/>
  <c r="FC15" i="3"/>
  <c r="FF15" i="3"/>
  <c r="FI15" i="3"/>
  <c r="FL15" i="3"/>
  <c r="FO15" i="3"/>
  <c r="FR15" i="3"/>
  <c r="FU15" i="3"/>
  <c r="F41" i="5"/>
  <c r="C48" i="1" l="1"/>
  <c r="E48" i="1"/>
  <c r="E57" i="1"/>
  <c r="G45" i="1"/>
  <c r="H57" i="1"/>
  <c r="H48" i="1"/>
  <c r="C57" i="1"/>
  <c r="C30" i="1"/>
  <c r="I27" i="1"/>
  <c r="D48" i="1"/>
  <c r="D57" i="1"/>
  <c r="F30" i="1"/>
  <c r="F57" i="1"/>
  <c r="E60" i="1"/>
  <c r="D59" i="1" l="1"/>
  <c r="D58" i="1"/>
  <c r="H59" i="1"/>
  <c r="H58" i="1"/>
  <c r="E59" i="1"/>
  <c r="E58" i="1"/>
  <c r="I57" i="1"/>
  <c r="F32" i="1"/>
  <c r="F58" i="1"/>
  <c r="C58" i="1"/>
  <c r="I30" i="1"/>
  <c r="C32" i="1"/>
  <c r="G57" i="1"/>
  <c r="G48" i="1"/>
  <c r="I45" i="1"/>
  <c r="G58" i="1" l="1"/>
  <c r="G59" i="1"/>
  <c r="I48" i="1"/>
  <c r="I58" i="1"/>
  <c r="I32" i="1"/>
  <c r="C38" i="1"/>
  <c r="C59" i="1"/>
  <c r="I59" i="1" s="1"/>
  <c r="F38" i="1"/>
  <c r="F59" i="1"/>
  <c r="C36" i="1" l="1"/>
  <c r="C60" i="1"/>
  <c r="F60" i="1"/>
  <c r="F36" i="1"/>
</calcChain>
</file>

<file path=xl/sharedStrings.xml><?xml version="1.0" encoding="utf-8"?>
<sst xmlns="http://schemas.openxmlformats.org/spreadsheetml/2006/main" count="2617" uniqueCount="601">
  <si>
    <t>Block:</t>
  </si>
  <si>
    <t>区块</t>
  </si>
  <si>
    <t>Reservoir:</t>
  </si>
  <si>
    <t>P2x8</t>
  </si>
  <si>
    <t>Total</t>
  </si>
  <si>
    <t>Porosity, %</t>
  </si>
  <si>
    <t>Water Saturation, %</t>
  </si>
  <si>
    <t>Permeability, md</t>
  </si>
  <si>
    <t>Initial Pressure, mpa</t>
  </si>
  <si>
    <t>Initial Pressure, psia</t>
  </si>
  <si>
    <t>Specific Gravity</t>
  </si>
  <si>
    <t>比重</t>
  </si>
  <si>
    <t>Initial z Factor</t>
  </si>
  <si>
    <t>气体偏差系数</t>
  </si>
  <si>
    <t>Initial Gas Formation Volume Factor, v/v</t>
  </si>
  <si>
    <t>原始天然气体积系数</t>
  </si>
  <si>
    <t>Number of Wells Drilled</t>
  </si>
  <si>
    <t>已钻井数</t>
  </si>
  <si>
    <t>Number of Active Producers</t>
  </si>
  <si>
    <t>生产井开井数</t>
  </si>
  <si>
    <t>Recovery Mechanism</t>
  </si>
  <si>
    <t>开采方式</t>
  </si>
  <si>
    <t>depletion</t>
  </si>
  <si>
    <t>证实已开发</t>
  </si>
  <si>
    <t>Method of Evaluation</t>
  </si>
  <si>
    <t>评估方法</t>
  </si>
  <si>
    <t>volumetric</t>
  </si>
  <si>
    <t>Thickness, m</t>
  </si>
  <si>
    <t>Recovery Factor, %</t>
  </si>
  <si>
    <t>Separator Gas</t>
  </si>
  <si>
    <t>Condensate</t>
  </si>
  <si>
    <t xml:space="preserve">Proved Undeveloped </t>
  </si>
  <si>
    <t>证实未开发</t>
  </si>
  <si>
    <t>Gas Composition</t>
  </si>
  <si>
    <t xml:space="preserve"> % N2</t>
  </si>
  <si>
    <t xml:space="preserve"> % CO2</t>
  </si>
  <si>
    <t xml:space="preserve"> % H2S</t>
  </si>
  <si>
    <t>Ending Date of Production License, mmyy</t>
  </si>
  <si>
    <t>Date of Planned First Production</t>
  </si>
  <si>
    <t>序号</t>
  </si>
  <si>
    <t>油气藏</t>
  </si>
  <si>
    <t>类比气藏</t>
  </si>
  <si>
    <t>目标气藏</t>
  </si>
  <si>
    <t>类比气藏名称</t>
  </si>
  <si>
    <t>所在气田</t>
  </si>
  <si>
    <t>苏里格气田</t>
  </si>
  <si>
    <t>区域构造</t>
  </si>
  <si>
    <t>鄂尔多斯盆地伊陕斜坡</t>
  </si>
  <si>
    <t>含气层位（层位代码）</t>
  </si>
  <si>
    <t>储量计算参数</t>
  </si>
  <si>
    <t>有效厚度 (m)</t>
  </si>
  <si>
    <t>有效孔隙度(%)</t>
  </si>
  <si>
    <t>含气饱和度(%)</t>
  </si>
  <si>
    <t>天然气体积系数</t>
  </si>
  <si>
    <t>储层及流体性质</t>
  </si>
  <si>
    <t>气藏类型</t>
  </si>
  <si>
    <t>岩性</t>
  </si>
  <si>
    <t>气水接触关系</t>
  </si>
  <si>
    <t>无水</t>
  </si>
  <si>
    <t>储层岩性</t>
  </si>
  <si>
    <t>砂岩</t>
  </si>
  <si>
    <t>储集空间类型</t>
  </si>
  <si>
    <t>孔隙</t>
  </si>
  <si>
    <t>沉积环境</t>
  </si>
  <si>
    <t>分流河道</t>
  </si>
  <si>
    <t>驱动机理</t>
  </si>
  <si>
    <t>弹性气驱</t>
  </si>
  <si>
    <t>CO2含量(%)</t>
  </si>
  <si>
    <t>平均渗透率(mD)</t>
  </si>
  <si>
    <t>气藏中部埋深 (m)</t>
  </si>
  <si>
    <t>原始地层压力 (MPa)</t>
  </si>
  <si>
    <t>原始地层温度(℃)</t>
  </si>
  <si>
    <t>开发参数</t>
  </si>
  <si>
    <t>开发方式</t>
  </si>
  <si>
    <t>自然能量</t>
  </si>
  <si>
    <t>综合递减率 (%)</t>
  </si>
  <si>
    <t>地质储量采出程度(%)</t>
  </si>
  <si>
    <t>评价参数</t>
  </si>
  <si>
    <t>评估时间(年)</t>
  </si>
  <si>
    <t>采收率(%)</t>
  </si>
  <si>
    <t>鄂9</t>
  </si>
  <si>
    <t>苏48</t>
  </si>
  <si>
    <t>苏59</t>
  </si>
  <si>
    <t>苏89</t>
  </si>
  <si>
    <t>苏90</t>
  </si>
  <si>
    <t>苏142</t>
  </si>
  <si>
    <t>苏157</t>
  </si>
  <si>
    <t>苏160</t>
  </si>
  <si>
    <t>苏163</t>
  </si>
  <si>
    <t>井深</t>
  </si>
  <si>
    <t>垂深</t>
  </si>
  <si>
    <t>海拔</t>
  </si>
  <si>
    <t>盒5</t>
  </si>
  <si>
    <t>盒6</t>
  </si>
  <si>
    <t>盒7</t>
  </si>
  <si>
    <t>盒8</t>
  </si>
  <si>
    <t>山2</t>
  </si>
  <si>
    <t>井区
Well field</t>
  </si>
  <si>
    <t xml:space="preserve">井号
Well
</t>
  </si>
  <si>
    <t>层位
Horizon</t>
  </si>
  <si>
    <t>试气 序号  Test number</t>
  </si>
  <si>
    <t>解释   层号Interpretive lever number</t>
  </si>
  <si>
    <t>厚度 Thickness</t>
  </si>
  <si>
    <t xml:space="preserve">试气
措施
Test
step 
</t>
  </si>
  <si>
    <t xml:space="preserve">日期 
Date
 </t>
  </si>
  <si>
    <t>试气方式 
Test method</t>
  </si>
  <si>
    <t>压力 Pressure（MPa）</t>
  </si>
  <si>
    <t xml:space="preserve">无阻
流量 
AOF </t>
  </si>
  <si>
    <t>温度 Temperature（℃）</t>
  </si>
  <si>
    <t xml:space="preserve">天然气
相对密度 Gas relative density   </t>
  </si>
  <si>
    <t>地层水
Local water</t>
  </si>
  <si>
    <t>试气结论Test Conclusion</t>
  </si>
  <si>
    <t xml:space="preserve">油压
Oil pressure  </t>
  </si>
  <si>
    <t>套压Casing pressure</t>
  </si>
  <si>
    <t>静压
Static pressure</t>
  </si>
  <si>
    <t>流压Flowing Pressure</t>
  </si>
  <si>
    <t>油
Oil</t>
  </si>
  <si>
    <t>气
Gas</t>
  </si>
  <si>
    <t>水
Water</t>
  </si>
  <si>
    <t>测点
深度
Site depth</t>
  </si>
  <si>
    <t>静温
Static temperature</t>
  </si>
  <si>
    <t>流温
Flowing temperature</t>
  </si>
  <si>
    <t>总矿化度Total solids</t>
  </si>
  <si>
    <t xml:space="preserve">水型water style   </t>
  </si>
  <si>
    <t>m</t>
  </si>
  <si>
    <r>
      <t>m</t>
    </r>
    <r>
      <rPr>
        <vertAlign val="superscript"/>
        <sz val="9"/>
        <rFont val="宋体"/>
        <charset val="134"/>
      </rPr>
      <t>3</t>
    </r>
  </si>
  <si>
    <t>g/l</t>
  </si>
  <si>
    <t>苏47</t>
  </si>
  <si>
    <t>3.0/1</t>
  </si>
  <si>
    <t>2.0/1</t>
  </si>
  <si>
    <t>4.0/1</t>
  </si>
  <si>
    <t>一点法</t>
  </si>
  <si>
    <t>2.5/1</t>
  </si>
  <si>
    <t>苏195</t>
  </si>
  <si>
    <t>苏328</t>
  </si>
  <si>
    <t>苏南3</t>
  </si>
  <si>
    <t>压裂</t>
  </si>
  <si>
    <t>桃11</t>
  </si>
  <si>
    <t>井号
Well</t>
  </si>
  <si>
    <t>测井解释</t>
  </si>
  <si>
    <t>试气投产情况</t>
  </si>
  <si>
    <t>层
号
Level Number</t>
  </si>
  <si>
    <t>井段
Interval</t>
  </si>
  <si>
    <t>厚度Thickness</t>
  </si>
  <si>
    <t>视电阻率Apparent Resistivity</t>
  </si>
  <si>
    <t>声波
时差Acoustic Travel Time</t>
  </si>
  <si>
    <t>孔隙度Porosity</t>
  </si>
  <si>
    <t>渗透率Permeability</t>
  </si>
  <si>
    <t>含气
饱和度
Gas Saturation</t>
  </si>
  <si>
    <t>解释
结果
Interpretation Conclusion</t>
  </si>
  <si>
    <t>结论Conclusion</t>
  </si>
  <si>
    <t>垂直
海拔Vertical Altitude</t>
  </si>
  <si>
    <t>夹层
厚度
Interbed
Thickness</t>
  </si>
  <si>
    <t>综合
解释结论Result</t>
  </si>
  <si>
    <t>有效厚度
Net Thickness</t>
  </si>
  <si>
    <t>Ωm</t>
  </si>
  <si>
    <t>μs/m</t>
  </si>
  <si>
    <t>%</t>
  </si>
  <si>
    <t>mD</t>
  </si>
  <si>
    <t>气层</t>
  </si>
  <si>
    <t>山1</t>
  </si>
  <si>
    <t>苏里格气田2013年新增天然气证实储量参数表</t>
    <phoneticPr fontId="30" type="noConversion"/>
  </si>
  <si>
    <t>Reservoir Parameters of Gross Proved Gas and Condensate Reserves of Sulige Field</t>
    <phoneticPr fontId="30" type="noConversion"/>
  </si>
  <si>
    <r>
      <t>(</t>
    </r>
    <r>
      <rPr>
        <b/>
        <sz val="11"/>
        <rFont val="宋体"/>
        <charset val="134"/>
      </rPr>
      <t>请勿改动黄颜色单元格内的公式！</t>
    </r>
    <r>
      <rPr>
        <b/>
        <sz val="11"/>
        <rFont val="Times New Roman"/>
        <family val="1"/>
      </rPr>
      <t>)</t>
    </r>
    <phoneticPr fontId="30" type="noConversion"/>
  </si>
  <si>
    <t>Field:</t>
    <phoneticPr fontId="30" type="noConversion"/>
  </si>
  <si>
    <t>油气田</t>
    <phoneticPr fontId="30" type="noConversion"/>
  </si>
  <si>
    <t>Sulige Gas Field</t>
    <phoneticPr fontId="30" type="noConversion"/>
  </si>
  <si>
    <t>xi 1</t>
    <phoneticPr fontId="30" type="noConversion"/>
  </si>
  <si>
    <t>Well Block:</t>
    <phoneticPr fontId="30" type="noConversion"/>
  </si>
  <si>
    <r>
      <t>井块</t>
    </r>
    <r>
      <rPr>
        <sz val="10.5"/>
        <color indexed="10"/>
        <rFont val="宋体"/>
        <charset val="134"/>
      </rPr>
      <t>（如果平面单元必须到这一级）</t>
    </r>
    <phoneticPr fontId="30" type="noConversion"/>
  </si>
  <si>
    <t>Su59</t>
    <phoneticPr fontId="30" type="noConversion"/>
  </si>
  <si>
    <t>Su47</t>
    <phoneticPr fontId="30" type="noConversion"/>
  </si>
  <si>
    <t>Tao11</t>
    <phoneticPr fontId="30" type="noConversion"/>
  </si>
  <si>
    <r>
      <t>层位（</t>
    </r>
    <r>
      <rPr>
        <sz val="10.5"/>
        <color indexed="10"/>
        <rFont val="宋体"/>
        <charset val="134"/>
      </rPr>
      <t>纵向计算单元标准代码</t>
    </r>
    <r>
      <rPr>
        <sz val="10.5"/>
        <rFont val="宋体"/>
        <charset val="134"/>
      </rPr>
      <t>）</t>
    </r>
    <phoneticPr fontId="42" type="noConversion"/>
  </si>
  <si>
    <t>P2x8</t>
    <phoneticPr fontId="30" type="noConversion"/>
  </si>
  <si>
    <t>P1s1</t>
    <phoneticPr fontId="37" type="noConversion"/>
  </si>
  <si>
    <t>Datum Depth (above sea level), m</t>
    <phoneticPr fontId="42" type="noConversion"/>
  </si>
  <si>
    <r>
      <t>气藏埋深</t>
    </r>
    <r>
      <rPr>
        <sz val="10.5"/>
        <rFont val="Times New Roman"/>
        <family val="1"/>
      </rPr>
      <t>(</t>
    </r>
    <r>
      <rPr>
        <sz val="10.5"/>
        <rFont val="宋体"/>
        <charset val="134"/>
      </rPr>
      <t>海拔深度）</t>
    </r>
    <r>
      <rPr>
        <sz val="10.5"/>
        <rFont val="Times New Roman"/>
        <family val="1"/>
      </rPr>
      <t>, m</t>
    </r>
    <phoneticPr fontId="30" type="noConversion"/>
  </si>
  <si>
    <r>
      <t>孔隙度</t>
    </r>
    <r>
      <rPr>
        <sz val="10.5"/>
        <rFont val="Times New Roman"/>
        <family val="1"/>
      </rPr>
      <t>, %</t>
    </r>
  </si>
  <si>
    <r>
      <t>含水饱和度</t>
    </r>
    <r>
      <rPr>
        <sz val="10.5"/>
        <rFont val="Times New Roman"/>
        <family val="1"/>
      </rPr>
      <t>, %</t>
    </r>
  </si>
  <si>
    <r>
      <t>有效储层段</t>
    </r>
    <r>
      <rPr>
        <sz val="10.5"/>
        <rFont val="宋体"/>
        <charset val="134"/>
      </rPr>
      <t>渗透率</t>
    </r>
    <r>
      <rPr>
        <sz val="10.5"/>
        <rFont val="Times New Roman"/>
        <family val="1"/>
      </rPr>
      <t>, mD</t>
    </r>
    <phoneticPr fontId="30" type="noConversion"/>
  </si>
  <si>
    <r>
      <t xml:space="preserve">Formation Temperature, </t>
    </r>
    <r>
      <rPr>
        <vertAlign val="superscript"/>
        <sz val="11"/>
        <rFont val="NewCenturySchlbk"/>
        <family val="1"/>
      </rPr>
      <t>o</t>
    </r>
    <r>
      <rPr>
        <sz val="11"/>
        <rFont val="NewCenturySchlbk"/>
        <family val="1"/>
      </rPr>
      <t>C</t>
    </r>
  </si>
  <si>
    <r>
      <t>气藏温度</t>
    </r>
    <r>
      <rPr>
        <sz val="10.5"/>
        <rFont val="Times New Roman"/>
        <family val="1"/>
      </rPr>
      <t>, °C</t>
    </r>
  </si>
  <si>
    <r>
      <t xml:space="preserve">Formation Temperature, </t>
    </r>
    <r>
      <rPr>
        <vertAlign val="superscript"/>
        <sz val="11"/>
        <rFont val="NewCenturySchlbk"/>
        <family val="1"/>
      </rPr>
      <t>o</t>
    </r>
    <r>
      <rPr>
        <sz val="11"/>
        <rFont val="NewCenturySchlbk"/>
        <family val="1"/>
      </rPr>
      <t>F</t>
    </r>
  </si>
  <si>
    <r>
      <t>原始压力</t>
    </r>
    <r>
      <rPr>
        <sz val="10.5"/>
        <rFont val="Times New Roman"/>
        <family val="1"/>
      </rPr>
      <t>, MPa</t>
    </r>
  </si>
  <si>
    <r>
      <t xml:space="preserve">Proved </t>
    </r>
    <r>
      <rPr>
        <sz val="12"/>
        <rFont val="宋体"/>
        <charset val="134"/>
      </rPr>
      <t>D</t>
    </r>
    <r>
      <rPr>
        <sz val="11"/>
        <rFont val="NewCenturySchlbk"/>
        <family val="1"/>
      </rPr>
      <t xml:space="preserve">eveloped </t>
    </r>
    <phoneticPr fontId="42" type="noConversion"/>
  </si>
  <si>
    <r>
      <t>Area, km</t>
    </r>
    <r>
      <rPr>
        <vertAlign val="superscript"/>
        <sz val="11"/>
        <rFont val="NewCenturySchlbk"/>
        <family val="1"/>
      </rPr>
      <t>2</t>
    </r>
  </si>
  <si>
    <r>
      <t>面积</t>
    </r>
    <r>
      <rPr>
        <sz val="10.5"/>
        <rFont val="Times New Roman"/>
        <family val="1"/>
      </rPr>
      <t>, km</t>
    </r>
    <r>
      <rPr>
        <vertAlign val="superscript"/>
        <sz val="10.5"/>
        <rFont val="Times New Roman"/>
        <family val="1"/>
      </rPr>
      <t>2</t>
    </r>
  </si>
  <si>
    <r>
      <t>厚度</t>
    </r>
    <r>
      <rPr>
        <sz val="10.5"/>
        <rFont val="Times New Roman"/>
        <family val="1"/>
      </rPr>
      <t>, m</t>
    </r>
  </si>
  <si>
    <r>
      <t>Net Bulk Rock Volume, 10</t>
    </r>
    <r>
      <rPr>
        <vertAlign val="superscript"/>
        <sz val="11"/>
        <rFont val="NewCenturySchlbk"/>
        <family val="1"/>
      </rPr>
      <t>6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</si>
  <si>
    <r>
      <t>有效岩石体积，</t>
    </r>
    <r>
      <rPr>
        <sz val="10.5"/>
        <rFont val="Times New Roman"/>
        <family val="1"/>
      </rPr>
      <t>10</t>
    </r>
    <r>
      <rPr>
        <vertAlign val="superscript"/>
        <sz val="10.5"/>
        <rFont val="Times New Roman"/>
        <family val="1"/>
      </rPr>
      <t>6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42" type="noConversion"/>
  </si>
  <si>
    <r>
      <t>Original Gas in Place,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</si>
  <si>
    <r>
      <t>地质储量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</si>
  <si>
    <r>
      <t>采收率</t>
    </r>
    <r>
      <rPr>
        <sz val="10.5"/>
        <rFont val="Times New Roman"/>
        <family val="1"/>
      </rPr>
      <t>, %</t>
    </r>
  </si>
  <si>
    <t>分离气</t>
    <phoneticPr fontId="42" type="noConversion"/>
  </si>
  <si>
    <r>
      <t>Gross Ultimate Recovery,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</si>
  <si>
    <r>
      <t>最终总可采量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</si>
  <si>
    <r>
      <t>Cumulative Production,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</si>
  <si>
    <r>
      <t>累计产量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</si>
  <si>
    <r>
      <t>Gross Reserves,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</si>
  <si>
    <r>
      <t>剩余可采储量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30" type="noConversion"/>
  </si>
  <si>
    <t>凝析油</t>
    <phoneticPr fontId="42" type="noConversion"/>
  </si>
  <si>
    <r>
      <t xml:space="preserve">Condensate Yield, </t>
    </r>
    <r>
      <rPr>
        <sz val="12"/>
        <rFont val="NewCenturySchlbk"/>
        <family val="1"/>
      </rPr>
      <t>g</t>
    </r>
    <r>
      <rPr>
        <sz val="11"/>
        <rFont val="NewCenturySchlbk"/>
        <family val="1"/>
      </rPr>
      <t>/m</t>
    </r>
    <r>
      <rPr>
        <vertAlign val="superscript"/>
        <sz val="11"/>
        <rFont val="NewCenturySchlbk"/>
        <family val="1"/>
      </rPr>
      <t>3</t>
    </r>
    <phoneticPr fontId="42" type="noConversion"/>
  </si>
  <si>
    <r>
      <t>凝析油含量，</t>
    </r>
    <r>
      <rPr>
        <sz val="10.5"/>
        <rFont val="Times New Roman"/>
        <family val="1"/>
      </rPr>
      <t>g/m</t>
    </r>
    <r>
      <rPr>
        <vertAlign val="superscript"/>
        <sz val="10.5"/>
        <rFont val="Times New Roman"/>
        <family val="1"/>
      </rPr>
      <t>3</t>
    </r>
    <r>
      <rPr>
        <sz val="10.5"/>
        <color indexed="10"/>
        <rFont val="宋体"/>
        <charset val="134"/>
      </rPr>
      <t>（注意单位）</t>
    </r>
    <phoneticPr fontId="42" type="noConversion"/>
  </si>
  <si>
    <r>
      <t>Gross Ultimate Condensate Recovery, 10</t>
    </r>
    <r>
      <rPr>
        <vertAlign val="superscript"/>
        <sz val="11"/>
        <rFont val="NewCenturySchlbk"/>
        <family val="1"/>
      </rPr>
      <t>4</t>
    </r>
    <r>
      <rPr>
        <sz val="11"/>
        <rFont val="NewCenturySchlbk"/>
        <family val="1"/>
      </rPr>
      <t>t</t>
    </r>
  </si>
  <si>
    <r>
      <t>Cumulative Condensate Production, 10</t>
    </r>
    <r>
      <rPr>
        <vertAlign val="superscript"/>
        <sz val="11"/>
        <rFont val="NewCenturySchlbk"/>
        <family val="1"/>
      </rPr>
      <t>4</t>
    </r>
    <r>
      <rPr>
        <sz val="11"/>
        <rFont val="NewCenturySchlbk"/>
        <family val="1"/>
      </rPr>
      <t>t</t>
    </r>
  </si>
  <si>
    <r>
      <t>Gross Condensate Reserves, 10</t>
    </r>
    <r>
      <rPr>
        <vertAlign val="superscript"/>
        <sz val="11"/>
        <rFont val="NewCenturySchlbk"/>
        <family val="1"/>
      </rPr>
      <t>4</t>
    </r>
    <r>
      <rPr>
        <sz val="11"/>
        <rFont val="NewCenturySchlbk"/>
        <family val="1"/>
      </rPr>
      <t>t</t>
    </r>
  </si>
  <si>
    <r>
      <t>凝析油储量，</t>
    </r>
    <r>
      <rPr>
        <sz val="10.5"/>
        <rFont val="Times New Roman"/>
        <family val="1"/>
      </rPr>
      <t>10</t>
    </r>
    <r>
      <rPr>
        <vertAlign val="superscript"/>
        <sz val="10.5"/>
        <rFont val="Times New Roman"/>
        <family val="1"/>
      </rPr>
      <t>4</t>
    </r>
    <r>
      <rPr>
        <sz val="10.5"/>
        <rFont val="Times New Roman"/>
        <family val="1"/>
      </rPr>
      <t>t</t>
    </r>
    <phoneticPr fontId="42" type="noConversion"/>
  </si>
  <si>
    <r>
      <t>可采储量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42" type="noConversion"/>
  </si>
  <si>
    <r>
      <t>Condensate Yield, g/m</t>
    </r>
    <r>
      <rPr>
        <vertAlign val="superscript"/>
        <sz val="11"/>
        <rFont val="NewCenturySchlbk"/>
        <family val="1"/>
      </rPr>
      <t>3</t>
    </r>
    <phoneticPr fontId="30" type="noConversion"/>
  </si>
  <si>
    <r>
      <t>凝析油可采储量，</t>
    </r>
    <r>
      <rPr>
        <sz val="10.5"/>
        <rFont val="Times New Roman"/>
        <family val="1"/>
      </rPr>
      <t>10</t>
    </r>
    <r>
      <rPr>
        <vertAlign val="superscript"/>
        <sz val="10.5"/>
        <rFont val="Times New Roman"/>
        <family val="1"/>
      </rPr>
      <t>4</t>
    </r>
    <r>
      <rPr>
        <sz val="10.5"/>
        <rFont val="Times New Roman"/>
        <family val="1"/>
      </rPr>
      <t>t</t>
    </r>
    <phoneticPr fontId="42" type="noConversion"/>
  </si>
  <si>
    <r>
      <t>Total</t>
    </r>
    <r>
      <rPr>
        <sz val="12"/>
        <rFont val="宋体"/>
        <charset val="134"/>
      </rPr>
      <t xml:space="preserve"> Proved</t>
    </r>
    <phoneticPr fontId="42" type="noConversion"/>
  </si>
  <si>
    <t>证实储量合计</t>
    <phoneticPr fontId="42" type="noConversion"/>
  </si>
  <si>
    <r>
      <t>天然气地质储量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42" type="noConversion"/>
  </si>
  <si>
    <r>
      <t>Gross Ultimate Recovery</t>
    </r>
    <r>
      <rPr>
        <sz val="12"/>
        <rFont val="宋体"/>
        <charset val="134"/>
      </rPr>
      <t xml:space="preserve"> of Gas</t>
    </r>
    <r>
      <rPr>
        <sz val="11"/>
        <rFont val="NewCenturySchlbk"/>
        <family val="1"/>
      </rPr>
      <t>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  <phoneticPr fontId="42" type="noConversion"/>
  </si>
  <si>
    <r>
      <t>天然气最终总可采量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42" type="noConversion"/>
  </si>
  <si>
    <r>
      <t>Gross Reserves</t>
    </r>
    <r>
      <rPr>
        <sz val="12"/>
        <rFont val="宋体"/>
        <charset val="134"/>
      </rPr>
      <t xml:space="preserve"> of Gas</t>
    </r>
    <r>
      <rPr>
        <sz val="11"/>
        <rFont val="NewCenturySchlbk"/>
        <family val="1"/>
      </rPr>
      <t>, 10</t>
    </r>
    <r>
      <rPr>
        <vertAlign val="superscript"/>
        <sz val="11"/>
        <rFont val="NewCenturySchlbk"/>
        <family val="1"/>
      </rPr>
      <t>8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3</t>
    </r>
    <phoneticPr fontId="42" type="noConversion"/>
  </si>
  <si>
    <r>
      <t>天然气剩余可采储量</t>
    </r>
    <r>
      <rPr>
        <sz val="10.5"/>
        <rFont val="Times New Roman"/>
        <family val="1"/>
      </rPr>
      <t>, 10</t>
    </r>
    <r>
      <rPr>
        <vertAlign val="superscript"/>
        <sz val="10.5"/>
        <rFont val="Times New Roman"/>
        <family val="1"/>
      </rPr>
      <t>8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phoneticPr fontId="42" type="noConversion"/>
  </si>
  <si>
    <t>天然气组分含量</t>
    <phoneticPr fontId="42" type="noConversion"/>
  </si>
  <si>
    <r>
      <t>氮气，</t>
    </r>
    <r>
      <rPr>
        <sz val="12"/>
        <rFont val="宋体"/>
        <charset val="134"/>
      </rPr>
      <t>%</t>
    </r>
    <phoneticPr fontId="42" type="noConversion"/>
  </si>
  <si>
    <r>
      <t>二氧化碳，</t>
    </r>
    <r>
      <rPr>
        <sz val="12"/>
        <rFont val="宋体"/>
        <charset val="134"/>
      </rPr>
      <t xml:space="preserve">% </t>
    </r>
    <phoneticPr fontId="42" type="noConversion"/>
  </si>
  <si>
    <r>
      <t>硫化氢，</t>
    </r>
    <r>
      <rPr>
        <sz val="12"/>
        <rFont val="宋体"/>
        <charset val="134"/>
      </rPr>
      <t xml:space="preserve"> % </t>
    </r>
    <phoneticPr fontId="42" type="noConversion"/>
  </si>
  <si>
    <t>采矿权截止日期，月-年</t>
    <phoneticPr fontId="42" type="noConversion"/>
  </si>
  <si>
    <t>07-2054</t>
    <phoneticPr fontId="30" type="noConversion"/>
  </si>
  <si>
    <r>
      <t xml:space="preserve">Number of Wells </t>
    </r>
    <r>
      <rPr>
        <sz val="12"/>
        <rFont val="宋体"/>
        <charset val="134"/>
      </rPr>
      <t xml:space="preserve">to be </t>
    </r>
    <r>
      <rPr>
        <sz val="11"/>
        <rFont val="NewCenturySchlbk"/>
        <family val="1"/>
      </rPr>
      <t>Drilled</t>
    </r>
    <r>
      <rPr>
        <sz val="12"/>
        <rFont val="宋体"/>
        <charset val="134"/>
      </rPr>
      <t xml:space="preserve"> After as of Date</t>
    </r>
    <phoneticPr fontId="42" type="noConversion"/>
  </si>
  <si>
    <t>基准日之后计划待钻井数</t>
    <phoneticPr fontId="42" type="noConversion"/>
  </si>
  <si>
    <t>计划投产时间，月-年</t>
    <phoneticPr fontId="42" type="noConversion"/>
  </si>
  <si>
    <r>
      <t>Average Test Rate, m</t>
    </r>
    <r>
      <rPr>
        <vertAlign val="superscript"/>
        <sz val="11"/>
        <rFont val="NewCenturySchlbk"/>
        <family val="1"/>
      </rPr>
      <t>3</t>
    </r>
    <r>
      <rPr>
        <sz val="11"/>
        <rFont val="NewCenturySchlbk"/>
        <family val="1"/>
      </rPr>
      <t>/day</t>
    </r>
  </si>
  <si>
    <r>
      <t xml:space="preserve">初期单井产量, 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3</t>
    </r>
    <r>
      <rPr>
        <sz val="10.5"/>
        <rFont val="Times New Roman"/>
        <family val="1"/>
      </rPr>
      <t>/d</t>
    </r>
    <phoneticPr fontId="42" type="noConversion"/>
  </si>
  <si>
    <r>
      <t xml:space="preserve">Well Spacing, </t>
    </r>
    <r>
      <rPr>
        <sz val="12"/>
        <rFont val="宋体"/>
        <charset val="134"/>
      </rPr>
      <t>k</t>
    </r>
    <r>
      <rPr>
        <sz val="11"/>
        <rFont val="NewCenturySchlbk"/>
        <family val="1"/>
      </rPr>
      <t>m</t>
    </r>
    <r>
      <rPr>
        <vertAlign val="superscript"/>
        <sz val="11"/>
        <rFont val="NewCenturySchlbk"/>
        <family val="1"/>
      </rPr>
      <t>2</t>
    </r>
    <phoneticPr fontId="42" type="noConversion"/>
  </si>
  <si>
    <r>
      <t xml:space="preserve">单井泄气面积, </t>
    </r>
    <r>
      <rPr>
        <sz val="10.5"/>
        <rFont val="Times New Roman"/>
        <family val="1"/>
      </rPr>
      <t>km</t>
    </r>
    <r>
      <rPr>
        <vertAlign val="superscript"/>
        <sz val="10.5"/>
        <rFont val="Times New Roman"/>
        <family val="1"/>
      </rPr>
      <t>2</t>
    </r>
    <phoneticPr fontId="30" type="noConversion"/>
  </si>
  <si>
    <r>
      <t>Average Decline Rate</t>
    </r>
    <r>
      <rPr>
        <sz val="12"/>
        <rFont val="宋体"/>
        <charset val="134"/>
      </rPr>
      <t>, %</t>
    </r>
    <phoneticPr fontId="42" type="noConversion"/>
  </si>
  <si>
    <r>
      <t>平均递减率</t>
    </r>
    <r>
      <rPr>
        <sz val="10.5"/>
        <rFont val="Times New Roman"/>
        <family val="1"/>
      </rPr>
      <t>,  %</t>
    </r>
  </si>
  <si>
    <t>苏里格气田中区</t>
    <phoneticPr fontId="30" type="noConversion"/>
  </si>
  <si>
    <t>苏里格气田西一区</t>
    <phoneticPr fontId="30" type="noConversion"/>
  </si>
  <si>
    <r>
      <t>P2x8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P1s1</t>
    </r>
    <phoneticPr fontId="30" type="noConversion"/>
  </si>
  <si>
    <r>
      <t>含气面积(km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  <phoneticPr fontId="30" type="noConversion"/>
  </si>
  <si>
    <t>57.3-60.6</t>
    <phoneticPr fontId="30" type="noConversion"/>
  </si>
  <si>
    <r>
      <t>天然气地质储量(10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</si>
  <si>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硫化氢含量(g/m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</si>
  <si>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原始凝析油含量(g/m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</si>
  <si>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井网密度(口/km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  <phoneticPr fontId="30" type="noConversion"/>
  </si>
  <si>
    <r>
      <t>单井气量(10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</si>
  <si>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水气比(m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/10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</si>
  <si>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不含税气价(CNY／10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</si>
  <si>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单位操作成本(CNY／10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</si>
  <si>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r>
      <t>总可采量(10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  <phoneticPr fontId="30" type="noConversion"/>
  </si>
  <si>
    <t>层位</t>
    <phoneticPr fontId="30" type="noConversion"/>
  </si>
  <si>
    <t>井号  Well</t>
    <phoneticPr fontId="30" type="noConversion"/>
  </si>
  <si>
    <t>定探2</t>
    <phoneticPr fontId="30" type="noConversion"/>
  </si>
  <si>
    <t>尔1</t>
    <phoneticPr fontId="30" type="noConversion"/>
  </si>
  <si>
    <t>盟6</t>
    <phoneticPr fontId="30" type="noConversion"/>
  </si>
  <si>
    <t>苏18</t>
    <phoneticPr fontId="30" type="noConversion"/>
  </si>
  <si>
    <t xml:space="preserve">苏42  </t>
    <phoneticPr fontId="30" type="noConversion"/>
  </si>
  <si>
    <t>苏44</t>
    <phoneticPr fontId="30" type="noConversion"/>
  </si>
  <si>
    <t>苏45</t>
    <phoneticPr fontId="30" type="noConversion"/>
  </si>
  <si>
    <t>苏47</t>
    <phoneticPr fontId="30" type="noConversion"/>
  </si>
  <si>
    <t>苏60</t>
    <phoneticPr fontId="30" type="noConversion"/>
  </si>
  <si>
    <t>苏88</t>
    <phoneticPr fontId="30" type="noConversion"/>
  </si>
  <si>
    <t>苏123</t>
    <phoneticPr fontId="30" type="noConversion"/>
  </si>
  <si>
    <t>苏132</t>
    <phoneticPr fontId="30" type="noConversion"/>
  </si>
  <si>
    <t>苏135</t>
    <phoneticPr fontId="30" type="noConversion"/>
  </si>
  <si>
    <t>苏137</t>
    <phoneticPr fontId="30" type="noConversion"/>
  </si>
  <si>
    <t>苏139</t>
    <phoneticPr fontId="30" type="noConversion"/>
  </si>
  <si>
    <t>苏140</t>
    <phoneticPr fontId="30" type="noConversion"/>
  </si>
  <si>
    <t>苏143</t>
    <phoneticPr fontId="30" type="noConversion"/>
  </si>
  <si>
    <t>苏147</t>
    <phoneticPr fontId="30" type="noConversion"/>
  </si>
  <si>
    <t>苏148</t>
    <phoneticPr fontId="30" type="noConversion"/>
  </si>
  <si>
    <t>苏156</t>
    <phoneticPr fontId="30" type="noConversion"/>
  </si>
  <si>
    <t>苏158</t>
    <phoneticPr fontId="30" type="noConversion"/>
  </si>
  <si>
    <t>苏159</t>
    <phoneticPr fontId="30" type="noConversion"/>
  </si>
  <si>
    <t>苏161</t>
    <phoneticPr fontId="30" type="noConversion"/>
  </si>
  <si>
    <t>苏162</t>
    <phoneticPr fontId="30" type="noConversion"/>
  </si>
  <si>
    <t>苏170</t>
    <phoneticPr fontId="30" type="noConversion"/>
  </si>
  <si>
    <t>苏172</t>
    <phoneticPr fontId="30" type="noConversion"/>
  </si>
  <si>
    <t>苏173</t>
    <phoneticPr fontId="30" type="noConversion"/>
  </si>
  <si>
    <t>苏174</t>
    <phoneticPr fontId="30" type="noConversion"/>
  </si>
  <si>
    <t>苏180</t>
    <phoneticPr fontId="30" type="noConversion"/>
  </si>
  <si>
    <t>苏183</t>
    <phoneticPr fontId="30" type="noConversion"/>
  </si>
  <si>
    <t>苏185</t>
    <phoneticPr fontId="30" type="noConversion"/>
  </si>
  <si>
    <t>苏189</t>
    <phoneticPr fontId="30" type="noConversion"/>
  </si>
  <si>
    <t>苏194</t>
    <phoneticPr fontId="30" type="noConversion"/>
  </si>
  <si>
    <t>苏195</t>
    <phoneticPr fontId="30" type="noConversion"/>
  </si>
  <si>
    <t>苏297</t>
    <phoneticPr fontId="30" type="noConversion"/>
  </si>
  <si>
    <r>
      <t>苏298</t>
    </r>
    <r>
      <rPr>
        <sz val="11"/>
        <rFont val="宋体"/>
        <charset val="134"/>
      </rPr>
      <t/>
    </r>
  </si>
  <si>
    <r>
      <t>苏299</t>
    </r>
    <r>
      <rPr>
        <sz val="11"/>
        <rFont val="宋体"/>
        <charset val="134"/>
      </rPr>
      <t/>
    </r>
  </si>
  <si>
    <t>苏300</t>
    <phoneticPr fontId="30" type="noConversion"/>
  </si>
  <si>
    <t>苏301</t>
    <phoneticPr fontId="30" type="noConversion"/>
  </si>
  <si>
    <r>
      <t>苏302</t>
    </r>
    <r>
      <rPr>
        <sz val="11"/>
        <rFont val="宋体"/>
        <charset val="134"/>
      </rPr>
      <t/>
    </r>
  </si>
  <si>
    <t>苏303</t>
    <phoneticPr fontId="30" type="noConversion"/>
  </si>
  <si>
    <t>苏309</t>
    <phoneticPr fontId="30" type="noConversion"/>
  </si>
  <si>
    <t>苏324</t>
    <phoneticPr fontId="30" type="noConversion"/>
  </si>
  <si>
    <r>
      <t>苏325</t>
    </r>
    <r>
      <rPr>
        <sz val="11"/>
        <rFont val="宋体"/>
        <charset val="134"/>
      </rPr>
      <t/>
    </r>
  </si>
  <si>
    <t>苏327</t>
    <phoneticPr fontId="30" type="noConversion"/>
  </si>
  <si>
    <r>
      <t>苏328</t>
    </r>
    <r>
      <rPr>
        <sz val="11"/>
        <rFont val="宋体"/>
        <charset val="134"/>
      </rPr>
      <t/>
    </r>
  </si>
  <si>
    <t>苏南3</t>
    <phoneticPr fontId="30" type="noConversion"/>
  </si>
  <si>
    <t>桃11</t>
    <phoneticPr fontId="30" type="noConversion"/>
  </si>
  <si>
    <t>桃12</t>
    <phoneticPr fontId="30" type="noConversion"/>
  </si>
  <si>
    <t xml:space="preserve">补心海拔(m) 
Kelly Elevation           </t>
    <phoneticPr fontId="30" type="noConversion"/>
  </si>
  <si>
    <t xml:space="preserve">井位
坐标
Well Location </t>
    <phoneticPr fontId="30" type="noConversion"/>
  </si>
  <si>
    <t>X</t>
    <phoneticPr fontId="30" type="noConversion"/>
  </si>
  <si>
    <t>4266705.66</t>
    <phoneticPr fontId="30" type="noConversion"/>
  </si>
  <si>
    <t>Y</t>
    <phoneticPr fontId="30" type="noConversion"/>
  </si>
  <si>
    <t>气层组Reservoir Group</t>
    <phoneticPr fontId="30" type="noConversion"/>
  </si>
  <si>
    <t xml:space="preserve">砂层组 
Sand Layer Group </t>
    <phoneticPr fontId="30" type="noConversion"/>
  </si>
  <si>
    <t xml:space="preserve">井深    </t>
    <phoneticPr fontId="30" type="noConversion"/>
  </si>
  <si>
    <t xml:space="preserve">垂深          </t>
    <phoneticPr fontId="30" type="noConversion"/>
  </si>
  <si>
    <t>海拔</t>
    <phoneticPr fontId="30" type="noConversion"/>
  </si>
  <si>
    <t xml:space="preserve">井深     </t>
    <phoneticPr fontId="30" type="noConversion"/>
  </si>
  <si>
    <t>m</t>
    <phoneticPr fontId="30" type="noConversion"/>
  </si>
  <si>
    <t>上石盒子组</t>
    <phoneticPr fontId="30" type="noConversion"/>
  </si>
  <si>
    <t>盒4</t>
    <phoneticPr fontId="30" type="noConversion"/>
  </si>
  <si>
    <t>下石盒子组</t>
    <phoneticPr fontId="30" type="noConversion"/>
  </si>
  <si>
    <t>盒6</t>
    <phoneticPr fontId="30" type="noConversion"/>
  </si>
  <si>
    <t>山西组</t>
    <phoneticPr fontId="30" type="noConversion"/>
  </si>
  <si>
    <t>山1</t>
    <phoneticPr fontId="30" type="noConversion"/>
  </si>
  <si>
    <t>太原组</t>
    <phoneticPr fontId="30" type="noConversion"/>
  </si>
  <si>
    <t>太原</t>
    <phoneticPr fontId="30" type="noConversion"/>
  </si>
  <si>
    <t>3785.0 
(未穿）</t>
    <phoneticPr fontId="30" type="noConversion"/>
  </si>
  <si>
    <t>3805.0 （未穿）</t>
    <phoneticPr fontId="30" type="noConversion"/>
  </si>
  <si>
    <t>本溪组</t>
    <phoneticPr fontId="30" type="noConversion"/>
  </si>
  <si>
    <t>本溪</t>
    <phoneticPr fontId="30" type="noConversion"/>
  </si>
  <si>
    <t>3750.00    （未穿）</t>
    <phoneticPr fontId="30" type="noConversion"/>
  </si>
  <si>
    <t>3806.00  （末穿)</t>
    <phoneticPr fontId="30" type="noConversion"/>
  </si>
  <si>
    <t>3820.0
 (末穿)</t>
    <phoneticPr fontId="30" type="noConversion"/>
  </si>
  <si>
    <t>3820.0 
(末穿)</t>
    <phoneticPr fontId="30" type="noConversion"/>
  </si>
  <si>
    <t>3718.00  (末穿)</t>
    <phoneticPr fontId="30" type="noConversion"/>
  </si>
  <si>
    <t>3770.00  (未穿)</t>
    <phoneticPr fontId="30" type="noConversion"/>
  </si>
  <si>
    <t>3760.00  (末穿)</t>
    <phoneticPr fontId="30" type="noConversion"/>
  </si>
  <si>
    <t>3725.00  （末穿)</t>
    <phoneticPr fontId="30" type="noConversion"/>
  </si>
  <si>
    <t>3790.00  (末穿)</t>
    <phoneticPr fontId="30" type="noConversion"/>
  </si>
  <si>
    <t>3790.00 (末穿)</t>
    <phoneticPr fontId="30" type="noConversion"/>
  </si>
  <si>
    <t>3772.00  (末穿)</t>
    <phoneticPr fontId="30" type="noConversion"/>
  </si>
  <si>
    <t>3781.0
（未穿）</t>
    <phoneticPr fontId="30" type="noConversion"/>
  </si>
  <si>
    <t>3830.00 （未穿）</t>
    <phoneticPr fontId="30" type="noConversion"/>
  </si>
  <si>
    <t>3808.00  (末穿)</t>
    <phoneticPr fontId="30" type="noConversion"/>
  </si>
  <si>
    <t>3808.00 (末穿)</t>
    <phoneticPr fontId="30" type="noConversion"/>
  </si>
  <si>
    <t>3840.0 
(未穿）</t>
    <phoneticPr fontId="30" type="noConversion"/>
  </si>
  <si>
    <t>3790.0
（未穿）</t>
    <phoneticPr fontId="30" type="noConversion"/>
  </si>
  <si>
    <t>3816.0
(末穿)</t>
    <phoneticPr fontId="30" type="noConversion"/>
  </si>
  <si>
    <t>3755.00 （未穿）</t>
    <phoneticPr fontId="30" type="noConversion"/>
  </si>
  <si>
    <t>完钻井深(m)</t>
    <phoneticPr fontId="30" type="noConversion"/>
  </si>
  <si>
    <t>制表人：李连霞    审核人：王宏娥  周虎      日期：2013.10</t>
    <phoneticPr fontId="30" type="noConversion"/>
  </si>
  <si>
    <t>射孔井段 
Perforated
interval</t>
    <phoneticPr fontId="30" type="noConversion"/>
  </si>
  <si>
    <r>
      <t>日产量  Daily （m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）</t>
    </r>
  </si>
  <si>
    <r>
      <t>累积产量
Cumulative production（m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）</t>
    </r>
  </si>
  <si>
    <r>
      <t>m</t>
    </r>
    <r>
      <rPr>
        <vertAlign val="superscript"/>
        <sz val="11"/>
        <rFont val="宋体"/>
        <charset val="134"/>
      </rPr>
      <t>3</t>
    </r>
  </si>
  <si>
    <t>尔1</t>
    <phoneticPr fontId="30" type="noConversion"/>
  </si>
  <si>
    <t>盒8</t>
    <phoneticPr fontId="30" type="noConversion"/>
  </si>
  <si>
    <t>3645.00-3648.50</t>
    <phoneticPr fontId="30" type="noConversion"/>
  </si>
  <si>
    <t>3.5/1</t>
    <phoneticPr fontId="30" type="noConversion"/>
  </si>
  <si>
    <t>压裂</t>
    <phoneticPr fontId="30" type="noConversion"/>
  </si>
  <si>
    <t>2006.05.14-2006.05.17</t>
    <phoneticPr fontId="30" type="noConversion"/>
  </si>
  <si>
    <t>一点法</t>
    <phoneticPr fontId="30" type="noConversion"/>
  </si>
  <si>
    <t>工业气流井</t>
    <phoneticPr fontId="30" type="noConversion"/>
  </si>
  <si>
    <t>盟6</t>
    <phoneticPr fontId="30" type="noConversion"/>
  </si>
  <si>
    <t>3549.00-3554.00</t>
    <phoneticPr fontId="30" type="noConversion"/>
  </si>
  <si>
    <t>5.0/1</t>
    <phoneticPr fontId="30" type="noConversion"/>
  </si>
  <si>
    <t>2001.08.31-2001.09.03</t>
    <phoneticPr fontId="30" type="noConversion"/>
  </si>
  <si>
    <t>苏18</t>
    <phoneticPr fontId="30" type="noConversion"/>
  </si>
  <si>
    <t>山1</t>
    <phoneticPr fontId="30" type="noConversion"/>
  </si>
  <si>
    <t>3633.00-3636.00</t>
    <phoneticPr fontId="30" type="noConversion"/>
  </si>
  <si>
    <t>3.0/1</t>
    <phoneticPr fontId="30" type="noConversion"/>
  </si>
  <si>
    <t>2008.10.19-2008.10.21</t>
    <phoneticPr fontId="30" type="noConversion"/>
  </si>
  <si>
    <t>3557.00-3559.00
3562.00-3568.00</t>
    <phoneticPr fontId="30" type="noConversion"/>
  </si>
  <si>
    <t>8.0/2</t>
    <phoneticPr fontId="30" type="noConversion"/>
  </si>
  <si>
    <t>2001.06.27-2001.06.30</t>
    <phoneticPr fontId="30" type="noConversion"/>
  </si>
  <si>
    <r>
      <t>CaCl</t>
    </r>
    <r>
      <rPr>
        <vertAlign val="subscript"/>
        <sz val="11"/>
        <rFont val="宋体"/>
        <charset val="134"/>
      </rPr>
      <t>2</t>
    </r>
    <phoneticPr fontId="30" type="noConversion"/>
  </si>
  <si>
    <t>苏42</t>
    <phoneticPr fontId="30" type="noConversion"/>
  </si>
  <si>
    <t>3599.00-3603.00</t>
    <phoneticPr fontId="30" type="noConversion"/>
  </si>
  <si>
    <t>4.0/1</t>
    <phoneticPr fontId="30" type="noConversion"/>
  </si>
  <si>
    <t>2006.08.02-2006.08.05</t>
    <phoneticPr fontId="30" type="noConversion"/>
  </si>
  <si>
    <t>苏44</t>
    <phoneticPr fontId="30" type="noConversion"/>
  </si>
  <si>
    <t>盒8、山1</t>
    <phoneticPr fontId="30" type="noConversion"/>
  </si>
  <si>
    <t>3564.00-3567.00
3622.00-3626.00</t>
    <phoneticPr fontId="30" type="noConversion"/>
  </si>
  <si>
    <t>7.0/2</t>
    <phoneticPr fontId="30" type="noConversion"/>
  </si>
  <si>
    <t>2007.04.13-2007.04.16</t>
    <phoneticPr fontId="30" type="noConversion"/>
  </si>
  <si>
    <t>苏45</t>
    <phoneticPr fontId="30" type="noConversion"/>
  </si>
  <si>
    <t>3611.00-3614.00</t>
    <phoneticPr fontId="30" type="noConversion"/>
  </si>
  <si>
    <t>2007.07.22-2007.07.22</t>
    <phoneticPr fontId="30" type="noConversion"/>
  </si>
  <si>
    <t>3643.00-3646.00</t>
    <phoneticPr fontId="30" type="noConversion"/>
  </si>
  <si>
    <t>2007.06.16-2007.06.20</t>
    <phoneticPr fontId="30" type="noConversion"/>
  </si>
  <si>
    <t>3586.00-3590.00</t>
    <phoneticPr fontId="30" type="noConversion"/>
  </si>
  <si>
    <t>2007.07.07-2007.07.10</t>
    <phoneticPr fontId="30" type="noConversion"/>
  </si>
  <si>
    <t>苏48</t>
    <phoneticPr fontId="30" type="noConversion"/>
  </si>
  <si>
    <t>3684.00-3686.00
3693.50-3695.50</t>
    <phoneticPr fontId="30" type="noConversion"/>
  </si>
  <si>
    <t>4.0/2</t>
    <phoneticPr fontId="30" type="noConversion"/>
  </si>
  <si>
    <t>2007.08.17-2007.08.20</t>
    <phoneticPr fontId="30" type="noConversion"/>
  </si>
  <si>
    <t>3627.00-3632.00</t>
    <phoneticPr fontId="30" type="noConversion"/>
  </si>
  <si>
    <t>2007.09.02-2007.09.05</t>
    <phoneticPr fontId="30" type="noConversion"/>
  </si>
  <si>
    <t>苏59</t>
    <phoneticPr fontId="30" type="noConversion"/>
  </si>
  <si>
    <t>3576.00-3582.00</t>
    <phoneticPr fontId="30" type="noConversion"/>
  </si>
  <si>
    <t>6.0/1</t>
    <phoneticPr fontId="30" type="noConversion"/>
  </si>
  <si>
    <t>2007.08.23-2007.08.26</t>
    <phoneticPr fontId="30" type="noConversion"/>
  </si>
  <si>
    <t>3512.00-3516.00</t>
    <phoneticPr fontId="30" type="noConversion"/>
  </si>
  <si>
    <t>2007.09.23-2007.09.26</t>
    <phoneticPr fontId="30" type="noConversion"/>
  </si>
  <si>
    <t>苏88</t>
    <phoneticPr fontId="30" type="noConversion"/>
  </si>
  <si>
    <t>3616.00-3620.00</t>
    <phoneticPr fontId="30" type="noConversion"/>
  </si>
  <si>
    <t>2008.04.28-2008.04.30</t>
    <phoneticPr fontId="30" type="noConversion"/>
  </si>
  <si>
    <t>苏89</t>
    <phoneticPr fontId="30" type="noConversion"/>
  </si>
  <si>
    <t>3637.00-3640.00</t>
    <phoneticPr fontId="30" type="noConversion"/>
  </si>
  <si>
    <t>2008.06.23-2008.06.26</t>
    <phoneticPr fontId="30" type="noConversion"/>
  </si>
  <si>
    <r>
      <t>3573.5</t>
    </r>
    <r>
      <rPr>
        <sz val="11"/>
        <rFont val="宋体"/>
        <charset val="134"/>
      </rPr>
      <t>0-3576.50</t>
    </r>
    <phoneticPr fontId="30" type="noConversion"/>
  </si>
  <si>
    <t>2008.07.14-2008.07.15</t>
    <phoneticPr fontId="30" type="noConversion"/>
  </si>
  <si>
    <t>苏90</t>
    <phoneticPr fontId="30" type="noConversion"/>
  </si>
  <si>
    <t>3640.00-3643.00</t>
    <phoneticPr fontId="30" type="noConversion"/>
  </si>
  <si>
    <t>2008.08.27-2008.08.29</t>
    <phoneticPr fontId="30" type="noConversion"/>
  </si>
  <si>
    <t>3680.00-3682.00</t>
    <phoneticPr fontId="30" type="noConversion"/>
  </si>
  <si>
    <t>2008.08.03-2008.08.04</t>
    <phoneticPr fontId="30" type="noConversion"/>
  </si>
  <si>
    <t>苏123</t>
    <phoneticPr fontId="30" type="noConversion"/>
  </si>
  <si>
    <t>3643.00-3645.00</t>
    <phoneticPr fontId="30" type="noConversion"/>
  </si>
  <si>
    <t>2008.09.24-2008.09.26</t>
    <phoneticPr fontId="30" type="noConversion"/>
  </si>
  <si>
    <t>苏132</t>
    <phoneticPr fontId="30" type="noConversion"/>
  </si>
  <si>
    <t>3595.00-3598.00</t>
    <phoneticPr fontId="30" type="noConversion"/>
  </si>
  <si>
    <t>2008.06.29-2008.07.01</t>
    <phoneticPr fontId="30" type="noConversion"/>
  </si>
  <si>
    <t>3542.00-3545.00</t>
    <phoneticPr fontId="30" type="noConversion"/>
  </si>
  <si>
    <t>2008.07.14-2008.07.16</t>
    <phoneticPr fontId="30" type="noConversion"/>
  </si>
  <si>
    <t>苏135</t>
    <phoneticPr fontId="30" type="noConversion"/>
  </si>
  <si>
    <t>3653.00-3656.00</t>
    <phoneticPr fontId="30" type="noConversion"/>
  </si>
  <si>
    <t>2008.07.02-2008.07.04</t>
    <phoneticPr fontId="30" type="noConversion"/>
  </si>
  <si>
    <t>苏137</t>
    <phoneticPr fontId="30" type="noConversion"/>
  </si>
  <si>
    <t>3660.00-3663.00</t>
    <phoneticPr fontId="30" type="noConversion"/>
  </si>
  <si>
    <t>2008.07.09-2008.07.10</t>
    <phoneticPr fontId="30" type="noConversion"/>
  </si>
  <si>
    <t>3614.00-3616.50</t>
    <phoneticPr fontId="30" type="noConversion"/>
  </si>
  <si>
    <t>2.5/1</t>
    <phoneticPr fontId="30" type="noConversion"/>
  </si>
  <si>
    <t>2008.07.21-2008.07.23</t>
    <phoneticPr fontId="30" type="noConversion"/>
  </si>
  <si>
    <t>苏139</t>
    <phoneticPr fontId="30" type="noConversion"/>
  </si>
  <si>
    <t>3696.00-3698.00
3673.00-3676.00</t>
    <phoneticPr fontId="30" type="noConversion"/>
  </si>
  <si>
    <t>5.0/2</t>
    <phoneticPr fontId="30" type="noConversion"/>
  </si>
  <si>
    <t>2008.07.01-2008.07.03</t>
    <phoneticPr fontId="30" type="noConversion"/>
  </si>
  <si>
    <t>3636.00-3638.00</t>
    <phoneticPr fontId="30" type="noConversion"/>
  </si>
  <si>
    <t>2.0/1</t>
    <phoneticPr fontId="30" type="noConversion"/>
  </si>
  <si>
    <t>2008.07.25-2008.07.26</t>
    <phoneticPr fontId="30" type="noConversion"/>
  </si>
  <si>
    <t>苏140</t>
    <phoneticPr fontId="30" type="noConversion"/>
  </si>
  <si>
    <t>3654.00-3657.00</t>
    <phoneticPr fontId="30" type="noConversion"/>
  </si>
  <si>
    <t>2008.06.11-2008.06.14</t>
    <phoneticPr fontId="30" type="noConversion"/>
  </si>
  <si>
    <t>3612.00-3614.00</t>
    <phoneticPr fontId="30" type="noConversion"/>
  </si>
  <si>
    <t>2008.06.28-2008.06.30</t>
    <phoneticPr fontId="30" type="noConversion"/>
  </si>
  <si>
    <t>苏142</t>
    <phoneticPr fontId="30" type="noConversion"/>
  </si>
  <si>
    <t>3716.00-3719.00</t>
    <phoneticPr fontId="30" type="noConversion"/>
  </si>
  <si>
    <t>2008.08.13-2008.08.15</t>
    <phoneticPr fontId="30" type="noConversion"/>
  </si>
  <si>
    <t>3652.00-3655.00</t>
    <phoneticPr fontId="30" type="noConversion"/>
  </si>
  <si>
    <t>2008.09.10-2008.09.12</t>
    <phoneticPr fontId="30" type="noConversion"/>
  </si>
  <si>
    <t>苏143</t>
    <phoneticPr fontId="30" type="noConversion"/>
  </si>
  <si>
    <t>3717.00-3720.00</t>
    <phoneticPr fontId="30" type="noConversion"/>
  </si>
  <si>
    <t>2008.08.15-2008.08.18</t>
    <phoneticPr fontId="30" type="noConversion"/>
  </si>
  <si>
    <t>3628.00-3630.00</t>
    <phoneticPr fontId="30" type="noConversion"/>
  </si>
  <si>
    <t>2008.09.12-2008.09.16</t>
    <phoneticPr fontId="30" type="noConversion"/>
  </si>
  <si>
    <t>苏147</t>
    <phoneticPr fontId="30" type="noConversion"/>
  </si>
  <si>
    <t>3538.00-3541.00</t>
    <phoneticPr fontId="30" type="noConversion"/>
  </si>
  <si>
    <t>2008.10.05-2008.10.09</t>
    <phoneticPr fontId="30" type="noConversion"/>
  </si>
  <si>
    <t>苏148</t>
    <phoneticPr fontId="30" type="noConversion"/>
  </si>
  <si>
    <t>3590.00-3593.00</t>
    <phoneticPr fontId="30" type="noConversion"/>
  </si>
  <si>
    <t>2008.10.11-2008.10.25</t>
    <phoneticPr fontId="30" type="noConversion"/>
  </si>
  <si>
    <r>
      <t xml:space="preserve">3710.00-3713.00
</t>
    </r>
    <r>
      <rPr>
        <sz val="11"/>
        <rFont val="宋体"/>
        <charset val="134"/>
      </rPr>
      <t>3693.00-3696.00</t>
    </r>
    <phoneticPr fontId="30" type="noConversion"/>
  </si>
  <si>
    <r>
      <t>6.0/</t>
    </r>
    <r>
      <rPr>
        <sz val="11"/>
        <rFont val="宋体"/>
        <charset val="134"/>
      </rPr>
      <t>2</t>
    </r>
    <phoneticPr fontId="30" type="noConversion"/>
  </si>
  <si>
    <t>2008.09.28-2008.09.30</t>
    <phoneticPr fontId="30" type="noConversion"/>
  </si>
  <si>
    <t>苏156</t>
    <phoneticPr fontId="30" type="noConversion"/>
  </si>
  <si>
    <t>3624.00-3626.50</t>
    <phoneticPr fontId="30" type="noConversion"/>
  </si>
  <si>
    <t>2008.09.16-2008.09.18</t>
    <phoneticPr fontId="30" type="noConversion"/>
  </si>
  <si>
    <t>苏157</t>
    <phoneticPr fontId="30" type="noConversion"/>
  </si>
  <si>
    <t>3610.00-3613.00</t>
    <phoneticPr fontId="30" type="noConversion"/>
  </si>
  <si>
    <t>2008.10.06-2008.10.08</t>
    <phoneticPr fontId="30" type="noConversion"/>
  </si>
  <si>
    <t>苏158</t>
    <phoneticPr fontId="30" type="noConversion"/>
  </si>
  <si>
    <t>3650.00-3652.00
3591.00-3593.50</t>
    <phoneticPr fontId="30" type="noConversion"/>
  </si>
  <si>
    <t>2008.08.01-2008.08.04</t>
    <phoneticPr fontId="30" type="noConversion"/>
  </si>
  <si>
    <t>苏159</t>
    <phoneticPr fontId="30" type="noConversion"/>
  </si>
  <si>
    <t>3631.00-3633.00
3582.00-3585.00</t>
    <phoneticPr fontId="30" type="noConversion"/>
  </si>
  <si>
    <t>2008.09.12-2008.09.15</t>
    <phoneticPr fontId="30" type="noConversion"/>
  </si>
  <si>
    <t>苏160</t>
    <phoneticPr fontId="30" type="noConversion"/>
  </si>
  <si>
    <t>3684.00-3687.00</t>
    <phoneticPr fontId="30" type="noConversion"/>
  </si>
  <si>
    <t>2008.09.01-2008.09.03</t>
    <phoneticPr fontId="30" type="noConversion"/>
  </si>
  <si>
    <t>3649.00-3652.00</t>
    <phoneticPr fontId="30" type="noConversion"/>
  </si>
  <si>
    <t>2008.10.12-2008.10.14</t>
    <phoneticPr fontId="30" type="noConversion"/>
  </si>
  <si>
    <t>苏161</t>
    <phoneticPr fontId="30" type="noConversion"/>
  </si>
  <si>
    <t>3623.00-3626.00</t>
    <phoneticPr fontId="30" type="noConversion"/>
  </si>
  <si>
    <t>2008.07.28-2008.07.29</t>
    <phoneticPr fontId="30" type="noConversion"/>
  </si>
  <si>
    <t>苏162</t>
    <phoneticPr fontId="30" type="noConversion"/>
  </si>
  <si>
    <t>3632.00-3636.00</t>
    <phoneticPr fontId="30" type="noConversion"/>
  </si>
  <si>
    <t>2008.08.28-2008.08.31</t>
    <phoneticPr fontId="30" type="noConversion"/>
  </si>
  <si>
    <t>3605.00-3608.00</t>
    <phoneticPr fontId="30" type="noConversion"/>
  </si>
  <si>
    <t>2013.06.11-2013.06.14</t>
    <phoneticPr fontId="30" type="noConversion"/>
  </si>
  <si>
    <t>苏163</t>
    <phoneticPr fontId="30" type="noConversion"/>
  </si>
  <si>
    <r>
      <t xml:space="preserve">3639.00-3641.50
</t>
    </r>
    <r>
      <rPr>
        <sz val="11"/>
        <rFont val="宋体"/>
        <charset val="134"/>
      </rPr>
      <t>3684.50-3686.50</t>
    </r>
    <phoneticPr fontId="30" type="noConversion"/>
  </si>
  <si>
    <t>4.5/2</t>
    <phoneticPr fontId="30" type="noConversion"/>
  </si>
  <si>
    <t>2008.09.13-2008.09.15</t>
    <phoneticPr fontId="30" type="noConversion"/>
  </si>
  <si>
    <t>苏170</t>
    <phoneticPr fontId="30" type="noConversion"/>
  </si>
  <si>
    <t>3656.00-3658.00  3698.40-3702.00</t>
    <phoneticPr fontId="30" type="noConversion"/>
  </si>
  <si>
    <t>5.6/2</t>
    <phoneticPr fontId="30" type="noConversion"/>
  </si>
  <si>
    <t>2008.11.10-2008.11.12</t>
    <phoneticPr fontId="30" type="noConversion"/>
  </si>
  <si>
    <t>苏172</t>
    <phoneticPr fontId="30" type="noConversion"/>
  </si>
  <si>
    <t>3714.00-3717.00
3688.00-3691.00</t>
    <phoneticPr fontId="30" type="noConversion"/>
  </si>
  <si>
    <t>6.0/2</t>
    <phoneticPr fontId="30" type="noConversion"/>
  </si>
  <si>
    <t>2008.08.13-2008.08.16</t>
    <phoneticPr fontId="30" type="noConversion"/>
  </si>
  <si>
    <t>3622.00-3625.00</t>
    <phoneticPr fontId="30" type="noConversion"/>
  </si>
  <si>
    <t>2008.08.30-2008.09.04</t>
    <phoneticPr fontId="30" type="noConversion"/>
  </si>
  <si>
    <t>苏173</t>
    <phoneticPr fontId="30" type="noConversion"/>
  </si>
  <si>
    <t>山1、山2</t>
    <phoneticPr fontId="30" type="noConversion"/>
  </si>
  <si>
    <t>3669.00-3672.00
3721.00-3723.50</t>
    <phoneticPr fontId="30" type="noConversion"/>
  </si>
  <si>
    <t>5.5/2</t>
    <phoneticPr fontId="30" type="noConversion"/>
  </si>
  <si>
    <t>2008.08.19-2008.08.21</t>
    <phoneticPr fontId="30" type="noConversion"/>
  </si>
  <si>
    <t>3642.00-3644.00
3612.00-3614.00</t>
    <phoneticPr fontId="30" type="noConversion"/>
  </si>
  <si>
    <t>2008.09.06-2008.09.07</t>
    <phoneticPr fontId="30" type="noConversion"/>
  </si>
  <si>
    <r>
      <t>CaCl</t>
    </r>
    <r>
      <rPr>
        <vertAlign val="subscript"/>
        <sz val="11"/>
        <rFont val="宋体"/>
        <charset val="134"/>
      </rPr>
      <t>2</t>
    </r>
    <r>
      <rPr>
        <sz val="11"/>
        <rFont val="宋体"/>
        <charset val="134"/>
      </rPr>
      <t xml:space="preserve"> </t>
    </r>
    <phoneticPr fontId="30" type="noConversion"/>
  </si>
  <si>
    <t>苏174</t>
    <phoneticPr fontId="30" type="noConversion"/>
  </si>
  <si>
    <t>3651.00-3653.00</t>
    <phoneticPr fontId="30" type="noConversion"/>
  </si>
  <si>
    <t>2008.10.31-2008.11.01</t>
    <phoneticPr fontId="30" type="noConversion"/>
  </si>
  <si>
    <r>
      <t>CaCl</t>
    </r>
    <r>
      <rPr>
        <vertAlign val="subscript"/>
        <sz val="11"/>
        <rFont val="宋体"/>
        <charset val="134"/>
      </rPr>
      <t xml:space="preserve">2 </t>
    </r>
    <phoneticPr fontId="30" type="noConversion"/>
  </si>
  <si>
    <t>低产井</t>
    <phoneticPr fontId="30" type="noConversion"/>
  </si>
  <si>
    <t>山2</t>
    <phoneticPr fontId="30" type="noConversion"/>
  </si>
  <si>
    <t>3774.00-3776.00</t>
    <phoneticPr fontId="30" type="noConversion"/>
  </si>
  <si>
    <t>2008.10.08-2008.10.08</t>
    <phoneticPr fontId="30" type="noConversion"/>
  </si>
  <si>
    <t>苏180</t>
    <phoneticPr fontId="30" type="noConversion"/>
  </si>
  <si>
    <t>盒8、山2</t>
    <phoneticPr fontId="30" type="noConversion"/>
  </si>
  <si>
    <t>3689.00-3691.00
3774.00-3777.00</t>
    <phoneticPr fontId="30" type="noConversion"/>
  </si>
  <si>
    <t>2008.09.18-2008.09.19</t>
    <phoneticPr fontId="30" type="noConversion"/>
  </si>
  <si>
    <t>苏183</t>
    <phoneticPr fontId="30" type="noConversion"/>
  </si>
  <si>
    <t>3620.00-3624.00</t>
    <phoneticPr fontId="30" type="noConversion"/>
  </si>
  <si>
    <t>2008.10.16-2008.10.18</t>
    <phoneticPr fontId="30" type="noConversion"/>
  </si>
  <si>
    <t>3676.00-3677.50
3686.00-3688.00</t>
    <phoneticPr fontId="30" type="noConversion"/>
  </si>
  <si>
    <t>3.5/2</t>
    <phoneticPr fontId="30" type="noConversion"/>
  </si>
  <si>
    <t>2008.10.03-2008.10.04</t>
    <phoneticPr fontId="30" type="noConversion"/>
  </si>
  <si>
    <t>苏185</t>
    <phoneticPr fontId="30" type="noConversion"/>
  </si>
  <si>
    <t>3632.00-3634.50</t>
    <phoneticPr fontId="30" type="noConversion"/>
  </si>
  <si>
    <t>2008.11.12-2008.11.15</t>
    <phoneticPr fontId="30" type="noConversion"/>
  </si>
  <si>
    <t>3698.00-3701.00</t>
    <phoneticPr fontId="30" type="noConversion"/>
  </si>
  <si>
    <t>2008.10.02-2008.10.05</t>
    <phoneticPr fontId="30" type="noConversion"/>
  </si>
  <si>
    <t>苏189</t>
    <phoneticPr fontId="30" type="noConversion"/>
  </si>
  <si>
    <t>3591.00-3594.00</t>
    <phoneticPr fontId="30" type="noConversion"/>
  </si>
  <si>
    <t>2008.09.02-2008.09.04</t>
    <phoneticPr fontId="30" type="noConversion"/>
  </si>
  <si>
    <t>苏194</t>
    <phoneticPr fontId="30" type="noConversion"/>
  </si>
  <si>
    <t>3636.00-3639.00</t>
    <phoneticPr fontId="30" type="noConversion"/>
  </si>
  <si>
    <t>3712.00-3715.00</t>
    <phoneticPr fontId="30" type="noConversion"/>
  </si>
  <si>
    <t>2008.09.09-2008.09.11</t>
    <phoneticPr fontId="30" type="noConversion"/>
  </si>
  <si>
    <t>3630.00-3634.00</t>
    <phoneticPr fontId="30" type="noConversion"/>
  </si>
  <si>
    <t>2008.09.29-2008.10.02</t>
    <phoneticPr fontId="30" type="noConversion"/>
  </si>
  <si>
    <t>苏297</t>
    <phoneticPr fontId="30" type="noConversion"/>
  </si>
  <si>
    <t>3674.00-3678.00</t>
    <phoneticPr fontId="30" type="noConversion"/>
  </si>
  <si>
    <t>2013.08.28-2013.08.31</t>
    <phoneticPr fontId="30" type="noConversion"/>
  </si>
  <si>
    <t>3609.00-3612.00</t>
    <phoneticPr fontId="30" type="noConversion"/>
  </si>
  <si>
    <t>2012.09.17-2013.09.20</t>
    <phoneticPr fontId="30" type="noConversion"/>
  </si>
  <si>
    <r>
      <t>苏3</t>
    </r>
    <r>
      <rPr>
        <sz val="11"/>
        <rFont val="宋体"/>
        <charset val="134"/>
      </rPr>
      <t>00</t>
    </r>
    <phoneticPr fontId="30" type="noConversion"/>
  </si>
  <si>
    <t>3638.00-3640.00</t>
    <phoneticPr fontId="30" type="noConversion"/>
  </si>
  <si>
    <r>
      <t>2013</t>
    </r>
    <r>
      <rPr>
        <sz val="11"/>
        <rFont val="宋体"/>
        <charset val="134"/>
      </rPr>
      <t>.</t>
    </r>
    <r>
      <rPr>
        <sz val="11"/>
        <rFont val="宋体"/>
        <charset val="134"/>
      </rPr>
      <t>09</t>
    </r>
    <r>
      <rPr>
        <sz val="11"/>
        <rFont val="宋体"/>
        <charset val="134"/>
      </rPr>
      <t>.</t>
    </r>
    <r>
      <rPr>
        <sz val="11"/>
        <rFont val="宋体"/>
        <charset val="134"/>
      </rPr>
      <t>25-2013</t>
    </r>
    <r>
      <rPr>
        <sz val="11"/>
        <rFont val="宋体"/>
        <charset val="134"/>
      </rPr>
      <t>.</t>
    </r>
    <r>
      <rPr>
        <sz val="11"/>
        <rFont val="宋体"/>
        <charset val="134"/>
      </rPr>
      <t>09</t>
    </r>
    <r>
      <rPr>
        <sz val="11"/>
        <rFont val="宋体"/>
        <charset val="134"/>
      </rPr>
      <t>.</t>
    </r>
    <r>
      <rPr>
        <sz val="11"/>
        <rFont val="宋体"/>
        <charset val="134"/>
      </rPr>
      <t>27</t>
    </r>
    <phoneticPr fontId="30" type="noConversion"/>
  </si>
  <si>
    <t>苏309</t>
    <phoneticPr fontId="30" type="noConversion"/>
  </si>
  <si>
    <t>2010.05.10-2010.05.12</t>
    <phoneticPr fontId="30" type="noConversion"/>
  </si>
  <si>
    <t>3588.50-3591.50</t>
    <phoneticPr fontId="30" type="noConversion"/>
  </si>
  <si>
    <t>2010.06.01-2010.06.04</t>
    <phoneticPr fontId="30" type="noConversion"/>
  </si>
  <si>
    <t>苏324</t>
    <phoneticPr fontId="30" type="noConversion"/>
  </si>
  <si>
    <t>3606.00-3609.00</t>
    <phoneticPr fontId="30" type="noConversion"/>
  </si>
  <si>
    <t>2009.10.04-2009.10.05</t>
    <phoneticPr fontId="30" type="noConversion"/>
  </si>
  <si>
    <t>3586.00-3589.00</t>
    <phoneticPr fontId="30" type="noConversion"/>
  </si>
  <si>
    <t>2009.11.06-2009.11.08</t>
    <phoneticPr fontId="30" type="noConversion"/>
  </si>
  <si>
    <t>苏325</t>
    <phoneticPr fontId="30" type="noConversion"/>
  </si>
  <si>
    <t>3570.50-3573.50
3600.50-3603.50</t>
    <phoneticPr fontId="30" type="noConversion"/>
  </si>
  <si>
    <t>2009.10.08-2009.10.20</t>
    <phoneticPr fontId="30" type="noConversion"/>
  </si>
  <si>
    <t>3521.00-3524.00</t>
    <phoneticPr fontId="30" type="noConversion"/>
  </si>
  <si>
    <t>2009.11.20-2009.11.22</t>
    <phoneticPr fontId="30" type="noConversion"/>
  </si>
  <si>
    <t>苏327</t>
    <phoneticPr fontId="30" type="noConversion"/>
  </si>
  <si>
    <t>3712.50-3715.00</t>
    <phoneticPr fontId="30" type="noConversion"/>
  </si>
  <si>
    <t>2009.10.02-2009.10.04</t>
    <phoneticPr fontId="30" type="noConversion"/>
  </si>
  <si>
    <t>3638.00-3641.00</t>
    <phoneticPr fontId="30" type="noConversion"/>
  </si>
  <si>
    <t>2009.10.19-2009.10.21</t>
    <phoneticPr fontId="30" type="noConversion"/>
  </si>
  <si>
    <t>3675.00-3679.00</t>
    <phoneticPr fontId="30" type="noConversion"/>
  </si>
  <si>
    <t>2009.10.05-2009.10.07</t>
    <phoneticPr fontId="30" type="noConversion"/>
  </si>
  <si>
    <t>3647.00-3650.00</t>
    <phoneticPr fontId="30" type="noConversion"/>
  </si>
  <si>
    <t>2009.10.23-2009.10.25</t>
    <phoneticPr fontId="30" type="noConversion"/>
  </si>
  <si>
    <r>
      <t>盒8、山</t>
    </r>
    <r>
      <rPr>
        <sz val="11"/>
        <rFont val="宋体"/>
        <charset val="134"/>
      </rPr>
      <t>1、山2</t>
    </r>
    <phoneticPr fontId="30" type="noConversion"/>
  </si>
  <si>
    <t>3557.50-3558.50
3578.50-3579.50
3641.50-3642.50
3663.00-3664.00
3679.80-3680.80</t>
    <phoneticPr fontId="30" type="noConversion"/>
  </si>
  <si>
    <r>
      <t>5.0/</t>
    </r>
    <r>
      <rPr>
        <sz val="11"/>
        <rFont val="宋体"/>
        <charset val="134"/>
      </rPr>
      <t>5</t>
    </r>
    <phoneticPr fontId="30" type="noConversion"/>
  </si>
  <si>
    <t>3567.00-3570.00
3624.00-3628.00</t>
    <phoneticPr fontId="30" type="noConversion"/>
  </si>
  <si>
    <t>2011.08.12-2011.08.15</t>
    <phoneticPr fontId="30" type="noConversion"/>
  </si>
  <si>
    <t>桃12</t>
    <phoneticPr fontId="30" type="noConversion"/>
  </si>
  <si>
    <t>3581.00-3583.00</t>
    <phoneticPr fontId="30" type="noConversion"/>
  </si>
  <si>
    <t>2011.08.07-2011.08.10</t>
    <phoneticPr fontId="30" type="noConversion"/>
  </si>
  <si>
    <t>健康</t>
    <phoneticPr fontId="30" type="noConversion"/>
  </si>
  <si>
    <r>
      <t xml:space="preserve">3610.00-3612.00
</t>
    </r>
    <r>
      <rPr>
        <sz val="11"/>
        <rFont val="宋体"/>
        <charset val="134"/>
      </rPr>
      <t>3616.00-3619.00</t>
    </r>
    <phoneticPr fontId="30" type="noConversion"/>
  </si>
  <si>
    <t>2011.07.17-2011.07.20</t>
    <phoneticPr fontId="30" type="noConversion"/>
  </si>
  <si>
    <t>制表人：李连霞    审核人：王宏娥  周虎      日期：2013.10</t>
    <phoneticPr fontId="30" type="noConversion"/>
  </si>
  <si>
    <t>气层</t>
    <phoneticPr fontId="30" type="noConversion"/>
  </si>
  <si>
    <t>合计</t>
    <phoneticPr fontId="30" type="noConversion"/>
  </si>
  <si>
    <t>苏328</t>
    <phoneticPr fontId="30" type="noConversion"/>
  </si>
  <si>
    <t>苏195</t>
    <phoneticPr fontId="30" type="noConversion"/>
  </si>
  <si>
    <t>苏47</t>
    <phoneticPr fontId="30" type="noConversion"/>
  </si>
  <si>
    <t>桃11</t>
    <phoneticPr fontId="30" type="noConversion"/>
  </si>
  <si>
    <t>20873（与山2合试）</t>
    <phoneticPr fontId="30" type="noConversion"/>
  </si>
  <si>
    <t>苏西101-76</t>
    <phoneticPr fontId="30" type="noConversion"/>
  </si>
  <si>
    <t>鄂9</t>
    <phoneticPr fontId="30" type="noConversion"/>
  </si>
  <si>
    <t>定探2</t>
    <phoneticPr fontId="30" type="noConversion"/>
  </si>
  <si>
    <t>苏298</t>
    <phoneticPr fontId="30" type="noConversion"/>
  </si>
  <si>
    <t>苏300</t>
    <phoneticPr fontId="30" type="noConversion"/>
  </si>
  <si>
    <t>苏301</t>
    <phoneticPr fontId="30" type="noConversion"/>
  </si>
  <si>
    <t>苏303</t>
    <phoneticPr fontId="30" type="noConversion"/>
  </si>
  <si>
    <t>苏302</t>
    <phoneticPr fontId="30" type="noConversion"/>
  </si>
  <si>
    <t>制表人：刘天定</t>
    <phoneticPr fontId="30" type="noConversion"/>
  </si>
  <si>
    <t>审核人：石玉江</t>
    <phoneticPr fontId="30" type="noConversion"/>
  </si>
  <si>
    <t>日期：2013.10</t>
    <phoneticPr fontId="30" type="noConversion"/>
  </si>
  <si>
    <t>苏南3</t>
    <phoneticPr fontId="30" type="noConversion"/>
  </si>
  <si>
    <t>苏60</t>
    <phoneticPr fontId="30" type="noConversion"/>
  </si>
  <si>
    <t>苏299</t>
    <phoneticPr fontId="30" type="noConversion"/>
  </si>
  <si>
    <t>Xi 1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</si>
</sst>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76" formatCode="0.00_ "/>
    <numFmt numFmtId="177" formatCode="0.0_ "/>
    <numFmt numFmtId="178" formatCode="#,##0.0_ "/>
    <numFmt numFmtId="179" formatCode="0.000_ "/>
    <numFmt numFmtId="180" formatCode="0.0_);[Red]\(0.0\)"/>
    <numFmt numFmtId="181" formatCode="0.0000_);[Red]\(0.0000\)"/>
    <numFmt numFmtId="182" formatCode="0.00_);[Red]\(0.00\)"/>
    <numFmt numFmtId="183" formatCode="0.0000"/>
    <numFmt numFmtId="185" formatCode="0.000_);[Red]\(0.000\)"/>
    <numFmt numFmtId="186" formatCode="0_);[Red]\(0\)"/>
    <numFmt numFmtId="187" formatCode="0.0"/>
    <numFmt numFmtId="188" formatCode="#,##0.0_);\(#,##0.0\)"/>
    <numFmt numFmtId="189" formatCode="#,##0.000;\-#,##0.000"/>
    <numFmt numFmtId="190" formatCode="#,##0.0000_);\(#,##0.0000\)"/>
    <numFmt numFmtId="191" formatCode="#,##0.000_);\(#,##0.000\)"/>
    <numFmt numFmtId="192" formatCode="#,##0.00000_);\(#,##0.00000\)"/>
    <numFmt numFmtId="193" formatCode="0.00000"/>
    <numFmt numFmtId="194" formatCode="#,##0.0000"/>
    <numFmt numFmtId="195" formatCode="0.0_)"/>
    <numFmt numFmtId="196" formatCode="#,##0.00000;\-#,##0.00000"/>
    <numFmt numFmtId="197" formatCode="#,##0.0"/>
    <numFmt numFmtId="198" formatCode="0.000000"/>
    <numFmt numFmtId="199" formatCode="0_)"/>
    <numFmt numFmtId="200" formatCode="_ [$€-2]* #,##0.00_ ;_ [$€-2]* \-#,##0.00_ ;_ [$€-2]* &quot;-&quot;??_ "/>
  </numFmts>
  <fonts count="63">
    <font>
      <sz val="12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12"/>
      <name val="Times New Roman"/>
      <family val="1"/>
    </font>
    <font>
      <sz val="7"/>
      <color indexed="8"/>
      <name val="Arial"/>
      <family val="2"/>
    </font>
    <font>
      <b/>
      <sz val="14"/>
      <color indexed="10"/>
      <name val="Arial"/>
      <family val="2"/>
    </font>
    <font>
      <sz val="11"/>
      <color indexed="8"/>
      <name val="宋体"/>
      <charset val="134"/>
    </font>
    <font>
      <sz val="14"/>
      <color indexed="10"/>
      <name val="Arial"/>
      <family val="2"/>
    </font>
    <font>
      <sz val="11"/>
      <color indexed="9"/>
      <name val="宋体"/>
      <charset val="134"/>
    </font>
    <font>
      <b/>
      <sz val="14"/>
      <color indexed="8"/>
      <name val="Arial"/>
      <family val="2"/>
    </font>
    <font>
      <sz val="8"/>
      <name val="Arial"/>
      <family val="2"/>
    </font>
    <font>
      <sz val="14"/>
      <color indexed="8"/>
      <name val="Arial"/>
      <family val="2"/>
    </font>
    <font>
      <sz val="10"/>
      <name val="Tms Rmn"/>
      <family val="1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8.5"/>
      <name val="Microsoft Sans Serif"/>
      <family val="2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14"/>
      <name val="黑体"/>
      <charset val="134"/>
    </font>
    <font>
      <sz val="10"/>
      <name val="Times New Roman"/>
      <family val="1"/>
    </font>
    <font>
      <b/>
      <sz val="11"/>
      <color indexed="10"/>
      <name val="宋体"/>
      <charset val="134"/>
    </font>
    <font>
      <b/>
      <sz val="11"/>
      <name val="NewCenturySchlbk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sz val="11"/>
      <name val="NewCenturySchlbk"/>
      <family val="1"/>
    </font>
    <font>
      <sz val="10.5"/>
      <name val="宋体"/>
      <charset val="134"/>
    </font>
    <font>
      <sz val="11"/>
      <name val="宋体"/>
      <charset val="134"/>
    </font>
    <font>
      <sz val="10.5"/>
      <color indexed="10"/>
      <name val="宋体"/>
      <charset val="134"/>
    </font>
    <font>
      <sz val="10"/>
      <name val="宋体"/>
      <charset val="134"/>
    </font>
    <font>
      <sz val="8"/>
      <name val="NewCenturySchlbk"/>
      <family val="1"/>
    </font>
    <font>
      <sz val="10.5"/>
      <name val="Times New Roman"/>
      <family val="1"/>
    </font>
    <font>
      <b/>
      <sz val="10.5"/>
      <color indexed="10"/>
      <name val="宋体"/>
      <charset val="134"/>
    </font>
    <font>
      <vertAlign val="superscript"/>
      <sz val="11"/>
      <name val="NewCenturySchlbk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vertAlign val="superscript"/>
      <sz val="10.5"/>
      <name val="Times New Roman"/>
      <family val="1"/>
    </font>
    <font>
      <sz val="9"/>
      <name val="Times New Roman"/>
      <family val="1"/>
    </font>
    <font>
      <sz val="12"/>
      <name val="NewCenturySchlbk"/>
      <family val="1"/>
    </font>
    <font>
      <sz val="11"/>
      <color indexed="10"/>
      <name val="NewCenturySchlbk"/>
      <family val="1"/>
    </font>
    <font>
      <sz val="11"/>
      <color indexed="57"/>
      <name val="NewCenturySchlbk"/>
      <family val="1"/>
    </font>
    <font>
      <b/>
      <sz val="11"/>
      <color indexed="57"/>
      <name val="NewCenturySchlbk"/>
      <family val="1"/>
    </font>
    <font>
      <b/>
      <u/>
      <sz val="11"/>
      <name val="NewCenturySchlbk"/>
      <family val="1"/>
    </font>
    <font>
      <sz val="11"/>
      <color indexed="17"/>
      <name val="Times New Roman"/>
      <family val="1"/>
    </font>
    <font>
      <b/>
      <sz val="10"/>
      <name val="宋体"/>
      <charset val="134"/>
    </font>
    <font>
      <vertAlign val="superscript"/>
      <sz val="10"/>
      <name val="宋体"/>
      <charset val="134"/>
    </font>
    <font>
      <sz val="10"/>
      <color indexed="8"/>
      <name val="宋体"/>
      <charset val="134"/>
    </font>
    <font>
      <vertAlign val="superscript"/>
      <sz val="11"/>
      <name val="宋体"/>
      <charset val="134"/>
    </font>
    <font>
      <vertAlign val="subscript"/>
      <sz val="11"/>
      <name val="宋体"/>
      <charset val="134"/>
    </font>
    <font>
      <vertAlign val="superscript"/>
      <sz val="9"/>
      <name val="宋体"/>
      <charset val="134"/>
    </font>
    <font>
      <sz val="9"/>
      <color indexed="8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3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2" borderId="1">
      <alignment horizontal="left" vertical="center" wrapText="1"/>
    </xf>
    <xf numFmtId="0" fontId="5" fillId="2" borderId="2">
      <alignment horizontal="center" vertical="center" wrapText="1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" borderId="2">
      <alignment horizontal="center" vertical="center" wrapText="1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2">
      <alignment horizontal="center" vertical="center" wrapText="1"/>
    </xf>
    <xf numFmtId="0" fontId="10" fillId="17" borderId="3">
      <alignment horizontal="center" vertical="center" wrapText="1"/>
    </xf>
    <xf numFmtId="200" fontId="2" fillId="0" borderId="0" applyFont="0" applyFill="0" applyBorder="0" applyAlignment="0" applyProtection="0"/>
    <xf numFmtId="0" fontId="11" fillId="2" borderId="2">
      <alignment horizontal="center" vertical="center" wrapText="1"/>
    </xf>
    <xf numFmtId="37" fontId="12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2" fillId="25" borderId="12" applyNumberFormat="0" applyFont="0" applyAlignment="0" applyProtection="0">
      <alignment vertical="center"/>
    </xf>
  </cellStyleXfs>
  <cellXfs count="338">
    <xf numFmtId="0" fontId="0" fillId="0" borderId="0" xfId="0" applyAlignment="1">
      <alignment vertical="center"/>
    </xf>
    <xf numFmtId="0" fontId="31" fillId="0" borderId="0" xfId="4" applyFont="1" applyFill="1" applyBorder="1" applyAlignment="1">
      <alignment horizontal="center" vertical="center" wrapText="1"/>
    </xf>
    <xf numFmtId="0" fontId="2" fillId="0" borderId="0" xfId="4"/>
    <xf numFmtId="0" fontId="33" fillId="0" borderId="0" xfId="43" applyFont="1" applyFill="1" applyBorder="1"/>
    <xf numFmtId="0" fontId="34" fillId="0" borderId="0" xfId="43" applyFont="1" applyFill="1" applyBorder="1"/>
    <xf numFmtId="0" fontId="36" fillId="26" borderId="0" xfId="43" applyFont="1" applyFill="1" applyAlignment="1">
      <alignment horizontal="left"/>
    </xf>
    <xf numFmtId="0" fontId="36" fillId="26" borderId="0" xfId="43" applyFont="1" applyFill="1" applyAlignment="1">
      <alignment horizontal="center"/>
    </xf>
    <xf numFmtId="0" fontId="37" fillId="0" borderId="0" xfId="43" applyFont="1" applyFill="1" applyAlignment="1">
      <alignment horizontal="center"/>
    </xf>
    <xf numFmtId="0" fontId="2" fillId="0" borderId="0" xfId="43"/>
    <xf numFmtId="0" fontId="34" fillId="0" borderId="13" xfId="43" applyFont="1" applyFill="1" applyBorder="1" applyAlignment="1">
      <alignment horizontal="right"/>
    </xf>
    <xf numFmtId="0" fontId="38" fillId="0" borderId="14" xfId="43" applyFont="1" applyFill="1" applyBorder="1" applyAlignment="1">
      <alignment horizontal="left"/>
    </xf>
    <xf numFmtId="0" fontId="34" fillId="0" borderId="15" xfId="43" applyFont="1" applyFill="1" applyBorder="1" applyAlignment="1">
      <alignment horizontal="right"/>
    </xf>
    <xf numFmtId="0" fontId="38" fillId="0" borderId="2" xfId="43" applyFont="1" applyFill="1" applyBorder="1" applyAlignment="1">
      <alignment horizontal="left"/>
    </xf>
    <xf numFmtId="37" fontId="35" fillId="0" borderId="16" xfId="41" applyFont="1" applyFill="1" applyBorder="1" applyAlignment="1" applyProtection="1">
      <protection locked="0"/>
    </xf>
    <xf numFmtId="0" fontId="38" fillId="0" borderId="2" xfId="4" applyFont="1" applyFill="1" applyBorder="1" applyAlignment="1">
      <alignment horizontal="left"/>
    </xf>
    <xf numFmtId="0" fontId="41" fillId="0" borderId="2" xfId="0" applyFont="1" applyFill="1" applyBorder="1" applyAlignment="1">
      <alignment horizontal="center" vertical="center" wrapText="1"/>
    </xf>
    <xf numFmtId="0" fontId="37" fillId="0" borderId="17" xfId="43" applyFont="1" applyFill="1" applyBorder="1" applyAlignment="1" applyProtection="1">
      <alignment horizontal="center"/>
      <protection locked="0"/>
    </xf>
    <xf numFmtId="0" fontId="41" fillId="0" borderId="2" xfId="0" applyFont="1" applyFill="1" applyBorder="1" applyAlignment="1">
      <alignment horizontal="center" vertical="center"/>
    </xf>
    <xf numFmtId="37" fontId="36" fillId="0" borderId="17" xfId="41" applyFont="1" applyFill="1" applyBorder="1" applyAlignment="1" applyProtection="1">
      <alignment horizontal="center"/>
      <protection locked="0"/>
    </xf>
    <xf numFmtId="0" fontId="37" fillId="0" borderId="15" xfId="4" applyFont="1" applyFill="1" applyBorder="1" applyAlignment="1">
      <alignment horizontal="left"/>
    </xf>
    <xf numFmtId="37" fontId="32" fillId="0" borderId="2" xfId="41" applyFont="1" applyFill="1" applyBorder="1" applyAlignment="1" applyProtection="1">
      <alignment horizontal="center"/>
      <protection locked="0"/>
    </xf>
    <xf numFmtId="37" fontId="34" fillId="0" borderId="17" xfId="41" applyFont="1" applyFill="1" applyBorder="1" applyAlignment="1" applyProtection="1">
      <alignment horizontal="center"/>
      <protection locked="0"/>
    </xf>
    <xf numFmtId="0" fontId="37" fillId="0" borderId="15" xfId="43" applyFont="1" applyFill="1" applyBorder="1"/>
    <xf numFmtId="177" fontId="32" fillId="0" borderId="2" xfId="0" applyNumberFormat="1" applyFont="1" applyFill="1" applyBorder="1" applyAlignment="1">
      <alignment horizontal="center" vertical="center"/>
    </xf>
    <xf numFmtId="188" fontId="34" fillId="0" borderId="17" xfId="41" applyNumberFormat="1" applyFont="1" applyFill="1" applyBorder="1" applyAlignment="1" applyProtection="1">
      <alignment horizontal="center"/>
      <protection locked="0"/>
    </xf>
    <xf numFmtId="0" fontId="44" fillId="27" borderId="2" xfId="4" applyFont="1" applyFill="1" applyBorder="1" applyAlignment="1">
      <alignment horizontal="left"/>
    </xf>
    <xf numFmtId="0" fontId="32" fillId="0" borderId="2" xfId="41" applyNumberFormat="1" applyFont="1" applyFill="1" applyBorder="1" applyAlignment="1" applyProtection="1">
      <alignment horizontal="center"/>
      <protection locked="0"/>
    </xf>
    <xf numFmtId="0" fontId="37" fillId="0" borderId="15" xfId="43" applyFont="1" applyFill="1" applyBorder="1" applyAlignment="1" applyProtection="1">
      <alignment horizontal="left"/>
    </xf>
    <xf numFmtId="39" fontId="32" fillId="0" borderId="2" xfId="41" applyNumberFormat="1" applyFont="1" applyFill="1" applyBorder="1" applyAlignment="1" applyProtection="1">
      <alignment horizontal="center"/>
      <protection locked="0"/>
    </xf>
    <xf numFmtId="37" fontId="46" fillId="26" borderId="2" xfId="43" applyNumberFormat="1" applyFont="1" applyFill="1" applyBorder="1" applyAlignment="1" applyProtection="1">
      <alignment horizontal="center"/>
    </xf>
    <xf numFmtId="37" fontId="34" fillId="0" borderId="17" xfId="41" applyNumberFormat="1" applyFont="1" applyFill="1" applyBorder="1" applyAlignment="1" applyProtection="1">
      <alignment horizontal="center"/>
      <protection locked="0"/>
    </xf>
    <xf numFmtId="189" fontId="32" fillId="0" borderId="2" xfId="41" applyNumberFormat="1" applyFont="1" applyFill="1" applyBorder="1" applyAlignment="1" applyProtection="1">
      <alignment horizontal="center"/>
      <protection locked="0"/>
    </xf>
    <xf numFmtId="190" fontId="32" fillId="0" borderId="2" xfId="41" applyNumberFormat="1" applyFont="1" applyFill="1" applyBorder="1" applyAlignment="1" applyProtection="1">
      <alignment horizontal="center"/>
      <protection locked="0"/>
    </xf>
    <xf numFmtId="191" fontId="34" fillId="0" borderId="17" xfId="41" applyNumberFormat="1" applyFont="1" applyFill="1" applyBorder="1" applyAlignment="1" applyProtection="1">
      <alignment horizontal="center"/>
      <protection locked="0"/>
    </xf>
    <xf numFmtId="179" fontId="47" fillId="0" borderId="2" xfId="0" applyNumberFormat="1" applyFont="1" applyFill="1" applyBorder="1" applyAlignment="1">
      <alignment horizontal="center" vertical="center" wrapText="1"/>
    </xf>
    <xf numFmtId="192" fontId="34" fillId="0" borderId="17" xfId="41" applyNumberFormat="1" applyFont="1" applyFill="1" applyBorder="1" applyAlignment="1" applyProtection="1">
      <alignment horizontal="center"/>
      <protection locked="0"/>
    </xf>
    <xf numFmtId="193" fontId="46" fillId="26" borderId="2" xfId="43" applyNumberFormat="1" applyFont="1" applyFill="1" applyBorder="1" applyAlignment="1" applyProtection="1">
      <alignment horizontal="center"/>
    </xf>
    <xf numFmtId="1" fontId="32" fillId="0" borderId="2" xfId="12" applyNumberFormat="1" applyFont="1" applyFill="1" applyBorder="1" applyAlignment="1" applyProtection="1">
      <alignment horizontal="center"/>
      <protection locked="0"/>
    </xf>
    <xf numFmtId="0" fontId="46" fillId="0" borderId="2" xfId="43" applyFont="1" applyFill="1" applyBorder="1" applyAlignment="1" applyProtection="1">
      <alignment horizontal="center"/>
      <protection locked="0"/>
    </xf>
    <xf numFmtId="0" fontId="32" fillId="0" borderId="2" xfId="43" applyFont="1" applyFill="1" applyBorder="1" applyAlignment="1" applyProtection="1">
      <alignment horizontal="center"/>
      <protection locked="0"/>
    </xf>
    <xf numFmtId="0" fontId="46" fillId="0" borderId="2" xfId="43" applyFont="1" applyFill="1" applyBorder="1" applyAlignment="1">
      <alignment horizontal="center"/>
    </xf>
    <xf numFmtId="0" fontId="37" fillId="0" borderId="15" xfId="43" applyFont="1" applyFill="1" applyBorder="1" applyAlignment="1">
      <alignment horizontal="left" indent="1"/>
    </xf>
    <xf numFmtId="0" fontId="38" fillId="0" borderId="2" xfId="43" applyFont="1" applyFill="1" applyBorder="1" applyAlignment="1">
      <alignment horizontal="left" indent="1"/>
    </xf>
    <xf numFmtId="0" fontId="32" fillId="0" borderId="2" xfId="12" applyFont="1" applyFill="1" applyBorder="1" applyAlignment="1" applyProtection="1">
      <alignment horizontal="center"/>
      <protection locked="0"/>
    </xf>
    <xf numFmtId="0" fontId="47" fillId="0" borderId="2" xfId="43" applyFont="1" applyFill="1" applyBorder="1" applyAlignment="1">
      <alignment horizontal="center" vertical="center" wrapText="1"/>
    </xf>
    <xf numFmtId="0" fontId="46" fillId="0" borderId="0" xfId="43" applyFont="1" applyFill="1" applyAlignment="1">
      <alignment horizontal="center"/>
    </xf>
    <xf numFmtId="39" fontId="34" fillId="0" borderId="17" xfId="41" applyNumberFormat="1" applyFont="1" applyFill="1" applyBorder="1" applyAlignment="1" applyProtection="1">
      <alignment horizontal="center"/>
      <protection locked="0"/>
    </xf>
    <xf numFmtId="187" fontId="49" fillId="26" borderId="2" xfId="4" applyNumberFormat="1" applyFont="1" applyFill="1" applyBorder="1" applyAlignment="1" applyProtection="1">
      <alignment horizontal="center" vertical="center" wrapText="1"/>
    </xf>
    <xf numFmtId="190" fontId="34" fillId="0" borderId="17" xfId="41" applyNumberFormat="1" applyFont="1" applyFill="1" applyBorder="1" applyAlignment="1" applyProtection="1">
      <alignment horizontal="center"/>
      <protection locked="0"/>
    </xf>
    <xf numFmtId="176" fontId="32" fillId="0" borderId="2" xfId="12" applyNumberFormat="1" applyFont="1" applyFill="1" applyBorder="1" applyAlignment="1" applyProtection="1">
      <alignment horizontal="center"/>
      <protection locked="0"/>
    </xf>
    <xf numFmtId="194" fontId="46" fillId="26" borderId="2" xfId="43" applyNumberFormat="1" applyFont="1" applyFill="1" applyBorder="1" applyAlignment="1" applyProtection="1">
      <alignment horizontal="center"/>
    </xf>
    <xf numFmtId="4" fontId="46" fillId="26" borderId="2" xfId="43" applyNumberFormat="1" applyFont="1" applyFill="1" applyBorder="1" applyAlignment="1" applyProtection="1">
      <alignment horizontal="center"/>
    </xf>
    <xf numFmtId="195" fontId="34" fillId="0" borderId="17" xfId="41" applyNumberFormat="1" applyFont="1" applyFill="1" applyBorder="1" applyAlignment="1" applyProtection="1">
      <alignment horizontal="center"/>
      <protection locked="0"/>
    </xf>
    <xf numFmtId="194" fontId="37" fillId="0" borderId="15" xfId="43" applyNumberFormat="1" applyFont="1" applyFill="1" applyBorder="1" applyAlignment="1">
      <alignment horizontal="left" indent="2"/>
    </xf>
    <xf numFmtId="39" fontId="46" fillId="0" borderId="2" xfId="41" applyNumberFormat="1" applyFont="1" applyFill="1" applyBorder="1" applyAlignment="1" applyProtection="1">
      <alignment horizontal="center"/>
      <protection locked="0"/>
    </xf>
    <xf numFmtId="188" fontId="46" fillId="0" borderId="2" xfId="41" applyNumberFormat="1" applyFont="1" applyFill="1" applyBorder="1" applyAlignment="1" applyProtection="1">
      <alignment horizontal="center"/>
      <protection locked="0"/>
    </xf>
    <xf numFmtId="0" fontId="37" fillId="0" borderId="15" xfId="43" applyFont="1" applyFill="1" applyBorder="1" applyAlignment="1">
      <alignment horizontal="left"/>
    </xf>
    <xf numFmtId="39" fontId="37" fillId="0" borderId="17" xfId="43" applyNumberFormat="1" applyFont="1" applyFill="1" applyBorder="1" applyAlignment="1" applyProtection="1">
      <alignment horizontal="center"/>
      <protection locked="0"/>
    </xf>
    <xf numFmtId="196" fontId="46" fillId="0" borderId="2" xfId="41" applyNumberFormat="1" applyFont="1" applyFill="1" applyBorder="1" applyAlignment="1" applyProtection="1">
      <alignment horizontal="center"/>
      <protection locked="0"/>
    </xf>
    <xf numFmtId="197" fontId="37" fillId="0" borderId="15" xfId="43" applyNumberFormat="1" applyFont="1" applyFill="1" applyBorder="1" applyAlignment="1">
      <alignment horizontal="left" indent="1"/>
    </xf>
    <xf numFmtId="187" fontId="46" fillId="26" borderId="2" xfId="43" applyNumberFormat="1" applyFont="1" applyFill="1" applyBorder="1" applyAlignment="1" applyProtection="1">
      <alignment horizontal="center"/>
    </xf>
    <xf numFmtId="191" fontId="46" fillId="0" borderId="2" xfId="41" applyNumberFormat="1" applyFont="1" applyFill="1" applyBorder="1" applyAlignment="1" applyProtection="1">
      <alignment horizontal="center"/>
      <protection locked="0"/>
    </xf>
    <xf numFmtId="187" fontId="46" fillId="0" borderId="2" xfId="43" applyNumberFormat="1" applyFont="1" applyFill="1" applyBorder="1" applyAlignment="1" applyProtection="1">
      <alignment horizontal="center"/>
      <protection locked="0"/>
    </xf>
    <xf numFmtId="176" fontId="47" fillId="0" borderId="2" xfId="43" applyNumberFormat="1" applyFont="1" applyFill="1" applyBorder="1" applyAlignment="1">
      <alignment horizontal="center" vertical="center" wrapText="1"/>
    </xf>
    <xf numFmtId="188" fontId="46" fillId="26" borderId="2" xfId="41" applyNumberFormat="1" applyFont="1" applyFill="1" applyBorder="1" applyAlignment="1" applyProtection="1">
      <alignment horizontal="center"/>
    </xf>
    <xf numFmtId="197" fontId="46" fillId="26" borderId="2" xfId="43" applyNumberFormat="1" applyFont="1" applyFill="1" applyBorder="1" applyAlignment="1" applyProtection="1">
      <alignment horizontal="center"/>
    </xf>
    <xf numFmtId="198" fontId="46" fillId="0" borderId="2" xfId="43" applyNumberFormat="1" applyFont="1" applyFill="1" applyBorder="1" applyAlignment="1" applyProtection="1">
      <alignment horizontal="center"/>
      <protection locked="0"/>
    </xf>
    <xf numFmtId="0" fontId="51" fillId="0" borderId="17" xfId="43" applyFont="1" applyFill="1" applyBorder="1" applyAlignment="1" applyProtection="1">
      <alignment horizontal="center"/>
      <protection locked="0"/>
    </xf>
    <xf numFmtId="193" fontId="46" fillId="0" borderId="2" xfId="41" applyNumberFormat="1" applyFont="1" applyFill="1" applyBorder="1" applyAlignment="1" applyProtection="1">
      <alignment horizontal="center"/>
      <protection locked="0"/>
    </xf>
    <xf numFmtId="0" fontId="52" fillId="0" borderId="17" xfId="43" applyFont="1" applyFill="1" applyBorder="1" applyAlignment="1" applyProtection="1">
      <alignment horizontal="center"/>
      <protection locked="0"/>
    </xf>
    <xf numFmtId="190" fontId="53" fillId="0" borderId="17" xfId="41" applyNumberFormat="1" applyFont="1" applyFill="1" applyBorder="1" applyAlignment="1" applyProtection="1">
      <alignment horizontal="center"/>
      <protection locked="0"/>
    </xf>
    <xf numFmtId="39" fontId="53" fillId="0" borderId="17" xfId="41" applyNumberFormat="1" applyFont="1" applyFill="1" applyBorder="1" applyAlignment="1" applyProtection="1">
      <alignment horizontal="center"/>
      <protection locked="0"/>
    </xf>
    <xf numFmtId="0" fontId="37" fillId="0" borderId="2" xfId="43" applyFont="1" applyFill="1" applyBorder="1"/>
    <xf numFmtId="0" fontId="39" fillId="0" borderId="2" xfId="43" applyFont="1" applyFill="1" applyBorder="1"/>
    <xf numFmtId="183" fontId="46" fillId="26" borderId="2" xfId="43" applyNumberFormat="1" applyFont="1" applyFill="1" applyBorder="1" applyAlignment="1" applyProtection="1">
      <alignment horizontal="center"/>
    </xf>
    <xf numFmtId="180" fontId="46" fillId="26" borderId="2" xfId="43" applyNumberFormat="1" applyFont="1" applyFill="1" applyBorder="1" applyAlignment="1" applyProtection="1">
      <alignment horizontal="center"/>
    </xf>
    <xf numFmtId="37" fontId="54" fillId="0" borderId="15" xfId="41" applyFont="1" applyFill="1" applyBorder="1" applyAlignment="1">
      <alignment horizontal="left"/>
    </xf>
    <xf numFmtId="37" fontId="46" fillId="0" borderId="2" xfId="41" applyFont="1" applyFill="1" applyBorder="1" applyAlignment="1" applyProtection="1">
      <alignment horizontal="center"/>
      <protection locked="0"/>
    </xf>
    <xf numFmtId="199" fontId="37" fillId="0" borderId="17" xfId="41" applyNumberFormat="1" applyFont="1" applyFill="1" applyBorder="1" applyAlignment="1" applyProtection="1">
      <alignment horizontal="center"/>
      <protection locked="0"/>
    </xf>
    <xf numFmtId="37" fontId="37" fillId="0" borderId="15" xfId="41" applyFont="1" applyFill="1" applyBorder="1" applyAlignment="1"/>
    <xf numFmtId="197" fontId="39" fillId="0" borderId="2" xfId="43" applyNumberFormat="1" applyFont="1" applyFill="1" applyBorder="1" applyAlignment="1">
      <alignment horizontal="left" indent="1"/>
    </xf>
    <xf numFmtId="2" fontId="32" fillId="0" borderId="2" xfId="12" applyNumberFormat="1" applyFont="1" applyFill="1" applyBorder="1" applyAlignment="1" applyProtection="1">
      <alignment horizontal="center"/>
    </xf>
    <xf numFmtId="37" fontId="55" fillId="0" borderId="2" xfId="41" applyFont="1" applyFill="1" applyBorder="1" applyAlignment="1" applyProtection="1">
      <alignment horizontal="center"/>
      <protection locked="0"/>
    </xf>
    <xf numFmtId="0" fontId="55" fillId="0" borderId="2" xfId="41" applyNumberFormat="1" applyFont="1" applyFill="1" applyBorder="1" applyAlignment="1" applyProtection="1">
      <alignment horizontal="center"/>
      <protection locked="0"/>
    </xf>
    <xf numFmtId="37" fontId="37" fillId="0" borderId="18" xfId="41" applyFont="1" applyFill="1" applyBorder="1" applyAlignment="1"/>
    <xf numFmtId="0" fontId="38" fillId="0" borderId="19" xfId="43" applyFont="1" applyFill="1" applyBorder="1" applyAlignment="1">
      <alignment horizontal="left" indent="1"/>
    </xf>
    <xf numFmtId="178" fontId="55" fillId="0" borderId="19" xfId="41" applyNumberFormat="1" applyFont="1" applyFill="1" applyBorder="1" applyAlignment="1" applyProtection="1">
      <alignment horizontal="center"/>
      <protection locked="0"/>
    </xf>
    <xf numFmtId="0" fontId="37" fillId="0" borderId="20" xfId="43" applyFont="1" applyFill="1" applyBorder="1" applyAlignment="1" applyProtection="1">
      <alignment horizontal="center"/>
      <protection locked="0"/>
    </xf>
    <xf numFmtId="0" fontId="37" fillId="0" borderId="0" xfId="43" applyFont="1" applyFill="1"/>
    <xf numFmtId="0" fontId="37" fillId="0" borderId="0" xfId="0" applyFont="1" applyFill="1" applyAlignment="1"/>
    <xf numFmtId="197" fontId="46" fillId="0" borderId="0" xfId="0" applyNumberFormat="1" applyFont="1" applyFill="1" applyBorder="1" applyAlignment="1">
      <alignment horizontal="left" indent="1"/>
    </xf>
    <xf numFmtId="0" fontId="46" fillId="0" borderId="0" xfId="0" applyFont="1" applyFill="1" applyAlignment="1">
      <alignment horizontal="center"/>
    </xf>
    <xf numFmtId="0" fontId="37" fillId="0" borderId="0" xfId="43" applyFont="1" applyFill="1" applyAlignment="1" applyProtection="1">
      <alignment horizontal="center"/>
      <protection locked="0"/>
    </xf>
    <xf numFmtId="37" fontId="54" fillId="0" borderId="0" xfId="41" applyFont="1" applyFill="1" applyBorder="1" applyAlignment="1">
      <alignment horizontal="left"/>
    </xf>
    <xf numFmtId="37" fontId="37" fillId="0" borderId="0" xfId="41" applyFont="1" applyFill="1" applyBorder="1" applyAlignment="1"/>
    <xf numFmtId="0" fontId="37" fillId="0" borderId="0" xfId="43" applyFont="1" applyFill="1" applyBorder="1" applyAlignment="1"/>
    <xf numFmtId="0" fontId="37" fillId="0" borderId="0" xfId="43" applyFont="1" applyFill="1" applyBorder="1"/>
    <xf numFmtId="0" fontId="56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2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vertical="center" wrapText="1"/>
    </xf>
    <xf numFmtId="177" fontId="41" fillId="0" borderId="2" xfId="0" applyNumberFormat="1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vertical="center" wrapText="1"/>
    </xf>
    <xf numFmtId="0" fontId="41" fillId="0" borderId="0" xfId="0" applyFont="1" applyAlignment="1">
      <alignment horizontal="center" vertical="center"/>
    </xf>
    <xf numFmtId="176" fontId="41" fillId="0" borderId="2" xfId="0" applyNumberFormat="1" applyFont="1" applyFill="1" applyBorder="1" applyAlignment="1">
      <alignment horizontal="center" vertical="center" wrapText="1"/>
    </xf>
    <xf numFmtId="49" fontId="39" fillId="0" borderId="2" xfId="63" applyNumberFormat="1" applyFont="1" applyFill="1" applyBorder="1" applyAlignment="1">
      <alignment horizontal="center" vertical="center" wrapText="1"/>
    </xf>
    <xf numFmtId="176" fontId="39" fillId="0" borderId="2" xfId="60" applyNumberFormat="1" applyFont="1" applyFill="1" applyBorder="1" applyAlignment="1">
      <alignment horizontal="center" vertical="center"/>
    </xf>
    <xf numFmtId="176" fontId="39" fillId="0" borderId="2" xfId="63" applyNumberFormat="1" applyFont="1" applyFill="1" applyBorder="1" applyAlignment="1">
      <alignment horizontal="center" vertical="center"/>
    </xf>
    <xf numFmtId="176" fontId="39" fillId="0" borderId="2" xfId="60" applyNumberFormat="1" applyFont="1" applyFill="1" applyBorder="1" applyAlignment="1">
      <alignment horizontal="center" vertical="center" wrapText="1"/>
    </xf>
    <xf numFmtId="176" fontId="39" fillId="0" borderId="2" xfId="63" applyNumberFormat="1" applyFont="1" applyFill="1" applyBorder="1" applyAlignment="1">
      <alignment horizontal="center" vertical="center" wrapText="1"/>
    </xf>
    <xf numFmtId="176" fontId="39" fillId="0" borderId="2" xfId="1" applyNumberFormat="1" applyFont="1" applyFill="1" applyBorder="1" applyAlignment="1">
      <alignment horizontal="center" vertical="center" wrapText="1"/>
    </xf>
    <xf numFmtId="180" fontId="39" fillId="0" borderId="0" xfId="63" applyNumberFormat="1" applyFont="1" applyFill="1" applyAlignment="1">
      <alignment horizontal="center" vertical="center"/>
    </xf>
    <xf numFmtId="182" fontId="39" fillId="0" borderId="2" xfId="63" applyNumberFormat="1" applyFont="1" applyFill="1" applyBorder="1" applyAlignment="1">
      <alignment horizontal="center" vertical="center" wrapText="1"/>
    </xf>
    <xf numFmtId="182" fontId="39" fillId="0" borderId="0" xfId="63" applyNumberFormat="1" applyFont="1" applyFill="1" applyAlignment="1">
      <alignment horizontal="center" vertical="center"/>
    </xf>
    <xf numFmtId="180" fontId="39" fillId="0" borderId="2" xfId="63" applyNumberFormat="1" applyFont="1" applyFill="1" applyBorder="1" applyAlignment="1">
      <alignment horizontal="center" vertical="center" wrapText="1"/>
    </xf>
    <xf numFmtId="180" fontId="39" fillId="0" borderId="0" xfId="63" applyNumberFormat="1" applyFont="1" applyFill="1" applyAlignment="1">
      <alignment horizontal="center" vertical="center" wrapText="1"/>
    </xf>
    <xf numFmtId="176" fontId="39" fillId="0" borderId="2" xfId="1" applyNumberFormat="1" applyFont="1" applyFill="1" applyBorder="1" applyAlignment="1">
      <alignment horizontal="center" vertical="center"/>
    </xf>
    <xf numFmtId="180" fontId="39" fillId="0" borderId="2" xfId="63" applyNumberFormat="1" applyFont="1" applyFill="1" applyBorder="1" applyAlignment="1">
      <alignment horizontal="center" vertical="center"/>
    </xf>
    <xf numFmtId="49" fontId="39" fillId="0" borderId="2" xfId="63" applyNumberFormat="1" applyFont="1" applyFill="1" applyBorder="1" applyAlignment="1">
      <alignment horizontal="center" vertical="center"/>
    </xf>
    <xf numFmtId="176" fontId="39" fillId="0" borderId="2" xfId="60" applyNumberFormat="1" applyFont="1" applyFill="1" applyBorder="1" applyAlignment="1">
      <alignment vertical="center"/>
    </xf>
    <xf numFmtId="176" fontId="39" fillId="0" borderId="2" xfId="63" applyNumberFormat="1" applyFont="1" applyFill="1" applyBorder="1" applyAlignment="1">
      <alignment vertical="center"/>
    </xf>
    <xf numFmtId="176" fontId="39" fillId="0" borderId="2" xfId="63" applyNumberFormat="1" applyFont="1" applyBorder="1" applyAlignment="1">
      <alignment horizontal="center" vertical="center" wrapText="1"/>
    </xf>
    <xf numFmtId="176" fontId="39" fillId="0" borderId="21" xfId="63" applyNumberFormat="1" applyFont="1" applyFill="1" applyBorder="1" applyAlignment="1">
      <alignment horizontal="center" vertical="center" wrapText="1"/>
    </xf>
    <xf numFmtId="176" fontId="39" fillId="0" borderId="0" xfId="63" applyNumberFormat="1" applyFont="1" applyFill="1" applyAlignment="1">
      <alignment vertical="center"/>
    </xf>
    <xf numFmtId="176" fontId="39" fillId="0" borderId="0" xfId="63" applyNumberFormat="1" applyFont="1" applyFill="1" applyAlignment="1">
      <alignment horizontal="center" vertical="center"/>
    </xf>
    <xf numFmtId="182" fontId="39" fillId="0" borderId="0" xfId="63" applyNumberFormat="1" applyFont="1" applyFill="1" applyBorder="1" applyAlignment="1">
      <alignment horizontal="center" vertical="center" wrapText="1"/>
    </xf>
    <xf numFmtId="182" fontId="39" fillId="0" borderId="0" xfId="63" applyNumberFormat="1" applyFont="1" applyFill="1" applyBorder="1" applyAlignment="1">
      <alignment horizontal="center" vertical="center"/>
    </xf>
    <xf numFmtId="0" fontId="39" fillId="0" borderId="2" xfId="60" applyFont="1" applyFill="1" applyBorder="1" applyAlignment="1">
      <alignment horizontal="center" vertical="center" wrapText="1"/>
    </xf>
    <xf numFmtId="0" fontId="39" fillId="0" borderId="2" xfId="1" applyFont="1" applyFill="1" applyBorder="1" applyAlignment="1">
      <alignment horizontal="center" vertical="center" wrapText="1"/>
    </xf>
    <xf numFmtId="176" fontId="39" fillId="0" borderId="0" xfId="63" applyNumberFormat="1" applyFont="1" applyFill="1"/>
    <xf numFmtId="176" fontId="39" fillId="0" borderId="0" xfId="63" applyNumberFormat="1" applyFont="1" applyFill="1" applyAlignment="1">
      <alignment horizontal="left" vertical="center"/>
    </xf>
    <xf numFmtId="0" fontId="39" fillId="0" borderId="0" xfId="63" applyFont="1" applyFill="1" applyAlignment="1">
      <alignment horizontal="left" vertical="center"/>
    </xf>
    <xf numFmtId="0" fontId="39" fillId="0" borderId="0" xfId="63" applyFont="1" applyFill="1"/>
    <xf numFmtId="182" fontId="39" fillId="0" borderId="0" xfId="63" applyNumberFormat="1" applyFont="1" applyFill="1" applyAlignment="1">
      <alignment vertical="center"/>
    </xf>
    <xf numFmtId="0" fontId="39" fillId="0" borderId="0" xfId="63" applyFont="1" applyFill="1" applyAlignment="1">
      <alignment vertical="center"/>
    </xf>
    <xf numFmtId="0" fontId="2" fillId="0" borderId="0" xfId="63" applyFont="1" applyFill="1"/>
    <xf numFmtId="176" fontId="2" fillId="0" borderId="0" xfId="63" applyNumberFormat="1" applyFont="1" applyFill="1"/>
    <xf numFmtId="176" fontId="2" fillId="0" borderId="0" xfId="63" applyNumberFormat="1" applyFont="1" applyFill="1" applyAlignment="1">
      <alignment vertical="center"/>
    </xf>
    <xf numFmtId="0" fontId="2" fillId="0" borderId="0" xfId="63" applyFont="1" applyFill="1" applyAlignment="1">
      <alignment vertical="center"/>
    </xf>
    <xf numFmtId="180" fontId="39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80" fontId="39" fillId="0" borderId="3" xfId="0" applyNumberFormat="1" applyFont="1" applyFill="1" applyBorder="1" applyAlignment="1">
      <alignment horizontal="center" vertical="center"/>
    </xf>
    <xf numFmtId="180" fontId="39" fillId="0" borderId="22" xfId="0" applyNumberFormat="1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 wrapText="1"/>
    </xf>
    <xf numFmtId="180" fontId="39" fillId="0" borderId="3" xfId="0" applyNumberFormat="1" applyFont="1" applyFill="1" applyBorder="1" applyAlignment="1">
      <alignment horizontal="center" vertical="center" wrapText="1"/>
    </xf>
    <xf numFmtId="0" fontId="39" fillId="0" borderId="2" xfId="65" applyFont="1" applyFill="1" applyBorder="1" applyAlignment="1">
      <alignment horizontal="center" vertical="center" wrapText="1"/>
    </xf>
    <xf numFmtId="0" fontId="39" fillId="0" borderId="2" xfId="65" applyFont="1" applyFill="1" applyBorder="1" applyAlignment="1">
      <alignment horizontal="center" vertical="center"/>
    </xf>
    <xf numFmtId="180" fontId="39" fillId="0" borderId="2" xfId="65" applyNumberFormat="1" applyFont="1" applyFill="1" applyBorder="1" applyAlignment="1">
      <alignment horizontal="center" vertical="center" wrapText="1"/>
    </xf>
    <xf numFmtId="49" fontId="39" fillId="0" borderId="2" xfId="65" applyNumberFormat="1" applyFont="1" applyFill="1" applyBorder="1" applyAlignment="1">
      <alignment horizontal="center" vertical="center"/>
    </xf>
    <xf numFmtId="181" fontId="39" fillId="0" borderId="2" xfId="65" applyNumberFormat="1" applyFont="1" applyFill="1" applyBorder="1" applyAlignment="1">
      <alignment horizontal="center" vertical="center" wrapText="1"/>
    </xf>
    <xf numFmtId="180" fontId="39" fillId="0" borderId="2" xfId="60" applyNumberFormat="1" applyFont="1" applyFill="1" applyBorder="1" applyAlignment="1">
      <alignment horizontal="center" vertical="center" wrapText="1"/>
    </xf>
    <xf numFmtId="186" fontId="39" fillId="0" borderId="2" xfId="65" applyNumberFormat="1" applyFont="1" applyFill="1" applyBorder="1" applyAlignment="1">
      <alignment horizontal="center" vertical="center" wrapText="1"/>
    </xf>
    <xf numFmtId="180" fontId="39" fillId="0" borderId="2" xfId="65" applyNumberFormat="1" applyFont="1" applyFill="1" applyBorder="1" applyAlignment="1">
      <alignment horizontal="center" vertical="center"/>
    </xf>
    <xf numFmtId="186" fontId="39" fillId="0" borderId="2" xfId="59" applyNumberFormat="1" applyFont="1" applyFill="1" applyBorder="1" applyAlignment="1">
      <alignment horizontal="center" vertical="center" wrapText="1"/>
    </xf>
    <xf numFmtId="0" fontId="39" fillId="0" borderId="0" xfId="65" applyFont="1" applyFill="1" applyAlignment="1">
      <alignment horizontal="center" vertical="center"/>
    </xf>
    <xf numFmtId="0" fontId="39" fillId="0" borderId="2" xfId="60" applyFont="1" applyFill="1" applyBorder="1" applyAlignment="1">
      <alignment horizontal="center" vertical="center"/>
    </xf>
    <xf numFmtId="49" fontId="39" fillId="0" borderId="2" xfId="60" applyNumberFormat="1" applyFont="1" applyFill="1" applyBorder="1" applyAlignment="1">
      <alignment horizontal="center" vertical="center"/>
    </xf>
    <xf numFmtId="181" fontId="39" fillId="0" borderId="2" xfId="60" applyNumberFormat="1" applyFont="1" applyFill="1" applyBorder="1" applyAlignment="1">
      <alignment horizontal="center" vertical="center" wrapText="1"/>
    </xf>
    <xf numFmtId="186" fontId="39" fillId="0" borderId="2" xfId="60" applyNumberFormat="1" applyFont="1" applyFill="1" applyBorder="1" applyAlignment="1">
      <alignment horizontal="center" vertical="center" wrapText="1"/>
    </xf>
    <xf numFmtId="180" fontId="39" fillId="0" borderId="2" xfId="60" applyNumberFormat="1" applyFont="1" applyFill="1" applyBorder="1" applyAlignment="1">
      <alignment horizontal="center" vertical="center"/>
    </xf>
    <xf numFmtId="0" fontId="39" fillId="0" borderId="0" xfId="60" applyFont="1" applyFill="1" applyAlignment="1">
      <alignment horizontal="center" vertical="center"/>
    </xf>
    <xf numFmtId="49" fontId="39" fillId="0" borderId="2" xfId="60" applyNumberFormat="1" applyFont="1" applyFill="1" applyBorder="1" applyAlignment="1">
      <alignment horizontal="center" vertical="center" wrapText="1"/>
    </xf>
    <xf numFmtId="181" fontId="39" fillId="0" borderId="2" xfId="60" applyNumberFormat="1" applyFont="1" applyFill="1" applyBorder="1" applyAlignment="1">
      <alignment horizontal="center" vertical="center"/>
    </xf>
    <xf numFmtId="1" fontId="39" fillId="0" borderId="2" xfId="60" applyNumberFormat="1" applyFont="1" applyFill="1" applyBorder="1" applyAlignment="1">
      <alignment horizontal="center" vertical="center" wrapText="1"/>
    </xf>
    <xf numFmtId="1" fontId="39" fillId="0" borderId="2" xfId="60" applyNumberFormat="1" applyFont="1" applyFill="1" applyBorder="1" applyAlignment="1">
      <alignment horizontal="center" vertical="center"/>
    </xf>
    <xf numFmtId="181" fontId="39" fillId="0" borderId="2" xfId="61" applyNumberFormat="1" applyFont="1" applyFill="1" applyBorder="1" applyAlignment="1">
      <alignment horizontal="center" vertical="center" wrapText="1"/>
    </xf>
    <xf numFmtId="177" fontId="39" fillId="0" borderId="2" xfId="65" applyNumberFormat="1" applyFont="1" applyFill="1" applyBorder="1" applyAlignment="1">
      <alignment horizontal="center" vertical="center" wrapText="1"/>
    </xf>
    <xf numFmtId="0" fontId="39" fillId="0" borderId="2" xfId="60" applyFont="1" applyFill="1" applyBorder="1" applyAlignment="1">
      <alignment horizontal="center"/>
    </xf>
    <xf numFmtId="182" fontId="39" fillId="0" borderId="2" xfId="60" applyNumberFormat="1" applyFont="1" applyFill="1" applyBorder="1" applyAlignment="1">
      <alignment horizontal="center" vertical="center" wrapText="1"/>
    </xf>
    <xf numFmtId="0" fontId="39" fillId="0" borderId="2" xfId="1" applyFont="1" applyFill="1" applyBorder="1" applyAlignment="1">
      <alignment horizontal="center" vertical="center"/>
    </xf>
    <xf numFmtId="180" fontId="30" fillId="0" borderId="2" xfId="1" applyNumberFormat="1" applyFont="1" applyFill="1" applyBorder="1" applyAlignment="1">
      <alignment horizontal="center" vertical="center"/>
    </xf>
    <xf numFmtId="0" fontId="39" fillId="0" borderId="2" xfId="61" applyFont="1" applyFill="1" applyBorder="1" applyAlignment="1">
      <alignment horizontal="center" vertical="center" wrapText="1"/>
    </xf>
    <xf numFmtId="180" fontId="39" fillId="0" borderId="2" xfId="1" applyNumberFormat="1" applyFont="1" applyFill="1" applyBorder="1" applyAlignment="1">
      <alignment horizontal="center" vertical="center" wrapText="1"/>
    </xf>
    <xf numFmtId="181" fontId="39" fillId="0" borderId="2" xfId="1" applyNumberFormat="1" applyFont="1" applyFill="1" applyBorder="1" applyAlignment="1">
      <alignment horizontal="center" vertical="center" wrapText="1"/>
    </xf>
    <xf numFmtId="177" fontId="39" fillId="0" borderId="2" xfId="1" applyNumberFormat="1" applyFont="1" applyFill="1" applyBorder="1" applyAlignment="1">
      <alignment horizontal="center" vertical="center" wrapText="1"/>
    </xf>
    <xf numFmtId="0" fontId="39" fillId="0" borderId="2" xfId="1" applyNumberFormat="1" applyFont="1" applyFill="1" applyBorder="1" applyAlignment="1">
      <alignment horizontal="center" vertical="center" wrapText="1"/>
    </xf>
    <xf numFmtId="186" fontId="35" fillId="0" borderId="2" xfId="1" applyNumberFormat="1" applyFont="1" applyFill="1" applyBorder="1" applyAlignment="1">
      <alignment horizontal="center" vertical="center" wrapText="1"/>
    </xf>
    <xf numFmtId="0" fontId="39" fillId="0" borderId="2" xfId="59" applyFont="1" applyFill="1" applyBorder="1" applyAlignment="1">
      <alignment horizontal="center" vertical="center" wrapText="1"/>
    </xf>
    <xf numFmtId="0" fontId="41" fillId="0" borderId="0" xfId="1" applyFont="1" applyFill="1" applyAlignment="1">
      <alignment horizontal="center" vertical="center"/>
    </xf>
    <xf numFmtId="177" fontId="39" fillId="0" borderId="2" xfId="60" applyNumberFormat="1" applyFont="1" applyFill="1" applyBorder="1" applyAlignment="1">
      <alignment horizontal="center" vertical="center" wrapText="1"/>
    </xf>
    <xf numFmtId="181" fontId="6" fillId="0" borderId="2" xfId="60" applyNumberFormat="1" applyFont="1" applyFill="1" applyBorder="1" applyAlignment="1">
      <alignment horizontal="center" vertical="center" wrapText="1"/>
    </xf>
    <xf numFmtId="186" fontId="35" fillId="0" borderId="2" xfId="60" applyNumberFormat="1" applyFont="1" applyFill="1" applyBorder="1" applyAlignment="1">
      <alignment horizontal="center" vertical="center" wrapText="1"/>
    </xf>
    <xf numFmtId="0" fontId="39" fillId="0" borderId="2" xfId="62" applyFont="1" applyFill="1" applyBorder="1" applyAlignment="1">
      <alignment horizontal="center" vertical="center"/>
    </xf>
    <xf numFmtId="0" fontId="39" fillId="0" borderId="2" xfId="65" applyNumberFormat="1" applyFont="1" applyFill="1" applyBorder="1" applyAlignment="1">
      <alignment horizontal="center" vertical="center" wrapText="1"/>
    </xf>
    <xf numFmtId="186" fontId="39" fillId="0" borderId="2" xfId="1" applyNumberFormat="1" applyFont="1" applyFill="1" applyBorder="1" applyAlignment="1">
      <alignment horizontal="center" vertical="center" wrapText="1"/>
    </xf>
    <xf numFmtId="181" fontId="6" fillId="0" borderId="2" xfId="65" applyNumberFormat="1" applyFont="1" applyFill="1" applyBorder="1" applyAlignment="1">
      <alignment horizontal="center" vertical="center" wrapText="1"/>
    </xf>
    <xf numFmtId="0" fontId="39" fillId="0" borderId="1" xfId="1" applyFont="1" applyFill="1" applyBorder="1" applyAlignment="1">
      <alignment horizontal="center" vertical="center" wrapText="1"/>
    </xf>
    <xf numFmtId="180" fontId="39" fillId="0" borderId="1" xfId="1" applyNumberFormat="1" applyFont="1" applyFill="1" applyBorder="1" applyAlignment="1">
      <alignment horizontal="center" vertical="center" wrapText="1"/>
    </xf>
    <xf numFmtId="181" fontId="39" fillId="0" borderId="1" xfId="1" applyNumberFormat="1" applyFont="1" applyFill="1" applyBorder="1" applyAlignment="1">
      <alignment horizontal="center" vertical="center" wrapText="1"/>
    </xf>
    <xf numFmtId="0" fontId="39" fillId="0" borderId="1" xfId="1" applyFont="1" applyFill="1" applyBorder="1" applyAlignment="1">
      <alignment horizontal="center" vertical="center"/>
    </xf>
    <xf numFmtId="0" fontId="39" fillId="0" borderId="1" xfId="1" applyNumberFormat="1" applyFont="1" applyFill="1" applyBorder="1" applyAlignment="1">
      <alignment horizontal="center" vertical="center" wrapText="1"/>
    </xf>
    <xf numFmtId="186" fontId="35" fillId="0" borderId="1" xfId="1" applyNumberFormat="1" applyFont="1" applyFill="1" applyBorder="1" applyAlignment="1">
      <alignment horizontal="center" vertical="center" wrapText="1"/>
    </xf>
    <xf numFmtId="14" fontId="39" fillId="0" borderId="2" xfId="65" applyNumberFormat="1" applyFont="1" applyFill="1" applyBorder="1" applyAlignment="1">
      <alignment horizontal="center" vertical="center" wrapText="1"/>
    </xf>
    <xf numFmtId="49" fontId="39" fillId="0" borderId="2" xfId="1" applyNumberFormat="1" applyFont="1" applyFill="1" applyBorder="1" applyAlignment="1">
      <alignment horizontal="center" vertical="center" wrapText="1"/>
    </xf>
    <xf numFmtId="181" fontId="39" fillId="0" borderId="2" xfId="59" applyNumberFormat="1" applyFont="1" applyFill="1" applyBorder="1" applyAlignment="1">
      <alignment horizontal="center" vertical="center" wrapText="1"/>
    </xf>
    <xf numFmtId="186" fontId="39" fillId="0" borderId="2" xfId="60" applyNumberFormat="1" applyFont="1" applyFill="1" applyBorder="1" applyAlignment="1">
      <alignment horizontal="center" vertical="center"/>
    </xf>
    <xf numFmtId="180" fontId="39" fillId="0" borderId="2" xfId="59" applyNumberFormat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/>
    </xf>
    <xf numFmtId="0" fontId="41" fillId="0" borderId="0" xfId="59" applyFont="1" applyFill="1" applyBorder="1" applyAlignment="1">
      <alignment horizontal="center" vertical="center" wrapText="1"/>
    </xf>
    <xf numFmtId="186" fontId="39" fillId="0" borderId="2" xfId="65" applyNumberFormat="1" applyFont="1" applyFill="1" applyBorder="1" applyAlignment="1">
      <alignment horizontal="center" vertical="center"/>
    </xf>
    <xf numFmtId="181" fontId="39" fillId="0" borderId="2" xfId="65" applyNumberFormat="1" applyFont="1" applyFill="1" applyBorder="1" applyAlignment="1">
      <alignment horizontal="center" vertical="center"/>
    </xf>
    <xf numFmtId="0" fontId="39" fillId="0" borderId="2" xfId="7" applyFont="1" applyFill="1" applyBorder="1" applyAlignment="1">
      <alignment horizontal="center" vertical="center"/>
    </xf>
    <xf numFmtId="0" fontId="39" fillId="0" borderId="2" xfId="7" applyFont="1" applyFill="1" applyBorder="1" applyAlignment="1">
      <alignment horizontal="center" vertical="center" wrapText="1"/>
    </xf>
    <xf numFmtId="180" fontId="39" fillId="0" borderId="2" xfId="7" applyNumberFormat="1" applyFont="1" applyFill="1" applyBorder="1" applyAlignment="1">
      <alignment horizontal="center" vertical="center" wrapText="1"/>
    </xf>
    <xf numFmtId="49" fontId="39" fillId="0" borderId="2" xfId="7" applyNumberFormat="1" applyFont="1" applyFill="1" applyBorder="1" applyAlignment="1">
      <alignment horizontal="center" vertical="center" wrapText="1"/>
    </xf>
    <xf numFmtId="181" fontId="39" fillId="0" borderId="2" xfId="7" applyNumberFormat="1" applyFont="1" applyFill="1" applyBorder="1" applyAlignment="1">
      <alignment horizontal="center" vertical="center" wrapText="1"/>
    </xf>
    <xf numFmtId="181" fontId="39" fillId="0" borderId="2" xfId="7" applyNumberFormat="1" applyFont="1" applyFill="1" applyBorder="1" applyAlignment="1">
      <alignment horizontal="center" vertical="center"/>
    </xf>
    <xf numFmtId="0" fontId="41" fillId="0" borderId="0" xfId="7" applyFont="1" applyFill="1" applyAlignment="1">
      <alignment horizontal="center" vertical="center" wrapText="1"/>
    </xf>
    <xf numFmtId="0" fontId="39" fillId="0" borderId="2" xfId="61" applyFont="1" applyFill="1" applyBorder="1" applyAlignment="1">
      <alignment horizontal="center" vertical="center"/>
    </xf>
    <xf numFmtId="182" fontId="39" fillId="0" borderId="2" xfId="61" applyNumberFormat="1" applyFont="1" applyFill="1" applyBorder="1" applyAlignment="1">
      <alignment horizontal="center" vertical="center" wrapText="1"/>
    </xf>
    <xf numFmtId="180" fontId="39" fillId="0" borderId="2" xfId="61" applyNumberFormat="1" applyFont="1" applyFill="1" applyBorder="1" applyAlignment="1">
      <alignment horizontal="center" vertical="center" wrapText="1"/>
    </xf>
    <xf numFmtId="186" fontId="39" fillId="0" borderId="2" xfId="61" applyNumberFormat="1" applyFont="1" applyFill="1" applyBorder="1" applyAlignment="1">
      <alignment horizontal="center" vertical="center" wrapText="1"/>
    </xf>
    <xf numFmtId="0" fontId="41" fillId="0" borderId="0" xfId="61" applyFont="1" applyFill="1" applyAlignment="1">
      <alignment horizontal="center" vertical="center" wrapText="1"/>
    </xf>
    <xf numFmtId="0" fontId="41" fillId="0" borderId="0" xfId="1" applyFont="1" applyFill="1" applyAlignment="1">
      <alignment horizontal="center"/>
    </xf>
    <xf numFmtId="0" fontId="41" fillId="0" borderId="0" xfId="1" applyFont="1" applyFill="1"/>
    <xf numFmtId="180" fontId="39" fillId="0" borderId="0" xfId="65" applyNumberFormat="1" applyFont="1" applyFill="1" applyBorder="1" applyAlignment="1">
      <alignment horizontal="center" vertical="center" wrapText="1"/>
    </xf>
    <xf numFmtId="181" fontId="39" fillId="0" borderId="0" xfId="65" applyNumberFormat="1" applyFont="1" applyFill="1" applyBorder="1" applyAlignment="1">
      <alignment horizontal="center" vertical="center" wrapText="1"/>
    </xf>
    <xf numFmtId="180" fontId="39" fillId="0" borderId="0" xfId="65" applyNumberFormat="1" applyFont="1" applyFill="1" applyBorder="1" applyAlignment="1">
      <alignment horizontal="center" vertical="center"/>
    </xf>
    <xf numFmtId="0" fontId="39" fillId="0" borderId="0" xfId="65" applyFont="1" applyFill="1" applyBorder="1" applyAlignment="1">
      <alignment horizontal="center" vertical="center"/>
    </xf>
    <xf numFmtId="186" fontId="39" fillId="0" borderId="0" xfId="65" applyNumberFormat="1" applyFont="1" applyFill="1" applyBorder="1" applyAlignment="1">
      <alignment horizontal="center" vertical="center"/>
    </xf>
    <xf numFmtId="181" fontId="39" fillId="0" borderId="0" xfId="63" applyNumberFormat="1" applyFont="1" applyFill="1" applyAlignment="1">
      <alignment horizontal="center" vertical="center"/>
    </xf>
    <xf numFmtId="180" fontId="39" fillId="0" borderId="0" xfId="65" applyNumberFormat="1" applyFont="1" applyFill="1" applyAlignment="1">
      <alignment horizontal="center" vertical="center"/>
    </xf>
    <xf numFmtId="49" fontId="39" fillId="0" borderId="0" xfId="65" applyNumberFormat="1" applyFont="1" applyFill="1" applyAlignment="1">
      <alignment horizontal="center" vertical="center"/>
    </xf>
    <xf numFmtId="180" fontId="39" fillId="0" borderId="0" xfId="65" applyNumberFormat="1" applyFont="1" applyFill="1" applyAlignment="1">
      <alignment horizontal="center" vertical="center" wrapText="1"/>
    </xf>
    <xf numFmtId="181" fontId="39" fillId="0" borderId="0" xfId="65" applyNumberFormat="1" applyFont="1" applyFill="1" applyAlignment="1">
      <alignment horizontal="center" vertical="center"/>
    </xf>
    <xf numFmtId="0" fontId="39" fillId="0" borderId="0" xfId="65" applyFont="1" applyFill="1" applyAlignment="1">
      <alignment horizontal="center" vertical="center" wrapText="1"/>
    </xf>
    <xf numFmtId="186" fontId="39" fillId="0" borderId="0" xfId="65" applyNumberFormat="1" applyFont="1" applyFill="1" applyAlignment="1">
      <alignment horizontal="center" vertical="center" wrapText="1"/>
    </xf>
    <xf numFmtId="181" fontId="39" fillId="0" borderId="0" xfId="65" applyNumberFormat="1" applyFont="1" applyFill="1" applyAlignment="1">
      <alignment horizontal="center" vertical="center" wrapText="1"/>
    </xf>
    <xf numFmtId="0" fontId="30" fillId="0" borderId="23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vertical="center" wrapText="1"/>
    </xf>
    <xf numFmtId="0" fontId="30" fillId="0" borderId="21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182" fontId="30" fillId="0" borderId="1" xfId="0" applyNumberFormat="1" applyFont="1" applyFill="1" applyBorder="1" applyAlignment="1">
      <alignment horizontal="center" vertical="center" wrapText="1"/>
    </xf>
    <xf numFmtId="182" fontId="30" fillId="0" borderId="3" xfId="0" applyNumberFormat="1" applyFont="1" applyFill="1" applyBorder="1" applyAlignment="1">
      <alignment horizontal="center" vertical="center" wrapText="1"/>
    </xf>
    <xf numFmtId="180" fontId="30" fillId="0" borderId="2" xfId="1" applyNumberFormat="1" applyFont="1" applyFill="1" applyBorder="1" applyAlignment="1">
      <alignment horizontal="center" vertical="center" wrapText="1"/>
    </xf>
    <xf numFmtId="182" fontId="30" fillId="0" borderId="2" xfId="1" applyNumberFormat="1" applyFont="1" applyFill="1" applyBorder="1" applyAlignment="1">
      <alignment horizontal="center" vertical="center" wrapText="1"/>
    </xf>
    <xf numFmtId="185" fontId="30" fillId="0" borderId="2" xfId="1" applyNumberFormat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 wrapText="1"/>
    </xf>
    <xf numFmtId="0" fontId="41" fillId="0" borderId="0" xfId="1" applyFont="1" applyFill="1" applyBorder="1" applyAlignment="1">
      <alignment vertical="center"/>
    </xf>
    <xf numFmtId="0" fontId="41" fillId="0" borderId="2" xfId="1" applyFont="1" applyFill="1" applyBorder="1" applyAlignment="1">
      <alignment vertical="center"/>
    </xf>
    <xf numFmtId="180" fontId="30" fillId="0" borderId="2" xfId="1" applyNumberFormat="1" applyFont="1" applyFill="1" applyBorder="1" applyAlignment="1">
      <alignment vertical="center"/>
    </xf>
    <xf numFmtId="0" fontId="30" fillId="0" borderId="0" xfId="1" applyFont="1" applyFill="1" applyAlignment="1">
      <alignment horizontal="center" vertical="center" wrapText="1"/>
    </xf>
    <xf numFmtId="0" fontId="62" fillId="0" borderId="0" xfId="1" applyFont="1" applyFill="1" applyAlignment="1">
      <alignment horizontal="center" vertical="center" wrapText="1"/>
    </xf>
    <xf numFmtId="180" fontId="62" fillId="0" borderId="0" xfId="1" applyNumberFormat="1" applyFont="1" applyFill="1" applyAlignment="1">
      <alignment horizontal="center" vertical="center" wrapText="1"/>
    </xf>
    <xf numFmtId="0" fontId="30" fillId="0" borderId="25" xfId="1" applyFont="1" applyFill="1" applyBorder="1" applyAlignment="1">
      <alignment horizontal="center" vertical="center" wrapText="1"/>
    </xf>
    <xf numFmtId="180" fontId="30" fillId="0" borderId="25" xfId="1" applyNumberFormat="1" applyFont="1" applyFill="1" applyBorder="1" applyAlignment="1">
      <alignment horizontal="center" vertical="center" wrapText="1"/>
    </xf>
    <xf numFmtId="0" fontId="58" fillId="0" borderId="0" xfId="1" applyFont="1" applyFill="1" applyAlignment="1">
      <alignment horizontal="center" vertical="center" wrapText="1"/>
    </xf>
    <xf numFmtId="0" fontId="41" fillId="0" borderId="0" xfId="64" applyFont="1" applyFill="1" applyAlignment="1">
      <alignment horizontal="center" vertical="center" wrapText="1"/>
    </xf>
    <xf numFmtId="180" fontId="41" fillId="0" borderId="0" xfId="64" applyNumberFormat="1" applyFont="1" applyFill="1" applyAlignment="1">
      <alignment horizontal="center" vertical="center" wrapText="1"/>
    </xf>
    <xf numFmtId="182" fontId="41" fillId="0" borderId="0" xfId="64" applyNumberFormat="1" applyFont="1" applyFill="1" applyAlignment="1">
      <alignment horizontal="center" vertical="center" wrapText="1"/>
    </xf>
    <xf numFmtId="185" fontId="41" fillId="0" borderId="0" xfId="64" applyNumberFormat="1" applyFont="1" applyFill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/>
    </xf>
    <xf numFmtId="180" fontId="30" fillId="0" borderId="2" xfId="1" applyNumberFormat="1" applyFont="1" applyFill="1" applyBorder="1" applyAlignment="1">
      <alignment horizontal="center" vertical="center"/>
    </xf>
    <xf numFmtId="182" fontId="30" fillId="0" borderId="2" xfId="1" applyNumberFormat="1" applyFont="1" applyFill="1" applyBorder="1" applyAlignment="1">
      <alignment horizontal="center" vertical="center" wrapText="1"/>
    </xf>
    <xf numFmtId="185" fontId="30" fillId="0" borderId="2" xfId="1" applyNumberFormat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 wrapText="1"/>
    </xf>
    <xf numFmtId="180" fontId="30" fillId="0" borderId="2" xfId="1" applyNumberFormat="1" applyFont="1" applyFill="1" applyBorder="1" applyAlignment="1">
      <alignment horizontal="center" vertical="center" wrapText="1"/>
    </xf>
    <xf numFmtId="0" fontId="41" fillId="0" borderId="0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 wrapText="1"/>
    </xf>
    <xf numFmtId="0" fontId="62" fillId="0" borderId="0" xfId="1" applyFont="1" applyFill="1" applyBorder="1" applyAlignment="1">
      <alignment horizontal="center" vertical="center" wrapText="1"/>
    </xf>
    <xf numFmtId="180" fontId="62" fillId="0" borderId="0" xfId="1" applyNumberFormat="1" applyFont="1" applyFill="1" applyBorder="1" applyAlignment="1">
      <alignment horizontal="center" vertical="center" wrapText="1"/>
    </xf>
    <xf numFmtId="182" fontId="62" fillId="0" borderId="0" xfId="1" applyNumberFormat="1" applyFont="1" applyFill="1" applyBorder="1" applyAlignment="1">
      <alignment horizontal="center" vertical="center" wrapText="1"/>
    </xf>
    <xf numFmtId="180" fontId="30" fillId="0" borderId="0" xfId="1" applyNumberFormat="1" applyFont="1" applyFill="1" applyBorder="1" applyAlignment="1">
      <alignment horizontal="center" vertical="center" wrapText="1"/>
    </xf>
    <xf numFmtId="0" fontId="58" fillId="0" borderId="0" xfId="1" applyFont="1" applyFill="1" applyBorder="1" applyAlignment="1">
      <alignment horizontal="center" vertical="center" wrapText="1"/>
    </xf>
    <xf numFmtId="0" fontId="41" fillId="0" borderId="0" xfId="64" applyFont="1" applyFill="1" applyBorder="1" applyAlignment="1">
      <alignment vertical="center"/>
    </xf>
    <xf numFmtId="180" fontId="41" fillId="0" borderId="0" xfId="64" applyNumberFormat="1" applyFont="1" applyFill="1" applyBorder="1" applyAlignment="1">
      <alignment vertical="center" wrapText="1"/>
    </xf>
    <xf numFmtId="182" fontId="41" fillId="0" borderId="0" xfId="64" applyNumberFormat="1" applyFont="1" applyFill="1" applyBorder="1" applyAlignment="1">
      <alignment horizontal="center" vertical="center" wrapText="1"/>
    </xf>
    <xf numFmtId="185" fontId="41" fillId="0" borderId="0" xfId="64" applyNumberFormat="1" applyFont="1" applyFill="1" applyBorder="1" applyAlignment="1">
      <alignment vertical="center" wrapText="1"/>
    </xf>
    <xf numFmtId="180" fontId="41" fillId="0" borderId="0" xfId="64" applyNumberFormat="1" applyFont="1" applyFill="1" applyBorder="1" applyAlignment="1">
      <alignment horizontal="center" vertical="center" wrapText="1"/>
    </xf>
    <xf numFmtId="0" fontId="41" fillId="0" borderId="0" xfId="64" applyFont="1" applyFill="1" applyBorder="1" applyAlignment="1">
      <alignment horizontal="center" vertical="center"/>
    </xf>
    <xf numFmtId="180" fontId="41" fillId="0" borderId="0" xfId="64" applyNumberFormat="1" applyFont="1" applyFill="1" applyBorder="1" applyAlignment="1">
      <alignment vertical="center"/>
    </xf>
    <xf numFmtId="1" fontId="2" fillId="0" borderId="0" xfId="43" applyNumberFormat="1"/>
    <xf numFmtId="0" fontId="32" fillId="0" borderId="0" xfId="4" applyFont="1" applyFill="1" applyBorder="1" applyAlignment="1">
      <alignment horizontal="center" vertical="center"/>
    </xf>
    <xf numFmtId="0" fontId="34" fillId="0" borderId="30" xfId="43" applyFont="1" applyFill="1" applyBorder="1" applyAlignment="1" applyProtection="1">
      <alignment horizontal="center"/>
      <protection locked="0"/>
    </xf>
    <xf numFmtId="0" fontId="34" fillId="0" borderId="31" xfId="43" applyFont="1" applyFill="1" applyBorder="1" applyAlignment="1" applyProtection="1">
      <alignment horizontal="center"/>
      <protection locked="0"/>
    </xf>
    <xf numFmtId="0" fontId="34" fillId="0" borderId="32" xfId="43" applyFont="1" applyFill="1" applyBorder="1" applyAlignment="1" applyProtection="1">
      <alignment horizontal="center"/>
      <protection locked="0"/>
    </xf>
    <xf numFmtId="37" fontId="39" fillId="0" borderId="23" xfId="41" applyFont="1" applyFill="1" applyBorder="1" applyAlignment="1" applyProtection="1">
      <alignment horizontal="center"/>
      <protection locked="0"/>
    </xf>
    <xf numFmtId="37" fontId="39" fillId="0" borderId="24" xfId="41" applyFont="1" applyFill="1" applyBorder="1" applyAlignment="1" applyProtection="1">
      <alignment horizontal="center"/>
      <protection locked="0"/>
    </xf>
    <xf numFmtId="0" fontId="41" fillId="0" borderId="2" xfId="0" applyFont="1" applyFill="1" applyBorder="1" applyAlignment="1">
      <alignment horizontal="center" vertical="center" wrapText="1"/>
    </xf>
    <xf numFmtId="176" fontId="39" fillId="0" borderId="2" xfId="63" applyNumberFormat="1" applyFont="1" applyFill="1" applyBorder="1" applyAlignment="1">
      <alignment horizontal="center" vertical="center"/>
    </xf>
    <xf numFmtId="176" fontId="39" fillId="0" borderId="2" xfId="60" applyNumberFormat="1" applyFont="1" applyFill="1" applyBorder="1" applyAlignment="1">
      <alignment horizontal="center" vertical="center" wrapText="1"/>
    </xf>
    <xf numFmtId="176" fontId="39" fillId="0" borderId="2" xfId="60" applyNumberFormat="1" applyFont="1" applyFill="1" applyBorder="1" applyAlignment="1">
      <alignment horizontal="center" vertical="center"/>
    </xf>
    <xf numFmtId="176" fontId="39" fillId="0" borderId="2" xfId="63" applyNumberFormat="1" applyFont="1" applyFill="1" applyBorder="1" applyAlignment="1">
      <alignment horizontal="center" vertical="center" wrapText="1"/>
    </xf>
    <xf numFmtId="176" fontId="39" fillId="0" borderId="2" xfId="1" applyNumberFormat="1" applyFont="1" applyFill="1" applyBorder="1" applyAlignment="1">
      <alignment horizontal="center" vertical="center" wrapText="1"/>
    </xf>
    <xf numFmtId="176" fontId="39" fillId="0" borderId="2" xfId="1" applyNumberFormat="1" applyFont="1" applyFill="1" applyBorder="1" applyAlignment="1">
      <alignment horizontal="center" vertical="center"/>
    </xf>
    <xf numFmtId="182" fontId="39" fillId="0" borderId="2" xfId="63" applyNumberFormat="1" applyFont="1" applyFill="1" applyBorder="1" applyAlignment="1">
      <alignment horizontal="center" vertical="center" wrapText="1"/>
    </xf>
    <xf numFmtId="49" fontId="39" fillId="0" borderId="2" xfId="63" applyNumberFormat="1" applyFont="1" applyFill="1" applyBorder="1" applyAlignment="1">
      <alignment horizontal="center" vertical="center" wrapText="1"/>
    </xf>
    <xf numFmtId="180" fontId="39" fillId="0" borderId="23" xfId="63" applyNumberFormat="1" applyFont="1" applyFill="1" applyBorder="1" applyAlignment="1">
      <alignment horizontal="center" vertical="center"/>
    </xf>
    <xf numFmtId="180" fontId="39" fillId="0" borderId="24" xfId="63" applyNumberFormat="1" applyFont="1" applyFill="1" applyBorder="1" applyAlignment="1">
      <alignment horizontal="center" vertical="center"/>
    </xf>
    <xf numFmtId="180" fontId="39" fillId="0" borderId="21" xfId="63" applyNumberFormat="1" applyFont="1" applyFill="1" applyBorder="1" applyAlignment="1">
      <alignment horizontal="center" vertical="center"/>
    </xf>
    <xf numFmtId="182" fontId="39" fillId="0" borderId="23" xfId="63" applyNumberFormat="1" applyFont="1" applyFill="1" applyBorder="1" applyAlignment="1">
      <alignment horizontal="center" vertical="center"/>
    </xf>
    <xf numFmtId="182" fontId="39" fillId="0" borderId="24" xfId="63" applyNumberFormat="1" applyFont="1" applyFill="1" applyBorder="1" applyAlignment="1">
      <alignment horizontal="center" vertical="center"/>
    </xf>
    <xf numFmtId="182" fontId="39" fillId="0" borderId="21" xfId="63" applyNumberFormat="1" applyFont="1" applyFill="1" applyBorder="1" applyAlignment="1">
      <alignment horizontal="center" vertical="center"/>
    </xf>
    <xf numFmtId="176" fontId="39" fillId="0" borderId="23" xfId="63" applyNumberFormat="1" applyFont="1" applyFill="1" applyBorder="1" applyAlignment="1">
      <alignment horizontal="center" vertical="center"/>
    </xf>
    <xf numFmtId="176" fontId="39" fillId="0" borderId="24" xfId="63" applyNumberFormat="1" applyFont="1" applyFill="1" applyBorder="1" applyAlignment="1">
      <alignment horizontal="center" vertical="center"/>
    </xf>
    <xf numFmtId="176" fontId="39" fillId="0" borderId="21" xfId="63" applyNumberFormat="1" applyFont="1" applyFill="1" applyBorder="1" applyAlignment="1">
      <alignment horizontal="center" vertical="center"/>
    </xf>
    <xf numFmtId="0" fontId="39" fillId="0" borderId="2" xfId="60" applyFont="1" applyFill="1" applyBorder="1" applyAlignment="1">
      <alignment horizontal="center" vertical="center" wrapText="1"/>
    </xf>
    <xf numFmtId="0" fontId="39" fillId="0" borderId="2" xfId="1" applyFont="1" applyFill="1" applyBorder="1" applyAlignment="1">
      <alignment horizontal="center" vertical="center" wrapText="1"/>
    </xf>
    <xf numFmtId="0" fontId="39" fillId="0" borderId="2" xfId="1" applyFont="1" applyFill="1" applyBorder="1" applyAlignment="1">
      <alignment horizontal="center" vertical="center"/>
    </xf>
    <xf numFmtId="0" fontId="39" fillId="0" borderId="2" xfId="65" applyFont="1" applyFill="1" applyBorder="1" applyAlignment="1">
      <alignment horizontal="center" vertical="center" wrapText="1"/>
    </xf>
    <xf numFmtId="0" fontId="39" fillId="0" borderId="2" xfId="60" applyFont="1" applyFill="1" applyBorder="1" applyAlignment="1">
      <alignment horizontal="center" vertical="center"/>
    </xf>
    <xf numFmtId="182" fontId="39" fillId="0" borderId="2" xfId="61" applyNumberFormat="1" applyFont="1" applyFill="1" applyBorder="1" applyAlignment="1">
      <alignment horizontal="center" vertical="center" wrapText="1"/>
    </xf>
    <xf numFmtId="0" fontId="39" fillId="0" borderId="2" xfId="65" applyFont="1" applyFill="1" applyBorder="1" applyAlignment="1">
      <alignment horizontal="center" vertical="center"/>
    </xf>
    <xf numFmtId="0" fontId="39" fillId="0" borderId="2" xfId="62" applyFont="1" applyFill="1" applyBorder="1" applyAlignment="1">
      <alignment horizontal="center" vertical="center"/>
    </xf>
    <xf numFmtId="0" fontId="39" fillId="0" borderId="2" xfId="59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80" fontId="39" fillId="0" borderId="21" xfId="0" applyNumberFormat="1" applyFont="1" applyFill="1" applyBorder="1" applyAlignment="1">
      <alignment horizontal="center" vertical="center" wrapText="1"/>
    </xf>
    <xf numFmtId="181" fontId="39" fillId="0" borderId="2" xfId="0" applyNumberFormat="1" applyFont="1" applyFill="1" applyBorder="1" applyAlignment="1">
      <alignment horizontal="center" vertical="center" wrapText="1"/>
    </xf>
    <xf numFmtId="180" fontId="39" fillId="0" borderId="2" xfId="0" applyNumberFormat="1" applyFont="1" applyFill="1" applyBorder="1" applyAlignment="1">
      <alignment horizontal="center" vertical="center" wrapText="1"/>
    </xf>
    <xf numFmtId="185" fontId="39" fillId="0" borderId="2" xfId="0" applyNumberFormat="1" applyFont="1" applyFill="1" applyBorder="1" applyAlignment="1">
      <alignment horizontal="center" vertical="center" wrapText="1"/>
    </xf>
    <xf numFmtId="186" fontId="39" fillId="0" borderId="2" xfId="0" applyNumberFormat="1" applyFont="1" applyFill="1" applyBorder="1" applyAlignment="1">
      <alignment horizontal="center" vertical="center" wrapText="1"/>
    </xf>
    <xf numFmtId="0" fontId="39" fillId="0" borderId="14" xfId="0" applyFont="1" applyFill="1" applyBorder="1" applyAlignment="1">
      <alignment horizontal="center" vertical="center" wrapText="1"/>
    </xf>
    <xf numFmtId="180" fontId="39" fillId="0" borderId="1" xfId="0" applyNumberFormat="1" applyFont="1" applyFill="1" applyBorder="1" applyAlignment="1">
      <alignment horizontal="center" vertical="center" wrapText="1"/>
    </xf>
    <xf numFmtId="180" fontId="39" fillId="0" borderId="33" xfId="0" applyNumberFormat="1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/>
    </xf>
    <xf numFmtId="180" fontId="39" fillId="0" borderId="28" xfId="0" applyNumberFormat="1" applyFont="1" applyFill="1" applyBorder="1" applyAlignment="1">
      <alignment horizontal="center" vertical="center" wrapText="1"/>
    </xf>
    <xf numFmtId="0" fontId="39" fillId="0" borderId="27" xfId="65" applyFont="1" applyFill="1" applyBorder="1" applyAlignment="1">
      <alignment horizontal="center" vertical="center"/>
    </xf>
    <xf numFmtId="0" fontId="39" fillId="0" borderId="29" xfId="65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 wrapText="1"/>
    </xf>
    <xf numFmtId="0" fontId="39" fillId="0" borderId="30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182" fontId="39" fillId="0" borderId="2" xfId="0" applyNumberFormat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/>
    </xf>
    <xf numFmtId="180" fontId="30" fillId="0" borderId="2" xfId="1" applyNumberFormat="1" applyFont="1" applyFill="1" applyBorder="1" applyAlignment="1">
      <alignment horizontal="center" vertical="center"/>
    </xf>
    <xf numFmtId="182" fontId="30" fillId="0" borderId="26" xfId="0" applyNumberFormat="1" applyFont="1" applyFill="1" applyBorder="1" applyAlignment="1">
      <alignment horizontal="center" vertical="center" wrapText="1"/>
    </xf>
    <xf numFmtId="182" fontId="30" fillId="0" borderId="27" xfId="0" applyNumberFormat="1" applyFont="1" applyFill="1" applyBorder="1" applyAlignment="1">
      <alignment horizontal="center" vertical="center" wrapText="1"/>
    </xf>
    <xf numFmtId="182" fontId="30" fillId="0" borderId="22" xfId="0" applyNumberFormat="1" applyFont="1" applyFill="1" applyBorder="1" applyAlignment="1">
      <alignment horizontal="center" vertical="center" wrapText="1"/>
    </xf>
    <xf numFmtId="182" fontId="30" fillId="0" borderId="34" xfId="0" applyNumberFormat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180" fontId="30" fillId="0" borderId="25" xfId="1" applyNumberFormat="1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180" fontId="30" fillId="0" borderId="0" xfId="1" applyNumberFormat="1" applyFont="1" applyFill="1" applyBorder="1" applyAlignment="1">
      <alignment horizontal="center" vertical="center" wrapText="1"/>
    </xf>
  </cellXfs>
  <cellStyles count="83">
    <cellStyle name="_2011年苏里格气田西一区盒8层位储量附表-测井（新）" xfId="2"/>
    <cellStyle name="_2012年老井试油调查结果（汇总-最新）" xfId="3"/>
    <cellStyle name="_DM-JIYUAN Reserve Parameter table-0831" xfId="4"/>
    <cellStyle name="_ET_STYLE_NoName_00_" xfId="5"/>
    <cellStyle name="_ET_STYLE_NoName_00__2012年下古探明储量附表9月17日" xfId="6"/>
    <cellStyle name="_ET_STYLE_NoName_00__2013年探明储量附表" xfId="7"/>
    <cellStyle name="_ET_STYLE_NoName_00__2013年新增天然气储量结果表" xfId="8"/>
    <cellStyle name="_ET_STYLE_NoName_00__分公司剩余预测储量分类评价成果报告附表－2012.8.12" xfId="9"/>
    <cellStyle name="_ET_STYLE_NoName_00__上半年三级储量落实" xfId="10"/>
    <cellStyle name="_ET_STYLE_NoName_00__试气表" xfId="11"/>
    <cellStyle name="_附件C-xx油区-xx油气田-parameter-2007" xfId="12"/>
    <cellStyle name="_气储量综合数据表-带参数2009.10.19" xfId="13"/>
    <cellStyle name="_现场情况（油探、评价）" xfId="14"/>
    <cellStyle name="0,0_x000d__x000a_NA_x000d__x000a_" xfId="15"/>
    <cellStyle name="1293" xfId="16"/>
    <cellStyle name="1357" xfId="17"/>
    <cellStyle name="20% - 强调文字颜色 1" xfId="18"/>
    <cellStyle name="20% - 强调文字颜色 2" xfId="19"/>
    <cellStyle name="20% - 强调文字颜色 3" xfId="20"/>
    <cellStyle name="20% - 强调文字颜色 4" xfId="21"/>
    <cellStyle name="20% - 强调文字颜色 5" xfId="22"/>
    <cellStyle name="20% - 强调文字颜色 6" xfId="23"/>
    <cellStyle name="40% - 强调文字颜色 1" xfId="24"/>
    <cellStyle name="40% - 强调文字颜色 2" xfId="25"/>
    <cellStyle name="40% - 强调文字颜色 3" xfId="26"/>
    <cellStyle name="40% - 强调文字颜色 4" xfId="27"/>
    <cellStyle name="40% - 强调文字颜色 5" xfId="28"/>
    <cellStyle name="40% - 强调文字颜色 6" xfId="29"/>
    <cellStyle name="5761" xfId="30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9842" xfId="37"/>
    <cellStyle name="custom4_10" xfId="38"/>
    <cellStyle name="Euro" xfId="39"/>
    <cellStyle name="Normal" xfId="40"/>
    <cellStyle name="Normal_gas field template" xfId="41"/>
    <cellStyle name="s]_x000d__x000a_load=_x000d__x000a_run=_x000d__x000a_Beep=yes_x000d__x000a_NullPort=None_x000d__x000a_BorderWidth=3_x000d__x000a_CursorBlinkRate=530_x000d__x000a_DoubleClickSpeed=452_x000d__x000a_Programs=com exe ba" xfId="42"/>
    <cellStyle name="Style 1" xfId="43"/>
    <cellStyle name="标题" xfId="44" builtinId="15" customBuiltin="1"/>
    <cellStyle name="标题 1" xfId="45" builtinId="16" customBuiltin="1"/>
    <cellStyle name="标题 2" xfId="46" builtinId="17" customBuiltin="1"/>
    <cellStyle name="标题 3" xfId="47" builtinId="18" customBuiltin="1"/>
    <cellStyle name="标题 4" xfId="48" builtinId="19" customBuiltin="1"/>
    <cellStyle name="差" xfId="49" builtinId="27" customBuiltin="1"/>
    <cellStyle name="常规" xfId="0" builtinId="0"/>
    <cellStyle name="常规 10" xfId="50"/>
    <cellStyle name="常规 2" xfId="51"/>
    <cellStyle name="常规 3" xfId="52"/>
    <cellStyle name="常规 4" xfId="53"/>
    <cellStyle name="常规 5" xfId="54"/>
    <cellStyle name="常规 6" xfId="55"/>
    <cellStyle name="常规 7" xfId="56"/>
    <cellStyle name="常规 8" xfId="57"/>
    <cellStyle name="常规 9" xfId="58"/>
    <cellStyle name="常规_2010苏里格天然气勘探项目试气周报12" xfId="59"/>
    <cellStyle name="常规_2013年探明储量附表" xfId="60"/>
    <cellStyle name="常规_Sheet1" xfId="61"/>
    <cellStyle name="常规_Sheet2_2013年探明储量附表" xfId="62"/>
    <cellStyle name="常规_表1分层-zyy" xfId="63"/>
    <cellStyle name="常规_苏里格西二区储量附表（最新）" xfId="64"/>
    <cellStyle name="常规_苏里格西附表_总" xfId="65"/>
    <cellStyle name="好" xfId="66" builtinId="26" customBuiltin="1"/>
    <cellStyle name="汇总" xfId="67" builtinId="25" customBuiltin="1"/>
    <cellStyle name="计算" xfId="68" builtinId="22" customBuiltin="1"/>
    <cellStyle name="检查单元格" xfId="69" builtinId="23" customBuiltin="1"/>
    <cellStyle name="解释性文本" xfId="70" builtinId="53" customBuiltin="1"/>
    <cellStyle name="警告文本" xfId="71" builtinId="11" customBuiltin="1"/>
    <cellStyle name="链接单元格" xfId="72" builtinId="24" customBuiltin="1"/>
    <cellStyle name="强调文字颜色 1" xfId="73"/>
    <cellStyle name="强调文字颜色 2" xfId="74"/>
    <cellStyle name="强调文字颜色 3" xfId="75"/>
    <cellStyle name="强调文字颜色 4" xfId="76"/>
    <cellStyle name="强调文字颜色 5" xfId="77"/>
    <cellStyle name="强调文字颜色 6" xfId="78"/>
    <cellStyle name="适中" xfId="79" builtinId="28" customBuiltin="1"/>
    <cellStyle name="输出" xfId="80" builtinId="21" customBuiltin="1"/>
    <cellStyle name="输入" xfId="81" builtinId="20" customBuiltin="1"/>
    <cellStyle name="样式 1" xfId="1"/>
    <cellStyle name="注释" xfId="82" builtinId="10" customBuiltin="1"/>
  </cellStyles>
  <dxfs count="1">
    <dxf>
      <font>
        <condense val="0"/>
        <extend val="0"/>
        <color indexed="5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57"/>
  <sheetViews>
    <sheetView tabSelected="1" zoomScale="85" workbookViewId="0">
      <selection activeCell="K30" sqref="K30"/>
    </sheetView>
  </sheetViews>
  <sheetFormatPr defaultRowHeight="15.75"/>
  <cols>
    <col min="1" max="1" width="37.25" style="88" customWidth="1"/>
    <col min="2" max="2" width="26.25" style="88" customWidth="1"/>
    <col min="3" max="3" width="12.125" style="45" customWidth="1"/>
    <col min="4" max="4" width="11" style="45" customWidth="1"/>
    <col min="5" max="5" width="12.125" style="45" customWidth="1"/>
    <col min="6" max="6" width="11" style="45" customWidth="1"/>
    <col min="7" max="8" width="12.125" style="45" customWidth="1"/>
    <col min="9" max="9" width="11.375" style="7" customWidth="1"/>
    <col min="10" max="16384" width="9" style="8"/>
  </cols>
  <sheetData>
    <row r="1" spans="1:9" s="2" customFormat="1" ht="21" customHeight="1">
      <c r="A1" s="1" t="s">
        <v>161</v>
      </c>
      <c r="B1" s="1"/>
      <c r="C1" s="1"/>
      <c r="D1" s="1"/>
      <c r="E1" s="1"/>
      <c r="F1" s="1"/>
      <c r="G1" s="1"/>
      <c r="H1" s="1"/>
      <c r="I1" s="1"/>
    </row>
    <row r="2" spans="1:9" s="2" customFormat="1" ht="23.25" customHeight="1">
      <c r="A2" s="274" t="s">
        <v>162</v>
      </c>
      <c r="B2" s="274"/>
      <c r="C2" s="274"/>
      <c r="D2" s="274"/>
      <c r="E2" s="274"/>
      <c r="F2" s="274"/>
      <c r="G2" s="274"/>
      <c r="H2" s="274"/>
      <c r="I2" s="274"/>
    </row>
    <row r="3" spans="1:9" ht="16.5" thickBot="1">
      <c r="A3" s="3"/>
      <c r="B3" s="4"/>
      <c r="C3" s="5" t="s">
        <v>163</v>
      </c>
      <c r="D3" s="6"/>
      <c r="E3" s="5"/>
      <c r="F3" s="6"/>
      <c r="G3" s="5"/>
      <c r="H3" s="5"/>
    </row>
    <row r="4" spans="1:9" ht="15">
      <c r="A4" s="9" t="s">
        <v>164</v>
      </c>
      <c r="B4" s="10" t="s">
        <v>165</v>
      </c>
      <c r="C4" s="275" t="s">
        <v>166</v>
      </c>
      <c r="D4" s="276"/>
      <c r="E4" s="276"/>
      <c r="F4" s="276"/>
      <c r="G4" s="276"/>
      <c r="H4" s="276"/>
      <c r="I4" s="277"/>
    </row>
    <row r="5" spans="1:9" ht="15.75" customHeight="1">
      <c r="A5" s="11" t="s">
        <v>0</v>
      </c>
      <c r="B5" s="12" t="s">
        <v>1</v>
      </c>
      <c r="C5" s="278" t="s">
        <v>167</v>
      </c>
      <c r="D5" s="279"/>
      <c r="E5" s="279"/>
      <c r="F5" s="279"/>
      <c r="G5" s="279"/>
      <c r="H5" s="279"/>
      <c r="I5" s="13"/>
    </row>
    <row r="6" spans="1:9">
      <c r="A6" s="11" t="s">
        <v>168</v>
      </c>
      <c r="B6" s="14" t="s">
        <v>169</v>
      </c>
      <c r="C6" s="15" t="s">
        <v>170</v>
      </c>
      <c r="D6" s="15" t="s">
        <v>171</v>
      </c>
      <c r="E6" s="15" t="s">
        <v>172</v>
      </c>
      <c r="F6" s="15" t="s">
        <v>170</v>
      </c>
      <c r="G6" s="15" t="s">
        <v>171</v>
      </c>
      <c r="H6" s="15" t="s">
        <v>172</v>
      </c>
      <c r="I6" s="16"/>
    </row>
    <row r="7" spans="1:9" ht="15">
      <c r="A7" s="11" t="s">
        <v>2</v>
      </c>
      <c r="B7" s="14" t="s">
        <v>173</v>
      </c>
      <c r="C7" s="17" t="s">
        <v>3</v>
      </c>
      <c r="D7" s="17" t="s">
        <v>174</v>
      </c>
      <c r="E7" s="17" t="s">
        <v>3</v>
      </c>
      <c r="F7" s="17" t="s">
        <v>175</v>
      </c>
      <c r="G7" s="17" t="s">
        <v>175</v>
      </c>
      <c r="H7" s="17" t="s">
        <v>175</v>
      </c>
      <c r="I7" s="18" t="s">
        <v>4</v>
      </c>
    </row>
    <row r="8" spans="1:9">
      <c r="A8" s="19" t="s">
        <v>176</v>
      </c>
      <c r="B8" s="14" t="s">
        <v>177</v>
      </c>
      <c r="C8" s="20">
        <v>3589.37</v>
      </c>
      <c r="D8" s="20">
        <v>3627.04</v>
      </c>
      <c r="E8" s="20">
        <v>3601.21</v>
      </c>
      <c r="F8" s="20">
        <v>3640.19</v>
      </c>
      <c r="G8" s="20">
        <v>3661.74</v>
      </c>
      <c r="H8" s="20">
        <v>3623.58</v>
      </c>
      <c r="I8" s="21"/>
    </row>
    <row r="9" spans="1:9">
      <c r="A9" s="22" t="s">
        <v>5</v>
      </c>
      <c r="B9" s="12" t="s">
        <v>178</v>
      </c>
      <c r="C9" s="23">
        <v>8</v>
      </c>
      <c r="D9" s="23">
        <v>7.7</v>
      </c>
      <c r="E9" s="23">
        <v>7.6</v>
      </c>
      <c r="F9" s="23">
        <v>7.1</v>
      </c>
      <c r="G9" s="23">
        <v>7</v>
      </c>
      <c r="H9" s="23">
        <v>7.1</v>
      </c>
      <c r="I9" s="21"/>
    </row>
    <row r="10" spans="1:9">
      <c r="A10" s="22" t="s">
        <v>6</v>
      </c>
      <c r="B10" s="12" t="s">
        <v>179</v>
      </c>
      <c r="C10" s="23">
        <v>39.4</v>
      </c>
      <c r="D10" s="23">
        <v>40.299999999999997</v>
      </c>
      <c r="E10" s="23">
        <v>40.6</v>
      </c>
      <c r="F10" s="23">
        <v>42.3</v>
      </c>
      <c r="G10" s="23">
        <v>42.7</v>
      </c>
      <c r="H10" s="23">
        <v>42.3</v>
      </c>
      <c r="I10" s="24"/>
    </row>
    <row r="11" spans="1:9">
      <c r="A11" s="22" t="s">
        <v>7</v>
      </c>
      <c r="B11" s="25" t="s">
        <v>180</v>
      </c>
      <c r="C11" s="26">
        <v>0.93100000000000005</v>
      </c>
      <c r="D11" s="26">
        <v>0.93100000000000005</v>
      </c>
      <c r="E11" s="26">
        <v>0.93100000000000005</v>
      </c>
      <c r="F11" s="26">
        <v>0.53700000000000003</v>
      </c>
      <c r="G11" s="26">
        <v>0.53700000000000003</v>
      </c>
      <c r="H11" s="26">
        <v>0.53700000000000003</v>
      </c>
      <c r="I11" s="24"/>
    </row>
    <row r="12" spans="1:9" ht="18">
      <c r="A12" s="27" t="s">
        <v>181</v>
      </c>
      <c r="B12" s="12" t="s">
        <v>182</v>
      </c>
      <c r="C12" s="28">
        <v>112.17</v>
      </c>
      <c r="D12" s="28">
        <v>113.32</v>
      </c>
      <c r="E12" s="28">
        <v>112.53</v>
      </c>
      <c r="F12" s="28">
        <v>113.72</v>
      </c>
      <c r="G12" s="28">
        <v>114.37</v>
      </c>
      <c r="H12" s="28">
        <v>113.21</v>
      </c>
      <c r="I12" s="24"/>
    </row>
    <row r="13" spans="1:9" ht="18">
      <c r="A13" s="27" t="s">
        <v>183</v>
      </c>
      <c r="B13" s="12"/>
      <c r="C13" s="29">
        <f t="shared" ref="C13:H13" si="0">9/5*C12+32</f>
        <v>233.90600000000001</v>
      </c>
      <c r="D13" s="29">
        <f t="shared" si="0"/>
        <v>235.976</v>
      </c>
      <c r="E13" s="29">
        <f t="shared" si="0"/>
        <v>234.554</v>
      </c>
      <c r="F13" s="29">
        <f t="shared" si="0"/>
        <v>236.696</v>
      </c>
      <c r="G13" s="29">
        <f t="shared" si="0"/>
        <v>237.86600000000001</v>
      </c>
      <c r="H13" s="29">
        <f t="shared" si="0"/>
        <v>235.77799999999999</v>
      </c>
      <c r="I13" s="30"/>
    </row>
    <row r="14" spans="1:9">
      <c r="A14" s="27" t="s">
        <v>8</v>
      </c>
      <c r="B14" s="12" t="s">
        <v>184</v>
      </c>
      <c r="C14" s="31">
        <v>30.402000000000001</v>
      </c>
      <c r="D14" s="31">
        <v>30.326000000000001</v>
      </c>
      <c r="E14" s="31">
        <v>30.370999999999999</v>
      </c>
      <c r="F14" s="31">
        <v>30.626000000000001</v>
      </c>
      <c r="G14" s="31">
        <v>30.693000000000001</v>
      </c>
      <c r="H14" s="31">
        <v>30.635000000000002</v>
      </c>
      <c r="I14" s="30"/>
    </row>
    <row r="15" spans="1:9">
      <c r="A15" s="27" t="s">
        <v>9</v>
      </c>
      <c r="B15" s="12"/>
      <c r="C15" s="29">
        <f t="shared" ref="C15:H15" si="1">C14*145.0371</f>
        <v>4409.4179142000003</v>
      </c>
      <c r="D15" s="29">
        <f t="shared" si="1"/>
        <v>4398.3950946000004</v>
      </c>
      <c r="E15" s="29">
        <f t="shared" si="1"/>
        <v>4404.9217641000005</v>
      </c>
      <c r="F15" s="29">
        <f t="shared" si="1"/>
        <v>4441.9062246000003</v>
      </c>
      <c r="G15" s="29">
        <f t="shared" si="1"/>
        <v>4451.6237103000003</v>
      </c>
      <c r="H15" s="29">
        <f t="shared" si="1"/>
        <v>4443.2115585000001</v>
      </c>
      <c r="I15" s="30"/>
    </row>
    <row r="16" spans="1:9">
      <c r="A16" s="22" t="s">
        <v>10</v>
      </c>
      <c r="B16" s="12" t="s">
        <v>11</v>
      </c>
      <c r="C16" s="32">
        <v>0.58889999999999998</v>
      </c>
      <c r="D16" s="32">
        <v>0.58889999999999998</v>
      </c>
      <c r="E16" s="32">
        <v>0.58889999999999998</v>
      </c>
      <c r="F16" s="32">
        <v>0.59630000000000005</v>
      </c>
      <c r="G16" s="32">
        <v>0.59630000000000005</v>
      </c>
      <c r="H16" s="32">
        <v>0.59630000000000005</v>
      </c>
      <c r="I16" s="33"/>
    </row>
    <row r="17" spans="1:11">
      <c r="A17" s="22" t="s">
        <v>12</v>
      </c>
      <c r="B17" s="12" t="s">
        <v>13</v>
      </c>
      <c r="C17" s="34">
        <v>1</v>
      </c>
      <c r="D17" s="34">
        <v>0.995</v>
      </c>
      <c r="E17" s="34">
        <v>0.99399999999999999</v>
      </c>
      <c r="F17" s="34">
        <v>1.002</v>
      </c>
      <c r="G17" s="34">
        <v>0.997</v>
      </c>
      <c r="H17" s="34">
        <v>0.995</v>
      </c>
      <c r="I17" s="35"/>
    </row>
    <row r="18" spans="1:11">
      <c r="A18" s="22" t="s">
        <v>14</v>
      </c>
      <c r="B18" s="12" t="s">
        <v>15</v>
      </c>
      <c r="C18" s="36">
        <f t="shared" ref="C18:H18" si="2">14.696*C17*(C13+460)/((68+460)*C15)</f>
        <v>4.3801058043971049E-3</v>
      </c>
      <c r="D18" s="36">
        <f t="shared" si="2"/>
        <v>4.3821609758667801E-3</v>
      </c>
      <c r="E18" s="36">
        <f t="shared" si="2"/>
        <v>4.3623391086325229E-3</v>
      </c>
      <c r="F18" s="36">
        <f t="shared" si="2"/>
        <v>4.3742829680628184E-3</v>
      </c>
      <c r="G18" s="36">
        <f t="shared" si="2"/>
        <v>4.3502475611746898E-3</v>
      </c>
      <c r="H18" s="36">
        <f t="shared" si="2"/>
        <v>4.3367261813446233E-3</v>
      </c>
      <c r="I18" s="35"/>
    </row>
    <row r="19" spans="1:11">
      <c r="A19" s="22" t="s">
        <v>16</v>
      </c>
      <c r="B19" s="12" t="s">
        <v>17</v>
      </c>
      <c r="C19" s="37">
        <v>305</v>
      </c>
      <c r="D19" s="37">
        <v>101</v>
      </c>
      <c r="E19" s="37">
        <v>12</v>
      </c>
      <c r="F19" s="37">
        <v>295</v>
      </c>
      <c r="G19" s="37">
        <v>65</v>
      </c>
      <c r="H19" s="37">
        <v>18</v>
      </c>
      <c r="I19" s="30"/>
      <c r="K19" s="273"/>
    </row>
    <row r="20" spans="1:11">
      <c r="A20" s="22" t="s">
        <v>18</v>
      </c>
      <c r="B20" s="12" t="s">
        <v>19</v>
      </c>
      <c r="C20" s="38"/>
      <c r="D20" s="38"/>
      <c r="E20" s="38"/>
      <c r="F20" s="38"/>
      <c r="G20" s="38"/>
      <c r="H20" s="38"/>
      <c r="I20" s="30"/>
    </row>
    <row r="21" spans="1:11">
      <c r="A21" s="22" t="s">
        <v>20</v>
      </c>
      <c r="B21" s="12" t="s">
        <v>21</v>
      </c>
      <c r="C21" s="39" t="s">
        <v>22</v>
      </c>
      <c r="D21" s="39" t="s">
        <v>22</v>
      </c>
      <c r="E21" s="39" t="s">
        <v>22</v>
      </c>
      <c r="F21" s="39" t="s">
        <v>22</v>
      </c>
      <c r="G21" s="39" t="s">
        <v>22</v>
      </c>
      <c r="H21" s="39" t="s">
        <v>22</v>
      </c>
      <c r="I21" s="30"/>
    </row>
    <row r="22" spans="1:11">
      <c r="A22" s="22" t="s">
        <v>185</v>
      </c>
      <c r="B22" s="12" t="s">
        <v>23</v>
      </c>
      <c r="C22" s="40"/>
      <c r="D22" s="40"/>
      <c r="E22" s="40"/>
      <c r="F22" s="40"/>
      <c r="G22" s="40"/>
      <c r="H22" s="40"/>
      <c r="I22" s="30"/>
    </row>
    <row r="23" spans="1:11">
      <c r="A23" s="41" t="s">
        <v>24</v>
      </c>
      <c r="B23" s="42" t="s">
        <v>25</v>
      </c>
      <c r="C23" s="38" t="s">
        <v>26</v>
      </c>
      <c r="D23" s="43"/>
      <c r="E23" s="43"/>
      <c r="F23" s="38" t="s">
        <v>26</v>
      </c>
      <c r="G23" s="43"/>
      <c r="H23" s="43"/>
      <c r="I23" s="30"/>
      <c r="K23" s="8">
        <v>20.32</v>
      </c>
    </row>
    <row r="24" spans="1:11" ht="18">
      <c r="A24" s="41" t="s">
        <v>186</v>
      </c>
      <c r="B24" s="42" t="s">
        <v>187</v>
      </c>
      <c r="C24" s="44">
        <f>554.97-K23</f>
        <v>534.65</v>
      </c>
      <c r="D24" s="44"/>
      <c r="E24" s="44"/>
      <c r="F24" s="44">
        <f>570.58-21.6</f>
        <v>548.98</v>
      </c>
      <c r="H24" s="44"/>
      <c r="I24" s="46"/>
      <c r="K24" s="8">
        <v>21.6</v>
      </c>
    </row>
    <row r="25" spans="1:11">
      <c r="A25" s="41" t="s">
        <v>27</v>
      </c>
      <c r="B25" s="42" t="s">
        <v>188</v>
      </c>
      <c r="C25" s="47">
        <v>8.8000000000000007</v>
      </c>
      <c r="D25" s="47"/>
      <c r="E25" s="47"/>
      <c r="F25" s="47">
        <v>5.7</v>
      </c>
      <c r="G25" s="47"/>
      <c r="H25" s="47"/>
      <c r="I25" s="48"/>
    </row>
    <row r="26" spans="1:11" ht="18">
      <c r="A26" s="41" t="s">
        <v>189</v>
      </c>
      <c r="B26" s="42" t="s">
        <v>190</v>
      </c>
      <c r="C26" s="49">
        <f>C24*C25</f>
        <v>4704.92</v>
      </c>
      <c r="D26" s="49"/>
      <c r="E26" s="49"/>
      <c r="F26" s="49">
        <f>F24*F25</f>
        <v>3129.1860000000001</v>
      </c>
      <c r="G26" s="49"/>
      <c r="H26" s="49"/>
      <c r="I26" s="48"/>
    </row>
    <row r="27" spans="1:11" ht="18">
      <c r="A27" s="41" t="s">
        <v>191</v>
      </c>
      <c r="B27" s="42" t="s">
        <v>192</v>
      </c>
      <c r="C27" s="50">
        <f>(C26*(C9/100)*(1-(C10/100))/C18)/100</f>
        <v>520.75116854716225</v>
      </c>
      <c r="D27" s="51"/>
      <c r="E27" s="51"/>
      <c r="F27" s="50">
        <f>(F26*(F9/100)*(1-(F10/100))/F18)/100</f>
        <v>293.06143154879464</v>
      </c>
      <c r="G27" s="51"/>
      <c r="H27" s="51"/>
      <c r="I27" s="46">
        <f>SUM(C27:H27)</f>
        <v>813.8126000959569</v>
      </c>
    </row>
    <row r="28" spans="1:11">
      <c r="A28" s="41" t="s">
        <v>28</v>
      </c>
      <c r="B28" s="42" t="s">
        <v>193</v>
      </c>
      <c r="C28" s="37">
        <v>27</v>
      </c>
      <c r="D28" s="37"/>
      <c r="E28" s="37"/>
      <c r="F28" s="37">
        <v>23</v>
      </c>
      <c r="G28" s="37"/>
      <c r="H28" s="37"/>
      <c r="I28" s="48"/>
    </row>
    <row r="29" spans="1:11">
      <c r="A29" s="41" t="s">
        <v>29</v>
      </c>
      <c r="B29" s="42" t="s">
        <v>194</v>
      </c>
      <c r="C29" s="38"/>
      <c r="D29" s="38"/>
      <c r="E29" s="38"/>
      <c r="F29" s="38"/>
      <c r="G29" s="38"/>
      <c r="H29" s="38"/>
      <c r="I29" s="52"/>
    </row>
    <row r="30" spans="1:11" ht="18">
      <c r="A30" s="53" t="s">
        <v>195</v>
      </c>
      <c r="B30" s="42" t="s">
        <v>196</v>
      </c>
      <c r="C30" s="50">
        <f>C27*(C28/100)</f>
        <v>140.60281550773382</v>
      </c>
      <c r="D30" s="50"/>
      <c r="E30" s="50"/>
      <c r="F30" s="50">
        <f>F27*(F28/100)</f>
        <v>67.404129256222774</v>
      </c>
      <c r="G30" s="50"/>
      <c r="H30" s="50"/>
      <c r="I30" s="46">
        <f>SUM(C30:H30)</f>
        <v>208.0069447639566</v>
      </c>
    </row>
    <row r="31" spans="1:11" ht="18">
      <c r="A31" s="53" t="s">
        <v>197</v>
      </c>
      <c r="B31" s="42" t="s">
        <v>198</v>
      </c>
      <c r="C31" s="54">
        <v>11.15</v>
      </c>
      <c r="D31" s="55"/>
      <c r="E31" s="54"/>
      <c r="F31" s="54">
        <v>7.43</v>
      </c>
      <c r="G31" s="54"/>
      <c r="H31" s="54"/>
      <c r="I31" s="46"/>
    </row>
    <row r="32" spans="1:11" ht="18">
      <c r="A32" s="53" t="s">
        <v>199</v>
      </c>
      <c r="B32" s="42" t="s">
        <v>200</v>
      </c>
      <c r="C32" s="50">
        <f>C30-C31</f>
        <v>129.45281550773382</v>
      </c>
      <c r="D32" s="50"/>
      <c r="E32" s="50"/>
      <c r="F32" s="50">
        <f>F30-F31</f>
        <v>59.974129256222774</v>
      </c>
      <c r="G32" s="50"/>
      <c r="H32" s="50"/>
      <c r="I32" s="46">
        <f>SUM(C32:H32)</f>
        <v>189.42694476395658</v>
      </c>
    </row>
    <row r="33" spans="1:9">
      <c r="A33" s="22"/>
      <c r="B33" s="42"/>
      <c r="C33" s="38"/>
      <c r="D33" s="38"/>
      <c r="E33" s="38"/>
      <c r="F33" s="38"/>
      <c r="G33" s="38"/>
      <c r="H33" s="38"/>
      <c r="I33" s="46"/>
    </row>
    <row r="34" spans="1:9">
      <c r="A34" s="56" t="s">
        <v>30</v>
      </c>
      <c r="B34" s="42" t="s">
        <v>201</v>
      </c>
      <c r="C34" s="38"/>
      <c r="D34" s="38"/>
      <c r="E34" s="38"/>
      <c r="F34" s="38"/>
      <c r="G34" s="38"/>
      <c r="H34" s="38"/>
      <c r="I34" s="57"/>
    </row>
    <row r="35" spans="1:9" ht="18">
      <c r="A35" s="41" t="s">
        <v>202</v>
      </c>
      <c r="B35" s="42" t="s">
        <v>203</v>
      </c>
      <c r="C35" s="58"/>
      <c r="D35" s="58"/>
      <c r="E35" s="58"/>
      <c r="F35" s="58"/>
      <c r="G35" s="58"/>
      <c r="H35" s="58"/>
      <c r="I35" s="57"/>
    </row>
    <row r="36" spans="1:9" ht="18">
      <c r="A36" s="59" t="s">
        <v>204</v>
      </c>
      <c r="B36" s="42"/>
      <c r="C36" s="60">
        <f t="shared" ref="C36:H36" si="3">C37+C38</f>
        <v>0</v>
      </c>
      <c r="D36" s="60">
        <f t="shared" si="3"/>
        <v>0</v>
      </c>
      <c r="E36" s="60">
        <f t="shared" si="3"/>
        <v>0</v>
      </c>
      <c r="F36" s="60">
        <f t="shared" si="3"/>
        <v>0</v>
      </c>
      <c r="G36" s="60">
        <f t="shared" si="3"/>
        <v>0</v>
      </c>
      <c r="H36" s="60">
        <f t="shared" si="3"/>
        <v>0</v>
      </c>
      <c r="I36" s="46"/>
    </row>
    <row r="37" spans="1:9" ht="18">
      <c r="A37" s="59" t="s">
        <v>205</v>
      </c>
      <c r="B37" s="42"/>
      <c r="C37" s="61"/>
      <c r="D37" s="61"/>
      <c r="E37" s="61"/>
      <c r="F37" s="61"/>
      <c r="G37" s="61"/>
      <c r="H37" s="61"/>
      <c r="I37" s="46"/>
    </row>
    <row r="38" spans="1:9" ht="18">
      <c r="A38" s="59" t="s">
        <v>206</v>
      </c>
      <c r="B38" s="42" t="s">
        <v>207</v>
      </c>
      <c r="C38" s="60">
        <f t="shared" ref="C38:H38" si="4">C35*C32/100</f>
        <v>0</v>
      </c>
      <c r="D38" s="60">
        <f t="shared" si="4"/>
        <v>0</v>
      </c>
      <c r="E38" s="60">
        <f t="shared" si="4"/>
        <v>0</v>
      </c>
      <c r="F38" s="60">
        <f t="shared" si="4"/>
        <v>0</v>
      </c>
      <c r="G38" s="60">
        <f t="shared" si="4"/>
        <v>0</v>
      </c>
      <c r="H38" s="60">
        <f t="shared" si="4"/>
        <v>0</v>
      </c>
      <c r="I38" s="46"/>
    </row>
    <row r="39" spans="1:9">
      <c r="A39" s="59"/>
      <c r="B39" s="42"/>
      <c r="C39" s="62"/>
      <c r="D39" s="62"/>
      <c r="E39" s="62"/>
      <c r="F39" s="62"/>
      <c r="G39" s="62"/>
      <c r="H39" s="62"/>
      <c r="I39" s="48"/>
    </row>
    <row r="40" spans="1:9">
      <c r="A40" s="22" t="s">
        <v>31</v>
      </c>
      <c r="B40" s="12" t="s">
        <v>32</v>
      </c>
      <c r="C40" s="40"/>
      <c r="D40" s="40"/>
      <c r="E40" s="40"/>
      <c r="F40" s="40"/>
      <c r="G40" s="40"/>
      <c r="H40" s="40"/>
      <c r="I40" s="30"/>
    </row>
    <row r="41" spans="1:9">
      <c r="A41" s="41" t="s">
        <v>24</v>
      </c>
      <c r="B41" s="42" t="s">
        <v>25</v>
      </c>
      <c r="C41" s="38" t="s">
        <v>26</v>
      </c>
      <c r="D41" s="38" t="s">
        <v>26</v>
      </c>
      <c r="E41" s="38" t="s">
        <v>26</v>
      </c>
      <c r="F41" s="38" t="s">
        <v>26</v>
      </c>
      <c r="G41" s="38" t="s">
        <v>26</v>
      </c>
      <c r="H41" s="38" t="s">
        <v>26</v>
      </c>
      <c r="I41" s="30"/>
    </row>
    <row r="42" spans="1:9" ht="18">
      <c r="A42" s="41" t="s">
        <v>186</v>
      </c>
      <c r="B42" s="42" t="s">
        <v>187</v>
      </c>
      <c r="C42" s="44"/>
      <c r="D42" s="63">
        <f>1270.78+20.32</f>
        <v>1291.0999999999999</v>
      </c>
      <c r="E42" s="44">
        <v>154.05000000000001</v>
      </c>
      <c r="F42" s="44"/>
      <c r="G42" s="44">
        <f>790.32+21.6</f>
        <v>811.92000000000007</v>
      </c>
      <c r="H42" s="44">
        <v>237.41</v>
      </c>
      <c r="I42" s="46"/>
    </row>
    <row r="43" spans="1:9">
      <c r="A43" s="41" t="s">
        <v>27</v>
      </c>
      <c r="B43" s="42" t="s">
        <v>188</v>
      </c>
      <c r="C43" s="64"/>
      <c r="D43" s="64">
        <v>7.1</v>
      </c>
      <c r="E43" s="64">
        <v>7.1</v>
      </c>
      <c r="F43" s="64"/>
      <c r="G43" s="64">
        <v>5</v>
      </c>
      <c r="H43" s="64">
        <v>5.2</v>
      </c>
      <c r="I43" s="48"/>
    </row>
    <row r="44" spans="1:9" ht="18">
      <c r="A44" s="41" t="s">
        <v>189</v>
      </c>
      <c r="B44" s="42" t="s">
        <v>190</v>
      </c>
      <c r="C44" s="49">
        <f t="shared" ref="C44:H44" si="5">C42*C43</f>
        <v>0</v>
      </c>
      <c r="D44" s="49">
        <f t="shared" si="5"/>
        <v>9166.81</v>
      </c>
      <c r="E44" s="49">
        <f t="shared" si="5"/>
        <v>1093.7550000000001</v>
      </c>
      <c r="F44" s="49">
        <f t="shared" si="5"/>
        <v>0</v>
      </c>
      <c r="G44" s="49">
        <f t="shared" si="5"/>
        <v>4059.6000000000004</v>
      </c>
      <c r="H44" s="49">
        <f t="shared" si="5"/>
        <v>1234.5319999999999</v>
      </c>
      <c r="I44" s="48"/>
    </row>
    <row r="45" spans="1:9" ht="18">
      <c r="A45" s="41" t="s">
        <v>191</v>
      </c>
      <c r="B45" s="42" t="s">
        <v>192</v>
      </c>
      <c r="C45" s="50">
        <f t="shared" ref="C45:H45" si="6">(C44*(C9/100)*(1-(C10/100))/C18)/100</f>
        <v>0</v>
      </c>
      <c r="D45" s="50">
        <f t="shared" si="6"/>
        <v>961.60111691618135</v>
      </c>
      <c r="E45" s="50">
        <f t="shared" si="6"/>
        <v>113.18807293612305</v>
      </c>
      <c r="F45" s="50">
        <f t="shared" si="6"/>
        <v>0</v>
      </c>
      <c r="G45" s="50">
        <f t="shared" si="6"/>
        <v>374.30181549491209</v>
      </c>
      <c r="H45" s="50">
        <f t="shared" si="6"/>
        <v>116.62039596034383</v>
      </c>
      <c r="I45" s="46">
        <f>SUM(C45:H45)</f>
        <v>1565.7114013075602</v>
      </c>
    </row>
    <row r="46" spans="1:9">
      <c r="A46" s="41" t="s">
        <v>28</v>
      </c>
      <c r="B46" s="42" t="s">
        <v>193</v>
      </c>
      <c r="C46" s="37"/>
      <c r="D46" s="37">
        <v>27</v>
      </c>
      <c r="E46" s="37">
        <v>27</v>
      </c>
      <c r="F46" s="37"/>
      <c r="G46" s="37">
        <v>23</v>
      </c>
      <c r="H46" s="37">
        <v>23</v>
      </c>
      <c r="I46" s="48"/>
    </row>
    <row r="47" spans="1:9">
      <c r="A47" s="41" t="s">
        <v>29</v>
      </c>
      <c r="B47" s="42" t="s">
        <v>194</v>
      </c>
      <c r="C47" s="38"/>
      <c r="D47" s="38"/>
      <c r="E47" s="38"/>
      <c r="F47" s="38"/>
      <c r="G47" s="38"/>
      <c r="H47" s="38"/>
      <c r="I47" s="52"/>
    </row>
    <row r="48" spans="1:9" ht="18">
      <c r="A48" s="53" t="s">
        <v>199</v>
      </c>
      <c r="B48" s="42" t="s">
        <v>208</v>
      </c>
      <c r="C48" s="65">
        <f t="shared" ref="C48:H48" si="7">C45*(C46/100)</f>
        <v>0</v>
      </c>
      <c r="D48" s="65">
        <f t="shared" si="7"/>
        <v>259.63230156736898</v>
      </c>
      <c r="E48" s="65">
        <f t="shared" si="7"/>
        <v>30.560779692753226</v>
      </c>
      <c r="F48" s="65">
        <f t="shared" si="7"/>
        <v>0</v>
      </c>
      <c r="G48" s="65">
        <f t="shared" si="7"/>
        <v>86.089417563829784</v>
      </c>
      <c r="H48" s="65">
        <f t="shared" si="7"/>
        <v>26.822691070879081</v>
      </c>
      <c r="I48" s="46">
        <f>SUM(C48:H48)</f>
        <v>403.10518989483108</v>
      </c>
    </row>
    <row r="49" spans="1:9">
      <c r="A49" s="22"/>
      <c r="B49" s="42"/>
      <c r="C49" s="38"/>
      <c r="D49" s="38"/>
      <c r="E49" s="38"/>
      <c r="F49" s="38"/>
      <c r="G49" s="38"/>
      <c r="H49" s="38"/>
      <c r="I49" s="48"/>
    </row>
    <row r="50" spans="1:9">
      <c r="A50" s="56" t="s">
        <v>30</v>
      </c>
      <c r="B50" s="42" t="s">
        <v>201</v>
      </c>
      <c r="C50" s="66"/>
      <c r="D50" s="66"/>
      <c r="E50" s="66"/>
      <c r="F50" s="66"/>
      <c r="G50" s="66"/>
      <c r="H50" s="66"/>
      <c r="I50" s="67"/>
    </row>
    <row r="51" spans="1:9" ht="18">
      <c r="A51" s="41" t="s">
        <v>209</v>
      </c>
      <c r="B51" s="42" t="s">
        <v>203</v>
      </c>
      <c r="C51" s="68"/>
      <c r="D51" s="68"/>
      <c r="E51" s="68"/>
      <c r="F51" s="68"/>
      <c r="G51" s="68"/>
      <c r="H51" s="68"/>
      <c r="I51" s="69"/>
    </row>
    <row r="52" spans="1:9" ht="18">
      <c r="A52" s="59" t="s">
        <v>204</v>
      </c>
      <c r="B52" s="42"/>
      <c r="C52" s="60"/>
      <c r="D52" s="60"/>
      <c r="E52" s="60"/>
      <c r="F52" s="60"/>
      <c r="G52" s="60"/>
      <c r="H52" s="60"/>
      <c r="I52" s="70"/>
    </row>
    <row r="53" spans="1:9" ht="18">
      <c r="A53" s="59" t="s">
        <v>205</v>
      </c>
      <c r="B53" s="42"/>
      <c r="C53" s="61"/>
      <c r="D53" s="61"/>
      <c r="E53" s="61"/>
      <c r="F53" s="61"/>
      <c r="G53" s="61"/>
      <c r="H53" s="61"/>
      <c r="I53" s="70"/>
    </row>
    <row r="54" spans="1:9" ht="18">
      <c r="A54" s="59" t="s">
        <v>206</v>
      </c>
      <c r="B54" s="42" t="s">
        <v>210</v>
      </c>
      <c r="C54" s="60"/>
      <c r="D54" s="60"/>
      <c r="E54" s="60"/>
      <c r="F54" s="60"/>
      <c r="G54" s="60"/>
      <c r="H54" s="60"/>
      <c r="I54" s="71"/>
    </row>
    <row r="55" spans="1:9">
      <c r="A55" s="59"/>
      <c r="B55" s="72"/>
      <c r="C55" s="62"/>
      <c r="D55" s="62"/>
      <c r="E55" s="62"/>
      <c r="F55" s="62"/>
      <c r="G55" s="62"/>
      <c r="H55" s="62"/>
      <c r="I55" s="48"/>
    </row>
    <row r="56" spans="1:9">
      <c r="A56" s="56" t="s">
        <v>211</v>
      </c>
      <c r="B56" s="73" t="s">
        <v>212</v>
      </c>
      <c r="C56" s="62"/>
      <c r="D56" s="62"/>
      <c r="E56" s="62"/>
      <c r="F56" s="62"/>
      <c r="G56" s="62"/>
      <c r="H56" s="62"/>
      <c r="I56" s="48"/>
    </row>
    <row r="57" spans="1:9" ht="18">
      <c r="A57" s="41" t="s">
        <v>191</v>
      </c>
      <c r="B57" s="42" t="s">
        <v>213</v>
      </c>
      <c r="C57" s="74">
        <f t="shared" ref="C57:H57" si="8">C27+C45</f>
        <v>520.75116854716225</v>
      </c>
      <c r="D57" s="74">
        <f t="shared" si="8"/>
        <v>961.60111691618135</v>
      </c>
      <c r="E57" s="74">
        <f t="shared" si="8"/>
        <v>113.18807293612305</v>
      </c>
      <c r="F57" s="74">
        <f t="shared" si="8"/>
        <v>293.06143154879464</v>
      </c>
      <c r="G57" s="74">
        <f t="shared" si="8"/>
        <v>374.30181549491209</v>
      </c>
      <c r="H57" s="74">
        <f t="shared" si="8"/>
        <v>116.62039596034383</v>
      </c>
      <c r="I57" s="46">
        <f>SUM(C57:H57)</f>
        <v>2379.5240014035176</v>
      </c>
    </row>
    <row r="58" spans="1:9" ht="18">
      <c r="A58" s="41" t="s">
        <v>214</v>
      </c>
      <c r="B58" s="42" t="s">
        <v>215</v>
      </c>
      <c r="C58" s="74">
        <f t="shared" ref="C58:H58" si="9">C30+C48</f>
        <v>140.60281550773382</v>
      </c>
      <c r="D58" s="74">
        <f t="shared" si="9"/>
        <v>259.63230156736898</v>
      </c>
      <c r="E58" s="74">
        <f t="shared" si="9"/>
        <v>30.560779692753226</v>
      </c>
      <c r="F58" s="74">
        <f t="shared" si="9"/>
        <v>67.404129256222774</v>
      </c>
      <c r="G58" s="74">
        <f t="shared" si="9"/>
        <v>86.089417563829784</v>
      </c>
      <c r="H58" s="74">
        <f t="shared" si="9"/>
        <v>26.822691070879081</v>
      </c>
      <c r="I58" s="46">
        <f>SUM(C58:H58)</f>
        <v>611.11213465878768</v>
      </c>
    </row>
    <row r="59" spans="1:9" ht="18">
      <c r="A59" s="41" t="s">
        <v>216</v>
      </c>
      <c r="B59" s="42" t="s">
        <v>217</v>
      </c>
      <c r="C59" s="74">
        <f t="shared" ref="C59:H59" si="10">C32+C48</f>
        <v>129.45281550773382</v>
      </c>
      <c r="D59" s="74">
        <f t="shared" si="10"/>
        <v>259.63230156736898</v>
      </c>
      <c r="E59" s="74">
        <f t="shared" si="10"/>
        <v>30.560779692753226</v>
      </c>
      <c r="F59" s="74">
        <f t="shared" si="10"/>
        <v>59.974129256222774</v>
      </c>
      <c r="G59" s="74">
        <f t="shared" si="10"/>
        <v>86.089417563829784</v>
      </c>
      <c r="H59" s="74">
        <f t="shared" si="10"/>
        <v>26.822691070879081</v>
      </c>
      <c r="I59" s="46">
        <f>SUM(C59:H59)</f>
        <v>592.53213465878764</v>
      </c>
    </row>
    <row r="60" spans="1:9" ht="18">
      <c r="A60" s="59" t="s">
        <v>206</v>
      </c>
      <c r="B60" s="42" t="s">
        <v>210</v>
      </c>
      <c r="C60" s="75">
        <f t="shared" ref="C60:H60" si="11">C38+C54</f>
        <v>0</v>
      </c>
      <c r="D60" s="75">
        <f t="shared" si="11"/>
        <v>0</v>
      </c>
      <c r="E60" s="75">
        <f t="shared" si="11"/>
        <v>0</v>
      </c>
      <c r="F60" s="75">
        <f t="shared" si="11"/>
        <v>0</v>
      </c>
      <c r="G60" s="75">
        <f t="shared" si="11"/>
        <v>0</v>
      </c>
      <c r="H60" s="75">
        <f t="shared" si="11"/>
        <v>0</v>
      </c>
      <c r="I60" s="71"/>
    </row>
    <row r="61" spans="1:9">
      <c r="A61" s="59"/>
      <c r="B61" s="72"/>
      <c r="C61" s="38"/>
      <c r="D61" s="38"/>
      <c r="E61" s="38"/>
      <c r="F61" s="38"/>
      <c r="G61" s="38"/>
      <c r="H61" s="38"/>
      <c r="I61" s="16"/>
    </row>
    <row r="62" spans="1:9">
      <c r="A62" s="76" t="s">
        <v>33</v>
      </c>
      <c r="B62" s="73" t="s">
        <v>218</v>
      </c>
      <c r="C62" s="77"/>
      <c r="D62" s="77"/>
      <c r="E62" s="77"/>
      <c r="F62" s="77"/>
      <c r="G62" s="77"/>
      <c r="H62" s="77"/>
      <c r="I62" s="78"/>
    </row>
    <row r="63" spans="1:9">
      <c r="A63" s="79" t="s">
        <v>34</v>
      </c>
      <c r="B63" s="80" t="s">
        <v>219</v>
      </c>
      <c r="C63" s="81"/>
      <c r="D63" s="81"/>
      <c r="E63" s="81"/>
      <c r="F63" s="81"/>
      <c r="G63" s="81"/>
      <c r="H63" s="81"/>
      <c r="I63" s="16"/>
    </row>
    <row r="64" spans="1:9">
      <c r="A64" s="79" t="s">
        <v>35</v>
      </c>
      <c r="B64" s="80" t="s">
        <v>220</v>
      </c>
      <c r="C64" s="81"/>
      <c r="D64" s="81"/>
      <c r="E64" s="81"/>
      <c r="F64" s="81"/>
      <c r="G64" s="81"/>
      <c r="H64" s="81"/>
      <c r="I64" s="16"/>
    </row>
    <row r="65" spans="1:9">
      <c r="A65" s="79" t="s">
        <v>36</v>
      </c>
      <c r="B65" s="80" t="s">
        <v>221</v>
      </c>
      <c r="C65" s="81"/>
      <c r="D65" s="81"/>
      <c r="E65" s="81"/>
      <c r="F65" s="81"/>
      <c r="G65" s="81"/>
      <c r="H65" s="81"/>
      <c r="I65" s="16"/>
    </row>
    <row r="66" spans="1:9">
      <c r="A66" s="79"/>
      <c r="B66" s="80"/>
      <c r="C66" s="77"/>
      <c r="D66" s="77"/>
      <c r="E66" s="77"/>
      <c r="F66" s="77"/>
      <c r="G66" s="77"/>
      <c r="H66" s="77"/>
      <c r="I66" s="16"/>
    </row>
    <row r="67" spans="1:9">
      <c r="A67" s="79" t="s">
        <v>37</v>
      </c>
      <c r="B67" s="73" t="s">
        <v>222</v>
      </c>
      <c r="C67" s="81" t="s">
        <v>223</v>
      </c>
      <c r="D67" s="81" t="s">
        <v>223</v>
      </c>
      <c r="E67" s="81" t="s">
        <v>223</v>
      </c>
      <c r="F67" s="81" t="s">
        <v>223</v>
      </c>
      <c r="G67" s="81" t="s">
        <v>223</v>
      </c>
      <c r="H67" s="81" t="s">
        <v>223</v>
      </c>
      <c r="I67" s="16"/>
    </row>
    <row r="68" spans="1:9">
      <c r="A68" s="79" t="s">
        <v>224</v>
      </c>
      <c r="B68" s="73" t="s">
        <v>225</v>
      </c>
      <c r="C68" s="82"/>
      <c r="D68" s="82"/>
      <c r="E68" s="82"/>
      <c r="F68" s="82"/>
      <c r="G68" s="82"/>
      <c r="H68" s="82"/>
      <c r="I68" s="16"/>
    </row>
    <row r="69" spans="1:9">
      <c r="A69" s="79" t="s">
        <v>38</v>
      </c>
      <c r="B69" s="73" t="s">
        <v>226</v>
      </c>
      <c r="C69" s="82"/>
      <c r="D69" s="82"/>
      <c r="E69" s="82"/>
      <c r="F69" s="82"/>
      <c r="G69" s="82"/>
      <c r="H69" s="82"/>
      <c r="I69" s="16"/>
    </row>
    <row r="70" spans="1:9" ht="18">
      <c r="A70" s="79" t="s">
        <v>227</v>
      </c>
      <c r="B70" s="42" t="s">
        <v>228</v>
      </c>
      <c r="C70" s="82"/>
      <c r="D70" s="82"/>
      <c r="E70" s="82"/>
      <c r="F70" s="82"/>
      <c r="G70" s="82"/>
      <c r="H70" s="82"/>
      <c r="I70" s="16"/>
    </row>
    <row r="71" spans="1:9" ht="18">
      <c r="A71" s="79" t="s">
        <v>229</v>
      </c>
      <c r="B71" s="42" t="s">
        <v>230</v>
      </c>
      <c r="C71" s="83"/>
      <c r="D71" s="83"/>
      <c r="E71" s="83"/>
      <c r="F71" s="83"/>
      <c r="G71" s="83"/>
      <c r="H71" s="83"/>
      <c r="I71" s="16"/>
    </row>
    <row r="72" spans="1:9" ht="16.5" thickBot="1">
      <c r="A72" s="84" t="s">
        <v>231</v>
      </c>
      <c r="B72" s="85" t="s">
        <v>232</v>
      </c>
      <c r="C72" s="86"/>
      <c r="D72" s="86"/>
      <c r="E72" s="86"/>
      <c r="F72" s="86"/>
      <c r="G72" s="86"/>
      <c r="H72" s="86"/>
      <c r="I72" s="87"/>
    </row>
    <row r="73" spans="1:9">
      <c r="B73" s="89"/>
      <c r="C73" s="90"/>
      <c r="D73" s="91"/>
      <c r="E73" s="90"/>
      <c r="F73" s="91"/>
      <c r="G73" s="90"/>
      <c r="H73" s="90"/>
      <c r="I73" s="92"/>
    </row>
    <row r="74" spans="1:9">
      <c r="B74" s="93"/>
      <c r="I74" s="92"/>
    </row>
    <row r="75" spans="1:9">
      <c r="B75" s="94"/>
      <c r="I75" s="92"/>
    </row>
    <row r="76" spans="1:9">
      <c r="B76" s="94"/>
      <c r="I76" s="92"/>
    </row>
    <row r="77" spans="1:9">
      <c r="B77" s="94"/>
      <c r="I77" s="92"/>
    </row>
    <row r="78" spans="1:9">
      <c r="B78" s="94"/>
      <c r="I78" s="92"/>
    </row>
    <row r="79" spans="1:9">
      <c r="B79" s="94"/>
      <c r="I79" s="92"/>
    </row>
    <row r="80" spans="1:9">
      <c r="B80" s="94"/>
      <c r="I80" s="92"/>
    </row>
    <row r="81" spans="2:9">
      <c r="B81" s="94"/>
      <c r="I81" s="92"/>
    </row>
    <row r="82" spans="2:9">
      <c r="B82" s="94"/>
      <c r="I82" s="92"/>
    </row>
    <row r="83" spans="2:9">
      <c r="B83" s="94"/>
      <c r="I83" s="92"/>
    </row>
    <row r="84" spans="2:9">
      <c r="B84" s="94"/>
      <c r="I84" s="92"/>
    </row>
    <row r="85" spans="2:9">
      <c r="B85" s="95"/>
      <c r="I85" s="92"/>
    </row>
    <row r="86" spans="2:9">
      <c r="B86" s="95"/>
      <c r="I86" s="92"/>
    </row>
    <row r="87" spans="2:9">
      <c r="B87" s="96"/>
      <c r="I87" s="92"/>
    </row>
    <row r="88" spans="2:9">
      <c r="B88" s="96"/>
      <c r="I88" s="92"/>
    </row>
    <row r="89" spans="2:9">
      <c r="B89" s="96"/>
      <c r="I89" s="92"/>
    </row>
    <row r="90" spans="2:9">
      <c r="B90" s="96"/>
      <c r="I90" s="92"/>
    </row>
    <row r="91" spans="2:9">
      <c r="B91" s="96"/>
      <c r="I91" s="92"/>
    </row>
    <row r="92" spans="2:9">
      <c r="B92" s="96"/>
      <c r="I92" s="92"/>
    </row>
    <row r="93" spans="2:9">
      <c r="B93" s="96"/>
      <c r="I93" s="92"/>
    </row>
    <row r="94" spans="2:9">
      <c r="B94" s="96"/>
      <c r="I94" s="92"/>
    </row>
    <row r="95" spans="2:9">
      <c r="B95" s="96"/>
      <c r="I95" s="92"/>
    </row>
    <row r="96" spans="2:9">
      <c r="B96" s="96"/>
      <c r="I96" s="92"/>
    </row>
    <row r="97" spans="2:9">
      <c r="B97" s="96"/>
      <c r="I97" s="92"/>
    </row>
    <row r="98" spans="2:9">
      <c r="B98" s="96"/>
      <c r="I98" s="92"/>
    </row>
    <row r="99" spans="2:9">
      <c r="B99" s="96"/>
      <c r="I99" s="92"/>
    </row>
    <row r="100" spans="2:9">
      <c r="B100" s="96"/>
      <c r="I100" s="92"/>
    </row>
    <row r="101" spans="2:9">
      <c r="B101" s="96"/>
      <c r="I101" s="92"/>
    </row>
    <row r="102" spans="2:9">
      <c r="B102" s="96"/>
      <c r="I102" s="92"/>
    </row>
    <row r="103" spans="2:9">
      <c r="B103" s="96"/>
      <c r="I103" s="92"/>
    </row>
    <row r="104" spans="2:9">
      <c r="B104" s="96"/>
      <c r="I104" s="92"/>
    </row>
    <row r="105" spans="2:9">
      <c r="B105" s="96"/>
      <c r="I105" s="92"/>
    </row>
    <row r="106" spans="2:9">
      <c r="B106" s="96"/>
      <c r="I106" s="92"/>
    </row>
    <row r="107" spans="2:9">
      <c r="B107" s="96"/>
      <c r="I107" s="92"/>
    </row>
    <row r="108" spans="2:9">
      <c r="B108" s="96"/>
      <c r="I108" s="92"/>
    </row>
    <row r="109" spans="2:9">
      <c r="B109" s="96"/>
      <c r="I109" s="92"/>
    </row>
    <row r="110" spans="2:9">
      <c r="B110" s="96"/>
      <c r="I110" s="92"/>
    </row>
    <row r="111" spans="2:9">
      <c r="B111" s="96"/>
      <c r="I111" s="92"/>
    </row>
    <row r="112" spans="2:9">
      <c r="B112" s="96"/>
      <c r="I112" s="92"/>
    </row>
    <row r="113" spans="2:9">
      <c r="B113" s="96"/>
      <c r="I113" s="92"/>
    </row>
    <row r="114" spans="2:9">
      <c r="B114" s="96"/>
      <c r="I114" s="92"/>
    </row>
    <row r="115" spans="2:9">
      <c r="B115" s="96"/>
      <c r="I115" s="92"/>
    </row>
    <row r="116" spans="2:9">
      <c r="B116" s="96"/>
      <c r="I116" s="92"/>
    </row>
    <row r="117" spans="2:9">
      <c r="B117" s="96"/>
      <c r="I117" s="92"/>
    </row>
    <row r="118" spans="2:9">
      <c r="B118" s="96"/>
      <c r="I118" s="92"/>
    </row>
    <row r="119" spans="2:9">
      <c r="B119" s="96"/>
      <c r="I119" s="92"/>
    </row>
    <row r="120" spans="2:9">
      <c r="B120" s="96"/>
      <c r="I120" s="92"/>
    </row>
    <row r="121" spans="2:9">
      <c r="B121" s="96"/>
      <c r="I121" s="92"/>
    </row>
    <row r="122" spans="2:9">
      <c r="B122" s="96"/>
      <c r="I122" s="92"/>
    </row>
    <row r="123" spans="2:9">
      <c r="B123" s="96"/>
      <c r="I123" s="92"/>
    </row>
    <row r="124" spans="2:9">
      <c r="B124" s="96"/>
      <c r="I124" s="92"/>
    </row>
    <row r="125" spans="2:9">
      <c r="B125" s="96"/>
      <c r="I125" s="92"/>
    </row>
    <row r="126" spans="2:9">
      <c r="B126" s="96"/>
      <c r="I126" s="92"/>
    </row>
    <row r="127" spans="2:9">
      <c r="B127" s="96"/>
      <c r="I127" s="92"/>
    </row>
    <row r="128" spans="2:9">
      <c r="B128" s="96"/>
      <c r="I128" s="92"/>
    </row>
    <row r="129" spans="2:9">
      <c r="B129" s="96"/>
      <c r="I129" s="92"/>
    </row>
    <row r="130" spans="2:9">
      <c r="B130" s="96"/>
      <c r="I130" s="92"/>
    </row>
    <row r="131" spans="2:9">
      <c r="B131" s="96"/>
      <c r="I131" s="92"/>
    </row>
    <row r="132" spans="2:9">
      <c r="B132" s="96"/>
      <c r="I132" s="92"/>
    </row>
    <row r="133" spans="2:9">
      <c r="I133" s="92"/>
    </row>
    <row r="134" spans="2:9">
      <c r="I134" s="92"/>
    </row>
    <row r="135" spans="2:9">
      <c r="I135" s="92"/>
    </row>
    <row r="136" spans="2:9">
      <c r="I136" s="92"/>
    </row>
    <row r="137" spans="2:9">
      <c r="I137" s="92"/>
    </row>
    <row r="138" spans="2:9">
      <c r="I138" s="92"/>
    </row>
    <row r="139" spans="2:9">
      <c r="I139" s="92"/>
    </row>
    <row r="140" spans="2:9">
      <c r="I140" s="92"/>
    </row>
    <row r="141" spans="2:9">
      <c r="I141" s="92"/>
    </row>
    <row r="142" spans="2:9">
      <c r="I142" s="92"/>
    </row>
    <row r="143" spans="2:9">
      <c r="I143" s="92"/>
    </row>
    <row r="144" spans="2:9">
      <c r="I144" s="92"/>
    </row>
    <row r="145" spans="9:9">
      <c r="I145" s="92"/>
    </row>
    <row r="146" spans="9:9">
      <c r="I146" s="92"/>
    </row>
    <row r="147" spans="9:9">
      <c r="I147" s="92"/>
    </row>
    <row r="148" spans="9:9">
      <c r="I148" s="92"/>
    </row>
    <row r="149" spans="9:9">
      <c r="I149" s="92"/>
    </row>
    <row r="150" spans="9:9">
      <c r="I150" s="92"/>
    </row>
    <row r="151" spans="9:9">
      <c r="I151" s="92"/>
    </row>
    <row r="152" spans="9:9">
      <c r="I152" s="92"/>
    </row>
    <row r="153" spans="9:9">
      <c r="I153" s="92"/>
    </row>
    <row r="154" spans="9:9">
      <c r="I154" s="92"/>
    </row>
    <row r="155" spans="9:9">
      <c r="I155" s="92"/>
    </row>
    <row r="156" spans="9:9">
      <c r="I156" s="92"/>
    </row>
    <row r="157" spans="9:9">
      <c r="I157" s="92"/>
    </row>
  </sheetData>
  <mergeCells count="4">
    <mergeCell ref="A1:I1"/>
    <mergeCell ref="A2:I2"/>
    <mergeCell ref="C4:I4"/>
    <mergeCell ref="C5:H5"/>
  </mergeCells>
  <phoneticPr fontId="30" type="noConversion"/>
  <conditionalFormatting sqref="C3:H3">
    <cfRule type="cellIs" dxfId="0" priority="1" stopIfTrue="1" operator="equal">
      <formula>"DM"</formula>
    </cfRule>
  </conditionalFormatting>
  <printOptions horizontalCentered="1" verticalCentered="1"/>
  <pageMargins left="0.74803149606299213" right="0.74803149606299213" top="0.72" bottom="0.98425196850393704" header="0.51181102362204722" footer="0.51181102362204722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5"/>
  <sheetViews>
    <sheetView topLeftCell="A13" workbookViewId="0">
      <selection activeCell="J22" sqref="J22"/>
    </sheetView>
  </sheetViews>
  <sheetFormatPr defaultRowHeight="18" customHeight="1"/>
  <cols>
    <col min="1" max="1" width="5.5" style="98" customWidth="1"/>
    <col min="2" max="2" width="7.625" style="98" customWidth="1"/>
    <col min="3" max="3" width="21.875" style="98" customWidth="1"/>
    <col min="4" max="4" width="25.125" style="98" customWidth="1"/>
    <col min="5" max="5" width="23.75" style="98" customWidth="1"/>
    <col min="6" max="6" width="10.5" style="98" bestFit="1" customWidth="1"/>
    <col min="7" max="16384" width="9" style="98"/>
  </cols>
  <sheetData>
    <row r="1" spans="1:5" ht="18" customHeight="1">
      <c r="A1" s="97" t="s">
        <v>39</v>
      </c>
      <c r="B1" s="280" t="s">
        <v>40</v>
      </c>
      <c r="C1" s="280"/>
      <c r="D1" s="15" t="s">
        <v>41</v>
      </c>
      <c r="E1" s="15" t="s">
        <v>42</v>
      </c>
    </row>
    <row r="2" spans="1:5" ht="18" customHeight="1">
      <c r="A2" s="15">
        <v>1</v>
      </c>
      <c r="B2" s="280" t="s">
        <v>43</v>
      </c>
      <c r="C2" s="280"/>
      <c r="D2" s="15" t="s">
        <v>233</v>
      </c>
      <c r="E2" s="15" t="s">
        <v>234</v>
      </c>
    </row>
    <row r="3" spans="1:5" ht="18" customHeight="1">
      <c r="A3" s="15">
        <v>2</v>
      </c>
      <c r="B3" s="280" t="s">
        <v>44</v>
      </c>
      <c r="C3" s="280"/>
      <c r="D3" s="15" t="s">
        <v>45</v>
      </c>
      <c r="E3" s="15" t="s">
        <v>45</v>
      </c>
    </row>
    <row r="4" spans="1:5" ht="18" customHeight="1">
      <c r="A4" s="15">
        <v>3</v>
      </c>
      <c r="B4" s="280" t="s">
        <v>46</v>
      </c>
      <c r="C4" s="280"/>
      <c r="D4" s="15" t="s">
        <v>47</v>
      </c>
      <c r="E4" s="15" t="s">
        <v>47</v>
      </c>
    </row>
    <row r="5" spans="1:5" ht="18" customHeight="1">
      <c r="A5" s="15">
        <v>4</v>
      </c>
      <c r="B5" s="280" t="s">
        <v>48</v>
      </c>
      <c r="C5" s="280"/>
      <c r="D5" s="99" t="s">
        <v>235</v>
      </c>
      <c r="E5" s="99" t="s">
        <v>235</v>
      </c>
    </row>
    <row r="6" spans="1:5" ht="18" customHeight="1">
      <c r="A6" s="15">
        <v>5</v>
      </c>
      <c r="B6" s="280" t="s">
        <v>49</v>
      </c>
      <c r="C6" s="100" t="s">
        <v>236</v>
      </c>
      <c r="D6" s="15">
        <v>3156.23</v>
      </c>
      <c r="E6" s="15">
        <v>3761.3</v>
      </c>
    </row>
    <row r="7" spans="1:5" ht="18" customHeight="1">
      <c r="A7" s="15">
        <v>6</v>
      </c>
      <c r="B7" s="280"/>
      <c r="C7" s="100" t="s">
        <v>50</v>
      </c>
      <c r="D7" s="101">
        <v>10.7</v>
      </c>
      <c r="E7" s="15">
        <v>12.8</v>
      </c>
    </row>
    <row r="8" spans="1:5" ht="18" customHeight="1">
      <c r="A8" s="15">
        <v>7</v>
      </c>
      <c r="B8" s="280"/>
      <c r="C8" s="100" t="s">
        <v>51</v>
      </c>
      <c r="D8" s="15">
        <v>8.9</v>
      </c>
      <c r="E8" s="15">
        <v>8</v>
      </c>
    </row>
    <row r="9" spans="1:5" ht="18" customHeight="1">
      <c r="A9" s="15">
        <v>8</v>
      </c>
      <c r="B9" s="280"/>
      <c r="C9" s="100" t="s">
        <v>52</v>
      </c>
      <c r="D9" s="15">
        <v>62.6</v>
      </c>
      <c r="E9" s="15" t="s">
        <v>237</v>
      </c>
    </row>
    <row r="10" spans="1:5" ht="18" customHeight="1">
      <c r="A10" s="15">
        <v>9</v>
      </c>
      <c r="B10" s="280"/>
      <c r="C10" s="100" t="s">
        <v>53</v>
      </c>
      <c r="D10" s="15">
        <v>4.3699999999999998E-3</v>
      </c>
      <c r="E10" s="15">
        <v>4.3699999999999998E-3</v>
      </c>
    </row>
    <row r="11" spans="1:5" ht="18" customHeight="1">
      <c r="A11" s="15">
        <v>10</v>
      </c>
      <c r="B11" s="280"/>
      <c r="C11" s="100" t="s">
        <v>238</v>
      </c>
      <c r="D11" s="15">
        <v>4307.8599999999997</v>
      </c>
      <c r="E11" s="15">
        <v>2489.89</v>
      </c>
    </row>
    <row r="12" spans="1:5" ht="18" customHeight="1">
      <c r="A12" s="15">
        <v>12</v>
      </c>
      <c r="B12" s="280" t="s">
        <v>54</v>
      </c>
      <c r="C12" s="100" t="s">
        <v>55</v>
      </c>
      <c r="D12" s="15" t="s">
        <v>56</v>
      </c>
      <c r="E12" s="15" t="s">
        <v>56</v>
      </c>
    </row>
    <row r="13" spans="1:5" ht="18" customHeight="1">
      <c r="A13" s="15">
        <v>13</v>
      </c>
      <c r="B13" s="280"/>
      <c r="C13" s="100" t="s">
        <v>57</v>
      </c>
      <c r="D13" s="15" t="s">
        <v>58</v>
      </c>
      <c r="E13" s="15" t="s">
        <v>58</v>
      </c>
    </row>
    <row r="14" spans="1:5" ht="18" customHeight="1">
      <c r="A14" s="15">
        <v>14</v>
      </c>
      <c r="B14" s="280"/>
      <c r="C14" s="102" t="s">
        <v>59</v>
      </c>
      <c r="D14" s="15" t="s">
        <v>60</v>
      </c>
      <c r="E14" s="15" t="s">
        <v>60</v>
      </c>
    </row>
    <row r="15" spans="1:5" ht="18" customHeight="1">
      <c r="A15" s="15">
        <v>15</v>
      </c>
      <c r="B15" s="280"/>
      <c r="C15" s="100" t="s">
        <v>61</v>
      </c>
      <c r="D15" s="15" t="s">
        <v>62</v>
      </c>
      <c r="E15" s="15" t="s">
        <v>62</v>
      </c>
    </row>
    <row r="16" spans="1:5" ht="18" customHeight="1">
      <c r="A16" s="15">
        <v>16</v>
      </c>
      <c r="B16" s="280"/>
      <c r="C16" s="100" t="s">
        <v>63</v>
      </c>
      <c r="D16" s="15" t="s">
        <v>64</v>
      </c>
      <c r="E16" s="15" t="s">
        <v>64</v>
      </c>
    </row>
    <row r="17" spans="1:5" ht="18" customHeight="1">
      <c r="A17" s="15">
        <v>17</v>
      </c>
      <c r="B17" s="280"/>
      <c r="C17" s="100" t="s">
        <v>65</v>
      </c>
      <c r="D17" s="15" t="s">
        <v>66</v>
      </c>
      <c r="E17" s="15" t="s">
        <v>66</v>
      </c>
    </row>
    <row r="18" spans="1:5" ht="18" customHeight="1">
      <c r="A18" s="15">
        <v>18</v>
      </c>
      <c r="B18" s="280"/>
      <c r="C18" s="100" t="s">
        <v>239</v>
      </c>
      <c r="D18" s="15">
        <v>0</v>
      </c>
      <c r="E18" s="15">
        <v>0</v>
      </c>
    </row>
    <row r="19" spans="1:5" ht="18" customHeight="1">
      <c r="A19" s="15">
        <v>19</v>
      </c>
      <c r="B19" s="280"/>
      <c r="C19" s="102" t="s">
        <v>67</v>
      </c>
      <c r="D19" s="15">
        <v>1.0669999999999999</v>
      </c>
      <c r="E19" s="15">
        <v>0.69</v>
      </c>
    </row>
    <row r="20" spans="1:5" ht="18" customHeight="1">
      <c r="A20" s="15">
        <v>20</v>
      </c>
      <c r="B20" s="280"/>
      <c r="C20" s="100" t="s">
        <v>240</v>
      </c>
      <c r="D20" s="100"/>
      <c r="E20" s="100"/>
    </row>
    <row r="21" spans="1:5" ht="18" customHeight="1">
      <c r="A21" s="15">
        <v>21</v>
      </c>
      <c r="B21" s="280"/>
      <c r="C21" s="100" t="s">
        <v>68</v>
      </c>
      <c r="D21" s="15">
        <v>1.51</v>
      </c>
      <c r="E21" s="15">
        <v>0.93100000000000005</v>
      </c>
    </row>
    <row r="22" spans="1:5" ht="18" customHeight="1">
      <c r="A22" s="15">
        <v>22</v>
      </c>
      <c r="B22" s="280"/>
      <c r="C22" s="100" t="s">
        <v>69</v>
      </c>
      <c r="D22" s="15">
        <v>3220</v>
      </c>
      <c r="E22" s="15">
        <v>3624</v>
      </c>
    </row>
    <row r="23" spans="1:5" ht="18" customHeight="1">
      <c r="A23" s="15">
        <v>23</v>
      </c>
      <c r="B23" s="280"/>
      <c r="C23" s="100" t="s">
        <v>70</v>
      </c>
      <c r="D23" s="15">
        <v>29.896000000000001</v>
      </c>
      <c r="E23" s="15">
        <v>30.509</v>
      </c>
    </row>
    <row r="24" spans="1:5" ht="18" customHeight="1">
      <c r="A24" s="15">
        <v>24</v>
      </c>
      <c r="B24" s="280"/>
      <c r="C24" s="100" t="s">
        <v>71</v>
      </c>
      <c r="D24" s="15">
        <v>380.52</v>
      </c>
      <c r="E24" s="15">
        <v>113.22</v>
      </c>
    </row>
    <row r="25" spans="1:5" ht="18" customHeight="1">
      <c r="A25" s="15">
        <v>25</v>
      </c>
      <c r="B25" s="280" t="s">
        <v>72</v>
      </c>
      <c r="C25" s="100" t="s">
        <v>73</v>
      </c>
      <c r="D25" s="15" t="s">
        <v>74</v>
      </c>
      <c r="E25" s="15" t="s">
        <v>74</v>
      </c>
    </row>
    <row r="26" spans="1:5" ht="18" customHeight="1">
      <c r="A26" s="15">
        <v>26</v>
      </c>
      <c r="B26" s="280"/>
      <c r="C26" s="100" t="s">
        <v>241</v>
      </c>
      <c r="D26" s="15">
        <v>2</v>
      </c>
      <c r="E26" s="15">
        <v>2</v>
      </c>
    </row>
    <row r="27" spans="1:5" ht="18" customHeight="1">
      <c r="A27" s="15">
        <v>27</v>
      </c>
      <c r="B27" s="280"/>
      <c r="C27" s="100" t="s">
        <v>242</v>
      </c>
      <c r="D27" s="101">
        <v>1</v>
      </c>
      <c r="E27" s="101">
        <v>1</v>
      </c>
    </row>
    <row r="28" spans="1:5" ht="18" customHeight="1">
      <c r="A28" s="15">
        <v>28</v>
      </c>
      <c r="B28" s="280"/>
      <c r="C28" s="100" t="s">
        <v>243</v>
      </c>
      <c r="D28" s="100"/>
      <c r="E28" s="100"/>
    </row>
    <row r="29" spans="1:5" ht="18" customHeight="1">
      <c r="A29" s="15">
        <v>29</v>
      </c>
      <c r="B29" s="280"/>
      <c r="C29" s="100" t="s">
        <v>75</v>
      </c>
      <c r="D29" s="100"/>
      <c r="E29" s="100"/>
    </row>
    <row r="30" spans="1:5" ht="18" customHeight="1">
      <c r="A30" s="15">
        <v>30</v>
      </c>
      <c r="B30" s="280"/>
      <c r="C30" s="100" t="s">
        <v>76</v>
      </c>
      <c r="D30" s="103">
        <v>11.5</v>
      </c>
      <c r="E30" s="15"/>
    </row>
    <row r="31" spans="1:5" ht="18" customHeight="1">
      <c r="A31" s="15">
        <v>31</v>
      </c>
      <c r="B31" s="280" t="s">
        <v>77</v>
      </c>
      <c r="C31" s="100" t="s">
        <v>78</v>
      </c>
      <c r="D31" s="15">
        <v>2012</v>
      </c>
      <c r="E31" s="15">
        <v>1013</v>
      </c>
    </row>
    <row r="32" spans="1:5" ht="18" customHeight="1">
      <c r="A32" s="15">
        <v>32</v>
      </c>
      <c r="B32" s="280"/>
      <c r="C32" s="100" t="s">
        <v>244</v>
      </c>
      <c r="D32" s="15">
        <v>922.9</v>
      </c>
      <c r="E32" s="15">
        <v>938</v>
      </c>
    </row>
    <row r="33" spans="1:5" ht="18" customHeight="1">
      <c r="A33" s="15">
        <v>33</v>
      </c>
      <c r="B33" s="280"/>
      <c r="C33" s="100" t="s">
        <v>245</v>
      </c>
      <c r="D33" s="103">
        <v>133</v>
      </c>
      <c r="E33" s="103">
        <v>133</v>
      </c>
    </row>
    <row r="34" spans="1:5" ht="18" customHeight="1">
      <c r="A34" s="15">
        <v>34</v>
      </c>
      <c r="B34" s="280"/>
      <c r="C34" s="100" t="s">
        <v>246</v>
      </c>
      <c r="D34" s="104">
        <v>1291.48</v>
      </c>
      <c r="E34" s="15">
        <v>620.55999999999995</v>
      </c>
    </row>
    <row r="35" spans="1:5" ht="18" customHeight="1">
      <c r="A35" s="15">
        <v>35</v>
      </c>
      <c r="B35" s="280"/>
      <c r="C35" s="100" t="s">
        <v>79</v>
      </c>
      <c r="D35" s="15">
        <v>30</v>
      </c>
      <c r="E35" s="15">
        <v>25</v>
      </c>
    </row>
  </sheetData>
  <mergeCells count="9">
    <mergeCell ref="B31:B35"/>
    <mergeCell ref="B5:C5"/>
    <mergeCell ref="B6:B11"/>
    <mergeCell ref="B12:B24"/>
    <mergeCell ref="B25:B30"/>
    <mergeCell ref="B1:C1"/>
    <mergeCell ref="B2:C2"/>
    <mergeCell ref="B3:C3"/>
    <mergeCell ref="B4:C4"/>
  </mergeCells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GA29"/>
  <sheetViews>
    <sheetView zoomScale="75" zoomScaleNormal="75" zoomScaleSheetLayoutView="100" workbookViewId="0">
      <pane xSplit="3" ySplit="6" topLeftCell="EI7" activePane="bottomRight" state="frozen"/>
      <selection activeCell="J22" sqref="J22"/>
      <selection pane="topRight" activeCell="J22" sqref="J22"/>
      <selection pane="bottomLeft" activeCell="J22" sqref="J22"/>
      <selection pane="bottomRight" activeCell="J22" sqref="J22"/>
    </sheetView>
  </sheetViews>
  <sheetFormatPr defaultRowHeight="36.75" customHeight="1"/>
  <cols>
    <col min="1" max="3" width="10.625" style="135" customWidth="1"/>
    <col min="4" max="105" width="10.625" style="136" customWidth="1"/>
    <col min="106" max="108" width="10.625" style="137" customWidth="1"/>
    <col min="109" max="177" width="10.625" style="136" customWidth="1"/>
    <col min="178" max="183" width="10.625" style="135" customWidth="1"/>
    <col min="184" max="16384" width="9" style="138"/>
  </cols>
  <sheetData>
    <row r="1" spans="1:183" s="111" customFormat="1" ht="36.75" customHeight="1">
      <c r="A1" s="288" t="s">
        <v>247</v>
      </c>
      <c r="B1" s="288" t="s">
        <v>248</v>
      </c>
      <c r="C1" s="288"/>
      <c r="D1" s="283" t="s">
        <v>249</v>
      </c>
      <c r="E1" s="283"/>
      <c r="F1" s="283"/>
      <c r="G1" s="283" t="s">
        <v>80</v>
      </c>
      <c r="H1" s="283"/>
      <c r="I1" s="283"/>
      <c r="J1" s="281" t="s">
        <v>250</v>
      </c>
      <c r="K1" s="281"/>
      <c r="L1" s="281"/>
      <c r="M1" s="282" t="s">
        <v>251</v>
      </c>
      <c r="N1" s="282"/>
      <c r="O1" s="282"/>
      <c r="P1" s="283" t="s">
        <v>252</v>
      </c>
      <c r="Q1" s="283"/>
      <c r="R1" s="283"/>
      <c r="S1" s="283" t="s">
        <v>253</v>
      </c>
      <c r="T1" s="283"/>
      <c r="U1" s="283"/>
      <c r="V1" s="283" t="s">
        <v>254</v>
      </c>
      <c r="W1" s="283"/>
      <c r="X1" s="283"/>
      <c r="Y1" s="281" t="s">
        <v>255</v>
      </c>
      <c r="Z1" s="281"/>
      <c r="AA1" s="281"/>
      <c r="AB1" s="281" t="s">
        <v>256</v>
      </c>
      <c r="AC1" s="281"/>
      <c r="AD1" s="281"/>
      <c r="AE1" s="283" t="s">
        <v>81</v>
      </c>
      <c r="AF1" s="283"/>
      <c r="AG1" s="283"/>
      <c r="AH1" s="282" t="s">
        <v>82</v>
      </c>
      <c r="AI1" s="282"/>
      <c r="AJ1" s="282"/>
      <c r="AK1" s="282" t="s">
        <v>257</v>
      </c>
      <c r="AL1" s="282"/>
      <c r="AM1" s="282"/>
      <c r="AN1" s="282" t="s">
        <v>258</v>
      </c>
      <c r="AO1" s="282"/>
      <c r="AP1" s="282"/>
      <c r="AQ1" s="282" t="s">
        <v>83</v>
      </c>
      <c r="AR1" s="282"/>
      <c r="AS1" s="282"/>
      <c r="AT1" s="282" t="s">
        <v>84</v>
      </c>
      <c r="AU1" s="282"/>
      <c r="AV1" s="282"/>
      <c r="AW1" s="283" t="s">
        <v>259</v>
      </c>
      <c r="AX1" s="283"/>
      <c r="AY1" s="283"/>
      <c r="AZ1" s="283" t="s">
        <v>260</v>
      </c>
      <c r="BA1" s="283"/>
      <c r="BB1" s="283"/>
      <c r="BC1" s="283" t="s">
        <v>261</v>
      </c>
      <c r="BD1" s="283"/>
      <c r="BE1" s="283"/>
      <c r="BF1" s="282" t="s">
        <v>262</v>
      </c>
      <c r="BG1" s="282"/>
      <c r="BH1" s="282"/>
      <c r="BI1" s="283" t="s">
        <v>263</v>
      </c>
      <c r="BJ1" s="283"/>
      <c r="BK1" s="283"/>
      <c r="BL1" s="283" t="s">
        <v>264</v>
      </c>
      <c r="BM1" s="283"/>
      <c r="BN1" s="283"/>
      <c r="BO1" s="282" t="s">
        <v>85</v>
      </c>
      <c r="BP1" s="282"/>
      <c r="BQ1" s="282"/>
      <c r="BR1" s="282" t="s">
        <v>265</v>
      </c>
      <c r="BS1" s="282"/>
      <c r="BT1" s="282"/>
      <c r="BU1" s="284" t="s">
        <v>266</v>
      </c>
      <c r="BV1" s="284"/>
      <c r="BW1" s="284"/>
      <c r="BX1" s="284" t="s">
        <v>267</v>
      </c>
      <c r="BY1" s="284"/>
      <c r="BZ1" s="284"/>
      <c r="CA1" s="282" t="s">
        <v>268</v>
      </c>
      <c r="CB1" s="282"/>
      <c r="CC1" s="282"/>
      <c r="CD1" s="282" t="s">
        <v>86</v>
      </c>
      <c r="CE1" s="282"/>
      <c r="CF1" s="282"/>
      <c r="CG1" s="282" t="s">
        <v>269</v>
      </c>
      <c r="CH1" s="282"/>
      <c r="CI1" s="282"/>
      <c r="CJ1" s="284" t="s">
        <v>270</v>
      </c>
      <c r="CK1" s="284"/>
      <c r="CL1" s="284"/>
      <c r="CM1" s="284" t="s">
        <v>87</v>
      </c>
      <c r="CN1" s="284"/>
      <c r="CO1" s="284"/>
      <c r="CP1" s="284" t="s">
        <v>271</v>
      </c>
      <c r="CQ1" s="284"/>
      <c r="CR1" s="284"/>
      <c r="CS1" s="284" t="s">
        <v>272</v>
      </c>
      <c r="CT1" s="284"/>
      <c r="CU1" s="284"/>
      <c r="CV1" s="284" t="s">
        <v>88</v>
      </c>
      <c r="CW1" s="284"/>
      <c r="CX1" s="284"/>
      <c r="CY1" s="282" t="s">
        <v>273</v>
      </c>
      <c r="CZ1" s="282"/>
      <c r="DA1" s="282"/>
      <c r="DB1" s="282" t="s">
        <v>274</v>
      </c>
      <c r="DC1" s="282"/>
      <c r="DD1" s="282"/>
      <c r="DE1" s="284" t="s">
        <v>275</v>
      </c>
      <c r="DF1" s="284"/>
      <c r="DG1" s="284"/>
      <c r="DH1" s="284" t="s">
        <v>276</v>
      </c>
      <c r="DI1" s="284"/>
      <c r="DJ1" s="284"/>
      <c r="DK1" s="284" t="s">
        <v>277</v>
      </c>
      <c r="DL1" s="284"/>
      <c r="DM1" s="284"/>
      <c r="DN1" s="283" t="s">
        <v>278</v>
      </c>
      <c r="DO1" s="283"/>
      <c r="DP1" s="283"/>
      <c r="DQ1" s="282" t="s">
        <v>279</v>
      </c>
      <c r="DR1" s="283"/>
      <c r="DS1" s="283"/>
      <c r="DT1" s="282" t="s">
        <v>280</v>
      </c>
      <c r="DU1" s="282"/>
      <c r="DV1" s="282"/>
      <c r="DW1" s="282" t="s">
        <v>281</v>
      </c>
      <c r="DX1" s="282"/>
      <c r="DY1" s="282"/>
      <c r="DZ1" s="284" t="s">
        <v>282</v>
      </c>
      <c r="EA1" s="284"/>
      <c r="EB1" s="284"/>
      <c r="EC1" s="281" t="s">
        <v>283</v>
      </c>
      <c r="ED1" s="281"/>
      <c r="EE1" s="281"/>
      <c r="EF1" s="281" t="s">
        <v>284</v>
      </c>
      <c r="EG1" s="281"/>
      <c r="EH1" s="281"/>
      <c r="EI1" s="281" t="s">
        <v>285</v>
      </c>
      <c r="EJ1" s="281"/>
      <c r="EK1" s="281"/>
      <c r="EL1" s="284" t="s">
        <v>286</v>
      </c>
      <c r="EM1" s="284"/>
      <c r="EN1" s="284"/>
      <c r="EO1" s="284" t="s">
        <v>287</v>
      </c>
      <c r="EP1" s="284"/>
      <c r="EQ1" s="284"/>
      <c r="ER1" s="284" t="s">
        <v>288</v>
      </c>
      <c r="ES1" s="284"/>
      <c r="ET1" s="284"/>
      <c r="EU1" s="284" t="s">
        <v>289</v>
      </c>
      <c r="EV1" s="284"/>
      <c r="EW1" s="284"/>
      <c r="EX1" s="283" t="s">
        <v>290</v>
      </c>
      <c r="EY1" s="283"/>
      <c r="EZ1" s="283"/>
      <c r="FA1" s="281" t="s">
        <v>291</v>
      </c>
      <c r="FB1" s="281"/>
      <c r="FC1" s="281"/>
      <c r="FD1" s="281" t="s">
        <v>292</v>
      </c>
      <c r="FE1" s="281"/>
      <c r="FF1" s="281"/>
      <c r="FG1" s="281" t="s">
        <v>293</v>
      </c>
      <c r="FH1" s="281"/>
      <c r="FI1" s="281"/>
      <c r="FJ1" s="281" t="s">
        <v>294</v>
      </c>
      <c r="FK1" s="281"/>
      <c r="FL1" s="281"/>
      <c r="FM1" s="285" t="s">
        <v>295</v>
      </c>
      <c r="FN1" s="285"/>
      <c r="FO1" s="285"/>
      <c r="FP1" s="281" t="s">
        <v>296</v>
      </c>
      <c r="FQ1" s="281"/>
      <c r="FR1" s="281"/>
      <c r="FS1" s="281" t="s">
        <v>297</v>
      </c>
      <c r="FT1" s="281"/>
      <c r="FU1" s="281"/>
      <c r="FV1" s="289"/>
      <c r="FW1" s="290"/>
      <c r="FX1" s="291"/>
      <c r="FY1" s="289"/>
      <c r="FZ1" s="290"/>
      <c r="GA1" s="291"/>
    </row>
    <row r="2" spans="1:183" s="113" customFormat="1" ht="36.75" customHeight="1">
      <c r="A2" s="288"/>
      <c r="B2" s="287" t="s">
        <v>298</v>
      </c>
      <c r="C2" s="287"/>
      <c r="D2" s="283">
        <v>1315.01</v>
      </c>
      <c r="E2" s="283"/>
      <c r="F2" s="283"/>
      <c r="G2" s="283">
        <v>1398.59</v>
      </c>
      <c r="H2" s="283"/>
      <c r="I2" s="283"/>
      <c r="J2" s="281">
        <v>1375.93</v>
      </c>
      <c r="K2" s="281"/>
      <c r="L2" s="281"/>
      <c r="M2" s="282">
        <v>1371.09</v>
      </c>
      <c r="N2" s="282"/>
      <c r="O2" s="282"/>
      <c r="P2" s="283">
        <v>1393.91</v>
      </c>
      <c r="Q2" s="283"/>
      <c r="R2" s="283"/>
      <c r="S2" s="283">
        <v>1377.6</v>
      </c>
      <c r="T2" s="283"/>
      <c r="U2" s="283"/>
      <c r="V2" s="283">
        <v>1402.8</v>
      </c>
      <c r="W2" s="283"/>
      <c r="X2" s="283"/>
      <c r="Y2" s="281">
        <v>1368.28</v>
      </c>
      <c r="Z2" s="281"/>
      <c r="AA2" s="281"/>
      <c r="AB2" s="281">
        <v>1370.43</v>
      </c>
      <c r="AC2" s="281"/>
      <c r="AD2" s="281"/>
      <c r="AE2" s="283">
        <v>1408.8</v>
      </c>
      <c r="AF2" s="283"/>
      <c r="AG2" s="283"/>
      <c r="AH2" s="282">
        <v>1375.67</v>
      </c>
      <c r="AI2" s="282"/>
      <c r="AJ2" s="282"/>
      <c r="AK2" s="282">
        <v>1425.23</v>
      </c>
      <c r="AL2" s="282"/>
      <c r="AM2" s="282"/>
      <c r="AN2" s="283">
        <v>1425.43</v>
      </c>
      <c r="AO2" s="283"/>
      <c r="AP2" s="283"/>
      <c r="AQ2" s="283">
        <v>1398.73</v>
      </c>
      <c r="AR2" s="283"/>
      <c r="AS2" s="283"/>
      <c r="AT2" s="283">
        <v>1378.13</v>
      </c>
      <c r="AU2" s="283"/>
      <c r="AV2" s="283"/>
      <c r="AW2" s="283">
        <v>1380.72</v>
      </c>
      <c r="AX2" s="283"/>
      <c r="AY2" s="283"/>
      <c r="AZ2" s="283">
        <v>1384.47</v>
      </c>
      <c r="BA2" s="283"/>
      <c r="BB2" s="283"/>
      <c r="BC2" s="283">
        <v>1412.902</v>
      </c>
      <c r="BD2" s="283"/>
      <c r="BE2" s="283"/>
      <c r="BF2" s="282">
        <v>1429.62</v>
      </c>
      <c r="BG2" s="282"/>
      <c r="BH2" s="282"/>
      <c r="BI2" s="283">
        <v>1363.4090000000001</v>
      </c>
      <c r="BJ2" s="283"/>
      <c r="BK2" s="283"/>
      <c r="BL2" s="283">
        <v>1369.96</v>
      </c>
      <c r="BM2" s="283"/>
      <c r="BN2" s="283"/>
      <c r="BO2" s="283">
        <v>1362.64</v>
      </c>
      <c r="BP2" s="283"/>
      <c r="BQ2" s="283"/>
      <c r="BR2" s="282">
        <v>1365.94</v>
      </c>
      <c r="BS2" s="282"/>
      <c r="BT2" s="282"/>
      <c r="BU2" s="284">
        <v>1370.93</v>
      </c>
      <c r="BV2" s="284"/>
      <c r="BW2" s="284"/>
      <c r="BX2" s="283">
        <v>1369.13</v>
      </c>
      <c r="BY2" s="283"/>
      <c r="BZ2" s="283"/>
      <c r="CA2" s="282">
        <v>1376.95</v>
      </c>
      <c r="CB2" s="282"/>
      <c r="CC2" s="282"/>
      <c r="CD2" s="283">
        <v>1375.07</v>
      </c>
      <c r="CE2" s="283"/>
      <c r="CF2" s="283"/>
      <c r="CG2" s="282">
        <v>1378.6949999999999</v>
      </c>
      <c r="CH2" s="282"/>
      <c r="CI2" s="282"/>
      <c r="CJ2" s="284">
        <v>1367.88</v>
      </c>
      <c r="CK2" s="284"/>
      <c r="CL2" s="284"/>
      <c r="CM2" s="284">
        <v>1367.2919999999999</v>
      </c>
      <c r="CN2" s="284"/>
      <c r="CO2" s="284"/>
      <c r="CP2" s="284">
        <v>1378.33</v>
      </c>
      <c r="CQ2" s="284"/>
      <c r="CR2" s="284"/>
      <c r="CS2" s="284">
        <v>1380.6659999999999</v>
      </c>
      <c r="CT2" s="284"/>
      <c r="CU2" s="284"/>
      <c r="CV2" s="283">
        <v>1370.1110000000001</v>
      </c>
      <c r="CW2" s="283"/>
      <c r="CX2" s="283"/>
      <c r="CY2" s="282">
        <v>1417.3620000000001</v>
      </c>
      <c r="CZ2" s="282"/>
      <c r="DA2" s="282"/>
      <c r="DB2" s="282">
        <v>1378.68</v>
      </c>
      <c r="DC2" s="282"/>
      <c r="DD2" s="282"/>
      <c r="DE2" s="284">
        <v>1375</v>
      </c>
      <c r="DF2" s="284"/>
      <c r="DG2" s="284"/>
      <c r="DH2" s="283">
        <v>1358.56</v>
      </c>
      <c r="DI2" s="283"/>
      <c r="DJ2" s="283"/>
      <c r="DK2" s="284">
        <v>1363.1420000000001</v>
      </c>
      <c r="DL2" s="284"/>
      <c r="DM2" s="284"/>
      <c r="DN2" s="283">
        <v>1380.979</v>
      </c>
      <c r="DO2" s="283"/>
      <c r="DP2" s="283"/>
      <c r="DQ2" s="283">
        <v>18747650.951000001</v>
      </c>
      <c r="DR2" s="283"/>
      <c r="DS2" s="283"/>
      <c r="DT2" s="282">
        <v>1402.86</v>
      </c>
      <c r="DU2" s="282"/>
      <c r="DV2" s="282"/>
      <c r="DW2" s="282">
        <v>1375.325</v>
      </c>
      <c r="DX2" s="282"/>
      <c r="DY2" s="282"/>
      <c r="DZ2" s="284">
        <v>1368.086</v>
      </c>
      <c r="EA2" s="284"/>
      <c r="EB2" s="284"/>
      <c r="EC2" s="281">
        <v>1415.07</v>
      </c>
      <c r="ED2" s="281"/>
      <c r="EE2" s="281"/>
      <c r="EF2" s="281">
        <v>1418.9960000000001</v>
      </c>
      <c r="EG2" s="281"/>
      <c r="EH2" s="281"/>
      <c r="EI2" s="281">
        <v>1424.41</v>
      </c>
      <c r="EJ2" s="281"/>
      <c r="EK2" s="281"/>
      <c r="EL2" s="284">
        <v>1416.26</v>
      </c>
      <c r="EM2" s="284"/>
      <c r="EN2" s="284"/>
      <c r="EO2" s="284">
        <v>1413.451</v>
      </c>
      <c r="EP2" s="284"/>
      <c r="EQ2" s="284"/>
      <c r="ER2" s="281">
        <v>1442.81</v>
      </c>
      <c r="ES2" s="281"/>
      <c r="ET2" s="281"/>
      <c r="EU2" s="284">
        <v>1363.65</v>
      </c>
      <c r="EV2" s="284"/>
      <c r="EW2" s="284"/>
      <c r="EX2" s="283">
        <v>1346.6</v>
      </c>
      <c r="EY2" s="283"/>
      <c r="EZ2" s="283"/>
      <c r="FA2" s="281">
        <v>1389.4</v>
      </c>
      <c r="FB2" s="281"/>
      <c r="FC2" s="281"/>
      <c r="FD2" s="281">
        <v>1380.24</v>
      </c>
      <c r="FE2" s="281"/>
      <c r="FF2" s="281"/>
      <c r="FG2" s="281">
        <v>1444.8969999999999</v>
      </c>
      <c r="FH2" s="281"/>
      <c r="FI2" s="281"/>
      <c r="FJ2" s="281">
        <v>1422.95</v>
      </c>
      <c r="FK2" s="281"/>
      <c r="FL2" s="281"/>
      <c r="FM2" s="285">
        <v>1364.34</v>
      </c>
      <c r="FN2" s="285"/>
      <c r="FO2" s="285"/>
      <c r="FP2" s="281">
        <v>1363.82</v>
      </c>
      <c r="FQ2" s="281"/>
      <c r="FR2" s="281"/>
      <c r="FS2" s="281">
        <v>1370.86</v>
      </c>
      <c r="FT2" s="281"/>
      <c r="FU2" s="281"/>
      <c r="FV2" s="292"/>
      <c r="FW2" s="293"/>
      <c r="FX2" s="294"/>
      <c r="FY2" s="292"/>
      <c r="FZ2" s="293"/>
      <c r="GA2" s="294"/>
    </row>
    <row r="3" spans="1:183" s="113" customFormat="1" ht="36.75" customHeight="1">
      <c r="A3" s="288"/>
      <c r="B3" s="287" t="s">
        <v>299</v>
      </c>
      <c r="C3" s="112" t="s">
        <v>300</v>
      </c>
      <c r="D3" s="283">
        <v>4187723.55</v>
      </c>
      <c r="E3" s="283"/>
      <c r="F3" s="283"/>
      <c r="G3" s="283">
        <v>4258988.33</v>
      </c>
      <c r="H3" s="283"/>
      <c r="I3" s="283"/>
      <c r="J3" s="281">
        <v>4208508.2</v>
      </c>
      <c r="K3" s="281"/>
      <c r="L3" s="281"/>
      <c r="M3" s="282">
        <v>4222700</v>
      </c>
      <c r="N3" s="282"/>
      <c r="O3" s="282"/>
      <c r="P3" s="283">
        <v>4261180.33</v>
      </c>
      <c r="Q3" s="283"/>
      <c r="R3" s="283"/>
      <c r="S3" s="283">
        <v>4229285.2</v>
      </c>
      <c r="T3" s="283"/>
      <c r="U3" s="283"/>
      <c r="V3" s="283">
        <v>4273926.29</v>
      </c>
      <c r="W3" s="283"/>
      <c r="X3" s="283"/>
      <c r="Y3" s="281">
        <v>4218660.5599999996</v>
      </c>
      <c r="Z3" s="281"/>
      <c r="AA3" s="281"/>
      <c r="AB3" s="281">
        <v>4207185.42</v>
      </c>
      <c r="AC3" s="281"/>
      <c r="AD3" s="281"/>
      <c r="AE3" s="283">
        <v>4242300.1100000003</v>
      </c>
      <c r="AF3" s="283"/>
      <c r="AG3" s="283"/>
      <c r="AH3" s="282" t="s">
        <v>301</v>
      </c>
      <c r="AI3" s="282"/>
      <c r="AJ3" s="282"/>
      <c r="AK3" s="282">
        <v>4252152.07</v>
      </c>
      <c r="AL3" s="282"/>
      <c r="AM3" s="282"/>
      <c r="AN3" s="283">
        <v>4258755.37</v>
      </c>
      <c r="AO3" s="283"/>
      <c r="AP3" s="283"/>
      <c r="AQ3" s="283">
        <v>4267776.55</v>
      </c>
      <c r="AR3" s="283"/>
      <c r="AS3" s="283"/>
      <c r="AT3" s="283">
        <v>4195155.76</v>
      </c>
      <c r="AU3" s="283"/>
      <c r="AV3" s="283"/>
      <c r="AW3" s="283">
        <v>4201681.82</v>
      </c>
      <c r="AX3" s="283"/>
      <c r="AY3" s="283"/>
      <c r="AZ3" s="283">
        <v>4269631.05</v>
      </c>
      <c r="BA3" s="283"/>
      <c r="BB3" s="283"/>
      <c r="BC3" s="283">
        <v>4263302.375</v>
      </c>
      <c r="BD3" s="283"/>
      <c r="BE3" s="283"/>
      <c r="BF3" s="282">
        <v>4256312.5999999996</v>
      </c>
      <c r="BG3" s="282"/>
      <c r="BH3" s="282"/>
      <c r="BI3" s="283">
        <v>4231300.0959999999</v>
      </c>
      <c r="BJ3" s="283"/>
      <c r="BK3" s="283"/>
      <c r="BL3" s="283">
        <v>4233433.3899999997</v>
      </c>
      <c r="BM3" s="283"/>
      <c r="BN3" s="283"/>
      <c r="BO3" s="283">
        <v>4224161.96</v>
      </c>
      <c r="BP3" s="283"/>
      <c r="BQ3" s="283"/>
      <c r="BR3" s="282">
        <v>4222259.5599999996</v>
      </c>
      <c r="BS3" s="282"/>
      <c r="BT3" s="282"/>
      <c r="BU3" s="284">
        <v>4213817.09</v>
      </c>
      <c r="BV3" s="284"/>
      <c r="BW3" s="284"/>
      <c r="BX3" s="283">
        <v>4196430.08</v>
      </c>
      <c r="BY3" s="283"/>
      <c r="BZ3" s="283"/>
      <c r="CA3" s="282">
        <v>4227493.97</v>
      </c>
      <c r="CB3" s="282"/>
      <c r="CC3" s="282"/>
      <c r="CD3" s="283">
        <v>4224230.3169999998</v>
      </c>
      <c r="CE3" s="283"/>
      <c r="CF3" s="283"/>
      <c r="CG3" s="282">
        <v>4219511.5149999997</v>
      </c>
      <c r="CH3" s="282"/>
      <c r="CI3" s="282"/>
      <c r="CJ3" s="284">
        <v>4214204.8779999996</v>
      </c>
      <c r="CK3" s="284"/>
      <c r="CL3" s="284"/>
      <c r="CM3" s="284">
        <v>4203443.1639999999</v>
      </c>
      <c r="CN3" s="284"/>
      <c r="CO3" s="284"/>
      <c r="CP3" s="284">
        <v>4206143.233</v>
      </c>
      <c r="CQ3" s="284"/>
      <c r="CR3" s="284"/>
      <c r="CS3" s="284">
        <v>4203317.2450000001</v>
      </c>
      <c r="CT3" s="284"/>
      <c r="CU3" s="284"/>
      <c r="CV3" s="283">
        <v>4190591.102</v>
      </c>
      <c r="CW3" s="283"/>
      <c r="CX3" s="283"/>
      <c r="CY3" s="282">
        <v>4255167.5180000002</v>
      </c>
      <c r="CZ3" s="282"/>
      <c r="DA3" s="282"/>
      <c r="DB3" s="282">
        <v>4239295.87</v>
      </c>
      <c r="DC3" s="282"/>
      <c r="DD3" s="282"/>
      <c r="DE3" s="284">
        <v>4213181.08</v>
      </c>
      <c r="DF3" s="284"/>
      <c r="DG3" s="284"/>
      <c r="DH3" s="283">
        <v>4198021.0140000004</v>
      </c>
      <c r="DI3" s="283"/>
      <c r="DJ3" s="283"/>
      <c r="DK3" s="284">
        <v>4209836.5520000001</v>
      </c>
      <c r="DL3" s="284"/>
      <c r="DM3" s="284"/>
      <c r="DN3" s="283">
        <v>4202436.0460000001</v>
      </c>
      <c r="DO3" s="283"/>
      <c r="DP3" s="283"/>
      <c r="DQ3" s="283">
        <v>4192735.642</v>
      </c>
      <c r="DR3" s="283"/>
      <c r="DS3" s="283"/>
      <c r="DT3" s="282">
        <v>4272415.9220000003</v>
      </c>
      <c r="DU3" s="282"/>
      <c r="DV3" s="282"/>
      <c r="DW3" s="282">
        <v>4228051.91</v>
      </c>
      <c r="DX3" s="282"/>
      <c r="DY3" s="282"/>
      <c r="DZ3" s="284">
        <v>4216758.182</v>
      </c>
      <c r="EA3" s="284"/>
      <c r="EB3" s="284"/>
      <c r="EC3" s="281">
        <v>4267839.6100000003</v>
      </c>
      <c r="ED3" s="281"/>
      <c r="EE3" s="281"/>
      <c r="EF3" s="281">
        <v>4264399.8310000002</v>
      </c>
      <c r="EG3" s="281"/>
      <c r="EH3" s="281"/>
      <c r="EI3" s="281">
        <v>4260753.97</v>
      </c>
      <c r="EJ3" s="281"/>
      <c r="EK3" s="281"/>
      <c r="EL3" s="284">
        <v>4250998.8899999997</v>
      </c>
      <c r="EM3" s="284"/>
      <c r="EN3" s="284"/>
      <c r="EO3" s="284">
        <v>4245447.75</v>
      </c>
      <c r="EP3" s="284"/>
      <c r="EQ3" s="284"/>
      <c r="ER3" s="281">
        <v>4248060.8600000003</v>
      </c>
      <c r="ES3" s="281"/>
      <c r="ET3" s="281"/>
      <c r="EU3" s="284">
        <v>4211589.7680000002</v>
      </c>
      <c r="EV3" s="284"/>
      <c r="EW3" s="284"/>
      <c r="EX3" s="283">
        <v>4188869.44</v>
      </c>
      <c r="EY3" s="283"/>
      <c r="EZ3" s="283"/>
      <c r="FA3" s="281">
        <v>4275802.16</v>
      </c>
      <c r="FB3" s="281"/>
      <c r="FC3" s="281"/>
      <c r="FD3" s="281">
        <v>4271066.25</v>
      </c>
      <c r="FE3" s="281"/>
      <c r="FF3" s="281"/>
      <c r="FG3" s="281">
        <v>4253818.5140000004</v>
      </c>
      <c r="FH3" s="281"/>
      <c r="FI3" s="281"/>
      <c r="FJ3" s="281">
        <v>4257645.46</v>
      </c>
      <c r="FK3" s="281"/>
      <c r="FL3" s="281"/>
      <c r="FM3" s="285">
        <v>4200884.37</v>
      </c>
      <c r="FN3" s="285"/>
      <c r="FO3" s="285"/>
      <c r="FP3" s="281">
        <v>4206943.24</v>
      </c>
      <c r="FQ3" s="281"/>
      <c r="FR3" s="281"/>
      <c r="FS3" s="281">
        <v>4196288.97</v>
      </c>
      <c r="FT3" s="281"/>
      <c r="FU3" s="281"/>
      <c r="FV3" s="292"/>
      <c r="FW3" s="293"/>
      <c r="FX3" s="294"/>
      <c r="FY3" s="292"/>
      <c r="FZ3" s="293"/>
      <c r="GA3" s="294"/>
    </row>
    <row r="4" spans="1:183" s="113" customFormat="1" ht="36.75" customHeight="1">
      <c r="A4" s="288"/>
      <c r="B4" s="287"/>
      <c r="C4" s="112" t="s">
        <v>302</v>
      </c>
      <c r="D4" s="283">
        <v>18743052.289999999</v>
      </c>
      <c r="E4" s="283"/>
      <c r="F4" s="283"/>
      <c r="G4" s="283">
        <v>19217247.940000001</v>
      </c>
      <c r="H4" s="283"/>
      <c r="I4" s="283"/>
      <c r="J4" s="281">
        <v>18741401.199999999</v>
      </c>
      <c r="K4" s="281"/>
      <c r="L4" s="281"/>
      <c r="M4" s="282">
        <v>19237600</v>
      </c>
      <c r="N4" s="282"/>
      <c r="O4" s="282"/>
      <c r="P4" s="283">
        <v>19236544.73</v>
      </c>
      <c r="Q4" s="283"/>
      <c r="R4" s="283"/>
      <c r="S4" s="283">
        <v>18747238.789999999</v>
      </c>
      <c r="T4" s="283"/>
      <c r="U4" s="283"/>
      <c r="V4" s="283">
        <v>19233851.25</v>
      </c>
      <c r="W4" s="283"/>
      <c r="X4" s="283"/>
      <c r="Y4" s="281">
        <v>18746670.940000001</v>
      </c>
      <c r="Z4" s="281"/>
      <c r="AA4" s="281"/>
      <c r="AB4" s="281">
        <v>18757779.559999999</v>
      </c>
      <c r="AC4" s="281"/>
      <c r="AD4" s="281"/>
      <c r="AE4" s="283">
        <v>19224108.390000001</v>
      </c>
      <c r="AF4" s="283"/>
      <c r="AG4" s="283"/>
      <c r="AH4" s="282">
        <v>19242403.899999999</v>
      </c>
      <c r="AI4" s="282"/>
      <c r="AJ4" s="282"/>
      <c r="AK4" s="282">
        <v>18751675.25</v>
      </c>
      <c r="AL4" s="282"/>
      <c r="AM4" s="282"/>
      <c r="AN4" s="282">
        <v>18753499.149999999</v>
      </c>
      <c r="AO4" s="282"/>
      <c r="AP4" s="282"/>
      <c r="AQ4" s="282">
        <v>18753633.449999999</v>
      </c>
      <c r="AR4" s="282"/>
      <c r="AS4" s="282"/>
      <c r="AT4" s="283">
        <v>18752351.059999999</v>
      </c>
      <c r="AU4" s="283"/>
      <c r="AV4" s="283"/>
      <c r="AW4" s="283">
        <v>19218244.710000001</v>
      </c>
      <c r="AX4" s="283"/>
      <c r="AY4" s="283"/>
      <c r="AZ4" s="283">
        <v>19237128.09</v>
      </c>
      <c r="BA4" s="283"/>
      <c r="BB4" s="283"/>
      <c r="BC4" s="283">
        <v>18748441.647999998</v>
      </c>
      <c r="BD4" s="283"/>
      <c r="BE4" s="283"/>
      <c r="BF4" s="282">
        <v>18761004.440000001</v>
      </c>
      <c r="BG4" s="282"/>
      <c r="BH4" s="282"/>
      <c r="BI4" s="283">
        <v>18734822.052999999</v>
      </c>
      <c r="BJ4" s="283"/>
      <c r="BK4" s="283"/>
      <c r="BL4" s="283">
        <v>18741561.550000001</v>
      </c>
      <c r="BM4" s="283"/>
      <c r="BN4" s="283"/>
      <c r="BO4" s="283">
        <v>18730748.780000001</v>
      </c>
      <c r="BP4" s="283"/>
      <c r="BQ4" s="283"/>
      <c r="BR4" s="282">
        <v>18739593.68</v>
      </c>
      <c r="BS4" s="282"/>
      <c r="BT4" s="282"/>
      <c r="BU4" s="284">
        <v>18755965.300000001</v>
      </c>
      <c r="BV4" s="284"/>
      <c r="BW4" s="284"/>
      <c r="BX4" s="283">
        <v>18738739.870000001</v>
      </c>
      <c r="BY4" s="283"/>
      <c r="BZ4" s="283"/>
      <c r="CA4" s="282">
        <v>18762270.690000001</v>
      </c>
      <c r="CB4" s="282"/>
      <c r="CC4" s="282"/>
      <c r="CD4" s="283">
        <v>18749407.43</v>
      </c>
      <c r="CE4" s="283"/>
      <c r="CF4" s="283"/>
      <c r="CG4" s="282">
        <v>18756266.833999999</v>
      </c>
      <c r="CH4" s="282"/>
      <c r="CI4" s="282"/>
      <c r="CJ4" s="284">
        <v>19238172.002999999</v>
      </c>
      <c r="CK4" s="284"/>
      <c r="CL4" s="284"/>
      <c r="CM4" s="284">
        <v>18736384.02</v>
      </c>
      <c r="CN4" s="284"/>
      <c r="CO4" s="284"/>
      <c r="CP4" s="284">
        <v>18750308.388999999</v>
      </c>
      <c r="CQ4" s="284"/>
      <c r="CR4" s="284"/>
      <c r="CS4" s="284">
        <v>18762952.907000002</v>
      </c>
      <c r="CT4" s="284"/>
      <c r="CU4" s="284"/>
      <c r="CV4" s="283">
        <v>18763356.605</v>
      </c>
      <c r="CW4" s="283"/>
      <c r="CX4" s="283"/>
      <c r="CY4" s="282">
        <v>18747976.758000001</v>
      </c>
      <c r="CZ4" s="282"/>
      <c r="DA4" s="282"/>
      <c r="DB4" s="282">
        <v>18743360.510000002</v>
      </c>
      <c r="DC4" s="282"/>
      <c r="DD4" s="282"/>
      <c r="DE4" s="284">
        <v>18745172.039999999</v>
      </c>
      <c r="DF4" s="284"/>
      <c r="DG4" s="284"/>
      <c r="DH4" s="283">
        <v>18733242.908</v>
      </c>
      <c r="DI4" s="283"/>
      <c r="DJ4" s="283"/>
      <c r="DK4" s="284">
        <v>18733423.682999998</v>
      </c>
      <c r="DL4" s="284"/>
      <c r="DM4" s="284"/>
      <c r="DN4" s="283">
        <v>18755214.728</v>
      </c>
      <c r="DO4" s="283"/>
      <c r="DP4" s="283"/>
      <c r="DQ4" s="283">
        <v>18747650.951000001</v>
      </c>
      <c r="DR4" s="283"/>
      <c r="DS4" s="283"/>
      <c r="DT4" s="282">
        <v>18751209.116</v>
      </c>
      <c r="DU4" s="282"/>
      <c r="DV4" s="282"/>
      <c r="DW4" s="282">
        <v>18741402.84</v>
      </c>
      <c r="DX4" s="282"/>
      <c r="DY4" s="282"/>
      <c r="DZ4" s="284">
        <v>18736130.460999999</v>
      </c>
      <c r="EA4" s="284"/>
      <c r="EB4" s="284"/>
      <c r="EC4" s="281">
        <v>18748436.579999998</v>
      </c>
      <c r="ED4" s="281"/>
      <c r="EE4" s="281"/>
      <c r="EF4" s="281">
        <v>18783527.289999999</v>
      </c>
      <c r="EG4" s="281"/>
      <c r="EH4" s="281"/>
      <c r="EI4" s="281">
        <v>18756653.379999999</v>
      </c>
      <c r="EJ4" s="281"/>
      <c r="EK4" s="281"/>
      <c r="EL4" s="284">
        <v>19223054.370000001</v>
      </c>
      <c r="EM4" s="284"/>
      <c r="EN4" s="284"/>
      <c r="EO4" s="284">
        <v>18746875.471000001</v>
      </c>
      <c r="EP4" s="284"/>
      <c r="EQ4" s="284"/>
      <c r="ER4" s="281">
        <v>18754257.620000001</v>
      </c>
      <c r="ES4" s="281"/>
      <c r="ET4" s="281"/>
      <c r="EU4" s="284">
        <v>19242982.322999999</v>
      </c>
      <c r="EV4" s="284"/>
      <c r="EW4" s="284"/>
      <c r="EX4" s="283">
        <v>19228593.18</v>
      </c>
      <c r="EY4" s="283"/>
      <c r="EZ4" s="283"/>
      <c r="FA4" s="281">
        <v>19238778.940000001</v>
      </c>
      <c r="FB4" s="281"/>
      <c r="FC4" s="281"/>
      <c r="FD4" s="281">
        <v>19242818.350000001</v>
      </c>
      <c r="FE4" s="281"/>
      <c r="FF4" s="281"/>
      <c r="FG4" s="281">
        <v>18756343.114999998</v>
      </c>
      <c r="FH4" s="281"/>
      <c r="FI4" s="281"/>
      <c r="FJ4" s="281">
        <v>19242811.670000002</v>
      </c>
      <c r="FK4" s="281"/>
      <c r="FL4" s="281"/>
      <c r="FM4" s="285">
        <v>19245145.600000001</v>
      </c>
      <c r="FN4" s="285"/>
      <c r="FO4" s="285"/>
      <c r="FP4" s="281">
        <v>19240225.16</v>
      </c>
      <c r="FQ4" s="281"/>
      <c r="FR4" s="281"/>
      <c r="FS4" s="281">
        <v>4196288.97</v>
      </c>
      <c r="FT4" s="281"/>
      <c r="FU4" s="281"/>
      <c r="FV4" s="292"/>
      <c r="FW4" s="293"/>
      <c r="FX4" s="294"/>
      <c r="FY4" s="292"/>
      <c r="FZ4" s="293"/>
      <c r="GA4" s="294"/>
    </row>
    <row r="5" spans="1:183" s="115" customFormat="1" ht="36.75" customHeight="1">
      <c r="A5" s="288"/>
      <c r="B5" s="288" t="s">
        <v>303</v>
      </c>
      <c r="C5" s="288" t="s">
        <v>304</v>
      </c>
      <c r="D5" s="108" t="s">
        <v>89</v>
      </c>
      <c r="E5" s="108" t="s">
        <v>90</v>
      </c>
      <c r="F5" s="108" t="s">
        <v>91</v>
      </c>
      <c r="G5" s="108" t="s">
        <v>89</v>
      </c>
      <c r="H5" s="108" t="s">
        <v>90</v>
      </c>
      <c r="I5" s="108" t="s">
        <v>91</v>
      </c>
      <c r="J5" s="109" t="s">
        <v>89</v>
      </c>
      <c r="K5" s="109" t="s">
        <v>90</v>
      </c>
      <c r="L5" s="109" t="s">
        <v>91</v>
      </c>
      <c r="M5" s="108" t="s">
        <v>305</v>
      </c>
      <c r="N5" s="108" t="s">
        <v>90</v>
      </c>
      <c r="O5" s="108" t="s">
        <v>91</v>
      </c>
      <c r="P5" s="108" t="s">
        <v>89</v>
      </c>
      <c r="Q5" s="108" t="s">
        <v>306</v>
      </c>
      <c r="R5" s="108" t="s">
        <v>307</v>
      </c>
      <c r="S5" s="108" t="s">
        <v>89</v>
      </c>
      <c r="T5" s="108" t="s">
        <v>90</v>
      </c>
      <c r="U5" s="108" t="s">
        <v>91</v>
      </c>
      <c r="V5" s="108" t="s">
        <v>89</v>
      </c>
      <c r="W5" s="108" t="s">
        <v>90</v>
      </c>
      <c r="X5" s="108" t="s">
        <v>91</v>
      </c>
      <c r="Y5" s="109" t="s">
        <v>89</v>
      </c>
      <c r="Z5" s="109" t="s">
        <v>90</v>
      </c>
      <c r="AA5" s="109" t="s">
        <v>91</v>
      </c>
      <c r="AB5" s="109" t="s">
        <v>89</v>
      </c>
      <c r="AC5" s="109" t="s">
        <v>90</v>
      </c>
      <c r="AD5" s="109" t="s">
        <v>91</v>
      </c>
      <c r="AE5" s="108" t="s">
        <v>89</v>
      </c>
      <c r="AF5" s="108" t="s">
        <v>90</v>
      </c>
      <c r="AG5" s="108" t="s">
        <v>91</v>
      </c>
      <c r="AH5" s="108" t="s">
        <v>308</v>
      </c>
      <c r="AI5" s="108" t="s">
        <v>90</v>
      </c>
      <c r="AJ5" s="108" t="s">
        <v>91</v>
      </c>
      <c r="AK5" s="108" t="s">
        <v>305</v>
      </c>
      <c r="AL5" s="108" t="s">
        <v>90</v>
      </c>
      <c r="AM5" s="108" t="s">
        <v>91</v>
      </c>
      <c r="AN5" s="108" t="s">
        <v>89</v>
      </c>
      <c r="AO5" s="108" t="s">
        <v>90</v>
      </c>
      <c r="AP5" s="108" t="s">
        <v>91</v>
      </c>
      <c r="AQ5" s="108" t="s">
        <v>89</v>
      </c>
      <c r="AR5" s="108" t="s">
        <v>90</v>
      </c>
      <c r="AS5" s="108" t="s">
        <v>91</v>
      </c>
      <c r="AT5" s="108" t="s">
        <v>89</v>
      </c>
      <c r="AU5" s="108" t="s">
        <v>90</v>
      </c>
      <c r="AV5" s="108" t="s">
        <v>91</v>
      </c>
      <c r="AW5" s="108" t="s">
        <v>89</v>
      </c>
      <c r="AX5" s="108" t="s">
        <v>90</v>
      </c>
      <c r="AY5" s="108" t="s">
        <v>91</v>
      </c>
      <c r="AZ5" s="108" t="s">
        <v>89</v>
      </c>
      <c r="BA5" s="108" t="s">
        <v>90</v>
      </c>
      <c r="BB5" s="108" t="s">
        <v>91</v>
      </c>
      <c r="BC5" s="108" t="s">
        <v>305</v>
      </c>
      <c r="BD5" s="108" t="s">
        <v>90</v>
      </c>
      <c r="BE5" s="108" t="s">
        <v>91</v>
      </c>
      <c r="BF5" s="108" t="s">
        <v>305</v>
      </c>
      <c r="BG5" s="108" t="s">
        <v>90</v>
      </c>
      <c r="BH5" s="108" t="s">
        <v>91</v>
      </c>
      <c r="BI5" s="108" t="s">
        <v>305</v>
      </c>
      <c r="BJ5" s="108" t="s">
        <v>90</v>
      </c>
      <c r="BK5" s="108" t="s">
        <v>91</v>
      </c>
      <c r="BL5" s="108" t="s">
        <v>305</v>
      </c>
      <c r="BM5" s="108" t="s">
        <v>90</v>
      </c>
      <c r="BN5" s="108" t="s">
        <v>91</v>
      </c>
      <c r="BO5" s="108" t="s">
        <v>305</v>
      </c>
      <c r="BP5" s="108" t="s">
        <v>90</v>
      </c>
      <c r="BQ5" s="108" t="s">
        <v>91</v>
      </c>
      <c r="BR5" s="108" t="s">
        <v>305</v>
      </c>
      <c r="BS5" s="108" t="s">
        <v>90</v>
      </c>
      <c r="BT5" s="108" t="s">
        <v>91</v>
      </c>
      <c r="BU5" s="109" t="s">
        <v>305</v>
      </c>
      <c r="BV5" s="109" t="s">
        <v>90</v>
      </c>
      <c r="BW5" s="109" t="s">
        <v>91</v>
      </c>
      <c r="BX5" s="108" t="s">
        <v>89</v>
      </c>
      <c r="BY5" s="108" t="s">
        <v>90</v>
      </c>
      <c r="BZ5" s="108" t="s">
        <v>91</v>
      </c>
      <c r="CA5" s="108" t="s">
        <v>305</v>
      </c>
      <c r="CB5" s="108" t="s">
        <v>90</v>
      </c>
      <c r="CC5" s="108" t="s">
        <v>91</v>
      </c>
      <c r="CD5" s="108" t="s">
        <v>305</v>
      </c>
      <c r="CE5" s="108" t="s">
        <v>90</v>
      </c>
      <c r="CF5" s="108" t="s">
        <v>91</v>
      </c>
      <c r="CG5" s="108" t="s">
        <v>305</v>
      </c>
      <c r="CH5" s="108" t="s">
        <v>90</v>
      </c>
      <c r="CI5" s="108" t="s">
        <v>91</v>
      </c>
      <c r="CJ5" s="109" t="s">
        <v>305</v>
      </c>
      <c r="CK5" s="109" t="s">
        <v>90</v>
      </c>
      <c r="CL5" s="109" t="s">
        <v>91</v>
      </c>
      <c r="CM5" s="109" t="s">
        <v>305</v>
      </c>
      <c r="CN5" s="109" t="s">
        <v>90</v>
      </c>
      <c r="CO5" s="109" t="s">
        <v>91</v>
      </c>
      <c r="CP5" s="109" t="s">
        <v>305</v>
      </c>
      <c r="CQ5" s="109" t="s">
        <v>90</v>
      </c>
      <c r="CR5" s="109" t="s">
        <v>91</v>
      </c>
      <c r="CS5" s="109" t="s">
        <v>305</v>
      </c>
      <c r="CT5" s="109" t="s">
        <v>90</v>
      </c>
      <c r="CU5" s="109" t="s">
        <v>91</v>
      </c>
      <c r="CV5" s="108" t="s">
        <v>89</v>
      </c>
      <c r="CW5" s="108" t="s">
        <v>90</v>
      </c>
      <c r="CX5" s="108" t="s">
        <v>91</v>
      </c>
      <c r="CY5" s="108" t="s">
        <v>305</v>
      </c>
      <c r="CZ5" s="108" t="s">
        <v>90</v>
      </c>
      <c r="DA5" s="108" t="s">
        <v>91</v>
      </c>
      <c r="DB5" s="108" t="s">
        <v>305</v>
      </c>
      <c r="DC5" s="108" t="s">
        <v>90</v>
      </c>
      <c r="DD5" s="108" t="s">
        <v>91</v>
      </c>
      <c r="DE5" s="109" t="s">
        <v>305</v>
      </c>
      <c r="DF5" s="109" t="s">
        <v>90</v>
      </c>
      <c r="DG5" s="109" t="s">
        <v>91</v>
      </c>
      <c r="DH5" s="108" t="s">
        <v>89</v>
      </c>
      <c r="DI5" s="108" t="s">
        <v>90</v>
      </c>
      <c r="DJ5" s="108" t="s">
        <v>91</v>
      </c>
      <c r="DK5" s="109" t="s">
        <v>305</v>
      </c>
      <c r="DL5" s="109" t="s">
        <v>90</v>
      </c>
      <c r="DM5" s="109" t="s">
        <v>91</v>
      </c>
      <c r="DN5" s="108" t="s">
        <v>89</v>
      </c>
      <c r="DO5" s="108" t="s">
        <v>90</v>
      </c>
      <c r="DP5" s="108" t="s">
        <v>91</v>
      </c>
      <c r="DQ5" s="108" t="s">
        <v>89</v>
      </c>
      <c r="DR5" s="108" t="s">
        <v>90</v>
      </c>
      <c r="DS5" s="108" t="s">
        <v>91</v>
      </c>
      <c r="DT5" s="108" t="s">
        <v>305</v>
      </c>
      <c r="DU5" s="108" t="s">
        <v>90</v>
      </c>
      <c r="DV5" s="108" t="s">
        <v>91</v>
      </c>
      <c r="DW5" s="108" t="s">
        <v>305</v>
      </c>
      <c r="DX5" s="108" t="s">
        <v>90</v>
      </c>
      <c r="DY5" s="108" t="s">
        <v>91</v>
      </c>
      <c r="DZ5" s="109" t="s">
        <v>305</v>
      </c>
      <c r="EA5" s="109" t="s">
        <v>90</v>
      </c>
      <c r="EB5" s="109" t="s">
        <v>91</v>
      </c>
      <c r="EC5" s="109" t="s">
        <v>305</v>
      </c>
      <c r="ED5" s="109" t="s">
        <v>306</v>
      </c>
      <c r="EE5" s="109" t="s">
        <v>307</v>
      </c>
      <c r="EF5" s="109" t="s">
        <v>305</v>
      </c>
      <c r="EG5" s="109" t="s">
        <v>306</v>
      </c>
      <c r="EH5" s="109" t="s">
        <v>307</v>
      </c>
      <c r="EI5" s="109" t="s">
        <v>305</v>
      </c>
      <c r="EJ5" s="109" t="s">
        <v>306</v>
      </c>
      <c r="EK5" s="109" t="s">
        <v>307</v>
      </c>
      <c r="EL5" s="109" t="s">
        <v>305</v>
      </c>
      <c r="EM5" s="109" t="s">
        <v>306</v>
      </c>
      <c r="EN5" s="109" t="s">
        <v>307</v>
      </c>
      <c r="EO5" s="109" t="s">
        <v>305</v>
      </c>
      <c r="EP5" s="109" t="s">
        <v>306</v>
      </c>
      <c r="EQ5" s="109" t="s">
        <v>307</v>
      </c>
      <c r="ER5" s="109" t="s">
        <v>305</v>
      </c>
      <c r="ES5" s="109" t="s">
        <v>306</v>
      </c>
      <c r="ET5" s="109" t="s">
        <v>307</v>
      </c>
      <c r="EU5" s="109" t="s">
        <v>305</v>
      </c>
      <c r="EV5" s="109" t="s">
        <v>306</v>
      </c>
      <c r="EW5" s="109" t="s">
        <v>307</v>
      </c>
      <c r="EX5" s="108" t="s">
        <v>89</v>
      </c>
      <c r="EY5" s="108" t="s">
        <v>90</v>
      </c>
      <c r="EZ5" s="108" t="s">
        <v>91</v>
      </c>
      <c r="FA5" s="109" t="s">
        <v>305</v>
      </c>
      <c r="FB5" s="109" t="s">
        <v>306</v>
      </c>
      <c r="FC5" s="109" t="s">
        <v>307</v>
      </c>
      <c r="FD5" s="109" t="s">
        <v>305</v>
      </c>
      <c r="FE5" s="109" t="s">
        <v>306</v>
      </c>
      <c r="FF5" s="109" t="s">
        <v>307</v>
      </c>
      <c r="FG5" s="109" t="s">
        <v>305</v>
      </c>
      <c r="FH5" s="109" t="s">
        <v>306</v>
      </c>
      <c r="FI5" s="109" t="s">
        <v>307</v>
      </c>
      <c r="FJ5" s="109" t="s">
        <v>305</v>
      </c>
      <c r="FK5" s="109" t="s">
        <v>306</v>
      </c>
      <c r="FL5" s="109" t="s">
        <v>307</v>
      </c>
      <c r="FM5" s="110" t="s">
        <v>305</v>
      </c>
      <c r="FN5" s="110" t="s">
        <v>90</v>
      </c>
      <c r="FO5" s="110" t="s">
        <v>91</v>
      </c>
      <c r="FP5" s="109" t="s">
        <v>305</v>
      </c>
      <c r="FQ5" s="109" t="s">
        <v>306</v>
      </c>
      <c r="FR5" s="109" t="s">
        <v>307</v>
      </c>
      <c r="FS5" s="109" t="s">
        <v>305</v>
      </c>
      <c r="FT5" s="109" t="s">
        <v>306</v>
      </c>
      <c r="FU5" s="109" t="s">
        <v>307</v>
      </c>
      <c r="FV5" s="114" t="s">
        <v>305</v>
      </c>
      <c r="FW5" s="114" t="s">
        <v>306</v>
      </c>
      <c r="FX5" s="105" t="s">
        <v>307</v>
      </c>
      <c r="FY5" s="114" t="s">
        <v>305</v>
      </c>
      <c r="FZ5" s="114" t="s">
        <v>306</v>
      </c>
      <c r="GA5" s="105" t="s">
        <v>307</v>
      </c>
    </row>
    <row r="6" spans="1:183" s="111" customFormat="1" ht="36.75" customHeight="1">
      <c r="A6" s="288"/>
      <c r="B6" s="288"/>
      <c r="C6" s="288"/>
      <c r="D6" s="106" t="s">
        <v>309</v>
      </c>
      <c r="E6" s="106" t="s">
        <v>309</v>
      </c>
      <c r="F6" s="106" t="s">
        <v>309</v>
      </c>
      <c r="G6" s="106" t="s">
        <v>309</v>
      </c>
      <c r="H6" s="106" t="s">
        <v>309</v>
      </c>
      <c r="I6" s="106" t="s">
        <v>309</v>
      </c>
      <c r="J6" s="107" t="s">
        <v>309</v>
      </c>
      <c r="K6" s="107" t="s">
        <v>309</v>
      </c>
      <c r="L6" s="107" t="s">
        <v>309</v>
      </c>
      <c r="M6" s="106" t="s">
        <v>309</v>
      </c>
      <c r="N6" s="106" t="s">
        <v>309</v>
      </c>
      <c r="O6" s="106" t="s">
        <v>309</v>
      </c>
      <c r="P6" s="106" t="s">
        <v>309</v>
      </c>
      <c r="Q6" s="106" t="s">
        <v>309</v>
      </c>
      <c r="R6" s="106" t="s">
        <v>309</v>
      </c>
      <c r="S6" s="106" t="s">
        <v>309</v>
      </c>
      <c r="T6" s="106" t="s">
        <v>309</v>
      </c>
      <c r="U6" s="106" t="s">
        <v>309</v>
      </c>
      <c r="V6" s="106" t="s">
        <v>309</v>
      </c>
      <c r="W6" s="106" t="s">
        <v>309</v>
      </c>
      <c r="X6" s="106" t="s">
        <v>309</v>
      </c>
      <c r="Y6" s="107" t="s">
        <v>309</v>
      </c>
      <c r="Z6" s="107" t="s">
        <v>309</v>
      </c>
      <c r="AA6" s="107" t="s">
        <v>309</v>
      </c>
      <c r="AB6" s="107" t="s">
        <v>309</v>
      </c>
      <c r="AC6" s="107" t="s">
        <v>309</v>
      </c>
      <c r="AD6" s="107" t="s">
        <v>309</v>
      </c>
      <c r="AE6" s="106" t="s">
        <v>309</v>
      </c>
      <c r="AF6" s="106" t="s">
        <v>309</v>
      </c>
      <c r="AG6" s="106" t="s">
        <v>309</v>
      </c>
      <c r="AH6" s="106" t="s">
        <v>309</v>
      </c>
      <c r="AI6" s="106" t="s">
        <v>309</v>
      </c>
      <c r="AJ6" s="106" t="s">
        <v>309</v>
      </c>
      <c r="AK6" s="106" t="s">
        <v>309</v>
      </c>
      <c r="AL6" s="106" t="s">
        <v>309</v>
      </c>
      <c r="AM6" s="106" t="s">
        <v>309</v>
      </c>
      <c r="AN6" s="106" t="s">
        <v>309</v>
      </c>
      <c r="AO6" s="106" t="s">
        <v>309</v>
      </c>
      <c r="AP6" s="106" t="s">
        <v>309</v>
      </c>
      <c r="AQ6" s="106" t="s">
        <v>309</v>
      </c>
      <c r="AR6" s="106" t="s">
        <v>309</v>
      </c>
      <c r="AS6" s="106" t="s">
        <v>309</v>
      </c>
      <c r="AT6" s="106" t="s">
        <v>309</v>
      </c>
      <c r="AU6" s="106" t="s">
        <v>309</v>
      </c>
      <c r="AV6" s="106" t="s">
        <v>309</v>
      </c>
      <c r="AW6" s="106" t="s">
        <v>309</v>
      </c>
      <c r="AX6" s="106" t="s">
        <v>309</v>
      </c>
      <c r="AY6" s="106" t="s">
        <v>309</v>
      </c>
      <c r="AZ6" s="106" t="s">
        <v>309</v>
      </c>
      <c r="BA6" s="106" t="s">
        <v>309</v>
      </c>
      <c r="BB6" s="106" t="s">
        <v>309</v>
      </c>
      <c r="BC6" s="106" t="s">
        <v>309</v>
      </c>
      <c r="BD6" s="106" t="s">
        <v>309</v>
      </c>
      <c r="BE6" s="106" t="s">
        <v>309</v>
      </c>
      <c r="BF6" s="106" t="s">
        <v>309</v>
      </c>
      <c r="BG6" s="106" t="s">
        <v>309</v>
      </c>
      <c r="BH6" s="106" t="s">
        <v>309</v>
      </c>
      <c r="BI6" s="106" t="s">
        <v>309</v>
      </c>
      <c r="BJ6" s="106" t="s">
        <v>309</v>
      </c>
      <c r="BK6" s="106" t="s">
        <v>309</v>
      </c>
      <c r="BL6" s="106" t="s">
        <v>309</v>
      </c>
      <c r="BM6" s="106" t="s">
        <v>309</v>
      </c>
      <c r="BN6" s="106" t="s">
        <v>309</v>
      </c>
      <c r="BO6" s="106" t="s">
        <v>309</v>
      </c>
      <c r="BP6" s="106" t="s">
        <v>309</v>
      </c>
      <c r="BQ6" s="106" t="s">
        <v>309</v>
      </c>
      <c r="BR6" s="106" t="s">
        <v>309</v>
      </c>
      <c r="BS6" s="106" t="s">
        <v>309</v>
      </c>
      <c r="BT6" s="106" t="s">
        <v>309</v>
      </c>
      <c r="BU6" s="107" t="s">
        <v>309</v>
      </c>
      <c r="BV6" s="107" t="s">
        <v>309</v>
      </c>
      <c r="BW6" s="107" t="s">
        <v>309</v>
      </c>
      <c r="BX6" s="106" t="s">
        <v>309</v>
      </c>
      <c r="BY6" s="106" t="s">
        <v>309</v>
      </c>
      <c r="BZ6" s="106" t="s">
        <v>309</v>
      </c>
      <c r="CA6" s="106" t="s">
        <v>309</v>
      </c>
      <c r="CB6" s="106" t="s">
        <v>309</v>
      </c>
      <c r="CC6" s="106" t="s">
        <v>309</v>
      </c>
      <c r="CD6" s="106" t="s">
        <v>309</v>
      </c>
      <c r="CE6" s="106" t="s">
        <v>309</v>
      </c>
      <c r="CF6" s="106" t="s">
        <v>309</v>
      </c>
      <c r="CG6" s="106" t="s">
        <v>309</v>
      </c>
      <c r="CH6" s="106" t="s">
        <v>309</v>
      </c>
      <c r="CI6" s="106" t="s">
        <v>309</v>
      </c>
      <c r="CJ6" s="107" t="s">
        <v>309</v>
      </c>
      <c r="CK6" s="107" t="s">
        <v>309</v>
      </c>
      <c r="CL6" s="107" t="s">
        <v>309</v>
      </c>
      <c r="CM6" s="107" t="s">
        <v>309</v>
      </c>
      <c r="CN6" s="107" t="s">
        <v>309</v>
      </c>
      <c r="CO6" s="107" t="s">
        <v>309</v>
      </c>
      <c r="CP6" s="107" t="s">
        <v>309</v>
      </c>
      <c r="CQ6" s="107" t="s">
        <v>309</v>
      </c>
      <c r="CR6" s="107" t="s">
        <v>309</v>
      </c>
      <c r="CS6" s="107" t="s">
        <v>309</v>
      </c>
      <c r="CT6" s="107" t="s">
        <v>309</v>
      </c>
      <c r="CU6" s="107" t="s">
        <v>309</v>
      </c>
      <c r="CV6" s="106" t="s">
        <v>309</v>
      </c>
      <c r="CW6" s="106" t="s">
        <v>309</v>
      </c>
      <c r="CX6" s="106" t="s">
        <v>309</v>
      </c>
      <c r="CY6" s="106" t="s">
        <v>309</v>
      </c>
      <c r="CZ6" s="106" t="s">
        <v>309</v>
      </c>
      <c r="DA6" s="106" t="s">
        <v>309</v>
      </c>
      <c r="DB6" s="106" t="s">
        <v>309</v>
      </c>
      <c r="DC6" s="106" t="s">
        <v>309</v>
      </c>
      <c r="DD6" s="106" t="s">
        <v>309</v>
      </c>
      <c r="DE6" s="107" t="s">
        <v>309</v>
      </c>
      <c r="DF6" s="107" t="s">
        <v>309</v>
      </c>
      <c r="DG6" s="107" t="s">
        <v>309</v>
      </c>
      <c r="DH6" s="106" t="s">
        <v>309</v>
      </c>
      <c r="DI6" s="106" t="s">
        <v>309</v>
      </c>
      <c r="DJ6" s="106" t="s">
        <v>309</v>
      </c>
      <c r="DK6" s="107" t="s">
        <v>309</v>
      </c>
      <c r="DL6" s="107" t="s">
        <v>309</v>
      </c>
      <c r="DM6" s="107" t="s">
        <v>309</v>
      </c>
      <c r="DN6" s="106" t="s">
        <v>309</v>
      </c>
      <c r="DO6" s="106" t="s">
        <v>309</v>
      </c>
      <c r="DP6" s="106" t="s">
        <v>309</v>
      </c>
      <c r="DQ6" s="106" t="s">
        <v>309</v>
      </c>
      <c r="DR6" s="106" t="s">
        <v>309</v>
      </c>
      <c r="DS6" s="106" t="s">
        <v>309</v>
      </c>
      <c r="DT6" s="106" t="s">
        <v>309</v>
      </c>
      <c r="DU6" s="106" t="s">
        <v>309</v>
      </c>
      <c r="DV6" s="106" t="s">
        <v>309</v>
      </c>
      <c r="DW6" s="106" t="s">
        <v>309</v>
      </c>
      <c r="DX6" s="106" t="s">
        <v>309</v>
      </c>
      <c r="DY6" s="106" t="s">
        <v>309</v>
      </c>
      <c r="DZ6" s="107" t="s">
        <v>309</v>
      </c>
      <c r="EA6" s="107" t="s">
        <v>309</v>
      </c>
      <c r="EB6" s="107" t="s">
        <v>309</v>
      </c>
      <c r="EC6" s="107" t="s">
        <v>309</v>
      </c>
      <c r="ED6" s="107" t="s">
        <v>309</v>
      </c>
      <c r="EE6" s="107" t="s">
        <v>309</v>
      </c>
      <c r="EF6" s="107" t="s">
        <v>309</v>
      </c>
      <c r="EG6" s="107" t="s">
        <v>309</v>
      </c>
      <c r="EH6" s="107" t="s">
        <v>309</v>
      </c>
      <c r="EI6" s="107" t="s">
        <v>309</v>
      </c>
      <c r="EJ6" s="107" t="s">
        <v>309</v>
      </c>
      <c r="EK6" s="107" t="s">
        <v>309</v>
      </c>
      <c r="EL6" s="107" t="s">
        <v>309</v>
      </c>
      <c r="EM6" s="107" t="s">
        <v>309</v>
      </c>
      <c r="EN6" s="107" t="s">
        <v>309</v>
      </c>
      <c r="EO6" s="107" t="s">
        <v>309</v>
      </c>
      <c r="EP6" s="107" t="s">
        <v>309</v>
      </c>
      <c r="EQ6" s="107" t="s">
        <v>309</v>
      </c>
      <c r="ER6" s="107" t="s">
        <v>309</v>
      </c>
      <c r="ES6" s="107" t="s">
        <v>309</v>
      </c>
      <c r="ET6" s="107" t="s">
        <v>309</v>
      </c>
      <c r="EU6" s="107" t="s">
        <v>309</v>
      </c>
      <c r="EV6" s="107" t="s">
        <v>309</v>
      </c>
      <c r="EW6" s="107" t="s">
        <v>309</v>
      </c>
      <c r="EX6" s="106" t="s">
        <v>309</v>
      </c>
      <c r="EY6" s="106" t="s">
        <v>309</v>
      </c>
      <c r="EZ6" s="106" t="s">
        <v>309</v>
      </c>
      <c r="FA6" s="107" t="s">
        <v>309</v>
      </c>
      <c r="FB6" s="107" t="s">
        <v>309</v>
      </c>
      <c r="FC6" s="107" t="s">
        <v>309</v>
      </c>
      <c r="FD6" s="107" t="s">
        <v>309</v>
      </c>
      <c r="FE6" s="107" t="s">
        <v>309</v>
      </c>
      <c r="FF6" s="107" t="s">
        <v>309</v>
      </c>
      <c r="FG6" s="107" t="s">
        <v>309</v>
      </c>
      <c r="FH6" s="107" t="s">
        <v>309</v>
      </c>
      <c r="FI6" s="107" t="s">
        <v>309</v>
      </c>
      <c r="FJ6" s="107" t="s">
        <v>309</v>
      </c>
      <c r="FK6" s="107" t="s">
        <v>309</v>
      </c>
      <c r="FL6" s="107" t="s">
        <v>309</v>
      </c>
      <c r="FM6" s="116" t="s">
        <v>309</v>
      </c>
      <c r="FN6" s="116" t="s">
        <v>309</v>
      </c>
      <c r="FO6" s="116" t="s">
        <v>309</v>
      </c>
      <c r="FP6" s="107" t="s">
        <v>309</v>
      </c>
      <c r="FQ6" s="107" t="s">
        <v>309</v>
      </c>
      <c r="FR6" s="107" t="s">
        <v>309</v>
      </c>
      <c r="FS6" s="107" t="s">
        <v>309</v>
      </c>
      <c r="FT6" s="107" t="s">
        <v>309</v>
      </c>
      <c r="FU6" s="107" t="s">
        <v>309</v>
      </c>
      <c r="FV6" s="117" t="s">
        <v>309</v>
      </c>
      <c r="FW6" s="117" t="s">
        <v>309</v>
      </c>
      <c r="FX6" s="118" t="s">
        <v>309</v>
      </c>
      <c r="FY6" s="118" t="s">
        <v>309</v>
      </c>
      <c r="FZ6" s="117" t="s">
        <v>309</v>
      </c>
      <c r="GA6" s="118" t="s">
        <v>309</v>
      </c>
    </row>
    <row r="7" spans="1:183" s="123" customFormat="1" ht="36.75" customHeight="1">
      <c r="A7" s="107" t="s">
        <v>310</v>
      </c>
      <c r="B7" s="107" t="s">
        <v>311</v>
      </c>
      <c r="C7" s="107" t="s">
        <v>311</v>
      </c>
      <c r="D7" s="108">
        <v>3508.8</v>
      </c>
      <c r="E7" s="108">
        <v>3508.8</v>
      </c>
      <c r="F7" s="119">
        <f t="shared" ref="F7:F15" si="0">1315.01-D7</f>
        <v>-2193.79</v>
      </c>
      <c r="G7" s="108">
        <v>3553</v>
      </c>
      <c r="H7" s="108">
        <v>3553</v>
      </c>
      <c r="I7" s="119">
        <f t="shared" ref="I7:I15" si="1">1398.59-H7</f>
        <v>-2154.41</v>
      </c>
      <c r="J7" s="109">
        <v>3523.4</v>
      </c>
      <c r="K7" s="109">
        <v>3523.4</v>
      </c>
      <c r="L7" s="120">
        <f t="shared" ref="L7:L15" si="2">1375.93-K7</f>
        <v>-2147.4700000000003</v>
      </c>
      <c r="M7" s="108">
        <v>3435</v>
      </c>
      <c r="N7" s="108">
        <v>3435</v>
      </c>
      <c r="O7" s="106">
        <f t="shared" ref="O7:O15" si="3">1371.09-M8</f>
        <v>-2096.21</v>
      </c>
      <c r="P7" s="108">
        <v>3452</v>
      </c>
      <c r="Q7" s="108">
        <v>3452</v>
      </c>
      <c r="R7" s="119">
        <f t="shared" ref="R7:R15" si="4">1393.91-Q7</f>
        <v>-2058.09</v>
      </c>
      <c r="S7" s="108">
        <v>3495.8</v>
      </c>
      <c r="T7" s="108">
        <v>3495.8</v>
      </c>
      <c r="U7" s="119">
        <f t="shared" ref="U7:U15" si="5">1377.6-S7</f>
        <v>-2118.2000000000003</v>
      </c>
      <c r="V7" s="108">
        <v>3467.6</v>
      </c>
      <c r="W7" s="108">
        <v>3467.6</v>
      </c>
      <c r="X7" s="119">
        <f t="shared" ref="X7:X15" si="6">1402.8-W7</f>
        <v>-2064.8000000000002</v>
      </c>
      <c r="Y7" s="109">
        <v>3500.1</v>
      </c>
      <c r="Z7" s="109">
        <v>3500.1</v>
      </c>
      <c r="AA7" s="120">
        <f t="shared" ref="AA7:AA15" si="7">1368.28-Y7</f>
        <v>-2131.8199999999997</v>
      </c>
      <c r="AB7" s="109">
        <v>3481.2</v>
      </c>
      <c r="AC7" s="109">
        <v>3481.2</v>
      </c>
      <c r="AD7" s="120">
        <f t="shared" ref="AD7:AD15" si="8">1370.43-AB7</f>
        <v>-2110.7699999999995</v>
      </c>
      <c r="AE7" s="108">
        <v>3518.6</v>
      </c>
      <c r="AF7" s="108">
        <v>3518.6</v>
      </c>
      <c r="AG7" s="119">
        <f t="shared" ref="AG7:AG15" si="9">1408.8-AF7</f>
        <v>-2109.8000000000002</v>
      </c>
      <c r="AH7" s="108">
        <v>3413.3</v>
      </c>
      <c r="AI7" s="108">
        <v>3413.3</v>
      </c>
      <c r="AJ7" s="106">
        <f t="shared" ref="AJ7:AJ15" si="10">1375.67-AH7</f>
        <v>-2037.63</v>
      </c>
      <c r="AK7" s="108">
        <v>3547.6</v>
      </c>
      <c r="AL7" s="108">
        <v>3547.6</v>
      </c>
      <c r="AM7" s="106">
        <f t="shared" ref="AM7:AM15" si="11">1425.23-AK7</f>
        <v>-2122.37</v>
      </c>
      <c r="AN7" s="108">
        <v>3511</v>
      </c>
      <c r="AO7" s="108">
        <v>3511</v>
      </c>
      <c r="AP7" s="106">
        <f t="shared" ref="AP7:AP15" si="12">1425.43-AN7</f>
        <v>-2085.5699999999997</v>
      </c>
      <c r="AQ7" s="108">
        <v>3470.2</v>
      </c>
      <c r="AR7" s="108">
        <v>3470.2</v>
      </c>
      <c r="AS7" s="106">
        <f t="shared" ref="AS7:AS14" si="13">1398.73-AQ7</f>
        <v>-2071.4699999999998</v>
      </c>
      <c r="AT7" s="108">
        <v>3520.4</v>
      </c>
      <c r="AU7" s="108">
        <v>3520.4</v>
      </c>
      <c r="AV7" s="119">
        <f t="shared" ref="AV7:AV15" si="14">1378.13-AT7</f>
        <v>-2142.27</v>
      </c>
      <c r="AW7" s="108">
        <v>3532.2</v>
      </c>
      <c r="AX7" s="108">
        <v>3532.2</v>
      </c>
      <c r="AY7" s="119">
        <f t="shared" ref="AY7:AY13" si="15">1380.72-AW7</f>
        <v>-2151.4799999999996</v>
      </c>
      <c r="AZ7" s="108">
        <v>3439.3</v>
      </c>
      <c r="BA7" s="108">
        <v>3439.3</v>
      </c>
      <c r="BB7" s="119">
        <f t="shared" ref="BB7:BB14" si="16">1384.37-AZ7</f>
        <v>-2054.9300000000003</v>
      </c>
      <c r="BC7" s="108">
        <v>3509.8</v>
      </c>
      <c r="BD7" s="108">
        <v>3509.8</v>
      </c>
      <c r="BE7" s="106">
        <f t="shared" ref="BE7:BE15" si="17">1412.9-BC7</f>
        <v>-2096.9</v>
      </c>
      <c r="BF7" s="108">
        <v>3494</v>
      </c>
      <c r="BG7" s="108">
        <v>3494</v>
      </c>
      <c r="BH7" s="106">
        <f t="shared" ref="BH7:BH13" si="18">1429.62-BF7</f>
        <v>-2064.38</v>
      </c>
      <c r="BI7" s="108">
        <v>3524.4</v>
      </c>
      <c r="BJ7" s="108">
        <v>3524.4</v>
      </c>
      <c r="BK7" s="119">
        <f t="shared" ref="BK7:BK14" si="19">1363.41-BI7</f>
        <v>-2160.9899999999998</v>
      </c>
      <c r="BL7" s="108">
        <v>3504.5</v>
      </c>
      <c r="BM7" s="108">
        <v>3504.5</v>
      </c>
      <c r="BN7" s="119">
        <f t="shared" ref="BN7:BN14" si="20">1369.96-BL7</f>
        <v>-2134.54</v>
      </c>
      <c r="BO7" s="108">
        <v>3541</v>
      </c>
      <c r="BP7" s="108">
        <v>3541</v>
      </c>
      <c r="BQ7" s="119">
        <f t="shared" ref="BQ7:BQ14" si="21">1362.64-BO7</f>
        <v>-2178.3599999999997</v>
      </c>
      <c r="BR7" s="108">
        <v>3532</v>
      </c>
      <c r="BS7" s="108">
        <v>3532</v>
      </c>
      <c r="BT7" s="106">
        <f t="shared" ref="BT7:BT15" si="22">1365.94-BR7</f>
        <v>-2166.06</v>
      </c>
      <c r="BU7" s="109">
        <v>3452.6</v>
      </c>
      <c r="BV7" s="109">
        <v>3452.6</v>
      </c>
      <c r="BW7" s="107">
        <f t="shared" ref="BW7:BW15" si="23">1370.93-BU7</f>
        <v>-2081.67</v>
      </c>
      <c r="BX7" s="108">
        <v>3542.6</v>
      </c>
      <c r="BY7" s="108">
        <v>3542.6</v>
      </c>
      <c r="BZ7" s="119">
        <f t="shared" ref="BZ7:BZ13" si="24">1369.13-BX7</f>
        <v>-2173.4699999999998</v>
      </c>
      <c r="CA7" s="108">
        <v>3424.8</v>
      </c>
      <c r="CB7" s="108">
        <v>3424.8</v>
      </c>
      <c r="CC7" s="106">
        <f t="shared" ref="CC7:CC14" si="25">1376.95-CA7</f>
        <v>-2047.8500000000001</v>
      </c>
      <c r="CD7" s="108">
        <v>3500.8</v>
      </c>
      <c r="CE7" s="108">
        <v>3500.8</v>
      </c>
      <c r="CF7" s="119">
        <f t="shared" ref="CF7:CF14" si="26">1375.07-CD7</f>
        <v>-2125.7300000000005</v>
      </c>
      <c r="CG7" s="108">
        <v>3491</v>
      </c>
      <c r="CH7" s="108">
        <v>3491</v>
      </c>
      <c r="CI7" s="106">
        <f t="shared" ref="CI7:CI14" si="27">1378.7-CG7</f>
        <v>-2112.3000000000002</v>
      </c>
      <c r="CJ7" s="109">
        <v>3448.2</v>
      </c>
      <c r="CK7" s="109">
        <v>3448.2</v>
      </c>
      <c r="CL7" s="107">
        <f t="shared" ref="CL7:CL14" si="28">1367.88-CJ7</f>
        <v>-2080.3199999999997</v>
      </c>
      <c r="CM7" s="109">
        <v>3531.7</v>
      </c>
      <c r="CN7" s="109">
        <v>3531.7</v>
      </c>
      <c r="CO7" s="107">
        <f t="shared" ref="CO7:CO15" si="29">1367.292-CM7</f>
        <v>-2164.4079999999999</v>
      </c>
      <c r="CP7" s="109">
        <v>3513.1</v>
      </c>
      <c r="CQ7" s="109">
        <v>3513.1</v>
      </c>
      <c r="CR7" s="107">
        <f t="shared" ref="CR7:CR14" si="30">1378.33-CP7</f>
        <v>-2134.77</v>
      </c>
      <c r="CS7" s="109">
        <v>3474</v>
      </c>
      <c r="CT7" s="109">
        <v>3474</v>
      </c>
      <c r="CU7" s="107">
        <f t="shared" ref="CU7:CU14" si="31">1380.67-CS7</f>
        <v>-2093.33</v>
      </c>
      <c r="CV7" s="108">
        <v>3505.4</v>
      </c>
      <c r="CW7" s="108">
        <v>3505.4</v>
      </c>
      <c r="CX7" s="119">
        <f t="shared" ref="CX7:CX14" si="32">1370.111-CV7</f>
        <v>-2135.2889999999998</v>
      </c>
      <c r="CY7" s="108">
        <v>3563.6</v>
      </c>
      <c r="CZ7" s="108">
        <v>3563.6</v>
      </c>
      <c r="DA7" s="106">
        <f t="shared" ref="DA7:DA14" si="33">1417.36-CY7</f>
        <v>-2146.2399999999998</v>
      </c>
      <c r="DB7" s="108">
        <v>3517.1</v>
      </c>
      <c r="DC7" s="108">
        <v>3517.1</v>
      </c>
      <c r="DD7" s="106">
        <f t="shared" ref="DD7:DD14" si="34">1378.68-DB7</f>
        <v>-2138.42</v>
      </c>
      <c r="DE7" s="109">
        <v>3515</v>
      </c>
      <c r="DF7" s="109">
        <v>3515</v>
      </c>
      <c r="DG7" s="107">
        <f t="shared" ref="DG7:DG15" si="35">1375-DE7</f>
        <v>-2140</v>
      </c>
      <c r="DH7" s="108">
        <v>3548.2</v>
      </c>
      <c r="DI7" s="108">
        <v>3548.2</v>
      </c>
      <c r="DJ7" s="119">
        <f t="shared" ref="DJ7:DJ15" si="36">1358.56-DH7</f>
        <v>-2189.64</v>
      </c>
      <c r="DK7" s="109">
        <v>3540.9</v>
      </c>
      <c r="DL7" s="109">
        <v>3540.9</v>
      </c>
      <c r="DM7" s="107">
        <f t="shared" ref="DM7:DM14" si="37">1363.142-DK7</f>
        <v>-2177.7579999999998</v>
      </c>
      <c r="DN7" s="108">
        <v>3513.6</v>
      </c>
      <c r="DO7" s="108">
        <v>3513.6</v>
      </c>
      <c r="DP7" s="119">
        <f t="shared" ref="DP7:DP14" si="38">1380.979-DN7</f>
        <v>-2132.6210000000001</v>
      </c>
      <c r="DQ7" s="108">
        <v>3528.2</v>
      </c>
      <c r="DR7" s="108">
        <v>3528.2</v>
      </c>
      <c r="DS7" s="119">
        <f t="shared" ref="DS7:DS14" si="39">1353.77-DQ7</f>
        <v>-2174.4299999999998</v>
      </c>
      <c r="DT7" s="108">
        <v>3472.6</v>
      </c>
      <c r="DU7" s="108">
        <v>3472.6</v>
      </c>
      <c r="DV7" s="106">
        <f t="shared" ref="DV7:DV14" si="40">1402.86-DT7</f>
        <v>-2069.7399999999998</v>
      </c>
      <c r="DW7" s="108">
        <v>3515.2</v>
      </c>
      <c r="DX7" s="108">
        <v>3515.2</v>
      </c>
      <c r="DY7" s="106">
        <f t="shared" ref="DY7:DY15" si="41">1375.33-DW7</f>
        <v>-2139.87</v>
      </c>
      <c r="DZ7" s="109">
        <v>3524.2</v>
      </c>
      <c r="EA7" s="109">
        <v>3524.2</v>
      </c>
      <c r="EB7" s="107">
        <f t="shared" ref="EB7:EB14" si="42">1368.09-DZ7</f>
        <v>-2156.1099999999997</v>
      </c>
      <c r="EC7" s="121">
        <v>3501.4</v>
      </c>
      <c r="ED7" s="121">
        <v>3501.4</v>
      </c>
      <c r="EE7" s="107">
        <f t="shared" ref="EE7:EE15" si="43">1415.07-EC7</f>
        <v>-2086.33</v>
      </c>
      <c r="EF7" s="121">
        <v>3524.8</v>
      </c>
      <c r="EG7" s="121">
        <v>3524.8</v>
      </c>
      <c r="EH7" s="107">
        <f t="shared" ref="EH7:EH14" si="44">1418.996-EF7</f>
        <v>-2105.8040000000001</v>
      </c>
      <c r="EI7" s="121">
        <v>3508.5</v>
      </c>
      <c r="EJ7" s="121">
        <v>3508.5</v>
      </c>
      <c r="EK7" s="107">
        <f t="shared" ref="EK7:EK15" si="45">1424.41-EI7</f>
        <v>-2084.09</v>
      </c>
      <c r="EL7" s="107">
        <v>3535.8</v>
      </c>
      <c r="EM7" s="107">
        <v>3535.8</v>
      </c>
      <c r="EN7" s="107">
        <f t="shared" ref="EN7:EN15" si="46">1416.26-EL7</f>
        <v>-2119.54</v>
      </c>
      <c r="EO7" s="107">
        <v>3523.8</v>
      </c>
      <c r="EP7" s="107">
        <v>3523.8</v>
      </c>
      <c r="EQ7" s="107">
        <f t="shared" ref="EQ7:EQ15" si="47">1413.451-EO7</f>
        <v>-2110.3490000000002</v>
      </c>
      <c r="ER7" s="121">
        <v>3569.2</v>
      </c>
      <c r="ES7" s="121">
        <v>3569.2</v>
      </c>
      <c r="ET7" s="107">
        <f t="shared" ref="ET7:ET14" si="48">1442.81-ER7</f>
        <v>-2126.39</v>
      </c>
      <c r="EU7" s="107">
        <v>3422.4</v>
      </c>
      <c r="EV7" s="107">
        <v>3422.4</v>
      </c>
      <c r="EW7" s="107">
        <f t="shared" ref="EW7:EW15" si="49">1363.65-EU7</f>
        <v>-2058.75</v>
      </c>
      <c r="EX7" s="108">
        <v>3477.5</v>
      </c>
      <c r="EY7" s="108">
        <v>3477.5</v>
      </c>
      <c r="EZ7" s="119">
        <f t="shared" ref="EZ7:EZ14" si="50">1346.6-EX7</f>
        <v>-2130.9</v>
      </c>
      <c r="FA7" s="121">
        <v>3436.6</v>
      </c>
      <c r="FB7" s="121">
        <v>3436.6</v>
      </c>
      <c r="FC7" s="107">
        <f t="shared" ref="FC7:FC15" si="51">1389.4-FA7</f>
        <v>-2047.1999999999998</v>
      </c>
      <c r="FD7" s="121">
        <v>3401.8</v>
      </c>
      <c r="FE7" s="121">
        <v>3401.8</v>
      </c>
      <c r="FF7" s="107">
        <f t="shared" ref="FF7:FF15" si="52">1380.24-FD7</f>
        <v>-2021.5600000000002</v>
      </c>
      <c r="FG7" s="121">
        <v>3536.8</v>
      </c>
      <c r="FH7" s="121">
        <v>3536.8</v>
      </c>
      <c r="FI7" s="107">
        <f t="shared" ref="FI7:FI15" si="53">1444.897-FG7</f>
        <v>-2091.9030000000002</v>
      </c>
      <c r="FJ7" s="121">
        <v>3486.4</v>
      </c>
      <c r="FK7" s="121">
        <v>3486.4</v>
      </c>
      <c r="FL7" s="107">
        <f t="shared" ref="FL7:FL15" si="54">1422.95-FJ7</f>
        <v>-2063.4499999999998</v>
      </c>
      <c r="FM7" s="110">
        <v>3425.2</v>
      </c>
      <c r="FN7" s="110">
        <v>3425.2</v>
      </c>
      <c r="FO7" s="116">
        <f>FM2-FM7</f>
        <v>-2060.8599999999997</v>
      </c>
      <c r="FP7" s="109">
        <v>3434</v>
      </c>
      <c r="FQ7" s="109">
        <v>3434</v>
      </c>
      <c r="FR7" s="107">
        <f t="shared" ref="FR7:FR15" si="55">1363.82-FP7</f>
        <v>-2070.1800000000003</v>
      </c>
      <c r="FS7" s="121">
        <v>3443.8</v>
      </c>
      <c r="FT7" s="121">
        <v>3443.8</v>
      </c>
      <c r="FU7" s="107">
        <f t="shared" ref="FU7:FU15" si="56">1370.86-FS7</f>
        <v>-2072.9400000000005</v>
      </c>
      <c r="FV7" s="122"/>
      <c r="FW7" s="122"/>
      <c r="FX7" s="107"/>
      <c r="FY7" s="121"/>
      <c r="FZ7" s="121"/>
      <c r="GA7" s="107"/>
    </row>
    <row r="8" spans="1:183" s="123" customFormat="1" ht="36.75" customHeight="1">
      <c r="A8" s="281" t="s">
        <v>312</v>
      </c>
      <c r="B8" s="107" t="s">
        <v>92</v>
      </c>
      <c r="C8" s="107" t="s">
        <v>92</v>
      </c>
      <c r="D8" s="108">
        <v>3539.2</v>
      </c>
      <c r="E8" s="108">
        <v>3539.2</v>
      </c>
      <c r="F8" s="119">
        <f t="shared" si="0"/>
        <v>-2224.1899999999996</v>
      </c>
      <c r="G8" s="108">
        <v>3584.6</v>
      </c>
      <c r="H8" s="108">
        <v>3584.6</v>
      </c>
      <c r="I8" s="119">
        <f t="shared" si="1"/>
        <v>-2186.0100000000002</v>
      </c>
      <c r="J8" s="109">
        <v>3553.4</v>
      </c>
      <c r="K8" s="109">
        <v>3553.4</v>
      </c>
      <c r="L8" s="120">
        <f t="shared" si="2"/>
        <v>-2177.4700000000003</v>
      </c>
      <c r="M8" s="108">
        <v>3467.3</v>
      </c>
      <c r="N8" s="108">
        <v>3467.3</v>
      </c>
      <c r="O8" s="106">
        <f t="shared" si="3"/>
        <v>-2131.91</v>
      </c>
      <c r="P8" s="108">
        <v>3485</v>
      </c>
      <c r="Q8" s="108">
        <v>3485</v>
      </c>
      <c r="R8" s="119">
        <f t="shared" si="4"/>
        <v>-2091.09</v>
      </c>
      <c r="S8" s="108">
        <v>3525.1</v>
      </c>
      <c r="T8" s="108">
        <v>3525.1</v>
      </c>
      <c r="U8" s="119">
        <f t="shared" si="5"/>
        <v>-2147.5</v>
      </c>
      <c r="V8" s="108">
        <v>3493</v>
      </c>
      <c r="W8" s="108">
        <v>3493</v>
      </c>
      <c r="X8" s="119">
        <f t="shared" si="6"/>
        <v>-2090.1999999999998</v>
      </c>
      <c r="Y8" s="109">
        <v>3518</v>
      </c>
      <c r="Z8" s="109">
        <v>3518</v>
      </c>
      <c r="AA8" s="120">
        <f t="shared" si="7"/>
        <v>-2149.7200000000003</v>
      </c>
      <c r="AB8" s="109">
        <v>3507.6</v>
      </c>
      <c r="AC8" s="109">
        <v>3507.6</v>
      </c>
      <c r="AD8" s="120">
        <f t="shared" si="8"/>
        <v>-2137.17</v>
      </c>
      <c r="AE8" s="108">
        <v>3540.2</v>
      </c>
      <c r="AF8" s="108">
        <v>3540.2</v>
      </c>
      <c r="AG8" s="119">
        <f t="shared" si="9"/>
        <v>-2131.3999999999996</v>
      </c>
      <c r="AH8" s="108">
        <v>3441.6</v>
      </c>
      <c r="AI8" s="108">
        <v>3441.6</v>
      </c>
      <c r="AJ8" s="106">
        <f t="shared" si="10"/>
        <v>-2065.9299999999998</v>
      </c>
      <c r="AK8" s="108">
        <v>3575</v>
      </c>
      <c r="AL8" s="108">
        <v>3575</v>
      </c>
      <c r="AM8" s="106">
        <f t="shared" si="11"/>
        <v>-2149.77</v>
      </c>
      <c r="AN8" s="108">
        <v>3540.3</v>
      </c>
      <c r="AO8" s="108">
        <v>3540.3</v>
      </c>
      <c r="AP8" s="106">
        <f t="shared" si="12"/>
        <v>-2114.87</v>
      </c>
      <c r="AQ8" s="108">
        <v>3498.4</v>
      </c>
      <c r="AR8" s="108">
        <v>3498.4</v>
      </c>
      <c r="AS8" s="106">
        <f t="shared" si="13"/>
        <v>-2099.67</v>
      </c>
      <c r="AT8" s="108">
        <v>3551.6</v>
      </c>
      <c r="AU8" s="108">
        <v>3551.6</v>
      </c>
      <c r="AV8" s="119">
        <f t="shared" si="14"/>
        <v>-2173.4699999999998</v>
      </c>
      <c r="AW8" s="108">
        <v>3561.6</v>
      </c>
      <c r="AX8" s="108">
        <v>3561.6</v>
      </c>
      <c r="AY8" s="119">
        <f t="shared" si="15"/>
        <v>-2180.88</v>
      </c>
      <c r="AZ8" s="108">
        <v>3462.9</v>
      </c>
      <c r="BA8" s="108">
        <v>3462.9</v>
      </c>
      <c r="BB8" s="119">
        <f t="shared" si="16"/>
        <v>-2078.5300000000002</v>
      </c>
      <c r="BC8" s="108">
        <v>3532.6</v>
      </c>
      <c r="BD8" s="108">
        <v>3532.6</v>
      </c>
      <c r="BE8" s="106">
        <f t="shared" si="17"/>
        <v>-2119.6999999999998</v>
      </c>
      <c r="BF8" s="108">
        <v>3527.4</v>
      </c>
      <c r="BG8" s="108">
        <v>3527.4</v>
      </c>
      <c r="BH8" s="106">
        <f t="shared" si="18"/>
        <v>-2097.7800000000002</v>
      </c>
      <c r="BI8" s="108">
        <v>3561.4</v>
      </c>
      <c r="BJ8" s="108">
        <v>3561.4</v>
      </c>
      <c r="BK8" s="119">
        <f t="shared" si="19"/>
        <v>-2197.9899999999998</v>
      </c>
      <c r="BL8" s="108">
        <v>3529.5</v>
      </c>
      <c r="BM8" s="108">
        <v>3529.5</v>
      </c>
      <c r="BN8" s="119">
        <f t="shared" si="20"/>
        <v>-2159.54</v>
      </c>
      <c r="BO8" s="108">
        <v>3566</v>
      </c>
      <c r="BP8" s="108">
        <v>3566</v>
      </c>
      <c r="BQ8" s="119">
        <f t="shared" si="21"/>
        <v>-2203.3599999999997</v>
      </c>
      <c r="BR8" s="108">
        <v>3555.2</v>
      </c>
      <c r="BS8" s="108">
        <v>3555.2</v>
      </c>
      <c r="BT8" s="106">
        <f t="shared" si="22"/>
        <v>-2189.2599999999998</v>
      </c>
      <c r="BU8" s="109">
        <v>3480</v>
      </c>
      <c r="BV8" s="109">
        <v>3480</v>
      </c>
      <c r="BW8" s="107">
        <f t="shared" si="23"/>
        <v>-2109.0699999999997</v>
      </c>
      <c r="BX8" s="108">
        <v>3574.4</v>
      </c>
      <c r="BY8" s="108">
        <v>3574.4</v>
      </c>
      <c r="BZ8" s="119">
        <f t="shared" si="24"/>
        <v>-2205.27</v>
      </c>
      <c r="CA8" s="108">
        <v>3454</v>
      </c>
      <c r="CB8" s="108">
        <v>3454</v>
      </c>
      <c r="CC8" s="106">
        <f t="shared" si="25"/>
        <v>-2077.0500000000002</v>
      </c>
      <c r="CD8" s="108">
        <v>3529.3</v>
      </c>
      <c r="CE8" s="108">
        <v>3529.3</v>
      </c>
      <c r="CF8" s="119">
        <f t="shared" si="26"/>
        <v>-2154.2300000000005</v>
      </c>
      <c r="CG8" s="108">
        <v>3521.3</v>
      </c>
      <c r="CH8" s="108">
        <v>3521.3</v>
      </c>
      <c r="CI8" s="106">
        <f t="shared" si="27"/>
        <v>-2142.6000000000004</v>
      </c>
      <c r="CJ8" s="109">
        <v>3473.8</v>
      </c>
      <c r="CK8" s="109">
        <v>3473.8</v>
      </c>
      <c r="CL8" s="107">
        <f t="shared" si="28"/>
        <v>-2105.92</v>
      </c>
      <c r="CM8" s="109">
        <v>3564.6</v>
      </c>
      <c r="CN8" s="109">
        <v>3564.6</v>
      </c>
      <c r="CO8" s="107">
        <f t="shared" si="29"/>
        <v>-2197.308</v>
      </c>
      <c r="CP8" s="109">
        <v>3545</v>
      </c>
      <c r="CQ8" s="109">
        <v>3545</v>
      </c>
      <c r="CR8" s="107">
        <f t="shared" si="30"/>
        <v>-2166.67</v>
      </c>
      <c r="CS8" s="109">
        <v>3502.6</v>
      </c>
      <c r="CT8" s="109">
        <v>3502.6</v>
      </c>
      <c r="CU8" s="107">
        <f t="shared" si="31"/>
        <v>-2121.9299999999998</v>
      </c>
      <c r="CV8" s="108">
        <v>3533.3</v>
      </c>
      <c r="CW8" s="108">
        <v>3533.3</v>
      </c>
      <c r="CX8" s="119">
        <f t="shared" si="32"/>
        <v>-2163.1890000000003</v>
      </c>
      <c r="CY8" s="108">
        <v>3587.9</v>
      </c>
      <c r="CZ8" s="108">
        <v>3587.9</v>
      </c>
      <c r="DA8" s="106">
        <f t="shared" si="33"/>
        <v>-2170.54</v>
      </c>
      <c r="DB8" s="108">
        <v>3541</v>
      </c>
      <c r="DC8" s="108">
        <v>3541</v>
      </c>
      <c r="DD8" s="106">
        <f t="shared" si="34"/>
        <v>-2162.3199999999997</v>
      </c>
      <c r="DE8" s="109">
        <v>3541.4</v>
      </c>
      <c r="DF8" s="109">
        <v>3541.4</v>
      </c>
      <c r="DG8" s="107">
        <f t="shared" si="35"/>
        <v>-2166.4</v>
      </c>
      <c r="DH8" s="108">
        <v>3577.3</v>
      </c>
      <c r="DI8" s="108">
        <v>3577.3</v>
      </c>
      <c r="DJ8" s="119">
        <f t="shared" si="36"/>
        <v>-2218.7400000000002</v>
      </c>
      <c r="DK8" s="109">
        <v>3569.1</v>
      </c>
      <c r="DL8" s="109">
        <v>3569.1</v>
      </c>
      <c r="DM8" s="107">
        <f t="shared" si="37"/>
        <v>-2205.9579999999996</v>
      </c>
      <c r="DN8" s="108">
        <v>3548.6</v>
      </c>
      <c r="DO8" s="108">
        <v>3548.6</v>
      </c>
      <c r="DP8" s="119">
        <f t="shared" si="38"/>
        <v>-2167.6210000000001</v>
      </c>
      <c r="DQ8" s="108">
        <v>3557</v>
      </c>
      <c r="DR8" s="108">
        <v>3557</v>
      </c>
      <c r="DS8" s="119">
        <f t="shared" si="39"/>
        <v>-2203.23</v>
      </c>
      <c r="DT8" s="108">
        <v>3500.4</v>
      </c>
      <c r="DU8" s="108">
        <v>3500.4</v>
      </c>
      <c r="DV8" s="106">
        <f t="shared" si="40"/>
        <v>-2097.54</v>
      </c>
      <c r="DW8" s="108">
        <v>3542.5</v>
      </c>
      <c r="DX8" s="108">
        <v>3542.5</v>
      </c>
      <c r="DY8" s="106">
        <f t="shared" si="41"/>
        <v>-2167.17</v>
      </c>
      <c r="DZ8" s="109">
        <v>3552</v>
      </c>
      <c r="EA8" s="109">
        <v>3552</v>
      </c>
      <c r="EB8" s="107">
        <f t="shared" si="42"/>
        <v>-2183.91</v>
      </c>
      <c r="EC8" s="121">
        <v>3531.4</v>
      </c>
      <c r="ED8" s="121">
        <v>3531.4</v>
      </c>
      <c r="EE8" s="107">
        <f t="shared" si="43"/>
        <v>-2116.33</v>
      </c>
      <c r="EF8" s="121">
        <v>3557.9</v>
      </c>
      <c r="EG8" s="121">
        <v>3557.9</v>
      </c>
      <c r="EH8" s="107">
        <f t="shared" si="44"/>
        <v>-2138.904</v>
      </c>
      <c r="EI8" s="121">
        <v>3542.1</v>
      </c>
      <c r="EJ8" s="121">
        <v>3542.1</v>
      </c>
      <c r="EK8" s="107">
        <f t="shared" si="45"/>
        <v>-2117.6899999999996</v>
      </c>
      <c r="EL8" s="107">
        <v>3565.1</v>
      </c>
      <c r="EM8" s="107">
        <v>3565.1</v>
      </c>
      <c r="EN8" s="107">
        <f t="shared" si="46"/>
        <v>-2148.84</v>
      </c>
      <c r="EO8" s="107">
        <v>3551.6</v>
      </c>
      <c r="EP8" s="107">
        <v>3551.6</v>
      </c>
      <c r="EQ8" s="107">
        <f t="shared" si="47"/>
        <v>-2138.1489999999999</v>
      </c>
      <c r="ER8" s="121">
        <v>3596.8</v>
      </c>
      <c r="ES8" s="121">
        <v>3596.8</v>
      </c>
      <c r="ET8" s="107">
        <f t="shared" si="48"/>
        <v>-2153.9900000000002</v>
      </c>
      <c r="EU8" s="107">
        <v>3454.5</v>
      </c>
      <c r="EV8" s="107">
        <v>3454.5</v>
      </c>
      <c r="EW8" s="107">
        <f t="shared" si="49"/>
        <v>-2090.85</v>
      </c>
      <c r="EX8" s="108">
        <v>3504.4</v>
      </c>
      <c r="EY8" s="108">
        <v>3504.4</v>
      </c>
      <c r="EZ8" s="119">
        <f t="shared" si="50"/>
        <v>-2157.8000000000002</v>
      </c>
      <c r="FA8" s="121">
        <v>3473.4</v>
      </c>
      <c r="FB8" s="121">
        <v>3473.4</v>
      </c>
      <c r="FC8" s="107">
        <f t="shared" si="51"/>
        <v>-2084</v>
      </c>
      <c r="FD8" s="121">
        <v>3426.4</v>
      </c>
      <c r="FE8" s="121">
        <v>3426.4</v>
      </c>
      <c r="FF8" s="107">
        <f t="shared" si="52"/>
        <v>-2046.16</v>
      </c>
      <c r="FG8" s="121">
        <v>3563.8</v>
      </c>
      <c r="FH8" s="121">
        <v>3563.8</v>
      </c>
      <c r="FI8" s="107">
        <f t="shared" si="53"/>
        <v>-2118.9030000000002</v>
      </c>
      <c r="FJ8" s="121">
        <v>3518.2</v>
      </c>
      <c r="FK8" s="121">
        <v>3518.2</v>
      </c>
      <c r="FL8" s="107">
        <f t="shared" si="54"/>
        <v>-2095.25</v>
      </c>
      <c r="FM8" s="110">
        <v>3468.4</v>
      </c>
      <c r="FN8" s="110">
        <v>3468.4</v>
      </c>
      <c r="FO8" s="116">
        <f>FM2-FN8</f>
        <v>-2104.0600000000004</v>
      </c>
      <c r="FP8" s="109">
        <v>3464</v>
      </c>
      <c r="FQ8" s="109">
        <v>3464</v>
      </c>
      <c r="FR8" s="107">
        <f t="shared" si="55"/>
        <v>-2100.1800000000003</v>
      </c>
      <c r="FS8" s="121">
        <v>3467.8</v>
      </c>
      <c r="FT8" s="121">
        <v>3467.8</v>
      </c>
      <c r="FU8" s="107">
        <f t="shared" si="56"/>
        <v>-2096.9400000000005</v>
      </c>
      <c r="FV8" s="122"/>
      <c r="FW8" s="122"/>
      <c r="FX8" s="107"/>
      <c r="FY8" s="121"/>
      <c r="FZ8" s="121"/>
      <c r="GA8" s="107"/>
    </row>
    <row r="9" spans="1:183" s="123" customFormat="1" ht="36.75" customHeight="1">
      <c r="A9" s="281"/>
      <c r="B9" s="107" t="s">
        <v>93</v>
      </c>
      <c r="C9" s="107" t="s">
        <v>313</v>
      </c>
      <c r="D9" s="108">
        <v>3568</v>
      </c>
      <c r="E9" s="108">
        <v>3568</v>
      </c>
      <c r="F9" s="119">
        <f t="shared" si="0"/>
        <v>-2252.9899999999998</v>
      </c>
      <c r="G9" s="108">
        <v>3612.2</v>
      </c>
      <c r="H9" s="108">
        <v>3612.2</v>
      </c>
      <c r="I9" s="119">
        <f t="shared" si="1"/>
        <v>-2213.6099999999997</v>
      </c>
      <c r="J9" s="109">
        <v>3582.6</v>
      </c>
      <c r="K9" s="109">
        <v>3582.6</v>
      </c>
      <c r="L9" s="120">
        <f t="shared" si="2"/>
        <v>-2206.67</v>
      </c>
      <c r="M9" s="106">
        <v>3503</v>
      </c>
      <c r="N9" s="106">
        <v>3503</v>
      </c>
      <c r="O9" s="106">
        <f t="shared" si="3"/>
        <v>-2167.91</v>
      </c>
      <c r="P9" s="108">
        <v>3516</v>
      </c>
      <c r="Q9" s="108">
        <v>3516</v>
      </c>
      <c r="R9" s="119">
        <f t="shared" si="4"/>
        <v>-2122.09</v>
      </c>
      <c r="S9" s="108">
        <v>3550.4</v>
      </c>
      <c r="T9" s="108">
        <v>3550.4</v>
      </c>
      <c r="U9" s="119">
        <f t="shared" si="5"/>
        <v>-2172.8000000000002</v>
      </c>
      <c r="V9" s="108">
        <v>3529.6</v>
      </c>
      <c r="W9" s="108">
        <v>3529.6</v>
      </c>
      <c r="X9" s="119">
        <f t="shared" si="6"/>
        <v>-2126.8000000000002</v>
      </c>
      <c r="Y9" s="109">
        <v>3536</v>
      </c>
      <c r="Z9" s="109">
        <v>3536</v>
      </c>
      <c r="AA9" s="120">
        <f t="shared" si="7"/>
        <v>-2167.7200000000003</v>
      </c>
      <c r="AB9" s="109">
        <v>3540.6</v>
      </c>
      <c r="AC9" s="109">
        <v>3540.6</v>
      </c>
      <c r="AD9" s="120">
        <f t="shared" si="8"/>
        <v>-2170.17</v>
      </c>
      <c r="AE9" s="108">
        <v>3566.8</v>
      </c>
      <c r="AF9" s="108">
        <v>3566.8</v>
      </c>
      <c r="AG9" s="119">
        <f t="shared" si="9"/>
        <v>-2158</v>
      </c>
      <c r="AH9" s="108">
        <v>3466</v>
      </c>
      <c r="AI9" s="108">
        <v>3466</v>
      </c>
      <c r="AJ9" s="106">
        <f t="shared" si="10"/>
        <v>-2090.33</v>
      </c>
      <c r="AK9" s="108">
        <v>3613.4</v>
      </c>
      <c r="AL9" s="108">
        <v>3613.4</v>
      </c>
      <c r="AM9" s="106">
        <f t="shared" si="11"/>
        <v>-2188.17</v>
      </c>
      <c r="AN9" s="108">
        <v>3568.5</v>
      </c>
      <c r="AO9" s="108">
        <v>3568.5</v>
      </c>
      <c r="AP9" s="106">
        <f t="shared" si="12"/>
        <v>-2143.0699999999997</v>
      </c>
      <c r="AQ9" s="108">
        <v>3530.8</v>
      </c>
      <c r="AR9" s="108">
        <v>3530.8</v>
      </c>
      <c r="AS9" s="106">
        <f t="shared" si="13"/>
        <v>-2132.0700000000002</v>
      </c>
      <c r="AT9" s="108">
        <v>3581.4</v>
      </c>
      <c r="AU9" s="108">
        <v>3581.4</v>
      </c>
      <c r="AV9" s="119">
        <f t="shared" si="14"/>
        <v>-2203.27</v>
      </c>
      <c r="AW9" s="108">
        <v>3590.2</v>
      </c>
      <c r="AX9" s="108">
        <v>3590.2</v>
      </c>
      <c r="AY9" s="119">
        <f t="shared" si="15"/>
        <v>-2209.4799999999996</v>
      </c>
      <c r="AZ9" s="108">
        <v>3494</v>
      </c>
      <c r="BA9" s="108">
        <v>3494</v>
      </c>
      <c r="BB9" s="119">
        <f t="shared" si="16"/>
        <v>-2109.63</v>
      </c>
      <c r="BC9" s="108">
        <v>3566.4</v>
      </c>
      <c r="BD9" s="108">
        <v>3566.4</v>
      </c>
      <c r="BE9" s="106">
        <f t="shared" si="17"/>
        <v>-2153.5</v>
      </c>
      <c r="BF9" s="108">
        <v>3559.3</v>
      </c>
      <c r="BG9" s="108">
        <v>3559.3</v>
      </c>
      <c r="BH9" s="106">
        <f t="shared" si="18"/>
        <v>-2129.6800000000003</v>
      </c>
      <c r="BI9" s="108">
        <v>3589.7</v>
      </c>
      <c r="BJ9" s="108">
        <v>3589.7</v>
      </c>
      <c r="BK9" s="119">
        <f t="shared" si="19"/>
        <v>-2226.29</v>
      </c>
      <c r="BL9" s="108">
        <v>3552</v>
      </c>
      <c r="BM9" s="108">
        <v>3552</v>
      </c>
      <c r="BN9" s="119">
        <f t="shared" si="20"/>
        <v>-2182.04</v>
      </c>
      <c r="BO9" s="108">
        <v>3591.2</v>
      </c>
      <c r="BP9" s="108">
        <v>3591.2</v>
      </c>
      <c r="BQ9" s="119">
        <f t="shared" si="21"/>
        <v>-2228.5599999999995</v>
      </c>
      <c r="BR9" s="108">
        <v>3586.4</v>
      </c>
      <c r="BS9" s="108">
        <v>3586.4</v>
      </c>
      <c r="BT9" s="106">
        <f t="shared" si="22"/>
        <v>-2220.46</v>
      </c>
      <c r="BU9" s="109">
        <v>3502.4</v>
      </c>
      <c r="BV9" s="109">
        <v>3502.4</v>
      </c>
      <c r="BW9" s="107">
        <f t="shared" si="23"/>
        <v>-2131.4700000000003</v>
      </c>
      <c r="BX9" s="108">
        <v>3599.4</v>
      </c>
      <c r="BY9" s="108">
        <v>3599.4</v>
      </c>
      <c r="BZ9" s="119">
        <f t="shared" si="24"/>
        <v>-2230.27</v>
      </c>
      <c r="CA9" s="108">
        <v>3478.8</v>
      </c>
      <c r="CB9" s="108">
        <v>3478.8</v>
      </c>
      <c r="CC9" s="106">
        <f t="shared" si="25"/>
        <v>-2101.8500000000004</v>
      </c>
      <c r="CD9" s="108">
        <v>3559.5</v>
      </c>
      <c r="CE9" s="108">
        <v>3559.5</v>
      </c>
      <c r="CF9" s="119">
        <f t="shared" si="26"/>
        <v>-2184.4300000000003</v>
      </c>
      <c r="CG9" s="108">
        <v>3552.2</v>
      </c>
      <c r="CH9" s="108">
        <v>3552.2</v>
      </c>
      <c r="CI9" s="106">
        <f t="shared" si="27"/>
        <v>-2173.5</v>
      </c>
      <c r="CJ9" s="109">
        <v>3502.6</v>
      </c>
      <c r="CK9" s="109">
        <v>3502.6</v>
      </c>
      <c r="CL9" s="107">
        <f t="shared" si="28"/>
        <v>-2134.7199999999998</v>
      </c>
      <c r="CM9" s="109">
        <v>3590.3</v>
      </c>
      <c r="CN9" s="109">
        <v>3590.3</v>
      </c>
      <c r="CO9" s="107">
        <f t="shared" si="29"/>
        <v>-2223.0080000000003</v>
      </c>
      <c r="CP9" s="109">
        <v>3573.4</v>
      </c>
      <c r="CQ9" s="109">
        <v>3573.4</v>
      </c>
      <c r="CR9" s="107">
        <f t="shared" si="30"/>
        <v>-2195.0700000000002</v>
      </c>
      <c r="CS9" s="109">
        <v>3530.2</v>
      </c>
      <c r="CT9" s="109">
        <v>3530.2</v>
      </c>
      <c r="CU9" s="107">
        <f t="shared" si="31"/>
        <v>-2149.5299999999997</v>
      </c>
      <c r="CV9" s="108">
        <v>3564</v>
      </c>
      <c r="CW9" s="108">
        <v>3564</v>
      </c>
      <c r="CX9" s="119">
        <f t="shared" si="32"/>
        <v>-2193.8890000000001</v>
      </c>
      <c r="CY9" s="108">
        <v>3612.2</v>
      </c>
      <c r="CZ9" s="108">
        <v>3612.2</v>
      </c>
      <c r="DA9" s="106">
        <f t="shared" si="33"/>
        <v>-2194.84</v>
      </c>
      <c r="DB9" s="108">
        <v>3569.8</v>
      </c>
      <c r="DC9" s="108">
        <v>3569.8</v>
      </c>
      <c r="DD9" s="106">
        <f t="shared" si="34"/>
        <v>-2191.12</v>
      </c>
      <c r="DE9" s="109">
        <v>3569</v>
      </c>
      <c r="DF9" s="109">
        <v>3569</v>
      </c>
      <c r="DG9" s="107">
        <f t="shared" si="35"/>
        <v>-2194</v>
      </c>
      <c r="DH9" s="108">
        <v>3599</v>
      </c>
      <c r="DI9" s="108">
        <v>3599</v>
      </c>
      <c r="DJ9" s="119">
        <f t="shared" si="36"/>
        <v>-2240.44</v>
      </c>
      <c r="DK9" s="109">
        <v>3592.8</v>
      </c>
      <c r="DL9" s="109">
        <v>3592.8</v>
      </c>
      <c r="DM9" s="107">
        <f t="shared" si="37"/>
        <v>-2229.6580000000004</v>
      </c>
      <c r="DN9" s="108">
        <v>3574</v>
      </c>
      <c r="DO9" s="108">
        <v>3574</v>
      </c>
      <c r="DP9" s="119">
        <f t="shared" si="38"/>
        <v>-2193.0209999999997</v>
      </c>
      <c r="DQ9" s="108">
        <v>3589.5</v>
      </c>
      <c r="DR9" s="108">
        <v>3589.5</v>
      </c>
      <c r="DS9" s="119">
        <f t="shared" si="39"/>
        <v>-2235.73</v>
      </c>
      <c r="DT9" s="108">
        <v>3531.2</v>
      </c>
      <c r="DU9" s="108">
        <v>3531.2</v>
      </c>
      <c r="DV9" s="106">
        <f t="shared" si="40"/>
        <v>-2128.34</v>
      </c>
      <c r="DW9" s="108">
        <v>3572.6</v>
      </c>
      <c r="DX9" s="108">
        <v>3572.6</v>
      </c>
      <c r="DY9" s="106">
        <f t="shared" si="41"/>
        <v>-2197.27</v>
      </c>
      <c r="DZ9" s="109">
        <v>3577.1</v>
      </c>
      <c r="EA9" s="109">
        <v>3577.1</v>
      </c>
      <c r="EB9" s="107">
        <f t="shared" si="42"/>
        <v>-2209.0100000000002</v>
      </c>
      <c r="EC9" s="121">
        <v>3564.2</v>
      </c>
      <c r="ED9" s="121">
        <v>3564.2</v>
      </c>
      <c r="EE9" s="107">
        <f t="shared" si="43"/>
        <v>-2149.13</v>
      </c>
      <c r="EF9" s="121">
        <v>3580</v>
      </c>
      <c r="EG9" s="121">
        <v>3580</v>
      </c>
      <c r="EH9" s="107">
        <f t="shared" si="44"/>
        <v>-2161.0039999999999</v>
      </c>
      <c r="EI9" s="121">
        <v>3572.3</v>
      </c>
      <c r="EJ9" s="121">
        <v>3572.3</v>
      </c>
      <c r="EK9" s="107">
        <f t="shared" si="45"/>
        <v>-2147.8900000000003</v>
      </c>
      <c r="EL9" s="107">
        <v>3590.6</v>
      </c>
      <c r="EM9" s="107">
        <v>3590.6</v>
      </c>
      <c r="EN9" s="107">
        <f t="shared" si="46"/>
        <v>-2174.34</v>
      </c>
      <c r="EO9" s="107">
        <v>3582.2</v>
      </c>
      <c r="EP9" s="107">
        <v>3582.2</v>
      </c>
      <c r="EQ9" s="107">
        <f t="shared" si="47"/>
        <v>-2168.7489999999998</v>
      </c>
      <c r="ER9" s="121">
        <v>3620.8</v>
      </c>
      <c r="ES9" s="121">
        <v>3620.8</v>
      </c>
      <c r="ET9" s="107">
        <f t="shared" si="48"/>
        <v>-2177.9900000000002</v>
      </c>
      <c r="EU9" s="107">
        <v>3484.6</v>
      </c>
      <c r="EV9" s="107">
        <v>3484.6</v>
      </c>
      <c r="EW9" s="107">
        <f t="shared" si="49"/>
        <v>-2120.9499999999998</v>
      </c>
      <c r="EX9" s="108">
        <v>3529.6</v>
      </c>
      <c r="EY9" s="108">
        <v>3529.6</v>
      </c>
      <c r="EZ9" s="119">
        <f t="shared" si="50"/>
        <v>-2183</v>
      </c>
      <c r="FA9" s="121">
        <v>3502.2</v>
      </c>
      <c r="FB9" s="121">
        <v>3502.2</v>
      </c>
      <c r="FC9" s="107">
        <f t="shared" si="51"/>
        <v>-2112.7999999999997</v>
      </c>
      <c r="FD9" s="121">
        <v>3449.2</v>
      </c>
      <c r="FE9" s="121">
        <v>3449.2</v>
      </c>
      <c r="FF9" s="107">
        <f t="shared" si="52"/>
        <v>-2068.96</v>
      </c>
      <c r="FG9" s="121">
        <v>3589.5</v>
      </c>
      <c r="FH9" s="121">
        <v>3589.5</v>
      </c>
      <c r="FI9" s="107">
        <f t="shared" si="53"/>
        <v>-2144.6030000000001</v>
      </c>
      <c r="FJ9" s="121">
        <v>3547.6</v>
      </c>
      <c r="FK9" s="121">
        <v>3547.6</v>
      </c>
      <c r="FL9" s="107">
        <f t="shared" si="54"/>
        <v>-2124.6499999999996</v>
      </c>
      <c r="FM9" s="110">
        <v>3499</v>
      </c>
      <c r="FN9" s="110">
        <v>3499</v>
      </c>
      <c r="FO9" s="116">
        <f>FM2-FN9</f>
        <v>-2134.66</v>
      </c>
      <c r="FP9" s="109">
        <v>3494.2</v>
      </c>
      <c r="FQ9" s="109">
        <v>3494.2</v>
      </c>
      <c r="FR9" s="107">
        <f t="shared" si="55"/>
        <v>-2130.38</v>
      </c>
      <c r="FS9" s="121">
        <v>3495.9</v>
      </c>
      <c r="FT9" s="121">
        <v>3495.9</v>
      </c>
      <c r="FU9" s="107">
        <f t="shared" si="56"/>
        <v>-2125.04</v>
      </c>
      <c r="FV9" s="122"/>
      <c r="FW9" s="122"/>
      <c r="FX9" s="107"/>
      <c r="FY9" s="121"/>
      <c r="FZ9" s="121"/>
      <c r="GA9" s="107"/>
    </row>
    <row r="10" spans="1:183" s="123" customFormat="1" ht="36.75" customHeight="1">
      <c r="A10" s="281"/>
      <c r="B10" s="107" t="s">
        <v>94</v>
      </c>
      <c r="C10" s="107" t="s">
        <v>94</v>
      </c>
      <c r="D10" s="108">
        <v>3600.4</v>
      </c>
      <c r="E10" s="108">
        <v>3600.4</v>
      </c>
      <c r="F10" s="119">
        <f t="shared" si="0"/>
        <v>-2285.3900000000003</v>
      </c>
      <c r="G10" s="108">
        <v>3637.11</v>
      </c>
      <c r="H10" s="108">
        <v>3637.11</v>
      </c>
      <c r="I10" s="119">
        <f t="shared" si="1"/>
        <v>-2238.5200000000004</v>
      </c>
      <c r="J10" s="109">
        <v>3608.5</v>
      </c>
      <c r="K10" s="109">
        <v>3608.5</v>
      </c>
      <c r="L10" s="120">
        <f t="shared" si="2"/>
        <v>-2232.5699999999997</v>
      </c>
      <c r="M10" s="106">
        <v>3539</v>
      </c>
      <c r="N10" s="106">
        <v>3539</v>
      </c>
      <c r="O10" s="106">
        <f t="shared" si="3"/>
        <v>-2219.91</v>
      </c>
      <c r="P10" s="108">
        <v>3538</v>
      </c>
      <c r="Q10" s="108">
        <v>3538</v>
      </c>
      <c r="R10" s="119">
        <f t="shared" si="4"/>
        <v>-2144.09</v>
      </c>
      <c r="S10" s="108">
        <v>3565</v>
      </c>
      <c r="T10" s="108">
        <v>3579.2</v>
      </c>
      <c r="U10" s="119">
        <f t="shared" si="5"/>
        <v>-2187.4</v>
      </c>
      <c r="V10" s="108">
        <v>3555.2</v>
      </c>
      <c r="W10" s="108">
        <v>3555.2</v>
      </c>
      <c r="X10" s="119">
        <f t="shared" si="6"/>
        <v>-2152.3999999999996</v>
      </c>
      <c r="Y10" s="109">
        <v>3560.2</v>
      </c>
      <c r="Z10" s="109">
        <v>3560.2</v>
      </c>
      <c r="AA10" s="120">
        <f t="shared" si="7"/>
        <v>-2191.92</v>
      </c>
      <c r="AB10" s="109">
        <v>3567.8</v>
      </c>
      <c r="AC10" s="109">
        <v>3556</v>
      </c>
      <c r="AD10" s="120">
        <f t="shared" si="8"/>
        <v>-2197.37</v>
      </c>
      <c r="AE10" s="108">
        <v>3597</v>
      </c>
      <c r="AF10" s="108">
        <v>3597</v>
      </c>
      <c r="AG10" s="119">
        <f t="shared" si="9"/>
        <v>-2188.1999999999998</v>
      </c>
      <c r="AH10" s="108">
        <v>3494.88</v>
      </c>
      <c r="AI10" s="108">
        <v>3494.88</v>
      </c>
      <c r="AJ10" s="106">
        <f t="shared" si="10"/>
        <v>-2119.21</v>
      </c>
      <c r="AK10" s="108">
        <v>3640.8</v>
      </c>
      <c r="AL10" s="108">
        <v>3640.8</v>
      </c>
      <c r="AM10" s="106">
        <f t="shared" si="11"/>
        <v>-2215.5700000000002</v>
      </c>
      <c r="AN10" s="108">
        <v>3600</v>
      </c>
      <c r="AO10" s="108">
        <v>3600</v>
      </c>
      <c r="AP10" s="106">
        <f t="shared" si="12"/>
        <v>-2174.5699999999997</v>
      </c>
      <c r="AQ10" s="108">
        <v>3564</v>
      </c>
      <c r="AR10" s="108">
        <v>3564</v>
      </c>
      <c r="AS10" s="106">
        <f t="shared" si="13"/>
        <v>-2165.27</v>
      </c>
      <c r="AT10" s="108">
        <v>3609.2</v>
      </c>
      <c r="AU10" s="108">
        <v>3609.2</v>
      </c>
      <c r="AV10" s="119">
        <f t="shared" si="14"/>
        <v>-2231.0699999999997</v>
      </c>
      <c r="AW10" s="108">
        <v>3624</v>
      </c>
      <c r="AX10" s="108">
        <v>3624</v>
      </c>
      <c r="AY10" s="119">
        <f t="shared" si="15"/>
        <v>-2243.2799999999997</v>
      </c>
      <c r="AZ10" s="108">
        <v>3518.7</v>
      </c>
      <c r="BA10" s="108">
        <v>3518.7</v>
      </c>
      <c r="BB10" s="119">
        <f t="shared" si="16"/>
        <v>-2134.33</v>
      </c>
      <c r="BC10" s="108">
        <v>3598</v>
      </c>
      <c r="BD10" s="108">
        <v>3598</v>
      </c>
      <c r="BE10" s="106">
        <f t="shared" si="17"/>
        <v>-2185.1</v>
      </c>
      <c r="BF10" s="108">
        <v>3586.4</v>
      </c>
      <c r="BG10" s="108">
        <v>3586.4</v>
      </c>
      <c r="BH10" s="106">
        <f t="shared" si="18"/>
        <v>-2156.7800000000002</v>
      </c>
      <c r="BI10" s="108">
        <v>3615.2</v>
      </c>
      <c r="BJ10" s="108">
        <v>3615.2</v>
      </c>
      <c r="BK10" s="119">
        <f t="shared" si="19"/>
        <v>-2251.79</v>
      </c>
      <c r="BL10" s="108">
        <v>3577.6</v>
      </c>
      <c r="BM10" s="108">
        <v>3577.6</v>
      </c>
      <c r="BN10" s="119">
        <f t="shared" si="20"/>
        <v>-2207.64</v>
      </c>
      <c r="BO10" s="108">
        <v>3623.5</v>
      </c>
      <c r="BP10" s="108">
        <v>3623.5</v>
      </c>
      <c r="BQ10" s="119">
        <f t="shared" si="21"/>
        <v>-2260.8599999999997</v>
      </c>
      <c r="BR10" s="108">
        <v>3613.4</v>
      </c>
      <c r="BS10" s="108">
        <v>3613.4</v>
      </c>
      <c r="BT10" s="106">
        <f t="shared" si="22"/>
        <v>-2247.46</v>
      </c>
      <c r="BU10" s="109">
        <v>3531.88</v>
      </c>
      <c r="BV10" s="109">
        <v>3531.88</v>
      </c>
      <c r="BW10" s="107">
        <f t="shared" si="23"/>
        <v>-2160.9499999999998</v>
      </c>
      <c r="BX10" s="108">
        <v>3629.6</v>
      </c>
      <c r="BY10" s="108">
        <v>3629.6</v>
      </c>
      <c r="BZ10" s="119">
        <f t="shared" si="24"/>
        <v>-2260.4699999999998</v>
      </c>
      <c r="CA10" s="108">
        <v>3505.1</v>
      </c>
      <c r="CB10" s="108">
        <v>3505.1</v>
      </c>
      <c r="CC10" s="106">
        <f t="shared" si="25"/>
        <v>-2128.1499999999996</v>
      </c>
      <c r="CD10" s="108">
        <v>3583.7</v>
      </c>
      <c r="CE10" s="108">
        <v>3583.7</v>
      </c>
      <c r="CF10" s="119">
        <f t="shared" si="26"/>
        <v>-2208.63</v>
      </c>
      <c r="CG10" s="108">
        <v>3573.24</v>
      </c>
      <c r="CH10" s="108">
        <v>3573.24</v>
      </c>
      <c r="CI10" s="106">
        <f t="shared" si="27"/>
        <v>-2194.54</v>
      </c>
      <c r="CJ10" s="109">
        <v>3536</v>
      </c>
      <c r="CK10" s="109">
        <v>3536</v>
      </c>
      <c r="CL10" s="107">
        <f t="shared" si="28"/>
        <v>-2168.12</v>
      </c>
      <c r="CM10" s="109">
        <v>3621.3</v>
      </c>
      <c r="CN10" s="109">
        <v>3621.3</v>
      </c>
      <c r="CO10" s="107">
        <f t="shared" si="29"/>
        <v>-2254.0080000000003</v>
      </c>
      <c r="CP10" s="109">
        <v>3604.4</v>
      </c>
      <c r="CQ10" s="109">
        <v>3604.4</v>
      </c>
      <c r="CR10" s="107">
        <f t="shared" si="30"/>
        <v>-2226.0700000000002</v>
      </c>
      <c r="CS10" s="109">
        <v>3560.2</v>
      </c>
      <c r="CT10" s="109">
        <v>3560.2</v>
      </c>
      <c r="CU10" s="107">
        <f t="shared" si="31"/>
        <v>-2179.5299999999997</v>
      </c>
      <c r="CV10" s="108">
        <v>3594.4</v>
      </c>
      <c r="CW10" s="108">
        <v>3594.4</v>
      </c>
      <c r="CX10" s="119">
        <f t="shared" si="32"/>
        <v>-2224.2889999999998</v>
      </c>
      <c r="CY10" s="108">
        <v>3641.8</v>
      </c>
      <c r="CZ10" s="108">
        <v>3641.8</v>
      </c>
      <c r="DA10" s="106">
        <f t="shared" si="33"/>
        <v>-2224.4400000000005</v>
      </c>
      <c r="DB10" s="108">
        <v>3602.6</v>
      </c>
      <c r="DC10" s="108">
        <v>3602.6</v>
      </c>
      <c r="DD10" s="106">
        <f t="shared" si="34"/>
        <v>-2223.92</v>
      </c>
      <c r="DE10" s="109">
        <v>3601</v>
      </c>
      <c r="DF10" s="109">
        <v>3601</v>
      </c>
      <c r="DG10" s="107">
        <f t="shared" si="35"/>
        <v>-2226</v>
      </c>
      <c r="DH10" s="108">
        <v>3632</v>
      </c>
      <c r="DI10" s="108">
        <v>3632</v>
      </c>
      <c r="DJ10" s="119">
        <f t="shared" si="36"/>
        <v>-2273.44</v>
      </c>
      <c r="DK10" s="109">
        <v>3625.6</v>
      </c>
      <c r="DL10" s="109">
        <v>3625.6</v>
      </c>
      <c r="DM10" s="107">
        <f t="shared" si="37"/>
        <v>-2262.4579999999996</v>
      </c>
      <c r="DN10" s="108">
        <v>3606.2</v>
      </c>
      <c r="DO10" s="108">
        <v>3606.2</v>
      </c>
      <c r="DP10" s="119">
        <f t="shared" si="38"/>
        <v>-2225.2209999999995</v>
      </c>
      <c r="DQ10" s="108">
        <v>3621.2</v>
      </c>
      <c r="DR10" s="108">
        <v>3621.2</v>
      </c>
      <c r="DS10" s="119">
        <f t="shared" si="39"/>
        <v>-2267.4299999999998</v>
      </c>
      <c r="DT10" s="108">
        <v>3562</v>
      </c>
      <c r="DU10" s="108">
        <v>3562</v>
      </c>
      <c r="DV10" s="106">
        <f t="shared" si="40"/>
        <v>-2159.1400000000003</v>
      </c>
      <c r="DW10" s="108">
        <v>3604.2</v>
      </c>
      <c r="DX10" s="108">
        <v>3604.2</v>
      </c>
      <c r="DY10" s="106">
        <f t="shared" si="41"/>
        <v>-2228.87</v>
      </c>
      <c r="DZ10" s="109">
        <v>3607.2</v>
      </c>
      <c r="EA10" s="109">
        <v>3612</v>
      </c>
      <c r="EB10" s="107">
        <f t="shared" si="42"/>
        <v>-2239.1099999999997</v>
      </c>
      <c r="EC10" s="121">
        <v>3592.2</v>
      </c>
      <c r="ED10" s="121">
        <v>3592.2</v>
      </c>
      <c r="EE10" s="107">
        <f t="shared" si="43"/>
        <v>-2177.13</v>
      </c>
      <c r="EF10" s="121">
        <v>3612</v>
      </c>
      <c r="EG10" s="121">
        <v>3612</v>
      </c>
      <c r="EH10" s="107">
        <f t="shared" si="44"/>
        <v>-2193.0039999999999</v>
      </c>
      <c r="EI10" s="121">
        <v>3605</v>
      </c>
      <c r="EJ10" s="121">
        <v>3605</v>
      </c>
      <c r="EK10" s="107">
        <f t="shared" si="45"/>
        <v>-2180.59</v>
      </c>
      <c r="EL10" s="107">
        <v>3613.4</v>
      </c>
      <c r="EM10" s="107">
        <v>3613.4</v>
      </c>
      <c r="EN10" s="107">
        <f t="shared" si="46"/>
        <v>-2197.1400000000003</v>
      </c>
      <c r="EO10" s="107">
        <v>3617.3</v>
      </c>
      <c r="EP10" s="107">
        <v>3617.3</v>
      </c>
      <c r="EQ10" s="107">
        <f t="shared" si="47"/>
        <v>-2203.8490000000002</v>
      </c>
      <c r="ER10" s="121">
        <v>3646.1</v>
      </c>
      <c r="ES10" s="121">
        <v>3646.1</v>
      </c>
      <c r="ET10" s="107">
        <f t="shared" si="48"/>
        <v>-2203.29</v>
      </c>
      <c r="EU10" s="107">
        <v>3519</v>
      </c>
      <c r="EV10" s="107">
        <v>3519</v>
      </c>
      <c r="EW10" s="107">
        <f t="shared" si="49"/>
        <v>-2155.35</v>
      </c>
      <c r="EX10" s="108">
        <v>3556.4</v>
      </c>
      <c r="EY10" s="108">
        <v>3556.4</v>
      </c>
      <c r="EZ10" s="119">
        <f t="shared" si="50"/>
        <v>-2209.8000000000002</v>
      </c>
      <c r="FA10" s="121">
        <v>3529.2</v>
      </c>
      <c r="FB10" s="121">
        <v>3529.2</v>
      </c>
      <c r="FC10" s="107">
        <f t="shared" si="51"/>
        <v>-2139.7999999999997</v>
      </c>
      <c r="FD10" s="121">
        <v>3480.4</v>
      </c>
      <c r="FE10" s="121">
        <v>3480.4</v>
      </c>
      <c r="FF10" s="107">
        <f t="shared" si="52"/>
        <v>-2100.16</v>
      </c>
      <c r="FG10" s="121">
        <v>3619</v>
      </c>
      <c r="FH10" s="121">
        <v>3619</v>
      </c>
      <c r="FI10" s="107">
        <f t="shared" si="53"/>
        <v>-2174.1030000000001</v>
      </c>
      <c r="FJ10" s="121">
        <v>3584</v>
      </c>
      <c r="FK10" s="121">
        <v>3584</v>
      </c>
      <c r="FL10" s="107">
        <f t="shared" si="54"/>
        <v>-2161.0500000000002</v>
      </c>
      <c r="FM10" s="110">
        <v>3533.4</v>
      </c>
      <c r="FN10" s="110">
        <v>3533.4</v>
      </c>
      <c r="FO10" s="116">
        <f>FM2-FN10</f>
        <v>-2169.0600000000004</v>
      </c>
      <c r="FP10" s="109">
        <v>3520</v>
      </c>
      <c r="FQ10" s="109">
        <v>3520</v>
      </c>
      <c r="FR10" s="107">
        <f t="shared" si="55"/>
        <v>-2156.1800000000003</v>
      </c>
      <c r="FS10" s="121">
        <v>3521.2</v>
      </c>
      <c r="FT10" s="121">
        <v>3521.2</v>
      </c>
      <c r="FU10" s="107">
        <f t="shared" si="56"/>
        <v>-2150.34</v>
      </c>
      <c r="FV10" s="122"/>
      <c r="FW10" s="122"/>
      <c r="FX10" s="107"/>
      <c r="FY10" s="121"/>
      <c r="FZ10" s="121"/>
      <c r="GA10" s="107"/>
    </row>
    <row r="11" spans="1:183" s="123" customFormat="1" ht="36.75" customHeight="1">
      <c r="A11" s="281"/>
      <c r="B11" s="107" t="s">
        <v>95</v>
      </c>
      <c r="C11" s="107" t="s">
        <v>95</v>
      </c>
      <c r="D11" s="108">
        <v>3648.8</v>
      </c>
      <c r="E11" s="108">
        <v>3648.8</v>
      </c>
      <c r="F11" s="119">
        <f t="shared" si="0"/>
        <v>-2333.79</v>
      </c>
      <c r="G11" s="108">
        <v>3693.2</v>
      </c>
      <c r="H11" s="108">
        <v>3693.2</v>
      </c>
      <c r="I11" s="119">
        <f t="shared" si="1"/>
        <v>-2294.6099999999997</v>
      </c>
      <c r="J11" s="109">
        <v>3656</v>
      </c>
      <c r="K11" s="109">
        <v>3656</v>
      </c>
      <c r="L11" s="120">
        <f t="shared" si="2"/>
        <v>-2280.0699999999997</v>
      </c>
      <c r="M11" s="106">
        <v>3591</v>
      </c>
      <c r="N11" s="106">
        <v>3591</v>
      </c>
      <c r="O11" s="106">
        <f t="shared" si="3"/>
        <v>-2260.91</v>
      </c>
      <c r="P11" s="108">
        <v>3600.8</v>
      </c>
      <c r="Q11" s="108">
        <v>3600.8</v>
      </c>
      <c r="R11" s="119">
        <f t="shared" si="4"/>
        <v>-2206.8900000000003</v>
      </c>
      <c r="S11" s="108">
        <v>3625.6</v>
      </c>
      <c r="T11" s="108">
        <v>3625.6</v>
      </c>
      <c r="U11" s="119">
        <f t="shared" si="5"/>
        <v>-2248</v>
      </c>
      <c r="V11" s="108">
        <v>3606.65</v>
      </c>
      <c r="W11" s="108">
        <v>3606.65</v>
      </c>
      <c r="X11" s="119">
        <f t="shared" si="6"/>
        <v>-2203.8500000000004</v>
      </c>
      <c r="Y11" s="109">
        <v>3616.6</v>
      </c>
      <c r="Z11" s="109">
        <v>3616.6</v>
      </c>
      <c r="AA11" s="120">
        <f t="shared" si="7"/>
        <v>-2248.3199999999997</v>
      </c>
      <c r="AB11" s="109">
        <v>3625.6</v>
      </c>
      <c r="AC11" s="109">
        <v>3625.6</v>
      </c>
      <c r="AD11" s="120">
        <f t="shared" si="8"/>
        <v>-2255.17</v>
      </c>
      <c r="AE11" s="108">
        <v>3652.3</v>
      </c>
      <c r="AF11" s="108">
        <v>3652.3</v>
      </c>
      <c r="AG11" s="119">
        <f t="shared" si="9"/>
        <v>-2243.5</v>
      </c>
      <c r="AH11" s="108">
        <v>3548.5</v>
      </c>
      <c r="AI11" s="108">
        <v>3548.5</v>
      </c>
      <c r="AJ11" s="106">
        <f t="shared" si="10"/>
        <v>-2172.83</v>
      </c>
      <c r="AK11" s="108">
        <v>3707.4</v>
      </c>
      <c r="AL11" s="108">
        <v>3707.4</v>
      </c>
      <c r="AM11" s="106">
        <f t="shared" si="11"/>
        <v>-2282.17</v>
      </c>
      <c r="AN11" s="108">
        <v>3674.5</v>
      </c>
      <c r="AO11" s="108">
        <v>3674.5</v>
      </c>
      <c r="AP11" s="106">
        <f t="shared" si="12"/>
        <v>-2249.0699999999997</v>
      </c>
      <c r="AQ11" s="108">
        <v>3625.4</v>
      </c>
      <c r="AR11" s="108">
        <v>3625.4</v>
      </c>
      <c r="AS11" s="106">
        <f t="shared" si="13"/>
        <v>-2226.67</v>
      </c>
      <c r="AT11" s="108">
        <v>3658.4</v>
      </c>
      <c r="AU11" s="108">
        <v>3658.4</v>
      </c>
      <c r="AV11" s="119">
        <f t="shared" si="14"/>
        <v>-2280.27</v>
      </c>
      <c r="AW11" s="108">
        <v>3681.2</v>
      </c>
      <c r="AX11" s="108">
        <v>3681.2</v>
      </c>
      <c r="AY11" s="119">
        <f t="shared" si="15"/>
        <v>-2300.4799999999996</v>
      </c>
      <c r="AZ11" s="108">
        <v>3575</v>
      </c>
      <c r="BA11" s="108">
        <v>3575</v>
      </c>
      <c r="BB11" s="119">
        <f t="shared" si="16"/>
        <v>-2190.63</v>
      </c>
      <c r="BC11" s="108">
        <v>3658</v>
      </c>
      <c r="BD11" s="108">
        <v>3658</v>
      </c>
      <c r="BE11" s="106">
        <f t="shared" si="17"/>
        <v>-2245.1</v>
      </c>
      <c r="BF11" s="108">
        <v>3646.92</v>
      </c>
      <c r="BG11" s="108">
        <v>3646.92</v>
      </c>
      <c r="BH11" s="106">
        <f t="shared" si="18"/>
        <v>-2217.3000000000002</v>
      </c>
      <c r="BI11" s="108">
        <v>3677</v>
      </c>
      <c r="BJ11" s="108">
        <v>3677</v>
      </c>
      <c r="BK11" s="119">
        <f t="shared" si="19"/>
        <v>-2313.59</v>
      </c>
      <c r="BL11" s="108">
        <v>3636.88</v>
      </c>
      <c r="BM11" s="108">
        <v>3636.88</v>
      </c>
      <c r="BN11" s="119">
        <f t="shared" si="20"/>
        <v>-2266.92</v>
      </c>
      <c r="BO11" s="108">
        <v>3687</v>
      </c>
      <c r="BP11" s="108">
        <v>3687</v>
      </c>
      <c r="BQ11" s="119">
        <f t="shared" si="21"/>
        <v>-2324.3599999999997</v>
      </c>
      <c r="BR11" s="108">
        <v>3678.6</v>
      </c>
      <c r="BS11" s="108">
        <v>3678.6</v>
      </c>
      <c r="BT11" s="106">
        <f t="shared" si="22"/>
        <v>-2312.66</v>
      </c>
      <c r="BU11" s="109">
        <v>3602.44</v>
      </c>
      <c r="BV11" s="109">
        <v>3602.44</v>
      </c>
      <c r="BW11" s="107">
        <f t="shared" si="23"/>
        <v>-2231.5100000000002</v>
      </c>
      <c r="BX11" s="108">
        <v>3684</v>
      </c>
      <c r="BY11" s="108">
        <v>3684</v>
      </c>
      <c r="BZ11" s="119">
        <f t="shared" si="24"/>
        <v>-2314.87</v>
      </c>
      <c r="CA11" s="108">
        <v>3578.4</v>
      </c>
      <c r="CB11" s="108">
        <v>3578.4</v>
      </c>
      <c r="CC11" s="106">
        <f t="shared" si="25"/>
        <v>-2201.4499999999998</v>
      </c>
      <c r="CD11" s="108">
        <v>3640</v>
      </c>
      <c r="CE11" s="108">
        <v>3640</v>
      </c>
      <c r="CF11" s="119">
        <f t="shared" si="26"/>
        <v>-2264.9300000000003</v>
      </c>
      <c r="CG11" s="108">
        <v>3633.62</v>
      </c>
      <c r="CH11" s="108">
        <v>3637</v>
      </c>
      <c r="CI11" s="106">
        <f t="shared" si="27"/>
        <v>-2254.92</v>
      </c>
      <c r="CJ11" s="109">
        <v>3589.4</v>
      </c>
      <c r="CK11" s="109">
        <v>3589.4</v>
      </c>
      <c r="CL11" s="107">
        <f t="shared" si="28"/>
        <v>-2221.52</v>
      </c>
      <c r="CM11" s="109">
        <v>3676.2</v>
      </c>
      <c r="CN11" s="109">
        <v>3676.2</v>
      </c>
      <c r="CO11" s="107">
        <f t="shared" si="29"/>
        <v>-2308.9079999999999</v>
      </c>
      <c r="CP11" s="109">
        <v>3659.8</v>
      </c>
      <c r="CQ11" s="109">
        <v>3659.8</v>
      </c>
      <c r="CR11" s="107">
        <f t="shared" si="30"/>
        <v>-2281.4700000000003</v>
      </c>
      <c r="CS11" s="109">
        <v>3617.6</v>
      </c>
      <c r="CT11" s="109">
        <v>3617.6</v>
      </c>
      <c r="CU11" s="107">
        <f t="shared" si="31"/>
        <v>-2236.9299999999998</v>
      </c>
      <c r="CV11" s="108">
        <v>3649.7</v>
      </c>
      <c r="CW11" s="108">
        <v>3649.7</v>
      </c>
      <c r="CX11" s="119">
        <f t="shared" si="32"/>
        <v>-2279.5889999999999</v>
      </c>
      <c r="CY11" s="108">
        <v>3704</v>
      </c>
      <c r="CZ11" s="108">
        <v>3704</v>
      </c>
      <c r="DA11" s="106">
        <f t="shared" si="33"/>
        <v>-2286.6400000000003</v>
      </c>
      <c r="DB11" s="108">
        <v>3668.7</v>
      </c>
      <c r="DC11" s="108">
        <v>3668.7</v>
      </c>
      <c r="DD11" s="106">
        <f t="shared" si="34"/>
        <v>-2290.0199999999995</v>
      </c>
      <c r="DE11" s="109">
        <v>3661.1</v>
      </c>
      <c r="DF11" s="109">
        <v>3661.1</v>
      </c>
      <c r="DG11" s="107">
        <f t="shared" si="35"/>
        <v>-2286.1</v>
      </c>
      <c r="DH11" s="108">
        <v>3685.8</v>
      </c>
      <c r="DI11" s="108">
        <v>3685.8</v>
      </c>
      <c r="DJ11" s="119">
        <f t="shared" si="36"/>
        <v>-2327.2400000000002</v>
      </c>
      <c r="DK11" s="109">
        <v>3691.6</v>
      </c>
      <c r="DL11" s="109">
        <v>3691.6</v>
      </c>
      <c r="DM11" s="107">
        <f t="shared" si="37"/>
        <v>-2328.4579999999996</v>
      </c>
      <c r="DN11" s="108">
        <v>3662.7</v>
      </c>
      <c r="DO11" s="108">
        <v>3662.7</v>
      </c>
      <c r="DP11" s="119">
        <f t="shared" si="38"/>
        <v>-2281.7209999999995</v>
      </c>
      <c r="DQ11" s="108">
        <v>3677</v>
      </c>
      <c r="DR11" s="108">
        <v>3677</v>
      </c>
      <c r="DS11" s="119">
        <f t="shared" si="39"/>
        <v>-2323.23</v>
      </c>
      <c r="DT11" s="108">
        <v>3624.6</v>
      </c>
      <c r="DU11" s="108">
        <v>3624.6</v>
      </c>
      <c r="DV11" s="106">
        <f t="shared" si="40"/>
        <v>-2221.7399999999998</v>
      </c>
      <c r="DW11" s="108">
        <v>3663.4</v>
      </c>
      <c r="DX11" s="108">
        <v>3663.4</v>
      </c>
      <c r="DY11" s="106">
        <f t="shared" si="41"/>
        <v>-2288.0700000000002</v>
      </c>
      <c r="DZ11" s="109">
        <v>3667.4</v>
      </c>
      <c r="EA11" s="109">
        <v>3663</v>
      </c>
      <c r="EB11" s="107">
        <f t="shared" si="42"/>
        <v>-2299.3100000000004</v>
      </c>
      <c r="EC11" s="121">
        <v>3654</v>
      </c>
      <c r="ED11" s="121">
        <v>3654</v>
      </c>
      <c r="EE11" s="107">
        <f t="shared" si="43"/>
        <v>-2238.9300000000003</v>
      </c>
      <c r="EF11" s="121">
        <v>3663.5</v>
      </c>
      <c r="EG11" s="121">
        <v>3663.5</v>
      </c>
      <c r="EH11" s="107">
        <f t="shared" si="44"/>
        <v>-2244.5039999999999</v>
      </c>
      <c r="EI11" s="121">
        <v>3659.6</v>
      </c>
      <c r="EJ11" s="121">
        <v>3659.6</v>
      </c>
      <c r="EK11" s="107">
        <f t="shared" si="45"/>
        <v>-2235.1899999999996</v>
      </c>
      <c r="EL11" s="107">
        <v>3661.14</v>
      </c>
      <c r="EM11" s="107">
        <v>3660.78</v>
      </c>
      <c r="EN11" s="107">
        <f t="shared" si="46"/>
        <v>-2244.88</v>
      </c>
      <c r="EO11" s="107">
        <v>3667</v>
      </c>
      <c r="EP11" s="107">
        <v>3667</v>
      </c>
      <c r="EQ11" s="107">
        <f t="shared" si="47"/>
        <v>-2253.549</v>
      </c>
      <c r="ER11" s="121">
        <v>3707.5</v>
      </c>
      <c r="ES11" s="121">
        <v>3707.5</v>
      </c>
      <c r="ET11" s="107">
        <f t="shared" si="48"/>
        <v>-2264.69</v>
      </c>
      <c r="EU11" s="107">
        <v>3580.4</v>
      </c>
      <c r="EV11" s="107">
        <v>3580.4</v>
      </c>
      <c r="EW11" s="107">
        <f t="shared" si="49"/>
        <v>-2216.75</v>
      </c>
      <c r="EX11" s="108">
        <v>3618.9</v>
      </c>
      <c r="EY11" s="108">
        <v>3618.9</v>
      </c>
      <c r="EZ11" s="119">
        <f t="shared" si="50"/>
        <v>-2272.3000000000002</v>
      </c>
      <c r="FA11" s="121">
        <v>3592.6</v>
      </c>
      <c r="FB11" s="121">
        <v>3592.6</v>
      </c>
      <c r="FC11" s="107">
        <f t="shared" si="51"/>
        <v>-2203.1999999999998</v>
      </c>
      <c r="FD11" s="121">
        <v>3535.8</v>
      </c>
      <c r="FE11" s="121">
        <v>3535.8</v>
      </c>
      <c r="FF11" s="107">
        <f t="shared" si="52"/>
        <v>-2155.5600000000004</v>
      </c>
      <c r="FG11" s="121">
        <v>3680.6</v>
      </c>
      <c r="FH11" s="121">
        <v>3680.6</v>
      </c>
      <c r="FI11" s="107">
        <f t="shared" si="53"/>
        <v>-2235.703</v>
      </c>
      <c r="FJ11" s="121">
        <v>3651.2</v>
      </c>
      <c r="FK11" s="121">
        <v>3651.2</v>
      </c>
      <c r="FL11" s="107">
        <f t="shared" si="54"/>
        <v>-2228.25</v>
      </c>
      <c r="FM11" s="110">
        <v>3594.1</v>
      </c>
      <c r="FN11" s="110">
        <v>3594.1</v>
      </c>
      <c r="FO11" s="116">
        <f>FM2-FN11</f>
        <v>-2229.7600000000002</v>
      </c>
      <c r="FP11" s="109">
        <v>3583.4</v>
      </c>
      <c r="FQ11" s="109">
        <v>3583.4</v>
      </c>
      <c r="FR11" s="107">
        <f t="shared" si="55"/>
        <v>-2219.58</v>
      </c>
      <c r="FS11" s="121">
        <v>3589</v>
      </c>
      <c r="FT11" s="121">
        <v>3589</v>
      </c>
      <c r="FU11" s="107">
        <f t="shared" si="56"/>
        <v>-2218.1400000000003</v>
      </c>
      <c r="FV11" s="122"/>
      <c r="FW11" s="122"/>
      <c r="FX11" s="107"/>
      <c r="FY11" s="121"/>
      <c r="FZ11" s="121"/>
      <c r="GA11" s="107"/>
    </row>
    <row r="12" spans="1:183" s="123" customFormat="1" ht="36.75" customHeight="1">
      <c r="A12" s="281" t="s">
        <v>314</v>
      </c>
      <c r="B12" s="107" t="s">
        <v>315</v>
      </c>
      <c r="C12" s="107" t="s">
        <v>315</v>
      </c>
      <c r="D12" s="108">
        <v>3693.6</v>
      </c>
      <c r="E12" s="108">
        <v>3693.6</v>
      </c>
      <c r="F12" s="119">
        <f t="shared" si="0"/>
        <v>-2378.59</v>
      </c>
      <c r="G12" s="108">
        <v>3737.88</v>
      </c>
      <c r="H12" s="108">
        <v>3737.88</v>
      </c>
      <c r="I12" s="119">
        <f t="shared" si="1"/>
        <v>-2339.29</v>
      </c>
      <c r="J12" s="109">
        <v>3698.4</v>
      </c>
      <c r="K12" s="109">
        <v>3698.4</v>
      </c>
      <c r="L12" s="120">
        <f t="shared" si="2"/>
        <v>-2322.4700000000003</v>
      </c>
      <c r="M12" s="106">
        <v>3632</v>
      </c>
      <c r="N12" s="106">
        <v>3632</v>
      </c>
      <c r="O12" s="106">
        <f t="shared" si="3"/>
        <v>-2303.91</v>
      </c>
      <c r="P12" s="108">
        <v>3637.65</v>
      </c>
      <c r="Q12" s="108">
        <v>3637.65</v>
      </c>
      <c r="R12" s="119">
        <f t="shared" si="4"/>
        <v>-2243.7399999999998</v>
      </c>
      <c r="S12" s="108">
        <v>3674.6</v>
      </c>
      <c r="T12" s="108">
        <v>3674.6</v>
      </c>
      <c r="U12" s="119">
        <f t="shared" si="5"/>
        <v>-2297</v>
      </c>
      <c r="V12" s="108">
        <v>3652.1</v>
      </c>
      <c r="W12" s="108">
        <v>3652.1</v>
      </c>
      <c r="X12" s="119">
        <f t="shared" si="6"/>
        <v>-2249.3000000000002</v>
      </c>
      <c r="Y12" s="109">
        <v>3657.95</v>
      </c>
      <c r="Z12" s="109">
        <v>3657.95</v>
      </c>
      <c r="AA12" s="120">
        <f t="shared" si="7"/>
        <v>-2289.67</v>
      </c>
      <c r="AB12" s="109">
        <v>3666.4</v>
      </c>
      <c r="AC12" s="109">
        <v>3665.75</v>
      </c>
      <c r="AD12" s="120">
        <f t="shared" si="8"/>
        <v>-2295.9700000000003</v>
      </c>
      <c r="AE12" s="108">
        <v>3695.6</v>
      </c>
      <c r="AF12" s="108">
        <v>3695.6</v>
      </c>
      <c r="AG12" s="119">
        <f t="shared" si="9"/>
        <v>-2286.8000000000002</v>
      </c>
      <c r="AH12" s="108">
        <v>3595.15</v>
      </c>
      <c r="AI12" s="108">
        <v>3595.15</v>
      </c>
      <c r="AJ12" s="106">
        <f t="shared" si="10"/>
        <v>-2219.48</v>
      </c>
      <c r="AK12" s="108">
        <v>3752</v>
      </c>
      <c r="AL12" s="108">
        <v>3752</v>
      </c>
      <c r="AM12" s="106">
        <f t="shared" si="11"/>
        <v>-2326.77</v>
      </c>
      <c r="AN12" s="108">
        <v>3709</v>
      </c>
      <c r="AO12" s="108">
        <v>3709</v>
      </c>
      <c r="AP12" s="106">
        <f t="shared" si="12"/>
        <v>-2283.5699999999997</v>
      </c>
      <c r="AQ12" s="108">
        <v>3664.55</v>
      </c>
      <c r="AR12" s="108">
        <v>3664.55</v>
      </c>
      <c r="AS12" s="106">
        <f t="shared" si="13"/>
        <v>-2265.8200000000002</v>
      </c>
      <c r="AT12" s="108">
        <v>3700.8</v>
      </c>
      <c r="AU12" s="108">
        <v>3700.8</v>
      </c>
      <c r="AV12" s="119">
        <f t="shared" si="14"/>
        <v>-2322.67</v>
      </c>
      <c r="AW12" s="108">
        <v>3729</v>
      </c>
      <c r="AX12" s="108">
        <v>3729</v>
      </c>
      <c r="AY12" s="119">
        <f t="shared" si="15"/>
        <v>-2348.2799999999997</v>
      </c>
      <c r="AZ12" s="108">
        <v>3625.2</v>
      </c>
      <c r="BA12" s="108">
        <v>3625.2</v>
      </c>
      <c r="BB12" s="119">
        <f t="shared" si="16"/>
        <v>-2240.83</v>
      </c>
      <c r="BC12" s="108">
        <v>3702.4</v>
      </c>
      <c r="BD12" s="108">
        <v>3702.4</v>
      </c>
      <c r="BE12" s="106">
        <f t="shared" si="17"/>
        <v>-2289.5</v>
      </c>
      <c r="BF12" s="108">
        <v>3681.6</v>
      </c>
      <c r="BG12" s="108">
        <v>3681.6</v>
      </c>
      <c r="BH12" s="106">
        <f t="shared" si="18"/>
        <v>-2251.98</v>
      </c>
      <c r="BI12" s="108">
        <v>3722.4</v>
      </c>
      <c r="BJ12" s="108">
        <v>3722.4</v>
      </c>
      <c r="BK12" s="119">
        <f t="shared" si="19"/>
        <v>-2358.9899999999998</v>
      </c>
      <c r="BL12" s="108">
        <v>3678.8</v>
      </c>
      <c r="BM12" s="108">
        <v>3678.8</v>
      </c>
      <c r="BN12" s="119">
        <f t="shared" si="20"/>
        <v>-2308.84</v>
      </c>
      <c r="BO12" s="108">
        <v>3728</v>
      </c>
      <c r="BP12" s="108">
        <v>3728</v>
      </c>
      <c r="BQ12" s="119">
        <f t="shared" si="21"/>
        <v>-2365.3599999999997</v>
      </c>
      <c r="BR12" s="108">
        <v>3722.8</v>
      </c>
      <c r="BS12" s="108">
        <v>3722.8</v>
      </c>
      <c r="BT12" s="106">
        <f t="shared" si="22"/>
        <v>-2356.86</v>
      </c>
      <c r="BU12" s="109">
        <v>3674.7</v>
      </c>
      <c r="BV12" s="109">
        <v>3674.7</v>
      </c>
      <c r="BW12" s="107">
        <f t="shared" si="23"/>
        <v>-2303.7699999999995</v>
      </c>
      <c r="BX12" s="108">
        <v>3730.8</v>
      </c>
      <c r="BY12" s="108">
        <v>3730.8</v>
      </c>
      <c r="BZ12" s="119">
        <f t="shared" si="24"/>
        <v>-2361.67</v>
      </c>
      <c r="CA12" s="108">
        <v>3627.5</v>
      </c>
      <c r="CB12" s="108">
        <v>3627.5</v>
      </c>
      <c r="CC12" s="106">
        <f t="shared" si="25"/>
        <v>-2250.5500000000002</v>
      </c>
      <c r="CD12" s="108">
        <v>3684.4</v>
      </c>
      <c r="CE12" s="108">
        <v>3684.4</v>
      </c>
      <c r="CF12" s="119">
        <f t="shared" si="26"/>
        <v>-2309.33</v>
      </c>
      <c r="CG12" s="108">
        <v>3681.32</v>
      </c>
      <c r="CH12" s="108">
        <v>3675.4</v>
      </c>
      <c r="CI12" s="106">
        <f t="shared" si="27"/>
        <v>-2302.62</v>
      </c>
      <c r="CJ12" s="109">
        <v>3634.3</v>
      </c>
      <c r="CK12" s="109">
        <v>3634.3</v>
      </c>
      <c r="CL12" s="107">
        <f t="shared" si="28"/>
        <v>-2266.42</v>
      </c>
      <c r="CM12" s="109">
        <v>3719.6</v>
      </c>
      <c r="CN12" s="109">
        <v>3719.6</v>
      </c>
      <c r="CO12" s="107">
        <f t="shared" si="29"/>
        <v>-2352.308</v>
      </c>
      <c r="CP12" s="109">
        <v>3704</v>
      </c>
      <c r="CQ12" s="109">
        <v>3704</v>
      </c>
      <c r="CR12" s="107">
        <f t="shared" si="30"/>
        <v>-2325.67</v>
      </c>
      <c r="CS12" s="109">
        <v>3659.8</v>
      </c>
      <c r="CT12" s="109">
        <v>3659.8</v>
      </c>
      <c r="CU12" s="107">
        <f t="shared" si="31"/>
        <v>-2279.13</v>
      </c>
      <c r="CV12" s="108">
        <v>3687</v>
      </c>
      <c r="CW12" s="108">
        <v>3687</v>
      </c>
      <c r="CX12" s="119">
        <f t="shared" si="32"/>
        <v>-2316.8890000000001</v>
      </c>
      <c r="CY12" s="108">
        <v>3736.8</v>
      </c>
      <c r="CZ12" s="108">
        <v>3736.8</v>
      </c>
      <c r="DA12" s="106">
        <f t="shared" si="33"/>
        <v>-2319.4400000000005</v>
      </c>
      <c r="DB12" s="108">
        <v>3718.9</v>
      </c>
      <c r="DC12" s="108">
        <v>3718.9</v>
      </c>
      <c r="DD12" s="106">
        <f t="shared" si="34"/>
        <v>-2340.2200000000003</v>
      </c>
      <c r="DE12" s="109">
        <v>3709.8</v>
      </c>
      <c r="DF12" s="109">
        <v>3709.8</v>
      </c>
      <c r="DG12" s="107">
        <f t="shared" si="35"/>
        <v>-2334.8000000000002</v>
      </c>
      <c r="DH12" s="108">
        <v>3728.8</v>
      </c>
      <c r="DI12" s="108">
        <v>3728.8</v>
      </c>
      <c r="DJ12" s="119">
        <f t="shared" si="36"/>
        <v>-2370.2400000000002</v>
      </c>
      <c r="DK12" s="109">
        <v>3723.4</v>
      </c>
      <c r="DL12" s="109">
        <v>3723.4</v>
      </c>
      <c r="DM12" s="107">
        <f t="shared" si="37"/>
        <v>-2360.2579999999998</v>
      </c>
      <c r="DN12" s="108">
        <v>3700</v>
      </c>
      <c r="DO12" s="108">
        <v>3700</v>
      </c>
      <c r="DP12" s="119">
        <f t="shared" si="38"/>
        <v>-2319.0209999999997</v>
      </c>
      <c r="DQ12" s="108">
        <v>3726.4</v>
      </c>
      <c r="DR12" s="108">
        <v>3726.4</v>
      </c>
      <c r="DS12" s="119">
        <f t="shared" si="39"/>
        <v>-2372.63</v>
      </c>
      <c r="DT12" s="108">
        <v>3662.7</v>
      </c>
      <c r="DU12" s="108">
        <v>3662.7</v>
      </c>
      <c r="DV12" s="106">
        <f t="shared" si="40"/>
        <v>-2259.84</v>
      </c>
      <c r="DW12" s="108">
        <v>3707.4</v>
      </c>
      <c r="DX12" s="108">
        <v>3707.4</v>
      </c>
      <c r="DY12" s="106">
        <f t="shared" si="41"/>
        <v>-2332.0700000000002</v>
      </c>
      <c r="DZ12" s="109">
        <v>3716.8</v>
      </c>
      <c r="EA12" s="109">
        <v>3716.8</v>
      </c>
      <c r="EB12" s="107">
        <f t="shared" si="42"/>
        <v>-2348.71</v>
      </c>
      <c r="EC12" s="121">
        <v>3702</v>
      </c>
      <c r="ED12" s="121">
        <v>3702</v>
      </c>
      <c r="EE12" s="107">
        <f t="shared" si="43"/>
        <v>-2286.9300000000003</v>
      </c>
      <c r="EF12" s="121">
        <v>3701.9</v>
      </c>
      <c r="EG12" s="121">
        <v>3701.9</v>
      </c>
      <c r="EH12" s="107">
        <f t="shared" si="44"/>
        <v>-2282.904</v>
      </c>
      <c r="EI12" s="121">
        <v>3694</v>
      </c>
      <c r="EJ12" s="121">
        <v>3694</v>
      </c>
      <c r="EK12" s="107">
        <f t="shared" si="45"/>
        <v>-2269.59</v>
      </c>
      <c r="EL12" s="107">
        <v>3723.2</v>
      </c>
      <c r="EM12" s="107">
        <v>3723.2</v>
      </c>
      <c r="EN12" s="107">
        <f t="shared" si="46"/>
        <v>-2306.9399999999996</v>
      </c>
      <c r="EO12" s="107">
        <v>3715.5</v>
      </c>
      <c r="EP12" s="107">
        <v>3715.5</v>
      </c>
      <c r="EQ12" s="107">
        <f t="shared" si="47"/>
        <v>-2302.049</v>
      </c>
      <c r="ER12" s="121">
        <v>3745.3</v>
      </c>
      <c r="ES12" s="121">
        <v>3745.3</v>
      </c>
      <c r="ET12" s="107">
        <f t="shared" si="48"/>
        <v>-2302.4900000000002</v>
      </c>
      <c r="EU12" s="107">
        <v>3625.1</v>
      </c>
      <c r="EV12" s="107">
        <v>3625.1</v>
      </c>
      <c r="EW12" s="107">
        <f t="shared" si="49"/>
        <v>-2261.4499999999998</v>
      </c>
      <c r="EX12" s="108">
        <v>3658.5</v>
      </c>
      <c r="EY12" s="108">
        <v>3658.5</v>
      </c>
      <c r="EZ12" s="119">
        <f t="shared" si="50"/>
        <v>-2311.9</v>
      </c>
      <c r="FA12" s="121">
        <v>3624</v>
      </c>
      <c r="FB12" s="121">
        <v>3624</v>
      </c>
      <c r="FC12" s="107">
        <f t="shared" si="51"/>
        <v>-2234.6</v>
      </c>
      <c r="FD12" s="121">
        <v>3574.3</v>
      </c>
      <c r="FE12" s="121">
        <v>3574.3</v>
      </c>
      <c r="FF12" s="107">
        <f t="shared" si="52"/>
        <v>-2194.0600000000004</v>
      </c>
      <c r="FG12" s="121">
        <v>3716.2</v>
      </c>
      <c r="FH12" s="121">
        <v>3716.2</v>
      </c>
      <c r="FI12" s="107">
        <f t="shared" si="53"/>
        <v>-2271.3029999999999</v>
      </c>
      <c r="FJ12" s="121">
        <v>3680.8</v>
      </c>
      <c r="FK12" s="121">
        <v>3680.8</v>
      </c>
      <c r="FL12" s="107">
        <f t="shared" si="54"/>
        <v>-2257.8500000000004</v>
      </c>
      <c r="FM12" s="110">
        <v>3643.1</v>
      </c>
      <c r="FN12" s="110">
        <v>3643.1</v>
      </c>
      <c r="FO12" s="116">
        <f>FM2-FN12</f>
        <v>-2278.7600000000002</v>
      </c>
      <c r="FP12" s="109">
        <v>3629.5</v>
      </c>
      <c r="FQ12" s="109">
        <v>3629.5</v>
      </c>
      <c r="FR12" s="107">
        <f t="shared" si="55"/>
        <v>-2265.6800000000003</v>
      </c>
      <c r="FS12" s="121">
        <v>3633.7</v>
      </c>
      <c r="FT12" s="121">
        <v>3633.7</v>
      </c>
      <c r="FU12" s="107">
        <f t="shared" si="56"/>
        <v>-2262.84</v>
      </c>
      <c r="FV12" s="122"/>
      <c r="FW12" s="122"/>
      <c r="FX12" s="107"/>
      <c r="FY12" s="121"/>
      <c r="FZ12" s="121"/>
      <c r="GA12" s="107"/>
    </row>
    <row r="13" spans="1:183" s="123" customFormat="1" ht="36.75" customHeight="1">
      <c r="A13" s="281"/>
      <c r="B13" s="107" t="s">
        <v>96</v>
      </c>
      <c r="C13" s="107" t="s">
        <v>96</v>
      </c>
      <c r="D13" s="108">
        <v>3732</v>
      </c>
      <c r="E13" s="108">
        <v>3732</v>
      </c>
      <c r="F13" s="119">
        <f t="shared" si="0"/>
        <v>-2416.9899999999998</v>
      </c>
      <c r="G13" s="108">
        <v>3780.2</v>
      </c>
      <c r="H13" s="108">
        <v>3780.2</v>
      </c>
      <c r="I13" s="119">
        <f t="shared" si="1"/>
        <v>-2381.6099999999997</v>
      </c>
      <c r="J13" s="109">
        <v>3754.4</v>
      </c>
      <c r="K13" s="109">
        <v>3754.4</v>
      </c>
      <c r="L13" s="120">
        <f t="shared" si="2"/>
        <v>-2378.4700000000003</v>
      </c>
      <c r="M13" s="106">
        <v>3675</v>
      </c>
      <c r="N13" s="106">
        <v>3675</v>
      </c>
      <c r="O13" s="106">
        <f t="shared" si="3"/>
        <v>-2322.91</v>
      </c>
      <c r="P13" s="108">
        <v>3680.8</v>
      </c>
      <c r="Q13" s="108">
        <v>3680.8</v>
      </c>
      <c r="R13" s="119">
        <f t="shared" si="4"/>
        <v>-2286.8900000000003</v>
      </c>
      <c r="S13" s="108">
        <v>3720.3</v>
      </c>
      <c r="T13" s="108">
        <v>3720.3</v>
      </c>
      <c r="U13" s="119">
        <f t="shared" si="5"/>
        <v>-2342.7000000000003</v>
      </c>
      <c r="V13" s="108">
        <v>3695.8</v>
      </c>
      <c r="W13" s="108">
        <v>3695.8</v>
      </c>
      <c r="X13" s="119">
        <f t="shared" si="6"/>
        <v>-2293</v>
      </c>
      <c r="Y13" s="109">
        <v>3713.8</v>
      </c>
      <c r="Z13" s="109">
        <v>3713.8</v>
      </c>
      <c r="AA13" s="120">
        <f t="shared" si="7"/>
        <v>-2345.5200000000004</v>
      </c>
      <c r="AB13" s="109">
        <v>3709.4</v>
      </c>
      <c r="AC13" s="109">
        <v>3709.4</v>
      </c>
      <c r="AD13" s="120">
        <f t="shared" si="8"/>
        <v>-2338.9700000000003</v>
      </c>
      <c r="AE13" s="108">
        <v>3736.5</v>
      </c>
      <c r="AF13" s="108">
        <v>3736.5</v>
      </c>
      <c r="AG13" s="119">
        <f t="shared" si="9"/>
        <v>-2327.6999999999998</v>
      </c>
      <c r="AH13" s="108">
        <v>3637.2</v>
      </c>
      <c r="AI13" s="108">
        <v>3637.2</v>
      </c>
      <c r="AJ13" s="106">
        <f t="shared" si="10"/>
        <v>-2261.5299999999997</v>
      </c>
      <c r="AK13" s="108">
        <v>3774.2</v>
      </c>
      <c r="AL13" s="108">
        <v>3774.2</v>
      </c>
      <c r="AM13" s="106">
        <f t="shared" si="11"/>
        <v>-2348.9699999999998</v>
      </c>
      <c r="AN13" s="108">
        <v>3737.7</v>
      </c>
      <c r="AO13" s="108">
        <v>3737.7</v>
      </c>
      <c r="AP13" s="106">
        <f t="shared" si="12"/>
        <v>-2312.2699999999995</v>
      </c>
      <c r="AQ13" s="108">
        <v>3710</v>
      </c>
      <c r="AR13" s="108">
        <v>3710</v>
      </c>
      <c r="AS13" s="106">
        <f t="shared" si="13"/>
        <v>-2311.27</v>
      </c>
      <c r="AT13" s="108">
        <v>3745</v>
      </c>
      <c r="AU13" s="108">
        <v>3745</v>
      </c>
      <c r="AV13" s="119">
        <f t="shared" si="14"/>
        <v>-2366.87</v>
      </c>
      <c r="AW13" s="108">
        <v>3767.1</v>
      </c>
      <c r="AX13" s="108">
        <v>3767.1</v>
      </c>
      <c r="AY13" s="119">
        <f t="shared" si="15"/>
        <v>-2386.38</v>
      </c>
      <c r="AZ13" s="108">
        <v>3667.4</v>
      </c>
      <c r="BA13" s="108">
        <v>3667.4</v>
      </c>
      <c r="BB13" s="119">
        <f t="shared" si="16"/>
        <v>-2283.0300000000002</v>
      </c>
      <c r="BC13" s="108">
        <v>3736.2</v>
      </c>
      <c r="BD13" s="108">
        <v>3736.2</v>
      </c>
      <c r="BE13" s="106">
        <f t="shared" si="17"/>
        <v>-2323.2999999999997</v>
      </c>
      <c r="BF13" s="108">
        <v>3718.56</v>
      </c>
      <c r="BG13" s="108">
        <v>3718.56</v>
      </c>
      <c r="BH13" s="106">
        <f t="shared" si="18"/>
        <v>-2288.94</v>
      </c>
      <c r="BI13" s="108">
        <v>3765.6</v>
      </c>
      <c r="BJ13" s="108">
        <v>3765.6</v>
      </c>
      <c r="BK13" s="119">
        <f t="shared" si="19"/>
        <v>-2402.1899999999996</v>
      </c>
      <c r="BL13" s="108">
        <v>3727.3</v>
      </c>
      <c r="BM13" s="108">
        <v>3727.3</v>
      </c>
      <c r="BN13" s="119">
        <f t="shared" si="20"/>
        <v>-2357.34</v>
      </c>
      <c r="BO13" s="108">
        <v>3783.6</v>
      </c>
      <c r="BP13" s="108">
        <v>3783.6</v>
      </c>
      <c r="BQ13" s="119">
        <f t="shared" si="21"/>
        <v>-2420.96</v>
      </c>
      <c r="BR13" s="108">
        <v>3763</v>
      </c>
      <c r="BS13" s="108">
        <v>3763</v>
      </c>
      <c r="BT13" s="106">
        <f t="shared" si="22"/>
        <v>-2397.06</v>
      </c>
      <c r="BU13" s="109">
        <v>3710.8</v>
      </c>
      <c r="BV13" s="109">
        <v>3710.8</v>
      </c>
      <c r="BW13" s="107">
        <f t="shared" si="23"/>
        <v>-2339.87</v>
      </c>
      <c r="BX13" s="108">
        <v>3776</v>
      </c>
      <c r="BY13" s="108">
        <v>3776</v>
      </c>
      <c r="BZ13" s="119">
        <f t="shared" si="24"/>
        <v>-2406.87</v>
      </c>
      <c r="CA13" s="108">
        <v>3671.6</v>
      </c>
      <c r="CB13" s="108">
        <v>3671.6</v>
      </c>
      <c r="CC13" s="106">
        <f t="shared" si="25"/>
        <v>-2294.6499999999996</v>
      </c>
      <c r="CD13" s="108">
        <v>3724.6</v>
      </c>
      <c r="CE13" s="108">
        <v>3724.6</v>
      </c>
      <c r="CF13" s="119">
        <f t="shared" si="26"/>
        <v>-2349.5299999999997</v>
      </c>
      <c r="CG13" s="108">
        <v>3721.9</v>
      </c>
      <c r="CH13" s="108">
        <v>3721.9</v>
      </c>
      <c r="CI13" s="106">
        <f t="shared" si="27"/>
        <v>-2343.1999999999998</v>
      </c>
      <c r="CJ13" s="109">
        <v>3677</v>
      </c>
      <c r="CK13" s="109">
        <v>3677</v>
      </c>
      <c r="CL13" s="107">
        <f t="shared" si="28"/>
        <v>-2309.12</v>
      </c>
      <c r="CM13" s="109">
        <v>3763.5</v>
      </c>
      <c r="CN13" s="109">
        <v>3763.5</v>
      </c>
      <c r="CO13" s="107">
        <f t="shared" si="29"/>
        <v>-2396.2080000000001</v>
      </c>
      <c r="CP13" s="109">
        <v>3748</v>
      </c>
      <c r="CQ13" s="109">
        <v>3748</v>
      </c>
      <c r="CR13" s="107">
        <f t="shared" si="30"/>
        <v>-2369.67</v>
      </c>
      <c r="CS13" s="109">
        <v>3725.2</v>
      </c>
      <c r="CT13" s="109">
        <v>3725.2</v>
      </c>
      <c r="CU13" s="107">
        <f t="shared" si="31"/>
        <v>-2344.5299999999997</v>
      </c>
      <c r="CV13" s="108">
        <v>3731</v>
      </c>
      <c r="CW13" s="108">
        <v>3731</v>
      </c>
      <c r="CX13" s="119">
        <f t="shared" si="32"/>
        <v>-2360.8890000000001</v>
      </c>
      <c r="CY13" s="108">
        <v>3781.2</v>
      </c>
      <c r="CZ13" s="108">
        <v>3781.2</v>
      </c>
      <c r="DA13" s="106">
        <f t="shared" si="33"/>
        <v>-2363.84</v>
      </c>
      <c r="DB13" s="108">
        <v>3754.8</v>
      </c>
      <c r="DC13" s="108">
        <v>3754.8</v>
      </c>
      <c r="DD13" s="106">
        <f t="shared" si="34"/>
        <v>-2376.12</v>
      </c>
      <c r="DE13" s="109">
        <v>3752</v>
      </c>
      <c r="DF13" s="109">
        <v>3752</v>
      </c>
      <c r="DG13" s="107">
        <f t="shared" si="35"/>
        <v>-2377</v>
      </c>
      <c r="DH13" s="108">
        <v>3777.2</v>
      </c>
      <c r="DI13" s="108">
        <v>3777.2</v>
      </c>
      <c r="DJ13" s="119">
        <f t="shared" si="36"/>
        <v>-2418.64</v>
      </c>
      <c r="DK13" s="109">
        <v>3784.8</v>
      </c>
      <c r="DL13" s="109">
        <v>3784.8</v>
      </c>
      <c r="DM13" s="107">
        <f t="shared" si="37"/>
        <v>-2421.6580000000004</v>
      </c>
      <c r="DN13" s="108">
        <v>3748</v>
      </c>
      <c r="DO13" s="108">
        <v>3748</v>
      </c>
      <c r="DP13" s="119">
        <f t="shared" si="38"/>
        <v>-2367.0209999999997</v>
      </c>
      <c r="DQ13" s="108">
        <v>3766</v>
      </c>
      <c r="DR13" s="108">
        <v>3766</v>
      </c>
      <c r="DS13" s="119">
        <f t="shared" si="39"/>
        <v>-2412.23</v>
      </c>
      <c r="DT13" s="108">
        <v>3708.7</v>
      </c>
      <c r="DU13" s="108">
        <v>3708.7</v>
      </c>
      <c r="DV13" s="106">
        <f t="shared" si="40"/>
        <v>-2305.84</v>
      </c>
      <c r="DW13" s="108">
        <v>3747.2</v>
      </c>
      <c r="DX13" s="108">
        <v>3747.2</v>
      </c>
      <c r="DY13" s="106">
        <f t="shared" si="41"/>
        <v>-2371.87</v>
      </c>
      <c r="DZ13" s="109">
        <v>3744.8</v>
      </c>
      <c r="EA13" s="109">
        <v>3744.8</v>
      </c>
      <c r="EB13" s="107">
        <f t="shared" si="42"/>
        <v>-2376.71</v>
      </c>
      <c r="EC13" s="121">
        <v>3735.8</v>
      </c>
      <c r="ED13" s="121">
        <v>3735.8</v>
      </c>
      <c r="EE13" s="107">
        <f t="shared" si="43"/>
        <v>-2320.7300000000005</v>
      </c>
      <c r="EF13" s="121">
        <v>3751</v>
      </c>
      <c r="EG13" s="121">
        <v>3751</v>
      </c>
      <c r="EH13" s="107">
        <f t="shared" si="44"/>
        <v>-2332.0039999999999</v>
      </c>
      <c r="EI13" s="121">
        <v>3733.9</v>
      </c>
      <c r="EJ13" s="121">
        <v>3733.9</v>
      </c>
      <c r="EK13" s="107">
        <f t="shared" si="45"/>
        <v>-2309.4899999999998</v>
      </c>
      <c r="EL13" s="107">
        <v>3765.7</v>
      </c>
      <c r="EM13" s="107">
        <v>3765.7</v>
      </c>
      <c r="EN13" s="107">
        <f t="shared" si="46"/>
        <v>-2349.4399999999996</v>
      </c>
      <c r="EO13" s="107">
        <v>3758.5</v>
      </c>
      <c r="EP13" s="107">
        <v>3758.5</v>
      </c>
      <c r="EQ13" s="107">
        <f t="shared" si="47"/>
        <v>-2345.049</v>
      </c>
      <c r="ER13" s="121">
        <v>3788.4</v>
      </c>
      <c r="ES13" s="121">
        <v>3788.4</v>
      </c>
      <c r="ET13" s="107">
        <f t="shared" si="48"/>
        <v>-2345.59</v>
      </c>
      <c r="EU13" s="107">
        <v>3673</v>
      </c>
      <c r="EV13" s="107">
        <v>3673</v>
      </c>
      <c r="EW13" s="107">
        <f t="shared" si="49"/>
        <v>-2309.35</v>
      </c>
      <c r="EX13" s="108">
        <v>3703</v>
      </c>
      <c r="EY13" s="108">
        <v>3703</v>
      </c>
      <c r="EZ13" s="119">
        <f t="shared" si="50"/>
        <v>-2356.4</v>
      </c>
      <c r="FA13" s="121">
        <v>3664.8</v>
      </c>
      <c r="FB13" s="121">
        <v>3664.8</v>
      </c>
      <c r="FC13" s="107">
        <f t="shared" si="51"/>
        <v>-2275.4</v>
      </c>
      <c r="FD13" s="121">
        <v>3628</v>
      </c>
      <c r="FE13" s="121">
        <v>3628</v>
      </c>
      <c r="FF13" s="107">
        <f t="shared" si="52"/>
        <v>-2247.7600000000002</v>
      </c>
      <c r="FG13" s="121">
        <v>3750</v>
      </c>
      <c r="FH13" s="121">
        <v>3750</v>
      </c>
      <c r="FI13" s="107">
        <f t="shared" si="53"/>
        <v>-2305.1030000000001</v>
      </c>
      <c r="FJ13" s="121">
        <v>3714.2</v>
      </c>
      <c r="FK13" s="121">
        <v>3714.2</v>
      </c>
      <c r="FL13" s="107">
        <f t="shared" si="54"/>
        <v>-2291.25</v>
      </c>
      <c r="FM13" s="110">
        <v>3685.6</v>
      </c>
      <c r="FN13" s="110">
        <v>3685.6</v>
      </c>
      <c r="FO13" s="116">
        <f>FM2-FM13</f>
        <v>-2321.2600000000002</v>
      </c>
      <c r="FP13" s="109">
        <v>3675.4</v>
      </c>
      <c r="FQ13" s="109">
        <v>3675.4</v>
      </c>
      <c r="FR13" s="107">
        <f t="shared" si="55"/>
        <v>-2311.58</v>
      </c>
      <c r="FS13" s="121">
        <v>3684.2</v>
      </c>
      <c r="FT13" s="121">
        <v>3684.2</v>
      </c>
      <c r="FU13" s="107">
        <f t="shared" si="56"/>
        <v>-2313.34</v>
      </c>
      <c r="FV13" s="122"/>
      <c r="FW13" s="122"/>
      <c r="FX13" s="107"/>
      <c r="FY13" s="121"/>
      <c r="FZ13" s="121"/>
      <c r="GA13" s="107"/>
    </row>
    <row r="14" spans="1:183" s="123" customFormat="1" ht="36.75" customHeight="1">
      <c r="A14" s="107" t="s">
        <v>316</v>
      </c>
      <c r="B14" s="107"/>
      <c r="C14" s="107" t="s">
        <v>317</v>
      </c>
      <c r="D14" s="108">
        <v>3748</v>
      </c>
      <c r="E14" s="108">
        <v>3748</v>
      </c>
      <c r="F14" s="119">
        <f t="shared" si="0"/>
        <v>-2432.9899999999998</v>
      </c>
      <c r="G14" s="108">
        <v>3817</v>
      </c>
      <c r="H14" s="108">
        <v>3817</v>
      </c>
      <c r="I14" s="119">
        <f t="shared" si="1"/>
        <v>-2418.41</v>
      </c>
      <c r="J14" s="109">
        <v>3770.4</v>
      </c>
      <c r="K14" s="109">
        <v>3770.4</v>
      </c>
      <c r="L14" s="120">
        <f t="shared" si="2"/>
        <v>-2394.4700000000003</v>
      </c>
      <c r="M14" s="106">
        <v>3694</v>
      </c>
      <c r="N14" s="106">
        <v>3694</v>
      </c>
      <c r="O14" s="106">
        <f t="shared" si="3"/>
        <v>-2331.71</v>
      </c>
      <c r="P14" s="108">
        <v>3709</v>
      </c>
      <c r="Q14" s="108">
        <v>3709</v>
      </c>
      <c r="R14" s="119">
        <f t="shared" si="4"/>
        <v>-2315.09</v>
      </c>
      <c r="S14" s="108">
        <v>3740</v>
      </c>
      <c r="T14" s="108">
        <v>3740</v>
      </c>
      <c r="U14" s="119">
        <f t="shared" si="5"/>
        <v>-2362.4</v>
      </c>
      <c r="V14" s="108">
        <v>3728.4</v>
      </c>
      <c r="W14" s="108">
        <v>3728.4</v>
      </c>
      <c r="X14" s="119">
        <f t="shared" si="6"/>
        <v>-2325.6000000000004</v>
      </c>
      <c r="Y14" s="109">
        <v>3743</v>
      </c>
      <c r="Z14" s="109">
        <v>3743</v>
      </c>
      <c r="AA14" s="120">
        <f t="shared" si="7"/>
        <v>-2374.7200000000003</v>
      </c>
      <c r="AB14" s="109">
        <v>3734.8</v>
      </c>
      <c r="AC14" s="109">
        <v>3734.8</v>
      </c>
      <c r="AD14" s="120">
        <f t="shared" si="8"/>
        <v>-2364.37</v>
      </c>
      <c r="AE14" s="108">
        <v>3771.4</v>
      </c>
      <c r="AF14" s="108">
        <v>3771.4</v>
      </c>
      <c r="AG14" s="119">
        <f t="shared" si="9"/>
        <v>-2362.6000000000004</v>
      </c>
      <c r="AH14" s="108">
        <v>3657.2</v>
      </c>
      <c r="AI14" s="108">
        <v>3657.2</v>
      </c>
      <c r="AJ14" s="106">
        <f t="shared" si="10"/>
        <v>-2281.5299999999997</v>
      </c>
      <c r="AK14" s="108">
        <v>3812.6</v>
      </c>
      <c r="AL14" s="108">
        <v>3812.6</v>
      </c>
      <c r="AM14" s="106">
        <f t="shared" si="11"/>
        <v>-2387.37</v>
      </c>
      <c r="AN14" s="108">
        <v>3763.5</v>
      </c>
      <c r="AO14" s="108">
        <v>3763.5</v>
      </c>
      <c r="AP14" s="106">
        <f t="shared" si="12"/>
        <v>-2338.0699999999997</v>
      </c>
      <c r="AQ14" s="108">
        <v>3736</v>
      </c>
      <c r="AR14" s="108">
        <v>3736</v>
      </c>
      <c r="AS14" s="106">
        <f t="shared" si="13"/>
        <v>-2337.27</v>
      </c>
      <c r="AT14" s="108">
        <v>3769</v>
      </c>
      <c r="AU14" s="108">
        <v>3769</v>
      </c>
      <c r="AV14" s="119">
        <f t="shared" si="14"/>
        <v>-2390.87</v>
      </c>
      <c r="AW14" s="108" t="s">
        <v>318</v>
      </c>
      <c r="AX14" s="108" t="s">
        <v>318</v>
      </c>
      <c r="AY14" s="119"/>
      <c r="AZ14" s="108">
        <v>3690</v>
      </c>
      <c r="BA14" s="108">
        <v>3690</v>
      </c>
      <c r="BB14" s="119">
        <f t="shared" si="16"/>
        <v>-2305.63</v>
      </c>
      <c r="BC14" s="108">
        <v>3759.6</v>
      </c>
      <c r="BD14" s="108">
        <v>3759.6</v>
      </c>
      <c r="BE14" s="106">
        <f t="shared" si="17"/>
        <v>-2346.6999999999998</v>
      </c>
      <c r="BF14" s="108"/>
      <c r="BG14" s="108"/>
      <c r="BH14" s="106"/>
      <c r="BI14" s="108">
        <v>3785.4</v>
      </c>
      <c r="BJ14" s="108">
        <v>3785.4</v>
      </c>
      <c r="BK14" s="119">
        <f t="shared" si="19"/>
        <v>-2421.9899999999998</v>
      </c>
      <c r="BL14" s="108">
        <v>3770</v>
      </c>
      <c r="BM14" s="108">
        <v>3770</v>
      </c>
      <c r="BN14" s="119">
        <f t="shared" si="20"/>
        <v>-2400.04</v>
      </c>
      <c r="BO14" s="108">
        <v>3818</v>
      </c>
      <c r="BP14" s="108">
        <v>3818</v>
      </c>
      <c r="BQ14" s="119">
        <f t="shared" si="21"/>
        <v>-2455.3599999999997</v>
      </c>
      <c r="BR14" s="108">
        <v>3783</v>
      </c>
      <c r="BS14" s="108">
        <v>3783</v>
      </c>
      <c r="BT14" s="106">
        <f t="shared" si="22"/>
        <v>-2417.06</v>
      </c>
      <c r="BU14" s="109">
        <v>3746.8</v>
      </c>
      <c r="BV14" s="109">
        <v>3746.8</v>
      </c>
      <c r="BW14" s="107">
        <f t="shared" si="23"/>
        <v>-2375.87</v>
      </c>
      <c r="BX14" s="108" t="s">
        <v>319</v>
      </c>
      <c r="BY14" s="108" t="s">
        <v>319</v>
      </c>
      <c r="BZ14" s="119"/>
      <c r="CA14" s="108">
        <v>3705</v>
      </c>
      <c r="CB14" s="108">
        <v>3705</v>
      </c>
      <c r="CC14" s="106">
        <f t="shared" si="25"/>
        <v>-2328.0500000000002</v>
      </c>
      <c r="CD14" s="108">
        <v>3755.2</v>
      </c>
      <c r="CE14" s="108">
        <v>3755.2</v>
      </c>
      <c r="CF14" s="119">
        <f t="shared" si="26"/>
        <v>-2380.13</v>
      </c>
      <c r="CG14" s="108">
        <v>3744.3</v>
      </c>
      <c r="CH14" s="108">
        <v>3744.3</v>
      </c>
      <c r="CI14" s="106">
        <f t="shared" si="27"/>
        <v>-2365.6000000000004</v>
      </c>
      <c r="CJ14" s="109">
        <v>3701.4</v>
      </c>
      <c r="CK14" s="109">
        <v>3701.4</v>
      </c>
      <c r="CL14" s="107">
        <f t="shared" si="28"/>
        <v>-2333.52</v>
      </c>
      <c r="CM14" s="109">
        <v>3783</v>
      </c>
      <c r="CN14" s="109">
        <v>3783</v>
      </c>
      <c r="CO14" s="107">
        <f t="shared" si="29"/>
        <v>-2415.7080000000001</v>
      </c>
      <c r="CP14" s="109">
        <v>3771.6</v>
      </c>
      <c r="CQ14" s="109">
        <v>3771.6</v>
      </c>
      <c r="CR14" s="107">
        <f t="shared" si="30"/>
        <v>-2393.27</v>
      </c>
      <c r="CS14" s="109">
        <v>3754.8</v>
      </c>
      <c r="CT14" s="109">
        <v>3754.8</v>
      </c>
      <c r="CU14" s="107">
        <f t="shared" si="31"/>
        <v>-2374.13</v>
      </c>
      <c r="CV14" s="108">
        <v>3758</v>
      </c>
      <c r="CW14" s="108">
        <v>3758</v>
      </c>
      <c r="CX14" s="119">
        <f t="shared" si="32"/>
        <v>-2387.8890000000001</v>
      </c>
      <c r="CY14" s="108">
        <v>3810.5</v>
      </c>
      <c r="CZ14" s="108">
        <v>3810.5</v>
      </c>
      <c r="DA14" s="106">
        <f t="shared" si="33"/>
        <v>-2393.1400000000003</v>
      </c>
      <c r="DB14" s="108">
        <v>3790.7</v>
      </c>
      <c r="DC14" s="108">
        <v>3790.7</v>
      </c>
      <c r="DD14" s="106">
        <f t="shared" si="34"/>
        <v>-2412.0199999999995</v>
      </c>
      <c r="DE14" s="109">
        <v>3769.2</v>
      </c>
      <c r="DF14" s="109">
        <v>3769.2</v>
      </c>
      <c r="DG14" s="107">
        <f t="shared" si="35"/>
        <v>-2394.1999999999998</v>
      </c>
      <c r="DH14" s="108">
        <v>3796.6</v>
      </c>
      <c r="DI14" s="108">
        <v>3796.6</v>
      </c>
      <c r="DJ14" s="119">
        <f t="shared" si="36"/>
        <v>-2438.04</v>
      </c>
      <c r="DK14" s="109">
        <v>3818</v>
      </c>
      <c r="DL14" s="109">
        <v>3818</v>
      </c>
      <c r="DM14" s="107">
        <f t="shared" si="37"/>
        <v>-2454.8580000000002</v>
      </c>
      <c r="DN14" s="108">
        <v>3770.4</v>
      </c>
      <c r="DO14" s="108">
        <v>3770.4</v>
      </c>
      <c r="DP14" s="119">
        <f t="shared" si="38"/>
        <v>-2389.4210000000003</v>
      </c>
      <c r="DQ14" s="108">
        <v>3792.5</v>
      </c>
      <c r="DR14" s="108">
        <v>3792.5</v>
      </c>
      <c r="DS14" s="119">
        <f t="shared" si="39"/>
        <v>-2438.73</v>
      </c>
      <c r="DT14" s="108">
        <v>3732</v>
      </c>
      <c r="DU14" s="108">
        <v>3732</v>
      </c>
      <c r="DV14" s="106">
        <f t="shared" si="40"/>
        <v>-2329.1400000000003</v>
      </c>
      <c r="DW14" s="108">
        <v>3766.4</v>
      </c>
      <c r="DX14" s="108">
        <v>3766.4</v>
      </c>
      <c r="DY14" s="106">
        <f t="shared" si="41"/>
        <v>-2391.0700000000002</v>
      </c>
      <c r="DZ14" s="109">
        <v>3761.4</v>
      </c>
      <c r="EA14" s="109">
        <v>3761.4</v>
      </c>
      <c r="EB14" s="107">
        <f t="shared" si="42"/>
        <v>-2393.3100000000004</v>
      </c>
      <c r="EC14" s="121">
        <v>3764</v>
      </c>
      <c r="ED14" s="121">
        <v>3764</v>
      </c>
      <c r="EE14" s="107">
        <f t="shared" si="43"/>
        <v>-2348.9300000000003</v>
      </c>
      <c r="EF14" s="121">
        <v>3784.7</v>
      </c>
      <c r="EG14" s="121">
        <v>3784.7</v>
      </c>
      <c r="EH14" s="107">
        <f t="shared" si="44"/>
        <v>-2365.7039999999997</v>
      </c>
      <c r="EI14" s="121">
        <v>3760</v>
      </c>
      <c r="EJ14" s="121">
        <v>3760</v>
      </c>
      <c r="EK14" s="107">
        <f t="shared" si="45"/>
        <v>-2335.59</v>
      </c>
      <c r="EL14" s="107">
        <v>3800.7</v>
      </c>
      <c r="EM14" s="107">
        <v>3800.7</v>
      </c>
      <c r="EN14" s="107">
        <f t="shared" si="46"/>
        <v>-2384.4399999999996</v>
      </c>
      <c r="EO14" s="107">
        <v>3788.2</v>
      </c>
      <c r="EP14" s="107">
        <v>3788.2</v>
      </c>
      <c r="EQ14" s="107">
        <f t="shared" si="47"/>
        <v>-2374.7489999999998</v>
      </c>
      <c r="ER14" s="121">
        <v>3830</v>
      </c>
      <c r="ES14" s="121">
        <v>3830</v>
      </c>
      <c r="ET14" s="107">
        <f t="shared" si="48"/>
        <v>-2387.19</v>
      </c>
      <c r="EU14" s="107">
        <v>3703.4</v>
      </c>
      <c r="EV14" s="107">
        <v>3703.4</v>
      </c>
      <c r="EW14" s="107">
        <f t="shared" si="49"/>
        <v>-2339.75</v>
      </c>
      <c r="EX14" s="108">
        <v>3732.4</v>
      </c>
      <c r="EY14" s="108">
        <v>3732.4</v>
      </c>
      <c r="EZ14" s="119">
        <f t="shared" si="50"/>
        <v>-2385.8000000000002</v>
      </c>
      <c r="FA14" s="121">
        <v>3694</v>
      </c>
      <c r="FB14" s="121">
        <v>3694</v>
      </c>
      <c r="FC14" s="107">
        <f t="shared" si="51"/>
        <v>-2304.6</v>
      </c>
      <c r="FD14" s="121">
        <v>3655.2</v>
      </c>
      <c r="FE14" s="121">
        <v>3655.2</v>
      </c>
      <c r="FF14" s="107">
        <f t="shared" si="52"/>
        <v>-2274.96</v>
      </c>
      <c r="FG14" s="121">
        <v>3782</v>
      </c>
      <c r="FH14" s="121">
        <v>3782</v>
      </c>
      <c r="FI14" s="107">
        <f t="shared" si="53"/>
        <v>-2337.1030000000001</v>
      </c>
      <c r="FJ14" s="121">
        <v>3746</v>
      </c>
      <c r="FK14" s="121">
        <v>3746</v>
      </c>
      <c r="FL14" s="107">
        <f t="shared" si="54"/>
        <v>-2323.0500000000002</v>
      </c>
      <c r="FM14" s="110">
        <v>3719.9</v>
      </c>
      <c r="FN14" s="110">
        <v>3719.9</v>
      </c>
      <c r="FO14" s="116">
        <f>FM2-FN14</f>
        <v>-2355.5600000000004</v>
      </c>
      <c r="FP14" s="109">
        <v>3699.2</v>
      </c>
      <c r="FQ14" s="109">
        <v>3699.2</v>
      </c>
      <c r="FR14" s="107">
        <f t="shared" si="55"/>
        <v>-2335.38</v>
      </c>
      <c r="FS14" s="121">
        <v>3710</v>
      </c>
      <c r="FT14" s="121">
        <v>3710</v>
      </c>
      <c r="FU14" s="107">
        <f t="shared" si="56"/>
        <v>-2339.1400000000003</v>
      </c>
      <c r="FV14" s="122"/>
      <c r="FW14" s="122"/>
      <c r="FX14" s="107"/>
      <c r="FY14" s="121"/>
      <c r="FZ14" s="121"/>
      <c r="GA14" s="107"/>
    </row>
    <row r="15" spans="1:183" s="124" customFormat="1" ht="36.75" customHeight="1">
      <c r="A15" s="107" t="s">
        <v>320</v>
      </c>
      <c r="B15" s="107"/>
      <c r="C15" s="107" t="s">
        <v>321</v>
      </c>
      <c r="D15" s="108">
        <v>3763</v>
      </c>
      <c r="E15" s="108">
        <v>3763</v>
      </c>
      <c r="F15" s="106">
        <f t="shared" si="0"/>
        <v>-2447.9899999999998</v>
      </c>
      <c r="G15" s="108">
        <v>3833.4</v>
      </c>
      <c r="H15" s="108">
        <v>3833.4</v>
      </c>
      <c r="I15" s="106">
        <f t="shared" si="1"/>
        <v>-2434.8100000000004</v>
      </c>
      <c r="J15" s="109">
        <v>3796</v>
      </c>
      <c r="K15" s="109">
        <v>3796</v>
      </c>
      <c r="L15" s="107">
        <f t="shared" si="2"/>
        <v>-2420.0699999999997</v>
      </c>
      <c r="M15" s="106">
        <v>3702.8</v>
      </c>
      <c r="N15" s="106">
        <v>3702.8</v>
      </c>
      <c r="O15" s="106">
        <f t="shared" si="3"/>
        <v>-2948.91</v>
      </c>
      <c r="P15" s="108">
        <v>3725.6</v>
      </c>
      <c r="Q15" s="108">
        <v>3725.6</v>
      </c>
      <c r="R15" s="106">
        <f t="shared" si="4"/>
        <v>-2331.6899999999996</v>
      </c>
      <c r="S15" s="108">
        <v>3760</v>
      </c>
      <c r="T15" s="108">
        <v>3760</v>
      </c>
      <c r="U15" s="106">
        <f t="shared" si="5"/>
        <v>-2382.4</v>
      </c>
      <c r="V15" s="108">
        <v>3742.6</v>
      </c>
      <c r="W15" s="108">
        <v>3742.6</v>
      </c>
      <c r="X15" s="106">
        <f t="shared" si="6"/>
        <v>-2339.8000000000002</v>
      </c>
      <c r="Y15" s="109">
        <v>3768.2</v>
      </c>
      <c r="Z15" s="109">
        <v>3768.2</v>
      </c>
      <c r="AA15" s="107">
        <f t="shared" si="7"/>
        <v>-2399.92</v>
      </c>
      <c r="AB15" s="109">
        <v>3748</v>
      </c>
      <c r="AC15" s="109">
        <v>3748</v>
      </c>
      <c r="AD15" s="107">
        <f t="shared" si="8"/>
        <v>-2377.5699999999997</v>
      </c>
      <c r="AE15" s="108">
        <v>3785.5</v>
      </c>
      <c r="AF15" s="108">
        <v>3785.5</v>
      </c>
      <c r="AG15" s="106">
        <f t="shared" si="9"/>
        <v>-2376.6999999999998</v>
      </c>
      <c r="AH15" s="108">
        <v>3704</v>
      </c>
      <c r="AI15" s="108">
        <v>3704</v>
      </c>
      <c r="AJ15" s="106">
        <f t="shared" si="10"/>
        <v>-2328.33</v>
      </c>
      <c r="AK15" s="108">
        <v>3844</v>
      </c>
      <c r="AL15" s="108">
        <v>3844</v>
      </c>
      <c r="AM15" s="106">
        <f t="shared" si="11"/>
        <v>-2418.77</v>
      </c>
      <c r="AN15" s="108">
        <v>3787.5</v>
      </c>
      <c r="AO15" s="108">
        <v>3787.5</v>
      </c>
      <c r="AP15" s="106">
        <f t="shared" si="12"/>
        <v>-2362.0699999999997</v>
      </c>
      <c r="AQ15" s="108" t="s">
        <v>322</v>
      </c>
      <c r="AR15" s="108" t="s">
        <v>322</v>
      </c>
      <c r="AS15" s="106"/>
      <c r="AT15" s="108">
        <v>3778</v>
      </c>
      <c r="AU15" s="108">
        <v>3778</v>
      </c>
      <c r="AV15" s="106">
        <f t="shared" si="14"/>
        <v>-2399.87</v>
      </c>
      <c r="AW15" s="106"/>
      <c r="AX15" s="106"/>
      <c r="AY15" s="106"/>
      <c r="AZ15" s="106"/>
      <c r="BA15" s="106"/>
      <c r="BB15" s="106"/>
      <c r="BC15" s="108">
        <v>3791.2</v>
      </c>
      <c r="BD15" s="108">
        <v>3791.2</v>
      </c>
      <c r="BE15" s="106">
        <f t="shared" si="17"/>
        <v>-2378.2999999999997</v>
      </c>
      <c r="BF15" s="108"/>
      <c r="BG15" s="108"/>
      <c r="BH15" s="106"/>
      <c r="BI15" s="108" t="s">
        <v>323</v>
      </c>
      <c r="BJ15" s="108" t="s">
        <v>323</v>
      </c>
      <c r="BK15" s="106"/>
      <c r="BL15" s="108"/>
      <c r="BM15" s="108"/>
      <c r="BN15" s="106"/>
      <c r="BO15" s="108" t="s">
        <v>324</v>
      </c>
      <c r="BP15" s="108" t="s">
        <v>325</v>
      </c>
      <c r="BQ15" s="106"/>
      <c r="BR15" s="108">
        <v>3796</v>
      </c>
      <c r="BS15" s="108">
        <v>3796</v>
      </c>
      <c r="BT15" s="106">
        <f t="shared" si="22"/>
        <v>-2430.06</v>
      </c>
      <c r="BU15" s="109">
        <v>3753.2</v>
      </c>
      <c r="BV15" s="109">
        <v>3753.2</v>
      </c>
      <c r="BW15" s="107">
        <f t="shared" si="23"/>
        <v>-2382.2699999999995</v>
      </c>
      <c r="BX15" s="106"/>
      <c r="BY15" s="106"/>
      <c r="BZ15" s="106"/>
      <c r="CA15" s="108" t="s">
        <v>326</v>
      </c>
      <c r="CB15" s="108" t="s">
        <v>326</v>
      </c>
      <c r="CC15" s="106"/>
      <c r="CD15" s="108" t="s">
        <v>327</v>
      </c>
      <c r="CE15" s="108" t="s">
        <v>327</v>
      </c>
      <c r="CF15" s="106"/>
      <c r="CG15" s="108" t="s">
        <v>328</v>
      </c>
      <c r="CH15" s="108" t="s">
        <v>328</v>
      </c>
      <c r="CI15" s="106"/>
      <c r="CJ15" s="109" t="s">
        <v>329</v>
      </c>
      <c r="CK15" s="109" t="s">
        <v>329</v>
      </c>
      <c r="CL15" s="107">
        <f>CJ2-3725</f>
        <v>-2357.12</v>
      </c>
      <c r="CM15" s="109">
        <v>3795</v>
      </c>
      <c r="CN15" s="109">
        <v>3795</v>
      </c>
      <c r="CO15" s="107">
        <f t="shared" si="29"/>
        <v>-2427.7080000000001</v>
      </c>
      <c r="CP15" s="109" t="s">
        <v>330</v>
      </c>
      <c r="CQ15" s="109" t="s">
        <v>331</v>
      </c>
      <c r="CR15" s="107">
        <f>CP2-3790</f>
        <v>-2411.67</v>
      </c>
      <c r="CS15" s="109" t="s">
        <v>332</v>
      </c>
      <c r="CT15" s="109" t="s">
        <v>332</v>
      </c>
      <c r="CU15" s="107">
        <f>CS2-3772</f>
        <v>-2391.3339999999998</v>
      </c>
      <c r="CV15" s="108" t="s">
        <v>333</v>
      </c>
      <c r="CW15" s="108" t="s">
        <v>333</v>
      </c>
      <c r="CX15" s="106"/>
      <c r="CY15" s="108" t="s">
        <v>334</v>
      </c>
      <c r="CZ15" s="108" t="s">
        <v>334</v>
      </c>
      <c r="DA15" s="106"/>
      <c r="DB15" s="108" t="s">
        <v>335</v>
      </c>
      <c r="DC15" s="108" t="s">
        <v>336</v>
      </c>
      <c r="DD15" s="106"/>
      <c r="DE15" s="109">
        <v>3806.2</v>
      </c>
      <c r="DF15" s="109">
        <v>3806.2</v>
      </c>
      <c r="DG15" s="107">
        <f t="shared" si="35"/>
        <v>-2431.1999999999998</v>
      </c>
      <c r="DH15" s="106">
        <v>3806.3</v>
      </c>
      <c r="DI15" s="106">
        <v>3806.3</v>
      </c>
      <c r="DJ15" s="119">
        <f t="shared" si="36"/>
        <v>-2447.7400000000002</v>
      </c>
      <c r="DK15" s="109" t="s">
        <v>337</v>
      </c>
      <c r="DL15" s="109" t="s">
        <v>337</v>
      </c>
      <c r="DM15" s="107"/>
      <c r="DN15" s="108" t="s">
        <v>338</v>
      </c>
      <c r="DO15" s="108" t="s">
        <v>338</v>
      </c>
      <c r="DP15" s="119"/>
      <c r="DQ15" s="108" t="s">
        <v>339</v>
      </c>
      <c r="DR15" s="108" t="s">
        <v>339</v>
      </c>
      <c r="DS15" s="106"/>
      <c r="DT15" s="108" t="s">
        <v>340</v>
      </c>
      <c r="DU15" s="108" t="s">
        <v>340</v>
      </c>
      <c r="DV15" s="106"/>
      <c r="DW15" s="108">
        <v>3778</v>
      </c>
      <c r="DX15" s="108">
        <v>3778</v>
      </c>
      <c r="DY15" s="106">
        <f t="shared" si="41"/>
        <v>-2402.67</v>
      </c>
      <c r="DZ15" s="109">
        <v>3765</v>
      </c>
      <c r="EA15" s="109">
        <v>3765</v>
      </c>
      <c r="EB15" s="107">
        <f>DZ2-3765</f>
        <v>-2396.9139999999998</v>
      </c>
      <c r="EC15" s="121">
        <v>3785</v>
      </c>
      <c r="ED15" s="107">
        <v>3785</v>
      </c>
      <c r="EE15" s="107">
        <f t="shared" si="43"/>
        <v>-2369.9300000000003</v>
      </c>
      <c r="EF15" s="121"/>
      <c r="EG15" s="107"/>
      <c r="EH15" s="107"/>
      <c r="EI15" s="121">
        <v>3797</v>
      </c>
      <c r="EJ15" s="121">
        <v>3797</v>
      </c>
      <c r="EK15" s="107">
        <f t="shared" si="45"/>
        <v>-2372.59</v>
      </c>
      <c r="EL15" s="107">
        <v>3809</v>
      </c>
      <c r="EM15" s="107">
        <v>3809</v>
      </c>
      <c r="EN15" s="107">
        <f t="shared" si="46"/>
        <v>-2392.7399999999998</v>
      </c>
      <c r="EO15" s="107">
        <v>3800</v>
      </c>
      <c r="EP15" s="107">
        <v>3800</v>
      </c>
      <c r="EQ15" s="107">
        <f t="shared" si="47"/>
        <v>-2386.549</v>
      </c>
      <c r="ER15" s="121"/>
      <c r="ES15" s="107"/>
      <c r="ET15" s="107"/>
      <c r="EU15" s="107">
        <v>3718.7</v>
      </c>
      <c r="EV15" s="107">
        <v>3718.7</v>
      </c>
      <c r="EW15" s="107">
        <f t="shared" si="49"/>
        <v>-2355.0499999999997</v>
      </c>
      <c r="EX15" s="106"/>
      <c r="EY15" s="106"/>
      <c r="EZ15" s="106"/>
      <c r="FA15" s="107">
        <v>3709.2</v>
      </c>
      <c r="FB15" s="107">
        <v>3709.2</v>
      </c>
      <c r="FC15" s="107">
        <f t="shared" si="51"/>
        <v>-2319.7999999999997</v>
      </c>
      <c r="FD15" s="107">
        <v>3670</v>
      </c>
      <c r="FE15" s="107">
        <v>3670</v>
      </c>
      <c r="FF15" s="107">
        <f t="shared" si="52"/>
        <v>-2289.7600000000002</v>
      </c>
      <c r="FG15" s="107">
        <v>3798</v>
      </c>
      <c r="FH15" s="107">
        <v>3798</v>
      </c>
      <c r="FI15" s="107">
        <f t="shared" si="53"/>
        <v>-2353.1030000000001</v>
      </c>
      <c r="FJ15" s="107">
        <v>3764</v>
      </c>
      <c r="FK15" s="107">
        <v>3764</v>
      </c>
      <c r="FL15" s="107">
        <f t="shared" si="54"/>
        <v>-2341.0500000000002</v>
      </c>
      <c r="FM15" s="110">
        <v>3728.2</v>
      </c>
      <c r="FN15" s="110">
        <v>3728.2</v>
      </c>
      <c r="FO15" s="116">
        <f>FM2-FN15</f>
        <v>-2363.8599999999997</v>
      </c>
      <c r="FP15" s="109">
        <v>3730</v>
      </c>
      <c r="FQ15" s="109">
        <v>3730</v>
      </c>
      <c r="FR15" s="107">
        <f t="shared" si="55"/>
        <v>-2366.1800000000003</v>
      </c>
      <c r="FS15" s="107">
        <v>3727.8</v>
      </c>
      <c r="FT15" s="107">
        <v>3727.8</v>
      </c>
      <c r="FU15" s="107">
        <f t="shared" si="56"/>
        <v>-2356.9400000000005</v>
      </c>
      <c r="FV15" s="122"/>
      <c r="FW15" s="122"/>
      <c r="FX15" s="107"/>
      <c r="FY15" s="107"/>
      <c r="FZ15" s="107"/>
      <c r="GA15" s="107"/>
    </row>
    <row r="16" spans="1:183" s="123" customFormat="1" ht="36.75" customHeight="1">
      <c r="A16" s="109" t="s">
        <v>341</v>
      </c>
      <c r="B16" s="107"/>
      <c r="C16" s="107"/>
      <c r="D16" s="283">
        <v>4230</v>
      </c>
      <c r="E16" s="283"/>
      <c r="F16" s="283"/>
      <c r="G16" s="283">
        <v>4010</v>
      </c>
      <c r="H16" s="283"/>
      <c r="I16" s="283"/>
      <c r="J16" s="281">
        <v>3910</v>
      </c>
      <c r="K16" s="281"/>
      <c r="L16" s="281"/>
      <c r="M16" s="283">
        <v>4320</v>
      </c>
      <c r="N16" s="283"/>
      <c r="O16" s="283"/>
      <c r="P16" s="283">
        <v>3780</v>
      </c>
      <c r="Q16" s="283"/>
      <c r="R16" s="283"/>
      <c r="S16" s="283">
        <v>3860</v>
      </c>
      <c r="T16" s="283"/>
      <c r="U16" s="283"/>
      <c r="V16" s="283">
        <v>3825</v>
      </c>
      <c r="W16" s="283"/>
      <c r="X16" s="283"/>
      <c r="Y16" s="281">
        <v>3970</v>
      </c>
      <c r="Z16" s="281"/>
      <c r="AA16" s="281"/>
      <c r="AB16" s="281">
        <v>3825</v>
      </c>
      <c r="AC16" s="281"/>
      <c r="AD16" s="281"/>
      <c r="AE16" s="283">
        <v>3865</v>
      </c>
      <c r="AF16" s="283"/>
      <c r="AG16" s="283"/>
      <c r="AH16" s="283">
        <v>3774</v>
      </c>
      <c r="AI16" s="283"/>
      <c r="AJ16" s="283"/>
      <c r="AK16" s="283">
        <v>3922</v>
      </c>
      <c r="AL16" s="283"/>
      <c r="AM16" s="283"/>
      <c r="AN16" s="282">
        <v>3805</v>
      </c>
      <c r="AO16" s="282"/>
      <c r="AP16" s="282"/>
      <c r="AQ16" s="282">
        <v>3750</v>
      </c>
      <c r="AR16" s="282"/>
      <c r="AS16" s="282"/>
      <c r="AT16" s="283">
        <v>3815</v>
      </c>
      <c r="AU16" s="283"/>
      <c r="AV16" s="283"/>
      <c r="AW16" s="283">
        <v>3785</v>
      </c>
      <c r="AX16" s="283"/>
      <c r="AY16" s="283"/>
      <c r="AZ16" s="283">
        <v>3713</v>
      </c>
      <c r="BA16" s="283"/>
      <c r="BB16" s="283"/>
      <c r="BC16" s="283">
        <v>3830</v>
      </c>
      <c r="BD16" s="283"/>
      <c r="BE16" s="283"/>
      <c r="BF16" s="283">
        <v>3765</v>
      </c>
      <c r="BG16" s="283"/>
      <c r="BH16" s="283"/>
      <c r="BI16" s="283">
        <v>3806</v>
      </c>
      <c r="BJ16" s="283"/>
      <c r="BK16" s="283"/>
      <c r="BL16" s="283">
        <v>3770</v>
      </c>
      <c r="BM16" s="283"/>
      <c r="BN16" s="283"/>
      <c r="BO16" s="283">
        <v>3820</v>
      </c>
      <c r="BP16" s="283"/>
      <c r="BQ16" s="283"/>
      <c r="BR16" s="283">
        <v>3827</v>
      </c>
      <c r="BS16" s="283"/>
      <c r="BT16" s="283"/>
      <c r="BU16" s="281">
        <v>3790</v>
      </c>
      <c r="BV16" s="281"/>
      <c r="BW16" s="281"/>
      <c r="BX16" s="283">
        <v>3805</v>
      </c>
      <c r="BY16" s="283"/>
      <c r="BZ16" s="283"/>
      <c r="CA16" s="283">
        <v>3718</v>
      </c>
      <c r="CB16" s="283"/>
      <c r="CC16" s="283"/>
      <c r="CD16" s="283">
        <v>3770</v>
      </c>
      <c r="CE16" s="283"/>
      <c r="CF16" s="283"/>
      <c r="CG16" s="283">
        <v>3760</v>
      </c>
      <c r="CH16" s="283"/>
      <c r="CI16" s="283"/>
      <c r="CJ16" s="281">
        <v>3725</v>
      </c>
      <c r="CK16" s="281"/>
      <c r="CL16" s="281"/>
      <c r="CM16" s="281">
        <v>3840</v>
      </c>
      <c r="CN16" s="281"/>
      <c r="CO16" s="281"/>
      <c r="CP16" s="281">
        <v>3790</v>
      </c>
      <c r="CQ16" s="281"/>
      <c r="CR16" s="281"/>
      <c r="CS16" s="281">
        <v>3772</v>
      </c>
      <c r="CT16" s="281"/>
      <c r="CU16" s="281"/>
      <c r="CV16" s="283"/>
      <c r="CW16" s="283"/>
      <c r="CX16" s="283"/>
      <c r="CY16" s="283">
        <v>3830</v>
      </c>
      <c r="CZ16" s="283"/>
      <c r="DA16" s="283"/>
      <c r="DB16" s="283">
        <v>3808</v>
      </c>
      <c r="DC16" s="283"/>
      <c r="DD16" s="283"/>
      <c r="DE16" s="281">
        <v>3850</v>
      </c>
      <c r="DF16" s="281"/>
      <c r="DG16" s="281"/>
      <c r="DH16" s="283">
        <v>3835</v>
      </c>
      <c r="DI16" s="283"/>
      <c r="DJ16" s="283"/>
      <c r="DK16" s="281">
        <v>3840</v>
      </c>
      <c r="DL16" s="281"/>
      <c r="DM16" s="281"/>
      <c r="DN16" s="283">
        <v>3790</v>
      </c>
      <c r="DO16" s="283"/>
      <c r="DP16" s="283"/>
      <c r="DQ16" s="283">
        <v>3816</v>
      </c>
      <c r="DR16" s="283"/>
      <c r="DS16" s="283"/>
      <c r="DT16" s="283">
        <v>3755</v>
      </c>
      <c r="DU16" s="283"/>
      <c r="DV16" s="283"/>
      <c r="DW16" s="283">
        <v>3785</v>
      </c>
      <c r="DX16" s="283"/>
      <c r="DY16" s="283"/>
      <c r="DZ16" s="281">
        <v>3779</v>
      </c>
      <c r="EA16" s="281"/>
      <c r="EB16" s="281"/>
      <c r="EC16" s="281">
        <v>3785</v>
      </c>
      <c r="ED16" s="281"/>
      <c r="EE16" s="281"/>
      <c r="EF16" s="281">
        <v>3810</v>
      </c>
      <c r="EG16" s="281"/>
      <c r="EH16" s="281"/>
      <c r="EI16" s="281">
        <v>3830</v>
      </c>
      <c r="EJ16" s="281"/>
      <c r="EK16" s="281"/>
      <c r="EL16" s="281">
        <v>3840</v>
      </c>
      <c r="EM16" s="281"/>
      <c r="EN16" s="281"/>
      <c r="EO16" s="281">
        <v>3845</v>
      </c>
      <c r="EP16" s="281"/>
      <c r="EQ16" s="281"/>
      <c r="ER16" s="281">
        <v>3830</v>
      </c>
      <c r="ES16" s="281"/>
      <c r="ET16" s="281"/>
      <c r="EU16" s="281">
        <v>3845</v>
      </c>
      <c r="EV16" s="281"/>
      <c r="EW16" s="281"/>
      <c r="EX16" s="283">
        <v>3751</v>
      </c>
      <c r="EY16" s="283"/>
      <c r="EZ16" s="283"/>
      <c r="FA16" s="281">
        <v>3743</v>
      </c>
      <c r="FB16" s="281"/>
      <c r="FC16" s="281"/>
      <c r="FD16" s="281">
        <v>3672</v>
      </c>
      <c r="FE16" s="281"/>
      <c r="FF16" s="281"/>
      <c r="FG16" s="281">
        <v>3900</v>
      </c>
      <c r="FH16" s="281"/>
      <c r="FI16" s="281"/>
      <c r="FJ16" s="281">
        <v>3782</v>
      </c>
      <c r="FK16" s="281"/>
      <c r="FL16" s="281"/>
      <c r="FM16" s="286">
        <v>3760</v>
      </c>
      <c r="FN16" s="286"/>
      <c r="FO16" s="286"/>
      <c r="FP16" s="281">
        <v>3995</v>
      </c>
      <c r="FQ16" s="281"/>
      <c r="FR16" s="281"/>
      <c r="FS16" s="281">
        <v>3955</v>
      </c>
      <c r="FT16" s="281"/>
      <c r="FU16" s="281"/>
      <c r="FV16" s="295"/>
      <c r="FW16" s="296"/>
      <c r="FX16" s="297"/>
      <c r="FY16" s="295"/>
      <c r="FZ16" s="296"/>
      <c r="GA16" s="297"/>
    </row>
    <row r="17" spans="1:183" s="133" customFormat="1" ht="30" customHeight="1">
      <c r="A17" s="125"/>
      <c r="B17" s="126"/>
      <c r="C17" s="126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3"/>
      <c r="DC17" s="123"/>
      <c r="DD17" s="123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29"/>
      <c r="EN17" s="129"/>
      <c r="EO17" s="129"/>
      <c r="EP17" s="129"/>
      <c r="EQ17" s="129"/>
      <c r="ER17" s="129"/>
      <c r="ES17" s="129"/>
      <c r="ET17" s="129"/>
      <c r="EU17" s="129"/>
      <c r="EV17" s="129"/>
      <c r="EW17" s="129"/>
      <c r="EX17" s="129"/>
      <c r="EY17" s="129"/>
      <c r="EZ17" s="129"/>
      <c r="FA17" s="129"/>
      <c r="FB17" s="129"/>
      <c r="FC17" s="129"/>
      <c r="FD17" s="129"/>
      <c r="FE17" s="129"/>
      <c r="FF17" s="129"/>
      <c r="FG17" s="129"/>
      <c r="FH17" s="129"/>
      <c r="FI17" s="129"/>
      <c r="FJ17" s="130"/>
      <c r="FK17" s="129"/>
      <c r="FL17" s="129"/>
      <c r="FM17" s="123"/>
      <c r="FN17" s="129"/>
      <c r="FO17" s="129"/>
      <c r="FP17" s="123"/>
      <c r="FQ17" s="129"/>
      <c r="FR17" s="129"/>
      <c r="FS17" s="130"/>
      <c r="FT17" s="129"/>
      <c r="FU17" s="129"/>
      <c r="FV17" s="131" t="s">
        <v>342</v>
      </c>
      <c r="FW17" s="132"/>
      <c r="FX17" s="132"/>
      <c r="FZ17" s="132"/>
      <c r="GA17" s="132"/>
    </row>
    <row r="18" spans="1:183" s="134" customFormat="1" ht="36.75" customHeight="1">
      <c r="A18" s="132"/>
      <c r="B18" s="132"/>
      <c r="C18" s="13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3"/>
      <c r="DC18" s="123"/>
      <c r="DD18" s="123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32"/>
      <c r="FW18" s="132"/>
      <c r="FX18" s="132"/>
      <c r="FY18" s="132"/>
      <c r="FZ18" s="132"/>
      <c r="GA18" s="132"/>
    </row>
    <row r="19" spans="1:183" s="134" customFormat="1" ht="36.75" customHeight="1">
      <c r="A19" s="132"/>
      <c r="B19" s="132"/>
      <c r="C19" s="13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3"/>
      <c r="DC19" s="123"/>
      <c r="DD19" s="123"/>
      <c r="DE19" s="129"/>
      <c r="DF19" s="129"/>
      <c r="DG19" s="129"/>
      <c r="DH19" s="129"/>
      <c r="DI19" s="129"/>
      <c r="DJ19" s="129"/>
      <c r="DK19" s="129"/>
      <c r="DL19" s="129"/>
      <c r="DM19" s="129"/>
      <c r="DN19" s="129"/>
      <c r="DO19" s="129"/>
      <c r="DP19" s="129"/>
      <c r="DQ19" s="129"/>
      <c r="DR19" s="129"/>
      <c r="DS19" s="129"/>
      <c r="DT19" s="129"/>
      <c r="DU19" s="129"/>
      <c r="DV19" s="129"/>
      <c r="DW19" s="129"/>
      <c r="DX19" s="129"/>
      <c r="DY19" s="129"/>
      <c r="DZ19" s="129"/>
      <c r="EA19" s="129"/>
      <c r="EB19" s="129"/>
      <c r="EC19" s="129"/>
      <c r="ED19" s="129"/>
      <c r="EE19" s="129"/>
      <c r="EF19" s="129"/>
      <c r="EG19" s="129"/>
      <c r="EH19" s="129"/>
      <c r="EI19" s="129"/>
      <c r="EJ19" s="129"/>
      <c r="EK19" s="129"/>
      <c r="EL19" s="129"/>
      <c r="EM19" s="129"/>
      <c r="EN19" s="129"/>
      <c r="EO19" s="129"/>
      <c r="EP19" s="129"/>
      <c r="EQ19" s="129"/>
      <c r="ER19" s="129"/>
      <c r="ES19" s="129"/>
      <c r="ET19" s="129"/>
      <c r="EU19" s="129"/>
      <c r="EV19" s="129"/>
      <c r="EW19" s="129"/>
      <c r="EX19" s="129"/>
      <c r="EY19" s="129"/>
      <c r="EZ19" s="129"/>
      <c r="FA19" s="129"/>
      <c r="FB19" s="129"/>
      <c r="FC19" s="129"/>
      <c r="FD19" s="129"/>
      <c r="FE19" s="129"/>
      <c r="FF19" s="129"/>
      <c r="FG19" s="129"/>
      <c r="FH19" s="129"/>
      <c r="FI19" s="129"/>
      <c r="FJ19" s="129"/>
      <c r="FK19" s="129"/>
      <c r="FL19" s="129"/>
      <c r="FM19" s="129"/>
      <c r="FN19" s="129"/>
      <c r="FO19" s="129"/>
      <c r="FP19" s="129"/>
      <c r="FQ19" s="129"/>
      <c r="FR19" s="129"/>
      <c r="FS19" s="129"/>
      <c r="FT19" s="129"/>
      <c r="FU19" s="129"/>
      <c r="FV19" s="132"/>
      <c r="FW19" s="132"/>
      <c r="FX19" s="132"/>
      <c r="FY19" s="132"/>
      <c r="FZ19" s="132"/>
      <c r="GA19" s="132"/>
    </row>
    <row r="20" spans="1:183" s="134" customFormat="1" ht="36.75" customHeight="1">
      <c r="A20" s="132"/>
      <c r="B20" s="132"/>
      <c r="C20" s="13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  <c r="CS20" s="129"/>
      <c r="CT20" s="129"/>
      <c r="CU20" s="129"/>
      <c r="CV20" s="129"/>
      <c r="CW20" s="129"/>
      <c r="CX20" s="129"/>
      <c r="CY20" s="129"/>
      <c r="CZ20" s="129"/>
      <c r="DA20" s="129"/>
      <c r="DB20" s="123"/>
      <c r="DC20" s="123"/>
      <c r="DD20" s="123"/>
      <c r="DE20" s="129"/>
      <c r="DF20" s="129"/>
      <c r="DG20" s="129"/>
      <c r="DH20" s="129"/>
      <c r="DI20" s="129"/>
      <c r="DJ20" s="129"/>
      <c r="DK20" s="129"/>
      <c r="DL20" s="129"/>
      <c r="DM20" s="129"/>
      <c r="DN20" s="129"/>
      <c r="DO20" s="129"/>
      <c r="DP20" s="129"/>
      <c r="DQ20" s="129"/>
      <c r="DR20" s="129"/>
      <c r="DS20" s="129"/>
      <c r="DT20" s="129"/>
      <c r="DU20" s="129"/>
      <c r="DV20" s="129"/>
      <c r="DW20" s="129"/>
      <c r="DX20" s="129"/>
      <c r="DY20" s="129"/>
      <c r="DZ20" s="129"/>
      <c r="EA20" s="129"/>
      <c r="EB20" s="129"/>
      <c r="EC20" s="129"/>
      <c r="ED20" s="129"/>
      <c r="EE20" s="129"/>
      <c r="EF20" s="129"/>
      <c r="EG20" s="129"/>
      <c r="EH20" s="129"/>
      <c r="EI20" s="129"/>
      <c r="EJ20" s="129"/>
      <c r="EK20" s="129"/>
      <c r="EL20" s="129"/>
      <c r="EM20" s="129"/>
      <c r="EN20" s="129"/>
      <c r="EO20" s="129"/>
      <c r="EP20" s="129"/>
      <c r="EQ20" s="129"/>
      <c r="ER20" s="129"/>
      <c r="ES20" s="129"/>
      <c r="ET20" s="129"/>
      <c r="EU20" s="129"/>
      <c r="EV20" s="129"/>
      <c r="EW20" s="129"/>
      <c r="EX20" s="129"/>
      <c r="EY20" s="129"/>
      <c r="EZ20" s="129"/>
      <c r="FA20" s="129"/>
      <c r="FB20" s="129"/>
      <c r="FC20" s="129"/>
      <c r="FD20" s="129"/>
      <c r="FE20" s="129"/>
      <c r="FF20" s="129"/>
      <c r="FG20" s="129"/>
      <c r="FH20" s="129"/>
      <c r="FI20" s="129"/>
      <c r="FJ20" s="129"/>
      <c r="FK20" s="129"/>
      <c r="FL20" s="129"/>
      <c r="FM20" s="129"/>
      <c r="FN20" s="129"/>
      <c r="FO20" s="129"/>
      <c r="FP20" s="129"/>
      <c r="FQ20" s="129"/>
      <c r="FR20" s="129"/>
      <c r="FS20" s="129"/>
      <c r="FT20" s="129"/>
      <c r="FU20" s="129"/>
      <c r="FV20" s="132"/>
      <c r="FW20" s="132"/>
      <c r="FX20" s="132"/>
      <c r="FY20" s="132"/>
      <c r="FZ20" s="132"/>
      <c r="GA20" s="132"/>
    </row>
    <row r="21" spans="1:183" s="134" customFormat="1" ht="36.75" customHeight="1">
      <c r="A21" s="132"/>
      <c r="B21" s="132"/>
      <c r="C21" s="13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29"/>
      <c r="DB21" s="123"/>
      <c r="DC21" s="123"/>
      <c r="DD21" s="123"/>
      <c r="DE21" s="129"/>
      <c r="DF21" s="129"/>
      <c r="DG21" s="129"/>
      <c r="DH21" s="129"/>
      <c r="DI21" s="129"/>
      <c r="DJ21" s="129"/>
      <c r="DK21" s="129"/>
      <c r="DL21" s="129"/>
      <c r="DM21" s="129"/>
      <c r="DN21" s="129"/>
      <c r="DO21" s="129"/>
      <c r="DP21" s="129"/>
      <c r="DQ21" s="129"/>
      <c r="DR21" s="129"/>
      <c r="DS21" s="129"/>
      <c r="DT21" s="129"/>
      <c r="DU21" s="129"/>
      <c r="DV21" s="129"/>
      <c r="DW21" s="129"/>
      <c r="DX21" s="129"/>
      <c r="DY21" s="129"/>
      <c r="DZ21" s="129"/>
      <c r="EA21" s="129"/>
      <c r="EB21" s="129"/>
      <c r="EC21" s="129"/>
      <c r="ED21" s="129"/>
      <c r="EE21" s="129"/>
      <c r="EF21" s="129"/>
      <c r="EG21" s="129"/>
      <c r="EH21" s="129"/>
      <c r="EI21" s="129"/>
      <c r="EJ21" s="129"/>
      <c r="EK21" s="129"/>
      <c r="EL21" s="129"/>
      <c r="EM21" s="129"/>
      <c r="EN21" s="129"/>
      <c r="EO21" s="129"/>
      <c r="EP21" s="129"/>
      <c r="EQ21" s="129"/>
      <c r="ER21" s="129"/>
      <c r="ES21" s="129"/>
      <c r="ET21" s="129"/>
      <c r="EU21" s="129"/>
      <c r="EV21" s="129"/>
      <c r="EW21" s="129"/>
      <c r="EX21" s="129"/>
      <c r="EY21" s="129"/>
      <c r="EZ21" s="129"/>
      <c r="FA21" s="129"/>
      <c r="FB21" s="129"/>
      <c r="FC21" s="129"/>
      <c r="FD21" s="129"/>
      <c r="FE21" s="129"/>
      <c r="FF21" s="129"/>
      <c r="FG21" s="129"/>
      <c r="FH21" s="129"/>
      <c r="FI21" s="129"/>
      <c r="FJ21" s="129"/>
      <c r="FK21" s="129"/>
      <c r="FL21" s="129"/>
      <c r="FM21" s="129"/>
      <c r="FN21" s="129"/>
      <c r="FO21" s="129"/>
      <c r="FP21" s="129"/>
      <c r="FQ21" s="129"/>
      <c r="FR21" s="129"/>
      <c r="FS21" s="129"/>
      <c r="FT21" s="129"/>
      <c r="FU21" s="129"/>
      <c r="FV21" s="132"/>
      <c r="FW21" s="132"/>
      <c r="FX21" s="132"/>
      <c r="FY21" s="132"/>
      <c r="FZ21" s="132"/>
      <c r="GA21" s="132"/>
    </row>
    <row r="22" spans="1:183" s="134" customFormat="1" ht="36.75" customHeight="1">
      <c r="A22" s="132"/>
      <c r="B22" s="132"/>
      <c r="C22" s="13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3"/>
      <c r="DC22" s="123"/>
      <c r="DD22" s="123"/>
      <c r="DE22" s="129"/>
      <c r="DF22" s="129"/>
      <c r="DG22" s="129"/>
      <c r="DH22" s="129"/>
      <c r="DI22" s="129"/>
      <c r="DJ22" s="129"/>
      <c r="DK22" s="129"/>
      <c r="DL22" s="129"/>
      <c r="DM22" s="129"/>
      <c r="DN22" s="129"/>
      <c r="DO22" s="129"/>
      <c r="DP22" s="129"/>
      <c r="DQ22" s="129"/>
      <c r="DR22" s="129"/>
      <c r="DS22" s="129"/>
      <c r="DT22" s="129"/>
      <c r="DU22" s="129"/>
      <c r="DV22" s="129"/>
      <c r="DW22" s="129"/>
      <c r="DX22" s="129"/>
      <c r="DY22" s="129"/>
      <c r="DZ22" s="129"/>
      <c r="EA22" s="129"/>
      <c r="EB22" s="129"/>
      <c r="EC22" s="129"/>
      <c r="ED22" s="129"/>
      <c r="EE22" s="129"/>
      <c r="EF22" s="129"/>
      <c r="EG22" s="129"/>
      <c r="EH22" s="129"/>
      <c r="EI22" s="129"/>
      <c r="EJ22" s="129"/>
      <c r="EK22" s="129"/>
      <c r="EL22" s="129"/>
      <c r="EM22" s="129"/>
      <c r="EN22" s="129"/>
      <c r="EO22" s="129"/>
      <c r="EP22" s="129"/>
      <c r="EQ22" s="129"/>
      <c r="ER22" s="129"/>
      <c r="ES22" s="129"/>
      <c r="ET22" s="129"/>
      <c r="EU22" s="129"/>
      <c r="EV22" s="129"/>
      <c r="EW22" s="129"/>
      <c r="EX22" s="129"/>
      <c r="EY22" s="129"/>
      <c r="EZ22" s="129"/>
      <c r="FA22" s="129"/>
      <c r="FB22" s="129"/>
      <c r="FC22" s="129"/>
      <c r="FD22" s="129"/>
      <c r="FE22" s="129"/>
      <c r="FF22" s="129"/>
      <c r="FG22" s="129"/>
      <c r="FH22" s="129"/>
      <c r="FI22" s="129"/>
      <c r="FJ22" s="129"/>
      <c r="FK22" s="129"/>
      <c r="FL22" s="129"/>
      <c r="FM22" s="129"/>
      <c r="FN22" s="129"/>
      <c r="FO22" s="129"/>
      <c r="FP22" s="129"/>
      <c r="FQ22" s="129"/>
      <c r="FR22" s="129"/>
      <c r="FS22" s="129"/>
      <c r="FT22" s="129"/>
      <c r="FU22" s="129"/>
      <c r="FV22" s="132"/>
      <c r="FW22" s="132"/>
      <c r="FX22" s="132"/>
      <c r="FY22" s="132"/>
      <c r="FZ22" s="132"/>
      <c r="GA22" s="132"/>
    </row>
    <row r="23" spans="1:183" s="134" customFormat="1" ht="36.75" customHeight="1">
      <c r="A23" s="132"/>
      <c r="B23" s="132"/>
      <c r="C23" s="13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3"/>
      <c r="DC23" s="123"/>
      <c r="DD23" s="123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32"/>
      <c r="FW23" s="132"/>
      <c r="FX23" s="132"/>
      <c r="FY23" s="132"/>
      <c r="FZ23" s="132"/>
      <c r="GA23" s="132"/>
    </row>
    <row r="24" spans="1:183" s="134" customFormat="1" ht="36.75" customHeight="1">
      <c r="A24" s="132"/>
      <c r="B24" s="132"/>
      <c r="C24" s="13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129"/>
      <c r="CY24" s="129"/>
      <c r="CZ24" s="129"/>
      <c r="DA24" s="129"/>
      <c r="DB24" s="123"/>
      <c r="DC24" s="123"/>
      <c r="DD24" s="123"/>
      <c r="DE24" s="129"/>
      <c r="DF24" s="129"/>
      <c r="DG24" s="129"/>
      <c r="DH24" s="129"/>
      <c r="DI24" s="129"/>
      <c r="DJ24" s="129"/>
      <c r="DK24" s="129"/>
      <c r="DL24" s="129"/>
      <c r="DM24" s="129"/>
      <c r="DN24" s="129"/>
      <c r="DO24" s="129"/>
      <c r="DP24" s="129"/>
      <c r="DQ24" s="129"/>
      <c r="DR24" s="129"/>
      <c r="DS24" s="129"/>
      <c r="DT24" s="129"/>
      <c r="DU24" s="129"/>
      <c r="DV24" s="129"/>
      <c r="DW24" s="129"/>
      <c r="DX24" s="129"/>
      <c r="DY24" s="129"/>
      <c r="DZ24" s="129"/>
      <c r="EA24" s="129"/>
      <c r="EB24" s="129"/>
      <c r="EC24" s="129"/>
      <c r="ED24" s="129"/>
      <c r="EE24" s="129"/>
      <c r="EF24" s="129"/>
      <c r="EG24" s="129"/>
      <c r="EH24" s="129"/>
      <c r="EI24" s="129"/>
      <c r="EJ24" s="129"/>
      <c r="EK24" s="129"/>
      <c r="EL24" s="129"/>
      <c r="EM24" s="129"/>
      <c r="EN24" s="129"/>
      <c r="EO24" s="129"/>
      <c r="EP24" s="129"/>
      <c r="EQ24" s="129"/>
      <c r="ER24" s="129"/>
      <c r="ES24" s="129"/>
      <c r="ET24" s="129"/>
      <c r="EU24" s="129"/>
      <c r="EV24" s="129"/>
      <c r="EW24" s="129"/>
      <c r="EX24" s="129"/>
      <c r="EY24" s="129"/>
      <c r="EZ24" s="129"/>
      <c r="FA24" s="129"/>
      <c r="FB24" s="129"/>
      <c r="FC24" s="129"/>
      <c r="FD24" s="129"/>
      <c r="FE24" s="129"/>
      <c r="FF24" s="129"/>
      <c r="FG24" s="129"/>
      <c r="FH24" s="129"/>
      <c r="FI24" s="129"/>
      <c r="FJ24" s="129"/>
      <c r="FK24" s="129"/>
      <c r="FL24" s="129"/>
      <c r="FM24" s="129"/>
      <c r="FN24" s="129"/>
      <c r="FO24" s="129"/>
      <c r="FP24" s="129"/>
      <c r="FQ24" s="129"/>
      <c r="FR24" s="129"/>
      <c r="FS24" s="129"/>
      <c r="FT24" s="129"/>
      <c r="FU24" s="129"/>
      <c r="FV24" s="132"/>
      <c r="FW24" s="132"/>
      <c r="FX24" s="132"/>
      <c r="FY24" s="132"/>
      <c r="FZ24" s="132"/>
      <c r="GA24" s="132"/>
    </row>
    <row r="25" spans="1:183" s="134" customFormat="1" ht="36.75" customHeight="1">
      <c r="A25" s="132"/>
      <c r="B25" s="132"/>
      <c r="C25" s="13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3"/>
      <c r="DC25" s="123"/>
      <c r="DD25" s="123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  <c r="EK25" s="129"/>
      <c r="EL25" s="129"/>
      <c r="EM25" s="129"/>
      <c r="EN25" s="129"/>
      <c r="EO25" s="129"/>
      <c r="EP25" s="129"/>
      <c r="EQ25" s="129"/>
      <c r="ER25" s="129"/>
      <c r="ES25" s="129"/>
      <c r="ET25" s="129"/>
      <c r="EU25" s="129"/>
      <c r="EV25" s="129"/>
      <c r="EW25" s="129"/>
      <c r="EX25" s="129"/>
      <c r="EY25" s="129"/>
      <c r="EZ25" s="129"/>
      <c r="FA25" s="129"/>
      <c r="FB25" s="129"/>
      <c r="FC25" s="129"/>
      <c r="FD25" s="129"/>
      <c r="FE25" s="129"/>
      <c r="FF25" s="129"/>
      <c r="FG25" s="129"/>
      <c r="FH25" s="129"/>
      <c r="FI25" s="129"/>
      <c r="FJ25" s="129"/>
      <c r="FK25" s="129"/>
      <c r="FL25" s="129"/>
      <c r="FM25" s="129"/>
      <c r="FN25" s="129"/>
      <c r="FO25" s="129"/>
      <c r="FP25" s="129"/>
      <c r="FQ25" s="129"/>
      <c r="FR25" s="129"/>
      <c r="FS25" s="129"/>
      <c r="FT25" s="129"/>
      <c r="FU25" s="129"/>
      <c r="FV25" s="132"/>
      <c r="FW25" s="132"/>
      <c r="FX25" s="132"/>
      <c r="FY25" s="132"/>
      <c r="FZ25" s="132"/>
      <c r="GA25" s="132"/>
    </row>
    <row r="26" spans="1:183" s="134" customFormat="1" ht="36.75" customHeight="1">
      <c r="A26" s="132"/>
      <c r="B26" s="132"/>
      <c r="C26" s="13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3"/>
      <c r="DC26" s="123"/>
      <c r="DD26" s="123"/>
      <c r="DE26" s="129"/>
      <c r="DF26" s="129"/>
      <c r="DG26" s="129"/>
      <c r="DH26" s="129"/>
      <c r="DI26" s="129"/>
      <c r="DJ26" s="129"/>
      <c r="DK26" s="129"/>
      <c r="DL26" s="129"/>
      <c r="DM26" s="129"/>
      <c r="DN26" s="129"/>
      <c r="DO26" s="129"/>
      <c r="DP26" s="129"/>
      <c r="DQ26" s="129"/>
      <c r="DR26" s="129"/>
      <c r="DS26" s="129"/>
      <c r="DT26" s="129"/>
      <c r="DU26" s="129"/>
      <c r="DV26" s="129"/>
      <c r="DW26" s="129"/>
      <c r="DX26" s="129"/>
      <c r="DY26" s="129"/>
      <c r="DZ26" s="129"/>
      <c r="EA26" s="129"/>
      <c r="EB26" s="129"/>
      <c r="EC26" s="129"/>
      <c r="ED26" s="129"/>
      <c r="EE26" s="129"/>
      <c r="EF26" s="129"/>
      <c r="EG26" s="129"/>
      <c r="EH26" s="129"/>
      <c r="EI26" s="129"/>
      <c r="EJ26" s="129"/>
      <c r="EK26" s="129"/>
      <c r="EL26" s="129"/>
      <c r="EM26" s="129"/>
      <c r="EN26" s="129"/>
      <c r="EO26" s="129"/>
      <c r="EP26" s="129"/>
      <c r="EQ26" s="129"/>
      <c r="ER26" s="129"/>
      <c r="ES26" s="129"/>
      <c r="ET26" s="129"/>
      <c r="EU26" s="129"/>
      <c r="EV26" s="129"/>
      <c r="EW26" s="129"/>
      <c r="EX26" s="129"/>
      <c r="EY26" s="129"/>
      <c r="EZ26" s="129"/>
      <c r="FA26" s="129"/>
      <c r="FB26" s="129"/>
      <c r="FC26" s="129"/>
      <c r="FD26" s="129"/>
      <c r="FE26" s="129"/>
      <c r="FF26" s="129"/>
      <c r="FG26" s="129"/>
      <c r="FH26" s="129"/>
      <c r="FI26" s="129"/>
      <c r="FJ26" s="129"/>
      <c r="FK26" s="129"/>
      <c r="FL26" s="129"/>
      <c r="FM26" s="129"/>
      <c r="FN26" s="129"/>
      <c r="FO26" s="129"/>
      <c r="FP26" s="129"/>
      <c r="FQ26" s="129"/>
      <c r="FR26" s="129"/>
      <c r="FS26" s="129"/>
      <c r="FT26" s="129"/>
      <c r="FU26" s="129"/>
      <c r="FV26" s="132"/>
      <c r="FW26" s="132"/>
      <c r="FX26" s="132"/>
      <c r="FY26" s="132"/>
      <c r="FZ26" s="132"/>
      <c r="GA26" s="132"/>
    </row>
    <row r="27" spans="1:183" s="134" customFormat="1" ht="36.75" customHeight="1">
      <c r="A27" s="132"/>
      <c r="B27" s="132"/>
      <c r="C27" s="13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3"/>
      <c r="DC27" s="123"/>
      <c r="DD27" s="123"/>
      <c r="DE27" s="129"/>
      <c r="DF27" s="129"/>
      <c r="DG27" s="129"/>
      <c r="DH27" s="129"/>
      <c r="DI27" s="129"/>
      <c r="DJ27" s="129"/>
      <c r="DK27" s="129"/>
      <c r="DL27" s="129"/>
      <c r="DM27" s="129"/>
      <c r="DN27" s="129"/>
      <c r="DO27" s="129"/>
      <c r="DP27" s="129"/>
      <c r="DQ27" s="129"/>
      <c r="DR27" s="129"/>
      <c r="DS27" s="129"/>
      <c r="DT27" s="129"/>
      <c r="DU27" s="129"/>
      <c r="DV27" s="129"/>
      <c r="DW27" s="129"/>
      <c r="DX27" s="129"/>
      <c r="DY27" s="129"/>
      <c r="DZ27" s="129"/>
      <c r="EA27" s="129"/>
      <c r="EB27" s="129"/>
      <c r="EC27" s="129"/>
      <c r="ED27" s="129"/>
      <c r="EE27" s="129"/>
      <c r="EF27" s="129"/>
      <c r="EG27" s="129"/>
      <c r="EH27" s="129"/>
      <c r="EI27" s="129"/>
      <c r="EJ27" s="129"/>
      <c r="EK27" s="129"/>
      <c r="EL27" s="129"/>
      <c r="EM27" s="129"/>
      <c r="EN27" s="129"/>
      <c r="EO27" s="129"/>
      <c r="EP27" s="129"/>
      <c r="EQ27" s="129"/>
      <c r="ER27" s="129"/>
      <c r="ES27" s="129"/>
      <c r="ET27" s="129"/>
      <c r="EU27" s="129"/>
      <c r="EV27" s="129"/>
      <c r="EW27" s="129"/>
      <c r="EX27" s="129"/>
      <c r="EY27" s="129"/>
      <c r="EZ27" s="129"/>
      <c r="FA27" s="129"/>
      <c r="FB27" s="129"/>
      <c r="FC27" s="129"/>
      <c r="FD27" s="129"/>
      <c r="FE27" s="129"/>
      <c r="FF27" s="129"/>
      <c r="FG27" s="129"/>
      <c r="FH27" s="129"/>
      <c r="FI27" s="129"/>
      <c r="FJ27" s="129"/>
      <c r="FK27" s="129"/>
      <c r="FL27" s="129"/>
      <c r="FM27" s="129"/>
      <c r="FN27" s="129"/>
      <c r="FO27" s="129"/>
      <c r="FP27" s="129"/>
      <c r="FQ27" s="129"/>
      <c r="FR27" s="129"/>
      <c r="FS27" s="129"/>
      <c r="FT27" s="129"/>
      <c r="FU27" s="129"/>
      <c r="FV27" s="132"/>
      <c r="FW27" s="132"/>
      <c r="FX27" s="132"/>
      <c r="FY27" s="132"/>
      <c r="FZ27" s="132"/>
      <c r="GA27" s="132"/>
    </row>
    <row r="28" spans="1:183" s="134" customFormat="1" ht="36.75" customHeight="1">
      <c r="A28" s="132"/>
      <c r="B28" s="132"/>
      <c r="C28" s="13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3"/>
      <c r="DC28" s="123"/>
      <c r="DD28" s="123"/>
      <c r="DE28" s="129"/>
      <c r="DF28" s="129"/>
      <c r="DG28" s="129"/>
      <c r="DH28" s="129"/>
      <c r="DI28" s="129"/>
      <c r="DJ28" s="129"/>
      <c r="DK28" s="129"/>
      <c r="DL28" s="129"/>
      <c r="DM28" s="129"/>
      <c r="DN28" s="129"/>
      <c r="DO28" s="129"/>
      <c r="DP28" s="129"/>
      <c r="DQ28" s="129"/>
      <c r="DR28" s="129"/>
      <c r="DS28" s="129"/>
      <c r="DT28" s="129"/>
      <c r="DU28" s="129"/>
      <c r="DV28" s="129"/>
      <c r="DW28" s="129"/>
      <c r="DX28" s="129"/>
      <c r="DY28" s="129"/>
      <c r="DZ28" s="129"/>
      <c r="EA28" s="129"/>
      <c r="EB28" s="129"/>
      <c r="EC28" s="129"/>
      <c r="ED28" s="129"/>
      <c r="EE28" s="129"/>
      <c r="EF28" s="129"/>
      <c r="EG28" s="129"/>
      <c r="EH28" s="129"/>
      <c r="EI28" s="129"/>
      <c r="EJ28" s="129"/>
      <c r="EK28" s="129"/>
      <c r="EL28" s="129"/>
      <c r="EM28" s="129"/>
      <c r="EN28" s="129"/>
      <c r="EO28" s="129"/>
      <c r="EP28" s="129"/>
      <c r="EQ28" s="129"/>
      <c r="ER28" s="129"/>
      <c r="ES28" s="129"/>
      <c r="ET28" s="129"/>
      <c r="EU28" s="129"/>
      <c r="EV28" s="129"/>
      <c r="EW28" s="129"/>
      <c r="EX28" s="129"/>
      <c r="EY28" s="129"/>
      <c r="EZ28" s="129"/>
      <c r="FA28" s="129"/>
      <c r="FB28" s="129"/>
      <c r="FC28" s="129"/>
      <c r="FD28" s="129"/>
      <c r="FE28" s="129"/>
      <c r="FF28" s="129"/>
      <c r="FG28" s="129"/>
      <c r="FH28" s="129"/>
      <c r="FI28" s="129"/>
      <c r="FJ28" s="129"/>
      <c r="FK28" s="129"/>
      <c r="FL28" s="129"/>
      <c r="FM28" s="129"/>
      <c r="FN28" s="129"/>
      <c r="FO28" s="129"/>
      <c r="FP28" s="129"/>
      <c r="FQ28" s="129"/>
      <c r="FR28" s="129"/>
      <c r="FS28" s="129"/>
      <c r="FT28" s="129"/>
      <c r="FU28" s="129"/>
      <c r="FV28" s="132"/>
      <c r="FW28" s="132"/>
      <c r="FX28" s="132"/>
      <c r="FY28" s="132"/>
      <c r="FZ28" s="132"/>
      <c r="GA28" s="132"/>
    </row>
    <row r="29" spans="1:183" s="134" customFormat="1" ht="36.75" customHeight="1">
      <c r="A29" s="132"/>
      <c r="B29" s="132"/>
      <c r="C29" s="13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3"/>
      <c r="DC29" s="123"/>
      <c r="DD29" s="123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  <c r="DQ29" s="129"/>
      <c r="DR29" s="129"/>
      <c r="DS29" s="129"/>
      <c r="DT29" s="129"/>
      <c r="DU29" s="129"/>
      <c r="DV29" s="129"/>
      <c r="DW29" s="129"/>
      <c r="DX29" s="129"/>
      <c r="DY29" s="129"/>
      <c r="DZ29" s="129"/>
      <c r="EA29" s="129"/>
      <c r="EB29" s="129"/>
      <c r="EC29" s="129"/>
      <c r="ED29" s="129"/>
      <c r="EE29" s="129"/>
      <c r="EF29" s="129"/>
      <c r="EG29" s="129"/>
      <c r="EH29" s="129"/>
      <c r="EI29" s="129"/>
      <c r="EJ29" s="129"/>
      <c r="EK29" s="129"/>
      <c r="EL29" s="129"/>
      <c r="EM29" s="129"/>
      <c r="EN29" s="129"/>
      <c r="EO29" s="129"/>
      <c r="EP29" s="129"/>
      <c r="EQ29" s="129"/>
      <c r="ER29" s="129"/>
      <c r="ES29" s="129"/>
      <c r="ET29" s="129"/>
      <c r="EU29" s="129"/>
      <c r="EV29" s="129"/>
      <c r="EW29" s="129"/>
      <c r="EX29" s="129"/>
      <c r="EY29" s="129"/>
      <c r="EZ29" s="129"/>
      <c r="FA29" s="129"/>
      <c r="FB29" s="129"/>
      <c r="FC29" s="129"/>
      <c r="FD29" s="129"/>
      <c r="FE29" s="129"/>
      <c r="FF29" s="129"/>
      <c r="FG29" s="129"/>
      <c r="FH29" s="129"/>
      <c r="FI29" s="129"/>
      <c r="FJ29" s="129"/>
      <c r="FK29" s="129"/>
      <c r="FL29" s="129"/>
      <c r="FM29" s="129"/>
      <c r="FN29" s="129"/>
      <c r="FO29" s="129"/>
      <c r="FP29" s="129"/>
      <c r="FQ29" s="129"/>
      <c r="FR29" s="129"/>
      <c r="FS29" s="129"/>
      <c r="FT29" s="129"/>
      <c r="FU29" s="129"/>
      <c r="FV29" s="132"/>
      <c r="FW29" s="132"/>
      <c r="FX29" s="132"/>
      <c r="FY29" s="132"/>
      <c r="FZ29" s="132"/>
      <c r="GA29" s="132"/>
    </row>
  </sheetData>
  <mergeCells count="308">
    <mergeCell ref="EO1:EQ1"/>
    <mergeCell ref="FS1:FU1"/>
    <mergeCell ref="FP1:FR1"/>
    <mergeCell ref="FG1:FI1"/>
    <mergeCell ref="FD2:FF2"/>
    <mergeCell ref="FJ2:FL2"/>
    <mergeCell ref="FP2:FR2"/>
    <mergeCell ref="FG2:FI2"/>
    <mergeCell ref="EU1:EW1"/>
    <mergeCell ref="ER4:ET4"/>
    <mergeCell ref="FM2:FO2"/>
    <mergeCell ref="FS2:FU2"/>
    <mergeCell ref="FV2:FX2"/>
    <mergeCell ref="FJ1:FL1"/>
    <mergeCell ref="FM1:FO1"/>
    <mergeCell ref="FV1:FX1"/>
    <mergeCell ref="EU3:EW3"/>
    <mergeCell ref="EL16:EN16"/>
    <mergeCell ref="EO16:EQ16"/>
    <mergeCell ref="EU2:EW2"/>
    <mergeCell ref="FS3:FU3"/>
    <mergeCell ref="FV3:FX3"/>
    <mergeCell ref="DB4:DD4"/>
    <mergeCell ref="EO2:EQ2"/>
    <mergeCell ref="EO3:EQ3"/>
    <mergeCell ref="FA4:FC4"/>
    <mergeCell ref="FP4:FR4"/>
    <mergeCell ref="FP16:FR16"/>
    <mergeCell ref="FA16:FC16"/>
    <mergeCell ref="FG16:FI16"/>
    <mergeCell ref="FJ16:FL16"/>
    <mergeCell ref="FD16:FF16"/>
    <mergeCell ref="FD4:FF4"/>
    <mergeCell ref="FJ4:FL4"/>
    <mergeCell ref="CG16:CI16"/>
    <mergeCell ref="CG4:CI4"/>
    <mergeCell ref="BL4:BN4"/>
    <mergeCell ref="BU16:BW16"/>
    <mergeCell ref="BO16:BQ16"/>
    <mergeCell ref="BX4:BZ4"/>
    <mergeCell ref="BX16:BZ16"/>
    <mergeCell ref="BR4:BT4"/>
    <mergeCell ref="BR16:BT16"/>
    <mergeCell ref="ER16:ET16"/>
    <mergeCell ref="FY1:GA1"/>
    <mergeCell ref="FY2:GA2"/>
    <mergeCell ref="FY3:GA3"/>
    <mergeCell ref="FS16:FU16"/>
    <mergeCell ref="FV16:FX16"/>
    <mergeCell ref="FY4:GA4"/>
    <mergeCell ref="FY16:GA16"/>
    <mergeCell ref="FS4:FU4"/>
    <mergeCell ref="FV4:FX4"/>
    <mergeCell ref="AK16:AM16"/>
    <mergeCell ref="AN16:AP16"/>
    <mergeCell ref="AQ16:AS16"/>
    <mergeCell ref="AZ16:BB16"/>
    <mergeCell ref="AW16:AY16"/>
    <mergeCell ref="AT16:AV16"/>
    <mergeCell ref="BL1:BN1"/>
    <mergeCell ref="BL2:BN2"/>
    <mergeCell ref="BR1:BT1"/>
    <mergeCell ref="BR2:BT2"/>
    <mergeCell ref="BF1:BH1"/>
    <mergeCell ref="AN1:AP1"/>
    <mergeCell ref="AQ1:AS1"/>
    <mergeCell ref="AZ1:BB1"/>
    <mergeCell ref="BC1:BE1"/>
    <mergeCell ref="Y16:AA16"/>
    <mergeCell ref="AB16:AD16"/>
    <mergeCell ref="BF16:BH16"/>
    <mergeCell ref="BC2:BE2"/>
    <mergeCell ref="AZ3:BB3"/>
    <mergeCell ref="AK4:AM4"/>
    <mergeCell ref="AN4:AP4"/>
    <mergeCell ref="BC16:BE16"/>
    <mergeCell ref="AQ4:AS4"/>
    <mergeCell ref="AZ4:BB4"/>
    <mergeCell ref="AK1:AM1"/>
    <mergeCell ref="AB1:AD1"/>
    <mergeCell ref="V2:X2"/>
    <mergeCell ref="Y2:AA2"/>
    <mergeCell ref="Y3:AA3"/>
    <mergeCell ref="AB3:AD3"/>
    <mergeCell ref="BI1:BK1"/>
    <mergeCell ref="AQ2:AS2"/>
    <mergeCell ref="AZ2:BB2"/>
    <mergeCell ref="BI4:BK4"/>
    <mergeCell ref="AT1:AV1"/>
    <mergeCell ref="BF2:BH2"/>
    <mergeCell ref="BC3:BE3"/>
    <mergeCell ref="BF3:BH3"/>
    <mergeCell ref="BC4:BE4"/>
    <mergeCell ref="AQ3:AS3"/>
    <mergeCell ref="AE2:AG2"/>
    <mergeCell ref="AE3:AG3"/>
    <mergeCell ref="AB2:AD2"/>
    <mergeCell ref="AH1:AJ1"/>
    <mergeCell ref="AH2:AJ2"/>
    <mergeCell ref="AH3:AJ3"/>
    <mergeCell ref="AE1:AG1"/>
    <mergeCell ref="AK2:AM2"/>
    <mergeCell ref="BO2:BQ2"/>
    <mergeCell ref="AW4:AY4"/>
    <mergeCell ref="AT2:AV2"/>
    <mergeCell ref="AT3:AV3"/>
    <mergeCell ref="AT4:AV4"/>
    <mergeCell ref="AN2:AP2"/>
    <mergeCell ref="BL3:BN3"/>
    <mergeCell ref="AK3:AM3"/>
    <mergeCell ref="AN3:AP3"/>
    <mergeCell ref="V16:X16"/>
    <mergeCell ref="BR3:BT3"/>
    <mergeCell ref="BF4:BH4"/>
    <mergeCell ref="BO3:BQ3"/>
    <mergeCell ref="BI3:BK3"/>
    <mergeCell ref="AH4:AJ4"/>
    <mergeCell ref="AE16:AG16"/>
    <mergeCell ref="V4:X4"/>
    <mergeCell ref="AE4:AG4"/>
    <mergeCell ref="AB4:AD4"/>
    <mergeCell ref="Y4:AA4"/>
    <mergeCell ref="V1:X1"/>
    <mergeCell ref="Y1:AA1"/>
    <mergeCell ref="S1:U1"/>
    <mergeCell ref="S2:U2"/>
    <mergeCell ref="S3:U3"/>
    <mergeCell ref="S4:U4"/>
    <mergeCell ref="V3:X3"/>
    <mergeCell ref="CP16:CR16"/>
    <mergeCell ref="BU1:BW1"/>
    <mergeCell ref="BU2:BW2"/>
    <mergeCell ref="BU3:BW3"/>
    <mergeCell ref="BU4:BW4"/>
    <mergeCell ref="CJ1:CL1"/>
    <mergeCell ref="CD1:CF1"/>
    <mergeCell ref="CG1:CI1"/>
    <mergeCell ref="CA1:CC1"/>
    <mergeCell ref="CD16:CF16"/>
    <mergeCell ref="G16:I16"/>
    <mergeCell ref="M16:O16"/>
    <mergeCell ref="G3:I3"/>
    <mergeCell ref="M3:O3"/>
    <mergeCell ref="G4:I4"/>
    <mergeCell ref="AH16:AJ16"/>
    <mergeCell ref="M4:O4"/>
    <mergeCell ref="P3:R3"/>
    <mergeCell ref="P4:R4"/>
    <mergeCell ref="S16:U16"/>
    <mergeCell ref="A12:A13"/>
    <mergeCell ref="A8:A11"/>
    <mergeCell ref="J2:L2"/>
    <mergeCell ref="J3:L3"/>
    <mergeCell ref="A1:A6"/>
    <mergeCell ref="B1:C1"/>
    <mergeCell ref="G1:I1"/>
    <mergeCell ref="G2:I2"/>
    <mergeCell ref="B5:B6"/>
    <mergeCell ref="C5:C6"/>
    <mergeCell ref="CA4:CC4"/>
    <mergeCell ref="CY16:DA16"/>
    <mergeCell ref="CY2:DA2"/>
    <mergeCell ref="CS16:CU16"/>
    <mergeCell ref="CA16:CC16"/>
    <mergeCell ref="CG3:CI3"/>
    <mergeCell ref="P16:R16"/>
    <mergeCell ref="J4:L4"/>
    <mergeCell ref="CD2:CF2"/>
    <mergeCell ref="CP1:CR1"/>
    <mergeCell ref="CP2:CR2"/>
    <mergeCell ref="B2:C2"/>
    <mergeCell ref="B3:B4"/>
    <mergeCell ref="J1:L1"/>
    <mergeCell ref="M1:O1"/>
    <mergeCell ref="M2:O2"/>
    <mergeCell ref="P1:R1"/>
    <mergeCell ref="BX2:BZ2"/>
    <mergeCell ref="BO1:BQ1"/>
    <mergeCell ref="CS1:CU1"/>
    <mergeCell ref="CS2:CU2"/>
    <mergeCell ref="CS3:CU3"/>
    <mergeCell ref="CS4:CU4"/>
    <mergeCell ref="DE1:DG1"/>
    <mergeCell ref="DE3:DG3"/>
    <mergeCell ref="DB2:DD2"/>
    <mergeCell ref="CY1:DA1"/>
    <mergeCell ref="DB3:DD3"/>
    <mergeCell ref="EF1:EH1"/>
    <mergeCell ref="EF2:EH2"/>
    <mergeCell ref="EF3:EH3"/>
    <mergeCell ref="DZ4:EB4"/>
    <mergeCell ref="EF4:EH4"/>
    <mergeCell ref="EC1:EE1"/>
    <mergeCell ref="EL2:EN2"/>
    <mergeCell ref="DW1:DY1"/>
    <mergeCell ref="DW2:DY2"/>
    <mergeCell ref="DW3:DY3"/>
    <mergeCell ref="FD1:FF1"/>
    <mergeCell ref="DZ1:EB1"/>
    <mergeCell ref="DZ2:EB2"/>
    <mergeCell ref="DZ3:EB3"/>
    <mergeCell ref="ER1:ET1"/>
    <mergeCell ref="ER2:ET2"/>
    <mergeCell ref="FP3:FR3"/>
    <mergeCell ref="FG3:FI3"/>
    <mergeCell ref="FJ3:FL3"/>
    <mergeCell ref="FD3:FF3"/>
    <mergeCell ref="FM3:FO3"/>
    <mergeCell ref="EI3:EK3"/>
    <mergeCell ref="EL3:EN3"/>
    <mergeCell ref="ER3:ET3"/>
    <mergeCell ref="BL16:BN16"/>
    <mergeCell ref="DB1:DD1"/>
    <mergeCell ref="FG4:FI4"/>
    <mergeCell ref="DT1:DV1"/>
    <mergeCell ref="EO4:EQ4"/>
    <mergeCell ref="DH1:DJ1"/>
    <mergeCell ref="DH2:DJ2"/>
    <mergeCell ref="DE2:DG2"/>
    <mergeCell ref="EC3:EE3"/>
    <mergeCell ref="EL1:EN1"/>
    <mergeCell ref="CJ16:CL16"/>
    <mergeCell ref="BI16:BK16"/>
    <mergeCell ref="EC2:EE2"/>
    <mergeCell ref="CY3:DA3"/>
    <mergeCell ref="CY4:DA4"/>
    <mergeCell ref="DE4:DG4"/>
    <mergeCell ref="CP4:CR4"/>
    <mergeCell ref="CA3:CC3"/>
    <mergeCell ref="BI2:BK2"/>
    <mergeCell ref="BO4:BQ4"/>
    <mergeCell ref="CM1:CO1"/>
    <mergeCell ref="CM2:CO2"/>
    <mergeCell ref="CM3:CO3"/>
    <mergeCell ref="BX3:BZ3"/>
    <mergeCell ref="CG2:CI2"/>
    <mergeCell ref="CJ2:CL2"/>
    <mergeCell ref="CD3:CF3"/>
    <mergeCell ref="BX1:BZ1"/>
    <mergeCell ref="CA2:CC2"/>
    <mergeCell ref="CM4:CO4"/>
    <mergeCell ref="CM16:CO16"/>
    <mergeCell ref="DK16:DM16"/>
    <mergeCell ref="EI1:EK1"/>
    <mergeCell ref="EI2:EK2"/>
    <mergeCell ref="EI4:EK4"/>
    <mergeCell ref="DK1:DM1"/>
    <mergeCell ref="DK2:DM2"/>
    <mergeCell ref="DK3:DM3"/>
    <mergeCell ref="DK4:DM4"/>
    <mergeCell ref="D1:F1"/>
    <mergeCell ref="D2:F2"/>
    <mergeCell ref="D3:F3"/>
    <mergeCell ref="D4:F4"/>
    <mergeCell ref="D16:F16"/>
    <mergeCell ref="AW1:AY1"/>
    <mergeCell ref="AW2:AY2"/>
    <mergeCell ref="AW3:AY3"/>
    <mergeCell ref="J16:L16"/>
    <mergeCell ref="P2:R2"/>
    <mergeCell ref="CV1:CX1"/>
    <mergeCell ref="CV2:CX2"/>
    <mergeCell ref="CV3:CX3"/>
    <mergeCell ref="CV4:CX4"/>
    <mergeCell ref="EC16:EE16"/>
    <mergeCell ref="EC4:EE4"/>
    <mergeCell ref="DT2:DV2"/>
    <mergeCell ref="DW4:DY4"/>
    <mergeCell ref="CV16:CX16"/>
    <mergeCell ref="CJ3:CL3"/>
    <mergeCell ref="CD4:CF4"/>
    <mergeCell ref="DH3:DJ3"/>
    <mergeCell ref="DH4:DJ4"/>
    <mergeCell ref="DH16:DJ16"/>
    <mergeCell ref="DE16:DG16"/>
    <mergeCell ref="DB16:DD16"/>
    <mergeCell ref="CJ4:CL4"/>
    <mergeCell ref="CP3:CR3"/>
    <mergeCell ref="DQ3:DS3"/>
    <mergeCell ref="DQ4:DS4"/>
    <mergeCell ref="DQ16:DS16"/>
    <mergeCell ref="DN1:DP1"/>
    <mergeCell ref="DN2:DP2"/>
    <mergeCell ref="DN3:DP3"/>
    <mergeCell ref="DN4:DP4"/>
    <mergeCell ref="DN16:DP16"/>
    <mergeCell ref="DQ1:DS1"/>
    <mergeCell ref="DQ2:DS2"/>
    <mergeCell ref="FM4:FO4"/>
    <mergeCell ref="FM16:FO16"/>
    <mergeCell ref="EX1:EZ1"/>
    <mergeCell ref="EX2:EZ2"/>
    <mergeCell ref="EX3:EZ3"/>
    <mergeCell ref="EX4:EZ4"/>
    <mergeCell ref="FA1:FC1"/>
    <mergeCell ref="FA2:FC2"/>
    <mergeCell ref="FA3:FC3"/>
    <mergeCell ref="EX16:EZ16"/>
    <mergeCell ref="DZ16:EB16"/>
    <mergeCell ref="DT3:DV3"/>
    <mergeCell ref="EI16:EK16"/>
    <mergeCell ref="EU16:EW16"/>
    <mergeCell ref="EF16:EH16"/>
    <mergeCell ref="DT16:DV16"/>
    <mergeCell ref="DW16:DY16"/>
    <mergeCell ref="DT4:DV4"/>
    <mergeCell ref="EL4:EN4"/>
    <mergeCell ref="EU4:EW4"/>
  </mergeCells>
  <phoneticPr fontId="30" type="noConversion"/>
  <printOptions horizontalCentered="1"/>
  <pageMargins left="0.86614173228346458" right="0.86614173228346458" top="2.6771653543307088" bottom="2.0078740157480315" header="2.2440944881889764" footer="0.51181102362204722"/>
  <pageSetup paperSize="8" scale="78" orientation="landscape" r:id="rId1"/>
  <headerFooter alignWithMargins="0">
    <oddHeader>&amp;C&amp;"黑体,常规"&amp;18附表1-&amp;P   苏里格气田西一区新增探明储量区块上古生界层组划分数据表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W82"/>
  <sheetViews>
    <sheetView zoomScale="70" zoomScaleNormal="85" zoomScaleSheetLayoutView="70" workbookViewId="0">
      <pane xSplit="5" ySplit="3" topLeftCell="F67" activePane="bottomRight" state="frozen"/>
      <selection activeCell="J22" sqref="J22"/>
      <selection pane="topRight" activeCell="J22" sqref="J22"/>
      <selection pane="bottomLeft" activeCell="J22" sqref="J22"/>
      <selection pane="bottomRight" activeCell="H21" sqref="H21"/>
    </sheetView>
  </sheetViews>
  <sheetFormatPr defaultRowHeight="13.5"/>
  <cols>
    <col min="1" max="1" width="7" style="155" customWidth="1"/>
    <col min="2" max="2" width="14" style="155" customWidth="1"/>
    <col min="3" max="3" width="6.875" style="155" hidden="1" customWidth="1"/>
    <col min="4" max="4" width="8.125" style="155" hidden="1" customWidth="1"/>
    <col min="5" max="5" width="16.5" style="223" customWidth="1"/>
    <col min="6" max="6" width="10.375" style="224" customWidth="1"/>
    <col min="7" max="7" width="9.625" style="155" customWidth="1"/>
    <col min="8" max="8" width="23" style="155" customWidth="1"/>
    <col min="9" max="9" width="7.875" style="155" customWidth="1"/>
    <col min="10" max="11" width="7" style="225" customWidth="1"/>
    <col min="12" max="12" width="8.625" style="226" customWidth="1"/>
    <col min="13" max="13" width="8.875" style="226" customWidth="1"/>
    <col min="14" max="14" width="7" style="155" customWidth="1"/>
    <col min="15" max="15" width="8" style="227" customWidth="1"/>
    <col min="16" max="16" width="6.375" style="225" customWidth="1"/>
    <col min="17" max="17" width="5.875" style="155" customWidth="1"/>
    <col min="18" max="18" width="9.25" style="228" customWidth="1"/>
    <col min="19" max="19" width="7.125" style="225" customWidth="1"/>
    <col min="20" max="20" width="8" style="227" customWidth="1"/>
    <col min="21" max="21" width="8.25" style="155" customWidth="1"/>
    <col min="22" max="22" width="8" style="225" customWidth="1"/>
    <col min="23" max="23" width="7.125" style="227" customWidth="1"/>
    <col min="24" max="24" width="7.625" style="229" customWidth="1"/>
    <col min="25" max="25" width="8.875" style="223" customWidth="1"/>
    <col min="26" max="26" width="6.25" style="227" customWidth="1"/>
    <col min="27" max="27" width="10" style="155" customWidth="1"/>
    <col min="28" max="28" width="18.375" style="155" customWidth="1"/>
    <col min="29" max="16384" width="9" style="155"/>
  </cols>
  <sheetData>
    <row r="1" spans="1:29" s="140" customFormat="1" ht="36" customHeight="1">
      <c r="A1" s="307" t="s">
        <v>97</v>
      </c>
      <c r="B1" s="307" t="s">
        <v>98</v>
      </c>
      <c r="C1" s="307" t="s">
        <v>99</v>
      </c>
      <c r="D1" s="313" t="s">
        <v>100</v>
      </c>
      <c r="E1" s="321" t="s">
        <v>101</v>
      </c>
      <c r="F1" s="314" t="s">
        <v>343</v>
      </c>
      <c r="G1" s="314" t="s">
        <v>102</v>
      </c>
      <c r="H1" s="307" t="s">
        <v>103</v>
      </c>
      <c r="I1" s="307" t="s">
        <v>104</v>
      </c>
      <c r="J1" s="323" t="s">
        <v>105</v>
      </c>
      <c r="K1" s="310" t="s">
        <v>106</v>
      </c>
      <c r="L1" s="310"/>
      <c r="M1" s="310"/>
      <c r="N1" s="310"/>
      <c r="O1" s="307" t="s">
        <v>344</v>
      </c>
      <c r="P1" s="307"/>
      <c r="Q1" s="310"/>
      <c r="R1" s="307" t="s">
        <v>345</v>
      </c>
      <c r="S1" s="307"/>
      <c r="T1" s="310"/>
      <c r="U1" s="314" t="s">
        <v>107</v>
      </c>
      <c r="V1" s="307" t="s">
        <v>108</v>
      </c>
      <c r="W1" s="307"/>
      <c r="X1" s="307"/>
      <c r="Y1" s="309" t="s">
        <v>109</v>
      </c>
      <c r="Z1" s="307" t="s">
        <v>110</v>
      </c>
      <c r="AA1" s="307"/>
      <c r="AB1" s="307" t="s">
        <v>111</v>
      </c>
    </row>
    <row r="2" spans="1:29" s="140" customFormat="1" ht="28.5" customHeight="1">
      <c r="A2" s="307"/>
      <c r="B2" s="307"/>
      <c r="C2" s="307"/>
      <c r="D2" s="307"/>
      <c r="E2" s="322"/>
      <c r="F2" s="315"/>
      <c r="G2" s="315"/>
      <c r="H2" s="307"/>
      <c r="I2" s="316"/>
      <c r="J2" s="323"/>
      <c r="K2" s="310" t="s">
        <v>112</v>
      </c>
      <c r="L2" s="310" t="s">
        <v>113</v>
      </c>
      <c r="M2" s="309" t="s">
        <v>114</v>
      </c>
      <c r="N2" s="311" t="s">
        <v>115</v>
      </c>
      <c r="O2" s="307" t="s">
        <v>116</v>
      </c>
      <c r="P2" s="312" t="s">
        <v>117</v>
      </c>
      <c r="Q2" s="310" t="s">
        <v>118</v>
      </c>
      <c r="R2" s="307" t="s">
        <v>116</v>
      </c>
      <c r="S2" s="312" t="s">
        <v>117</v>
      </c>
      <c r="T2" s="310" t="s">
        <v>118</v>
      </c>
      <c r="U2" s="317"/>
      <c r="V2" s="141" t="s">
        <v>119</v>
      </c>
      <c r="W2" s="308" t="s">
        <v>120</v>
      </c>
      <c r="X2" s="307" t="s">
        <v>121</v>
      </c>
      <c r="Y2" s="309"/>
      <c r="Z2" s="139" t="s">
        <v>122</v>
      </c>
      <c r="AA2" s="320" t="s">
        <v>123</v>
      </c>
      <c r="AB2" s="307"/>
    </row>
    <row r="3" spans="1:29" s="140" customFormat="1" ht="24" customHeight="1">
      <c r="A3" s="307"/>
      <c r="B3" s="307"/>
      <c r="C3" s="307"/>
      <c r="D3" s="307"/>
      <c r="E3" s="322"/>
      <c r="F3" s="142" t="s">
        <v>124</v>
      </c>
      <c r="G3" s="142" t="s">
        <v>124</v>
      </c>
      <c r="H3" s="307"/>
      <c r="I3" s="316"/>
      <c r="J3" s="323"/>
      <c r="K3" s="310"/>
      <c r="L3" s="310"/>
      <c r="M3" s="309"/>
      <c r="N3" s="311"/>
      <c r="O3" s="307"/>
      <c r="P3" s="312"/>
      <c r="Q3" s="310"/>
      <c r="R3" s="307"/>
      <c r="S3" s="312"/>
      <c r="T3" s="310"/>
      <c r="U3" s="143" t="s">
        <v>346</v>
      </c>
      <c r="V3" s="144" t="s">
        <v>124</v>
      </c>
      <c r="W3" s="308"/>
      <c r="X3" s="307"/>
      <c r="Y3" s="309"/>
      <c r="Z3" s="145" t="s">
        <v>126</v>
      </c>
      <c r="AA3" s="320"/>
      <c r="AB3" s="307"/>
    </row>
    <row r="4" spans="1:29" ht="30" customHeight="1">
      <c r="A4" s="318" t="s">
        <v>600</v>
      </c>
      <c r="B4" s="146" t="s">
        <v>347</v>
      </c>
      <c r="C4" s="147" t="s">
        <v>348</v>
      </c>
      <c r="D4" s="146"/>
      <c r="E4" s="147"/>
      <c r="F4" s="148" t="s">
        <v>349</v>
      </c>
      <c r="G4" s="149" t="s">
        <v>350</v>
      </c>
      <c r="H4" s="146" t="s">
        <v>351</v>
      </c>
      <c r="I4" s="146" t="s">
        <v>352</v>
      </c>
      <c r="J4" s="146" t="s">
        <v>353</v>
      </c>
      <c r="K4" s="148">
        <v>11.1</v>
      </c>
      <c r="L4" s="148">
        <v>8.4</v>
      </c>
      <c r="M4" s="150">
        <v>20.5792</v>
      </c>
      <c r="N4" s="150">
        <v>15.049899999999999</v>
      </c>
      <c r="O4" s="146"/>
      <c r="P4" s="146">
        <v>18304</v>
      </c>
      <c r="Q4" s="151"/>
      <c r="R4" s="146"/>
      <c r="S4" s="152">
        <v>50701</v>
      </c>
      <c r="T4" s="148"/>
      <c r="U4" s="146">
        <v>28746</v>
      </c>
      <c r="V4" s="146"/>
      <c r="W4" s="148"/>
      <c r="X4" s="146"/>
      <c r="Y4" s="150">
        <v>0.56100000000000005</v>
      </c>
      <c r="Z4" s="153"/>
      <c r="AA4" s="154"/>
      <c r="AB4" s="147" t="s">
        <v>354</v>
      </c>
      <c r="AC4" s="147"/>
    </row>
    <row r="5" spans="1:29" s="161" customFormat="1" ht="30" customHeight="1">
      <c r="A5" s="319"/>
      <c r="B5" s="127" t="s">
        <v>355</v>
      </c>
      <c r="C5" s="156" t="s">
        <v>348</v>
      </c>
      <c r="D5" s="156"/>
      <c r="E5" s="156"/>
      <c r="F5" s="151" t="s">
        <v>356</v>
      </c>
      <c r="G5" s="157" t="s">
        <v>357</v>
      </c>
      <c r="H5" s="127" t="s">
        <v>351</v>
      </c>
      <c r="I5" s="127" t="s">
        <v>358</v>
      </c>
      <c r="J5" s="127" t="s">
        <v>353</v>
      </c>
      <c r="K5" s="151">
        <v>10.4</v>
      </c>
      <c r="L5" s="151">
        <v>11.8</v>
      </c>
      <c r="M5" s="158">
        <v>32.932000000000002</v>
      </c>
      <c r="N5" s="158">
        <v>15.061</v>
      </c>
      <c r="O5" s="127"/>
      <c r="P5" s="127">
        <v>26188</v>
      </c>
      <c r="Q5" s="151"/>
      <c r="R5" s="151"/>
      <c r="S5" s="159">
        <v>78713</v>
      </c>
      <c r="T5" s="151"/>
      <c r="U5" s="127">
        <v>30090</v>
      </c>
      <c r="V5" s="156"/>
      <c r="W5" s="160"/>
      <c r="X5" s="156"/>
      <c r="Y5" s="158">
        <v>0.57620000000000005</v>
      </c>
      <c r="Z5" s="160"/>
      <c r="AA5" s="127"/>
      <c r="AB5" s="156" t="s">
        <v>354</v>
      </c>
      <c r="AC5" s="156"/>
    </row>
    <row r="6" spans="1:29" s="161" customFormat="1" ht="30" customHeight="1">
      <c r="A6" s="319"/>
      <c r="B6" s="298" t="s">
        <v>359</v>
      </c>
      <c r="C6" s="156" t="s">
        <v>360</v>
      </c>
      <c r="D6" s="156"/>
      <c r="E6" s="156"/>
      <c r="F6" s="151" t="s">
        <v>361</v>
      </c>
      <c r="G6" s="149" t="s">
        <v>362</v>
      </c>
      <c r="H6" s="127" t="s">
        <v>351</v>
      </c>
      <c r="I6" s="127" t="s">
        <v>363</v>
      </c>
      <c r="J6" s="127" t="s">
        <v>353</v>
      </c>
      <c r="K6" s="151">
        <v>3.2</v>
      </c>
      <c r="L6" s="151">
        <v>8.6999999999999993</v>
      </c>
      <c r="M6" s="158"/>
      <c r="N6" s="158"/>
      <c r="O6" s="127"/>
      <c r="P6" s="127">
        <v>22384</v>
      </c>
      <c r="Q6" s="151">
        <v>7.5</v>
      </c>
      <c r="R6" s="151"/>
      <c r="S6" s="159">
        <v>55123</v>
      </c>
      <c r="T6" s="151">
        <v>17</v>
      </c>
      <c r="U6" s="127"/>
      <c r="V6" s="156"/>
      <c r="W6" s="160"/>
      <c r="X6" s="156"/>
      <c r="Y6" s="158"/>
      <c r="Z6" s="160"/>
      <c r="AA6" s="127"/>
      <c r="AB6" s="302" t="s">
        <v>354</v>
      </c>
      <c r="AC6" s="156"/>
    </row>
    <row r="7" spans="1:29" s="161" customFormat="1" ht="30" customHeight="1">
      <c r="A7" s="319"/>
      <c r="B7" s="298"/>
      <c r="C7" s="156" t="s">
        <v>348</v>
      </c>
      <c r="D7" s="156"/>
      <c r="E7" s="156"/>
      <c r="F7" s="151" t="s">
        <v>364</v>
      </c>
      <c r="G7" s="157" t="s">
        <v>365</v>
      </c>
      <c r="H7" s="127" t="s">
        <v>351</v>
      </c>
      <c r="I7" s="162" t="s">
        <v>366</v>
      </c>
      <c r="J7" s="127" t="s">
        <v>353</v>
      </c>
      <c r="K7" s="151">
        <v>8.4</v>
      </c>
      <c r="L7" s="151">
        <v>12</v>
      </c>
      <c r="M7" s="163">
        <v>28.731000000000002</v>
      </c>
      <c r="N7" s="163">
        <v>15.183</v>
      </c>
      <c r="O7" s="156"/>
      <c r="P7" s="164">
        <v>12339</v>
      </c>
      <c r="Q7" s="151">
        <v>15.6</v>
      </c>
      <c r="R7" s="151"/>
      <c r="S7" s="159">
        <v>35949</v>
      </c>
      <c r="T7" s="151">
        <v>31.9</v>
      </c>
      <c r="U7" s="165">
        <v>15005</v>
      </c>
      <c r="V7" s="156"/>
      <c r="W7" s="160"/>
      <c r="X7" s="156"/>
      <c r="Y7" s="158">
        <v>0.56879999999999997</v>
      </c>
      <c r="Z7" s="160">
        <v>38</v>
      </c>
      <c r="AA7" s="127" t="s">
        <v>367</v>
      </c>
      <c r="AB7" s="302"/>
      <c r="AC7" s="156"/>
    </row>
    <row r="8" spans="1:29" s="161" customFormat="1" ht="30" customHeight="1">
      <c r="A8" s="319"/>
      <c r="B8" s="127" t="s">
        <v>368</v>
      </c>
      <c r="C8" s="156" t="s">
        <v>348</v>
      </c>
      <c r="D8" s="156"/>
      <c r="E8" s="156"/>
      <c r="F8" s="151" t="s">
        <v>369</v>
      </c>
      <c r="G8" s="157" t="s">
        <v>370</v>
      </c>
      <c r="H8" s="127" t="s">
        <v>351</v>
      </c>
      <c r="I8" s="127" t="s">
        <v>371</v>
      </c>
      <c r="J8" s="127" t="s">
        <v>353</v>
      </c>
      <c r="K8" s="151">
        <v>5</v>
      </c>
      <c r="L8" s="151">
        <v>8.5</v>
      </c>
      <c r="M8" s="158">
        <v>27.588100000000001</v>
      </c>
      <c r="N8" s="166">
        <v>11.633100000000001</v>
      </c>
      <c r="O8" s="156"/>
      <c r="P8" s="127">
        <v>47002</v>
      </c>
      <c r="Q8" s="151">
        <v>10.7</v>
      </c>
      <c r="R8" s="151"/>
      <c r="S8" s="159">
        <v>152956</v>
      </c>
      <c r="T8" s="151">
        <v>21.2</v>
      </c>
      <c r="U8" s="127">
        <v>52877</v>
      </c>
      <c r="V8" s="156"/>
      <c r="W8" s="160"/>
      <c r="X8" s="156"/>
      <c r="Y8" s="158">
        <v>0.56720000000000004</v>
      </c>
      <c r="Z8" s="160">
        <v>25.52</v>
      </c>
      <c r="AA8" s="127" t="s">
        <v>367</v>
      </c>
      <c r="AB8" s="156" t="s">
        <v>354</v>
      </c>
      <c r="AC8" s="156"/>
    </row>
    <row r="9" spans="1:29" s="161" customFormat="1" ht="30" customHeight="1">
      <c r="A9" s="319"/>
      <c r="B9" s="127" t="s">
        <v>372</v>
      </c>
      <c r="C9" s="147" t="s">
        <v>373</v>
      </c>
      <c r="D9" s="156"/>
      <c r="E9" s="156"/>
      <c r="F9" s="127" t="s">
        <v>374</v>
      </c>
      <c r="G9" s="157" t="s">
        <v>375</v>
      </c>
      <c r="H9" s="127" t="s">
        <v>351</v>
      </c>
      <c r="I9" s="127" t="s">
        <v>376</v>
      </c>
      <c r="J9" s="127" t="s">
        <v>353</v>
      </c>
      <c r="K9" s="151">
        <v>13.2</v>
      </c>
      <c r="L9" s="151">
        <v>15.1</v>
      </c>
      <c r="M9" s="158">
        <v>32.048299999999998</v>
      </c>
      <c r="N9" s="158">
        <v>15.2628</v>
      </c>
      <c r="O9" s="156"/>
      <c r="P9" s="159">
        <v>62541</v>
      </c>
      <c r="Q9" s="151"/>
      <c r="R9" s="151"/>
      <c r="S9" s="159">
        <v>174706</v>
      </c>
      <c r="T9" s="151"/>
      <c r="U9" s="159">
        <v>73025</v>
      </c>
      <c r="V9" s="156"/>
      <c r="W9" s="151">
        <v>111.6</v>
      </c>
      <c r="X9" s="156"/>
      <c r="Y9" s="158">
        <v>0.58140000000000003</v>
      </c>
      <c r="Z9" s="160"/>
      <c r="AA9" s="127"/>
      <c r="AB9" s="156" t="s">
        <v>354</v>
      </c>
      <c r="AC9" s="156"/>
    </row>
    <row r="10" spans="1:29" ht="30" customHeight="1">
      <c r="A10" s="319"/>
      <c r="B10" s="146" t="s">
        <v>377</v>
      </c>
      <c r="C10" s="147" t="s">
        <v>348</v>
      </c>
      <c r="D10" s="147"/>
      <c r="E10" s="147"/>
      <c r="F10" s="146" t="s">
        <v>378</v>
      </c>
      <c r="G10" s="148" t="s">
        <v>362</v>
      </c>
      <c r="H10" s="146" t="s">
        <v>351</v>
      </c>
      <c r="I10" s="167" t="s">
        <v>379</v>
      </c>
      <c r="J10" s="146" t="s">
        <v>353</v>
      </c>
      <c r="K10" s="148">
        <v>5.5</v>
      </c>
      <c r="L10" s="148">
        <v>7.7</v>
      </c>
      <c r="M10" s="150"/>
      <c r="N10" s="150"/>
      <c r="O10" s="147"/>
      <c r="P10" s="152">
        <v>11475</v>
      </c>
      <c r="Q10" s="151"/>
      <c r="R10" s="147"/>
      <c r="S10" s="152">
        <v>17696</v>
      </c>
      <c r="T10" s="148"/>
      <c r="U10" s="168"/>
      <c r="V10" s="147"/>
      <c r="W10" s="148"/>
      <c r="X10" s="152"/>
      <c r="Y10" s="150">
        <v>0.59950000000000003</v>
      </c>
      <c r="Z10" s="160"/>
      <c r="AA10" s="127" t="s">
        <v>367</v>
      </c>
      <c r="AB10" s="147" t="s">
        <v>354</v>
      </c>
      <c r="AC10" s="147"/>
    </row>
    <row r="11" spans="1:29" ht="30" customHeight="1">
      <c r="A11" s="319"/>
      <c r="B11" s="301" t="s">
        <v>127</v>
      </c>
      <c r="C11" s="147" t="s">
        <v>360</v>
      </c>
      <c r="D11" s="147"/>
      <c r="E11" s="147"/>
      <c r="F11" s="146" t="s">
        <v>380</v>
      </c>
      <c r="G11" s="148" t="s">
        <v>362</v>
      </c>
      <c r="H11" s="146" t="s">
        <v>351</v>
      </c>
      <c r="I11" s="167" t="s">
        <v>381</v>
      </c>
      <c r="J11" s="146" t="s">
        <v>353</v>
      </c>
      <c r="K11" s="148">
        <v>6.1</v>
      </c>
      <c r="L11" s="148">
        <v>7.8</v>
      </c>
      <c r="M11" s="150">
        <v>26.569600000000001</v>
      </c>
      <c r="N11" s="150">
        <v>13.453099999999999</v>
      </c>
      <c r="O11" s="147"/>
      <c r="P11" s="152">
        <v>11682</v>
      </c>
      <c r="Q11" s="151"/>
      <c r="R11" s="147"/>
      <c r="S11" s="152">
        <v>53249</v>
      </c>
      <c r="T11" s="148"/>
      <c r="U11" s="152">
        <v>13974</v>
      </c>
      <c r="V11" s="147"/>
      <c r="W11" s="148">
        <v>118.6</v>
      </c>
      <c r="X11" s="152"/>
      <c r="Y11" s="150">
        <v>0.56789999999999996</v>
      </c>
      <c r="Z11" s="160"/>
      <c r="AA11" s="154"/>
      <c r="AB11" s="304" t="s">
        <v>354</v>
      </c>
      <c r="AC11" s="304"/>
    </row>
    <row r="12" spans="1:29" ht="30" customHeight="1">
      <c r="A12" s="319"/>
      <c r="B12" s="301"/>
      <c r="C12" s="146" t="s">
        <v>348</v>
      </c>
      <c r="D12" s="147"/>
      <c r="E12" s="147"/>
      <c r="F12" s="146" t="s">
        <v>382</v>
      </c>
      <c r="G12" s="167" t="s">
        <v>362</v>
      </c>
      <c r="H12" s="146" t="s">
        <v>351</v>
      </c>
      <c r="I12" s="146" t="s">
        <v>383</v>
      </c>
      <c r="J12" s="146" t="s">
        <v>353</v>
      </c>
      <c r="K12" s="148">
        <v>19.8</v>
      </c>
      <c r="L12" s="148">
        <v>21</v>
      </c>
      <c r="M12" s="150">
        <v>32.212699999999998</v>
      </c>
      <c r="N12" s="150">
        <v>26.261700000000001</v>
      </c>
      <c r="O12" s="147"/>
      <c r="P12" s="152">
        <v>116860</v>
      </c>
      <c r="Q12" s="151"/>
      <c r="R12" s="147"/>
      <c r="S12" s="152">
        <v>343759</v>
      </c>
      <c r="T12" s="148"/>
      <c r="U12" s="152">
        <v>231829</v>
      </c>
      <c r="V12" s="147"/>
      <c r="W12" s="148">
        <v>119.3</v>
      </c>
      <c r="X12" s="152"/>
      <c r="Y12" s="150">
        <v>0.56430000000000002</v>
      </c>
      <c r="Z12" s="160"/>
      <c r="AA12" s="154"/>
      <c r="AB12" s="304"/>
      <c r="AC12" s="304"/>
    </row>
    <row r="13" spans="1:29" s="161" customFormat="1" ht="30" customHeight="1">
      <c r="A13" s="319"/>
      <c r="B13" s="298" t="s">
        <v>384</v>
      </c>
      <c r="C13" s="156" t="s">
        <v>360</v>
      </c>
      <c r="D13" s="156"/>
      <c r="E13" s="156"/>
      <c r="F13" s="151" t="s">
        <v>385</v>
      </c>
      <c r="G13" s="157" t="s">
        <v>386</v>
      </c>
      <c r="H13" s="127" t="s">
        <v>351</v>
      </c>
      <c r="I13" s="127" t="s">
        <v>387</v>
      </c>
      <c r="J13" s="127" t="s">
        <v>353</v>
      </c>
      <c r="K13" s="151">
        <v>3.1</v>
      </c>
      <c r="L13" s="151">
        <v>6.6</v>
      </c>
      <c r="M13" s="163"/>
      <c r="N13" s="163"/>
      <c r="O13" s="156"/>
      <c r="P13" s="159">
        <v>4476</v>
      </c>
      <c r="Q13" s="151"/>
      <c r="R13" s="151"/>
      <c r="S13" s="159">
        <v>14047</v>
      </c>
      <c r="T13" s="151"/>
      <c r="U13" s="159"/>
      <c r="V13" s="156"/>
      <c r="W13" s="160"/>
      <c r="X13" s="156"/>
      <c r="Y13" s="158">
        <v>0.5665</v>
      </c>
      <c r="Z13" s="160"/>
      <c r="AA13" s="127"/>
      <c r="AB13" s="302" t="s">
        <v>354</v>
      </c>
      <c r="AC13" s="156"/>
    </row>
    <row r="14" spans="1:29" s="161" customFormat="1" ht="30" customHeight="1">
      <c r="A14" s="319"/>
      <c r="B14" s="298"/>
      <c r="C14" s="156" t="s">
        <v>348</v>
      </c>
      <c r="D14" s="156"/>
      <c r="E14" s="156"/>
      <c r="F14" s="151" t="s">
        <v>388</v>
      </c>
      <c r="G14" s="157" t="s">
        <v>357</v>
      </c>
      <c r="H14" s="127" t="s">
        <v>351</v>
      </c>
      <c r="I14" s="127" t="s">
        <v>389</v>
      </c>
      <c r="J14" s="127" t="s">
        <v>353</v>
      </c>
      <c r="K14" s="151">
        <v>5.8</v>
      </c>
      <c r="L14" s="151">
        <v>8.5</v>
      </c>
      <c r="M14" s="163"/>
      <c r="N14" s="163"/>
      <c r="O14" s="156"/>
      <c r="P14" s="159">
        <v>43285</v>
      </c>
      <c r="Q14" s="151"/>
      <c r="R14" s="151"/>
      <c r="S14" s="159">
        <v>125487</v>
      </c>
      <c r="T14" s="151"/>
      <c r="U14" s="159"/>
      <c r="V14" s="156"/>
      <c r="W14" s="160"/>
      <c r="X14" s="156"/>
      <c r="Y14" s="158">
        <v>0.56640000000000001</v>
      </c>
      <c r="Z14" s="160"/>
      <c r="AA14" s="127"/>
      <c r="AB14" s="302"/>
      <c r="AC14" s="156"/>
    </row>
    <row r="15" spans="1:29" s="161" customFormat="1" ht="30" customHeight="1">
      <c r="A15" s="319"/>
      <c r="B15" s="298" t="s">
        <v>390</v>
      </c>
      <c r="C15" s="156" t="s">
        <v>360</v>
      </c>
      <c r="D15" s="156"/>
      <c r="E15" s="156"/>
      <c r="F15" s="127" t="s">
        <v>391</v>
      </c>
      <c r="G15" s="127" t="s">
        <v>392</v>
      </c>
      <c r="H15" s="127" t="s">
        <v>351</v>
      </c>
      <c r="I15" s="127" t="s">
        <v>393</v>
      </c>
      <c r="J15" s="127" t="s">
        <v>353</v>
      </c>
      <c r="K15" s="151">
        <v>18.3</v>
      </c>
      <c r="L15" s="151">
        <v>19</v>
      </c>
      <c r="M15" s="158">
        <v>28.971299999999999</v>
      </c>
      <c r="N15" s="158">
        <v>23.429500000000001</v>
      </c>
      <c r="O15" s="156"/>
      <c r="P15" s="159">
        <v>56116</v>
      </c>
      <c r="Q15" s="151"/>
      <c r="R15" s="151"/>
      <c r="S15" s="159">
        <v>224697</v>
      </c>
      <c r="T15" s="151"/>
      <c r="U15" s="159">
        <v>109075</v>
      </c>
      <c r="V15" s="156"/>
      <c r="W15" s="151">
        <v>106.9</v>
      </c>
      <c r="X15" s="156"/>
      <c r="Y15" s="158">
        <v>0.56889999999999996</v>
      </c>
      <c r="Z15" s="160"/>
      <c r="AA15" s="127"/>
      <c r="AB15" s="302" t="s">
        <v>354</v>
      </c>
      <c r="AC15" s="156"/>
    </row>
    <row r="16" spans="1:29" s="161" customFormat="1" ht="30" customHeight="1">
      <c r="A16" s="319"/>
      <c r="B16" s="298"/>
      <c r="C16" s="156" t="s">
        <v>348</v>
      </c>
      <c r="D16" s="156"/>
      <c r="E16" s="156"/>
      <c r="F16" s="127" t="s">
        <v>394</v>
      </c>
      <c r="G16" s="127" t="s">
        <v>370</v>
      </c>
      <c r="H16" s="127" t="s">
        <v>351</v>
      </c>
      <c r="I16" s="127" t="s">
        <v>395</v>
      </c>
      <c r="J16" s="127" t="s">
        <v>353</v>
      </c>
      <c r="K16" s="151">
        <v>7.6</v>
      </c>
      <c r="L16" s="151">
        <v>10.5</v>
      </c>
      <c r="M16" s="158">
        <v>32.946800000000003</v>
      </c>
      <c r="N16" s="158">
        <v>11.2753</v>
      </c>
      <c r="O16" s="156"/>
      <c r="P16" s="127">
        <v>81537</v>
      </c>
      <c r="Q16" s="151"/>
      <c r="R16" s="151"/>
      <c r="S16" s="159">
        <v>290899</v>
      </c>
      <c r="T16" s="151"/>
      <c r="U16" s="159">
        <v>87825</v>
      </c>
      <c r="V16" s="156"/>
      <c r="W16" s="151">
        <v>106.9</v>
      </c>
      <c r="X16" s="156"/>
      <c r="Y16" s="158"/>
      <c r="Z16" s="160"/>
      <c r="AA16" s="127"/>
      <c r="AB16" s="302"/>
      <c r="AC16" s="156"/>
    </row>
    <row r="17" spans="1:29" s="161" customFormat="1" ht="30" customHeight="1">
      <c r="A17" s="319"/>
      <c r="B17" s="127" t="s">
        <v>396</v>
      </c>
      <c r="C17" s="156" t="s">
        <v>348</v>
      </c>
      <c r="D17" s="156"/>
      <c r="E17" s="156"/>
      <c r="F17" s="127" t="s">
        <v>397</v>
      </c>
      <c r="G17" s="169" t="s">
        <v>370</v>
      </c>
      <c r="H17" s="156" t="s">
        <v>351</v>
      </c>
      <c r="I17" s="127" t="s">
        <v>398</v>
      </c>
      <c r="J17" s="127" t="s">
        <v>353</v>
      </c>
      <c r="K17" s="151">
        <v>3.8</v>
      </c>
      <c r="L17" s="151">
        <v>5</v>
      </c>
      <c r="M17" s="158"/>
      <c r="N17" s="158"/>
      <c r="O17" s="156"/>
      <c r="P17" s="127">
        <v>15299</v>
      </c>
      <c r="Q17" s="151">
        <v>9</v>
      </c>
      <c r="R17" s="151"/>
      <c r="S17" s="159">
        <v>41478</v>
      </c>
      <c r="T17" s="151">
        <v>20</v>
      </c>
      <c r="U17" s="159"/>
      <c r="V17" s="156"/>
      <c r="W17" s="151"/>
      <c r="X17" s="156"/>
      <c r="Y17" s="158">
        <v>0.56850000000000001</v>
      </c>
      <c r="Z17" s="160">
        <v>35.17</v>
      </c>
      <c r="AA17" s="127" t="s">
        <v>367</v>
      </c>
      <c r="AB17" s="156" t="s">
        <v>354</v>
      </c>
      <c r="AC17" s="156"/>
    </row>
    <row r="18" spans="1:29" s="161" customFormat="1" ht="30" customHeight="1">
      <c r="A18" s="319"/>
      <c r="B18" s="298" t="s">
        <v>399</v>
      </c>
      <c r="C18" s="156" t="s">
        <v>360</v>
      </c>
      <c r="D18" s="156"/>
      <c r="E18" s="156"/>
      <c r="F18" s="127" t="s">
        <v>400</v>
      </c>
      <c r="G18" s="169" t="s">
        <v>362</v>
      </c>
      <c r="H18" s="156" t="s">
        <v>351</v>
      </c>
      <c r="I18" s="127" t="s">
        <v>401</v>
      </c>
      <c r="J18" s="127" t="s">
        <v>353</v>
      </c>
      <c r="K18" s="151">
        <v>3.3</v>
      </c>
      <c r="L18" s="151">
        <v>4.5</v>
      </c>
      <c r="M18" s="158"/>
      <c r="N18" s="158"/>
      <c r="O18" s="156"/>
      <c r="P18" s="127">
        <v>17064</v>
      </c>
      <c r="Q18" s="151"/>
      <c r="R18" s="151"/>
      <c r="S18" s="159">
        <v>54190</v>
      </c>
      <c r="T18" s="151"/>
      <c r="U18" s="159"/>
      <c r="V18" s="156"/>
      <c r="W18" s="151"/>
      <c r="X18" s="156"/>
      <c r="Y18" s="158">
        <v>0.62529999999999997</v>
      </c>
      <c r="Z18" s="160"/>
      <c r="AA18" s="127"/>
      <c r="AB18" s="302" t="s">
        <v>354</v>
      </c>
      <c r="AC18" s="156"/>
    </row>
    <row r="19" spans="1:29" s="161" customFormat="1" ht="30" customHeight="1">
      <c r="A19" s="319"/>
      <c r="B19" s="298"/>
      <c r="C19" s="156" t="s">
        <v>348</v>
      </c>
      <c r="D19" s="156"/>
      <c r="E19" s="156"/>
      <c r="F19" s="108" t="s">
        <v>402</v>
      </c>
      <c r="G19" s="169" t="s">
        <v>362</v>
      </c>
      <c r="H19" s="156" t="s">
        <v>351</v>
      </c>
      <c r="I19" s="127" t="s">
        <v>403</v>
      </c>
      <c r="J19" s="127" t="s">
        <v>353</v>
      </c>
      <c r="K19" s="151">
        <v>0.9</v>
      </c>
      <c r="L19" s="151">
        <v>11.8</v>
      </c>
      <c r="M19" s="158"/>
      <c r="N19" s="158"/>
      <c r="O19" s="156"/>
      <c r="P19" s="127">
        <v>10001</v>
      </c>
      <c r="Q19" s="151">
        <v>21</v>
      </c>
      <c r="R19" s="151"/>
      <c r="S19" s="159">
        <v>8016</v>
      </c>
      <c r="T19" s="151">
        <v>24</v>
      </c>
      <c r="U19" s="159"/>
      <c r="V19" s="156"/>
      <c r="W19" s="151"/>
      <c r="X19" s="156"/>
      <c r="Y19" s="158">
        <v>0.62549999999999994</v>
      </c>
      <c r="Z19" s="160">
        <v>33.29</v>
      </c>
      <c r="AA19" s="127" t="s">
        <v>367</v>
      </c>
      <c r="AB19" s="302"/>
      <c r="AC19" s="156"/>
    </row>
    <row r="20" spans="1:29" s="179" customFormat="1" ht="30" customHeight="1">
      <c r="A20" s="319"/>
      <c r="B20" s="299" t="s">
        <v>404</v>
      </c>
      <c r="C20" s="128" t="s">
        <v>348</v>
      </c>
      <c r="D20" s="170"/>
      <c r="E20" s="170"/>
      <c r="F20" s="128" t="s">
        <v>405</v>
      </c>
      <c r="G20" s="172" t="s">
        <v>128</v>
      </c>
      <c r="H20" s="170" t="s">
        <v>351</v>
      </c>
      <c r="I20" s="128" t="s">
        <v>406</v>
      </c>
      <c r="J20" s="128" t="s">
        <v>353</v>
      </c>
      <c r="K20" s="173">
        <v>4.8</v>
      </c>
      <c r="L20" s="173">
        <v>10</v>
      </c>
      <c r="M20" s="174"/>
      <c r="N20" s="174"/>
      <c r="O20" s="170"/>
      <c r="P20" s="128">
        <v>11977</v>
      </c>
      <c r="Q20" s="151"/>
      <c r="R20" s="175"/>
      <c r="S20" s="176">
        <v>21293</v>
      </c>
      <c r="T20" s="173"/>
      <c r="U20" s="177"/>
      <c r="V20" s="170"/>
      <c r="W20" s="173"/>
      <c r="X20" s="170"/>
      <c r="Y20" s="174">
        <v>0.59319999999999995</v>
      </c>
      <c r="Z20" s="160"/>
      <c r="AA20" s="128"/>
      <c r="AB20" s="306" t="s">
        <v>354</v>
      </c>
      <c r="AC20" s="170"/>
    </row>
    <row r="21" spans="1:29" s="179" customFormat="1" ht="30" customHeight="1">
      <c r="A21" s="319"/>
      <c r="B21" s="299"/>
      <c r="C21" s="170" t="s">
        <v>360</v>
      </c>
      <c r="D21" s="170"/>
      <c r="E21" s="170"/>
      <c r="F21" s="128" t="s">
        <v>407</v>
      </c>
      <c r="G21" s="172" t="s">
        <v>129</v>
      </c>
      <c r="H21" s="170" t="s">
        <v>351</v>
      </c>
      <c r="I21" s="128" t="s">
        <v>408</v>
      </c>
      <c r="J21" s="128" t="s">
        <v>353</v>
      </c>
      <c r="K21" s="173">
        <v>1.7</v>
      </c>
      <c r="L21" s="173">
        <v>3.5</v>
      </c>
      <c r="M21" s="174"/>
      <c r="N21" s="174"/>
      <c r="O21" s="170"/>
      <c r="P21" s="128">
        <v>1505</v>
      </c>
      <c r="Q21" s="151"/>
      <c r="R21" s="175"/>
      <c r="S21" s="176">
        <v>2894</v>
      </c>
      <c r="T21" s="173"/>
      <c r="U21" s="177"/>
      <c r="V21" s="170"/>
      <c r="W21" s="173"/>
      <c r="X21" s="170"/>
      <c r="Y21" s="174">
        <v>0.61609999999999998</v>
      </c>
      <c r="Z21" s="160"/>
      <c r="AA21" s="128"/>
      <c r="AB21" s="306"/>
      <c r="AC21" s="170"/>
    </row>
    <row r="22" spans="1:29" s="179" customFormat="1" ht="30" customHeight="1">
      <c r="A22" s="319"/>
      <c r="B22" s="128" t="s">
        <v>409</v>
      </c>
      <c r="C22" s="128" t="s">
        <v>348</v>
      </c>
      <c r="D22" s="170"/>
      <c r="E22" s="170"/>
      <c r="F22" s="128" t="s">
        <v>410</v>
      </c>
      <c r="G22" s="172" t="s">
        <v>129</v>
      </c>
      <c r="H22" s="128" t="s">
        <v>351</v>
      </c>
      <c r="I22" s="128" t="s">
        <v>411</v>
      </c>
      <c r="J22" s="128" t="s">
        <v>353</v>
      </c>
      <c r="K22" s="173">
        <v>4.3</v>
      </c>
      <c r="L22" s="173">
        <v>7.7</v>
      </c>
      <c r="M22" s="174"/>
      <c r="N22" s="174"/>
      <c r="O22" s="170"/>
      <c r="P22" s="128">
        <v>11431</v>
      </c>
      <c r="Q22" s="151"/>
      <c r="R22" s="173"/>
      <c r="S22" s="176">
        <v>20488</v>
      </c>
      <c r="T22" s="173"/>
      <c r="U22" s="177"/>
      <c r="V22" s="170"/>
      <c r="W22" s="173"/>
      <c r="X22" s="170"/>
      <c r="Y22" s="174">
        <v>0.59409999999999996</v>
      </c>
      <c r="Z22" s="160"/>
      <c r="AA22" s="128"/>
      <c r="AB22" s="170" t="s">
        <v>354</v>
      </c>
      <c r="AC22" s="170"/>
    </row>
    <row r="23" spans="1:29" s="161" customFormat="1" ht="30" customHeight="1">
      <c r="A23" s="319"/>
      <c r="B23" s="298" t="s">
        <v>412</v>
      </c>
      <c r="C23" s="156" t="s">
        <v>360</v>
      </c>
      <c r="D23" s="156"/>
      <c r="E23" s="156"/>
      <c r="F23" s="127" t="s">
        <v>413</v>
      </c>
      <c r="G23" s="180" t="s">
        <v>362</v>
      </c>
      <c r="H23" s="127" t="s">
        <v>351</v>
      </c>
      <c r="I23" s="127" t="s">
        <v>414</v>
      </c>
      <c r="J23" s="127" t="s">
        <v>353</v>
      </c>
      <c r="K23" s="151">
        <v>10.5</v>
      </c>
      <c r="L23" s="151">
        <v>12.4</v>
      </c>
      <c r="M23" s="158">
        <v>31.870699999999999</v>
      </c>
      <c r="N23" s="158"/>
      <c r="O23" s="156"/>
      <c r="P23" s="127">
        <v>60815</v>
      </c>
      <c r="Q23" s="151"/>
      <c r="R23" s="151"/>
      <c r="S23" s="159">
        <v>156739</v>
      </c>
      <c r="T23" s="151"/>
      <c r="U23" s="159"/>
      <c r="V23" s="156"/>
      <c r="W23" s="151">
        <v>106.3</v>
      </c>
      <c r="X23" s="156"/>
      <c r="Y23" s="158">
        <v>0.62819999999999998</v>
      </c>
      <c r="Z23" s="160"/>
      <c r="AA23" s="127"/>
      <c r="AB23" s="302" t="s">
        <v>354</v>
      </c>
      <c r="AC23" s="156"/>
    </row>
    <row r="24" spans="1:29" s="161" customFormat="1" ht="30" customHeight="1">
      <c r="A24" s="319"/>
      <c r="B24" s="298"/>
      <c r="C24" s="156" t="s">
        <v>348</v>
      </c>
      <c r="D24" s="156"/>
      <c r="E24" s="156"/>
      <c r="F24" s="127" t="s">
        <v>415</v>
      </c>
      <c r="G24" s="180" t="s">
        <v>362</v>
      </c>
      <c r="H24" s="127" t="s">
        <v>351</v>
      </c>
      <c r="I24" s="127" t="s">
        <v>416</v>
      </c>
      <c r="J24" s="127" t="s">
        <v>353</v>
      </c>
      <c r="K24" s="151">
        <v>8.5</v>
      </c>
      <c r="L24" s="151">
        <v>9.5</v>
      </c>
      <c r="M24" s="158">
        <v>31.102599999999999</v>
      </c>
      <c r="N24" s="158">
        <v>11.264900000000001</v>
      </c>
      <c r="O24" s="156"/>
      <c r="P24" s="127">
        <v>48587</v>
      </c>
      <c r="Q24" s="151"/>
      <c r="R24" s="151"/>
      <c r="S24" s="159">
        <v>114336</v>
      </c>
      <c r="T24" s="151"/>
      <c r="U24" s="127">
        <v>52848</v>
      </c>
      <c r="V24" s="156"/>
      <c r="W24" s="151">
        <v>109.9</v>
      </c>
      <c r="X24" s="156"/>
      <c r="Y24" s="158">
        <v>0.61050000000000004</v>
      </c>
      <c r="Z24" s="160"/>
      <c r="AA24" s="127"/>
      <c r="AB24" s="302"/>
      <c r="AC24" s="156"/>
    </row>
    <row r="25" spans="1:29" s="161" customFormat="1" ht="30" customHeight="1">
      <c r="A25" s="319"/>
      <c r="B25" s="127" t="s">
        <v>417</v>
      </c>
      <c r="C25" s="156" t="s">
        <v>348</v>
      </c>
      <c r="D25" s="156"/>
      <c r="E25" s="156"/>
      <c r="F25" s="127" t="s">
        <v>418</v>
      </c>
      <c r="G25" s="180" t="s">
        <v>362</v>
      </c>
      <c r="H25" s="127" t="s">
        <v>351</v>
      </c>
      <c r="I25" s="127" t="s">
        <v>419</v>
      </c>
      <c r="J25" s="127" t="s">
        <v>353</v>
      </c>
      <c r="K25" s="151">
        <v>16.3</v>
      </c>
      <c r="L25" s="151">
        <v>16.899999999999999</v>
      </c>
      <c r="M25" s="158">
        <v>27.048200000000001</v>
      </c>
      <c r="N25" s="158">
        <v>20.286100000000001</v>
      </c>
      <c r="O25" s="156"/>
      <c r="P25" s="127">
        <v>46849</v>
      </c>
      <c r="Q25" s="151"/>
      <c r="R25" s="151"/>
      <c r="S25" s="159">
        <v>62145</v>
      </c>
      <c r="T25" s="151"/>
      <c r="U25" s="159">
        <v>78168</v>
      </c>
      <c r="V25" s="156"/>
      <c r="W25" s="151">
        <v>114.7</v>
      </c>
      <c r="X25" s="156"/>
      <c r="Y25" s="158">
        <v>0.57999999999999996</v>
      </c>
      <c r="Z25" s="160"/>
      <c r="AA25" s="127"/>
      <c r="AB25" s="156" t="s">
        <v>354</v>
      </c>
      <c r="AC25" s="156"/>
    </row>
    <row r="26" spans="1:29" s="161" customFormat="1" ht="30" customHeight="1">
      <c r="A26" s="319"/>
      <c r="B26" s="298" t="s">
        <v>420</v>
      </c>
      <c r="C26" s="156" t="s">
        <v>360</v>
      </c>
      <c r="D26" s="156"/>
      <c r="E26" s="156"/>
      <c r="F26" s="127" t="s">
        <v>421</v>
      </c>
      <c r="G26" s="180" t="s">
        <v>362</v>
      </c>
      <c r="H26" s="127" t="s">
        <v>351</v>
      </c>
      <c r="I26" s="127" t="s">
        <v>422</v>
      </c>
      <c r="J26" s="127" t="s">
        <v>353</v>
      </c>
      <c r="K26" s="151">
        <v>3.1</v>
      </c>
      <c r="L26" s="151">
        <v>4.0999999999999996</v>
      </c>
      <c r="M26" s="158"/>
      <c r="N26" s="158"/>
      <c r="O26" s="156"/>
      <c r="P26" s="127">
        <v>789</v>
      </c>
      <c r="Q26" s="151"/>
      <c r="R26" s="151"/>
      <c r="S26" s="159">
        <v>829</v>
      </c>
      <c r="T26" s="151"/>
      <c r="U26" s="159"/>
      <c r="V26" s="156"/>
      <c r="W26" s="151"/>
      <c r="X26" s="156"/>
      <c r="Y26" s="158">
        <v>0.60209999999999997</v>
      </c>
      <c r="Z26" s="160"/>
      <c r="AA26" s="127"/>
      <c r="AB26" s="302" t="s">
        <v>354</v>
      </c>
      <c r="AC26" s="156"/>
    </row>
    <row r="27" spans="1:29" s="161" customFormat="1" ht="30" customHeight="1">
      <c r="A27" s="319"/>
      <c r="B27" s="298"/>
      <c r="C27" s="156" t="s">
        <v>348</v>
      </c>
      <c r="D27" s="156"/>
      <c r="E27" s="156"/>
      <c r="F27" s="127" t="s">
        <v>423</v>
      </c>
      <c r="G27" s="180" t="s">
        <v>424</v>
      </c>
      <c r="H27" s="127" t="s">
        <v>351</v>
      </c>
      <c r="I27" s="127" t="s">
        <v>425</v>
      </c>
      <c r="J27" s="127" t="s">
        <v>353</v>
      </c>
      <c r="K27" s="151">
        <v>4.9000000000000004</v>
      </c>
      <c r="L27" s="151">
        <v>11.1</v>
      </c>
      <c r="M27" s="158"/>
      <c r="N27" s="158"/>
      <c r="O27" s="156"/>
      <c r="P27" s="127">
        <v>15199</v>
      </c>
      <c r="Q27" s="151"/>
      <c r="R27" s="151"/>
      <c r="S27" s="159">
        <v>31158</v>
      </c>
      <c r="T27" s="151"/>
      <c r="U27" s="159"/>
      <c r="V27" s="156"/>
      <c r="W27" s="151"/>
      <c r="X27" s="156"/>
      <c r="Y27" s="158">
        <v>0.59860000000000002</v>
      </c>
      <c r="Z27" s="160"/>
      <c r="AA27" s="127"/>
      <c r="AB27" s="302"/>
      <c r="AC27" s="156"/>
    </row>
    <row r="28" spans="1:29" s="161" customFormat="1" ht="30" customHeight="1">
      <c r="A28" s="319"/>
      <c r="B28" s="298" t="s">
        <v>426</v>
      </c>
      <c r="C28" s="156" t="s">
        <v>360</v>
      </c>
      <c r="D28" s="156"/>
      <c r="E28" s="156"/>
      <c r="F28" s="127" t="s">
        <v>427</v>
      </c>
      <c r="G28" s="180" t="s">
        <v>428</v>
      </c>
      <c r="H28" s="127" t="s">
        <v>351</v>
      </c>
      <c r="I28" s="127" t="s">
        <v>429</v>
      </c>
      <c r="J28" s="127" t="s">
        <v>353</v>
      </c>
      <c r="K28" s="151">
        <v>3</v>
      </c>
      <c r="L28" s="151">
        <v>4</v>
      </c>
      <c r="M28" s="158"/>
      <c r="N28" s="158"/>
      <c r="O28" s="156"/>
      <c r="P28" s="127">
        <v>22538</v>
      </c>
      <c r="Q28" s="151"/>
      <c r="R28" s="151"/>
      <c r="S28" s="159">
        <v>52127</v>
      </c>
      <c r="T28" s="151"/>
      <c r="U28" s="159"/>
      <c r="V28" s="156"/>
      <c r="W28" s="151"/>
      <c r="X28" s="156"/>
      <c r="Y28" s="158">
        <v>0.60399999999999998</v>
      </c>
      <c r="Z28" s="160"/>
      <c r="AA28" s="127"/>
      <c r="AB28" s="302" t="s">
        <v>354</v>
      </c>
      <c r="AC28" s="156"/>
    </row>
    <row r="29" spans="1:29" s="161" customFormat="1" ht="30" customHeight="1">
      <c r="A29" s="319"/>
      <c r="B29" s="298"/>
      <c r="C29" s="156" t="s">
        <v>348</v>
      </c>
      <c r="D29" s="156"/>
      <c r="E29" s="156"/>
      <c r="F29" s="127" t="s">
        <v>430</v>
      </c>
      <c r="G29" s="180" t="s">
        <v>431</v>
      </c>
      <c r="H29" s="127" t="s">
        <v>351</v>
      </c>
      <c r="I29" s="127" t="s">
        <v>432</v>
      </c>
      <c r="J29" s="127" t="s">
        <v>353</v>
      </c>
      <c r="K29" s="151">
        <v>3</v>
      </c>
      <c r="L29" s="151">
        <v>9.5</v>
      </c>
      <c r="M29" s="158"/>
      <c r="N29" s="158"/>
      <c r="O29" s="156"/>
      <c r="P29" s="127">
        <v>10318</v>
      </c>
      <c r="Q29" s="151"/>
      <c r="R29" s="151"/>
      <c r="S29" s="159">
        <v>5947</v>
      </c>
      <c r="T29" s="151"/>
      <c r="U29" s="159"/>
      <c r="V29" s="156"/>
      <c r="W29" s="151"/>
      <c r="X29" s="156"/>
      <c r="Y29" s="158">
        <v>0.58589999999999998</v>
      </c>
      <c r="Z29" s="160"/>
      <c r="AA29" s="127"/>
      <c r="AB29" s="302"/>
      <c r="AC29" s="156"/>
    </row>
    <row r="30" spans="1:29" s="161" customFormat="1" ht="30" customHeight="1">
      <c r="A30" s="319"/>
      <c r="B30" s="298" t="s">
        <v>433</v>
      </c>
      <c r="C30" s="156" t="s">
        <v>360</v>
      </c>
      <c r="D30" s="156"/>
      <c r="E30" s="156"/>
      <c r="F30" s="127" t="s">
        <v>434</v>
      </c>
      <c r="G30" s="180" t="s">
        <v>362</v>
      </c>
      <c r="H30" s="127" t="s">
        <v>351</v>
      </c>
      <c r="I30" s="127" t="s">
        <v>435</v>
      </c>
      <c r="J30" s="127" t="s">
        <v>353</v>
      </c>
      <c r="K30" s="151">
        <v>3.8</v>
      </c>
      <c r="L30" s="151">
        <v>5.8</v>
      </c>
      <c r="M30" s="158">
        <v>29.086400000000001</v>
      </c>
      <c r="N30" s="158"/>
      <c r="O30" s="156"/>
      <c r="P30" s="127">
        <v>25832</v>
      </c>
      <c r="Q30" s="151"/>
      <c r="R30" s="151"/>
      <c r="S30" s="159">
        <v>61594</v>
      </c>
      <c r="T30" s="160"/>
      <c r="U30" s="159"/>
      <c r="V30" s="156"/>
      <c r="W30" s="151">
        <v>119.7</v>
      </c>
      <c r="X30" s="156"/>
      <c r="Y30" s="158">
        <v>0.60340000000000005</v>
      </c>
      <c r="Z30" s="160"/>
      <c r="AA30" s="127"/>
      <c r="AB30" s="302" t="s">
        <v>354</v>
      </c>
      <c r="AC30" s="156"/>
    </row>
    <row r="31" spans="1:29" s="161" customFormat="1" ht="30" customHeight="1">
      <c r="A31" s="319"/>
      <c r="B31" s="298"/>
      <c r="C31" s="156" t="s">
        <v>348</v>
      </c>
      <c r="D31" s="156"/>
      <c r="E31" s="156"/>
      <c r="F31" s="127" t="s">
        <v>436</v>
      </c>
      <c r="G31" s="180" t="s">
        <v>431</v>
      </c>
      <c r="H31" s="127" t="s">
        <v>351</v>
      </c>
      <c r="I31" s="127" t="s">
        <v>437</v>
      </c>
      <c r="J31" s="127" t="s">
        <v>353</v>
      </c>
      <c r="K31" s="151">
        <v>3.9</v>
      </c>
      <c r="L31" s="151">
        <v>4.8</v>
      </c>
      <c r="M31" s="158">
        <v>29.086099999999998</v>
      </c>
      <c r="N31" s="158"/>
      <c r="O31" s="156"/>
      <c r="P31" s="127">
        <v>36160</v>
      </c>
      <c r="Q31" s="151"/>
      <c r="R31" s="151"/>
      <c r="S31" s="159">
        <v>76569</v>
      </c>
      <c r="T31" s="151"/>
      <c r="U31" s="159"/>
      <c r="V31" s="156"/>
      <c r="W31" s="151">
        <v>119.7</v>
      </c>
      <c r="X31" s="156"/>
      <c r="Y31" s="158">
        <v>0.59740000000000004</v>
      </c>
      <c r="Z31" s="160"/>
      <c r="AA31" s="127"/>
      <c r="AB31" s="302"/>
      <c r="AC31" s="156"/>
    </row>
    <row r="32" spans="1:29" s="161" customFormat="1" ht="30" customHeight="1">
      <c r="A32" s="319"/>
      <c r="B32" s="298" t="s">
        <v>438</v>
      </c>
      <c r="C32" s="156" t="s">
        <v>360</v>
      </c>
      <c r="D32" s="156"/>
      <c r="E32" s="156"/>
      <c r="F32" s="127" t="s">
        <v>439</v>
      </c>
      <c r="G32" s="180" t="s">
        <v>362</v>
      </c>
      <c r="H32" s="127" t="s">
        <v>351</v>
      </c>
      <c r="I32" s="127" t="s">
        <v>440</v>
      </c>
      <c r="J32" s="127" t="s">
        <v>353</v>
      </c>
      <c r="K32" s="151">
        <v>4.5</v>
      </c>
      <c r="L32" s="151">
        <v>6.8</v>
      </c>
      <c r="M32" s="181"/>
      <c r="N32" s="181"/>
      <c r="O32" s="156"/>
      <c r="P32" s="127">
        <v>22473</v>
      </c>
      <c r="Q32" s="151"/>
      <c r="R32" s="151"/>
      <c r="S32" s="159">
        <v>57469</v>
      </c>
      <c r="T32" s="151"/>
      <c r="U32" s="182"/>
      <c r="V32" s="156"/>
      <c r="W32" s="151"/>
      <c r="X32" s="156"/>
      <c r="Y32" s="158">
        <v>0.58960000000000001</v>
      </c>
      <c r="Z32" s="160"/>
      <c r="AA32" s="127"/>
      <c r="AB32" s="302" t="s">
        <v>354</v>
      </c>
      <c r="AC32" s="156"/>
    </row>
    <row r="33" spans="1:29" s="161" customFormat="1" ht="30" customHeight="1">
      <c r="A33" s="319"/>
      <c r="B33" s="298"/>
      <c r="C33" s="156" t="s">
        <v>348</v>
      </c>
      <c r="D33" s="156"/>
      <c r="E33" s="156"/>
      <c r="F33" s="127" t="s">
        <v>441</v>
      </c>
      <c r="G33" s="180" t="s">
        <v>362</v>
      </c>
      <c r="H33" s="127" t="s">
        <v>351</v>
      </c>
      <c r="I33" s="127" t="s">
        <v>442</v>
      </c>
      <c r="J33" s="127" t="s">
        <v>353</v>
      </c>
      <c r="K33" s="151">
        <v>2.7</v>
      </c>
      <c r="L33" s="151">
        <v>14.7</v>
      </c>
      <c r="M33" s="181"/>
      <c r="N33" s="181"/>
      <c r="O33" s="156"/>
      <c r="P33" s="127">
        <v>11492</v>
      </c>
      <c r="Q33" s="151"/>
      <c r="R33" s="151"/>
      <c r="S33" s="159">
        <v>25118</v>
      </c>
      <c r="T33" s="151"/>
      <c r="U33" s="182"/>
      <c r="V33" s="156"/>
      <c r="W33" s="151"/>
      <c r="X33" s="156"/>
      <c r="Y33" s="158">
        <v>0.59499999999999997</v>
      </c>
      <c r="Z33" s="160"/>
      <c r="AA33" s="127"/>
      <c r="AB33" s="302"/>
      <c r="AC33" s="156"/>
    </row>
    <row r="34" spans="1:29" s="161" customFormat="1" ht="30" customHeight="1">
      <c r="A34" s="319"/>
      <c r="B34" s="298" t="s">
        <v>443</v>
      </c>
      <c r="C34" s="156" t="s">
        <v>360</v>
      </c>
      <c r="D34" s="156"/>
      <c r="E34" s="156"/>
      <c r="F34" s="127" t="s">
        <v>444</v>
      </c>
      <c r="G34" s="180" t="s">
        <v>362</v>
      </c>
      <c r="H34" s="127" t="s">
        <v>351</v>
      </c>
      <c r="I34" s="127" t="s">
        <v>445</v>
      </c>
      <c r="J34" s="127" t="s">
        <v>353</v>
      </c>
      <c r="K34" s="151">
        <v>20</v>
      </c>
      <c r="L34" s="151">
        <v>20.100000000000001</v>
      </c>
      <c r="M34" s="158">
        <v>29.815999999999999</v>
      </c>
      <c r="N34" s="158">
        <v>24.4818</v>
      </c>
      <c r="O34" s="156"/>
      <c r="P34" s="127">
        <v>40868</v>
      </c>
      <c r="Q34" s="151"/>
      <c r="R34" s="151"/>
      <c r="S34" s="159">
        <v>125379</v>
      </c>
      <c r="T34" s="151"/>
      <c r="U34" s="127">
        <v>82654</v>
      </c>
      <c r="V34" s="156"/>
      <c r="W34" s="151">
        <v>119.4</v>
      </c>
      <c r="X34" s="156"/>
      <c r="Y34" s="158">
        <v>0.59109999999999996</v>
      </c>
      <c r="Z34" s="160"/>
      <c r="AA34" s="127"/>
      <c r="AB34" s="302" t="s">
        <v>354</v>
      </c>
      <c r="AC34" s="156"/>
    </row>
    <row r="35" spans="1:29" s="161" customFormat="1" ht="30" customHeight="1">
      <c r="A35" s="319"/>
      <c r="B35" s="298"/>
      <c r="C35" s="156" t="s">
        <v>348</v>
      </c>
      <c r="D35" s="156"/>
      <c r="E35" s="156"/>
      <c r="F35" s="127" t="s">
        <v>446</v>
      </c>
      <c r="G35" s="180" t="s">
        <v>431</v>
      </c>
      <c r="H35" s="127" t="s">
        <v>351</v>
      </c>
      <c r="I35" s="127" t="s">
        <v>447</v>
      </c>
      <c r="J35" s="127" t="s">
        <v>353</v>
      </c>
      <c r="K35" s="151">
        <v>7.7</v>
      </c>
      <c r="L35" s="151">
        <v>9.5</v>
      </c>
      <c r="M35" s="158"/>
      <c r="N35" s="158"/>
      <c r="O35" s="156"/>
      <c r="P35" s="127">
        <v>70985</v>
      </c>
      <c r="Q35" s="151"/>
      <c r="R35" s="151"/>
      <c r="S35" s="159">
        <v>217661</v>
      </c>
      <c r="T35" s="151"/>
      <c r="U35" s="159">
        <v>88478</v>
      </c>
      <c r="V35" s="156"/>
      <c r="W35" s="151"/>
      <c r="X35" s="156"/>
      <c r="Y35" s="158">
        <v>0.58979999999999999</v>
      </c>
      <c r="Z35" s="160"/>
      <c r="AA35" s="127"/>
      <c r="AB35" s="302"/>
      <c r="AC35" s="156"/>
    </row>
    <row r="36" spans="1:29" ht="30" customHeight="1">
      <c r="A36" s="319"/>
      <c r="B36" s="146" t="s">
        <v>448</v>
      </c>
      <c r="C36" s="183" t="s">
        <v>348</v>
      </c>
      <c r="D36" s="147"/>
      <c r="E36" s="147"/>
      <c r="F36" s="146" t="s">
        <v>449</v>
      </c>
      <c r="G36" s="167" t="s">
        <v>362</v>
      </c>
      <c r="H36" s="146" t="s">
        <v>351</v>
      </c>
      <c r="I36" s="146" t="s">
        <v>450</v>
      </c>
      <c r="J36" s="146" t="s">
        <v>353</v>
      </c>
      <c r="K36" s="148">
        <v>21.3</v>
      </c>
      <c r="L36" s="148">
        <v>21.3</v>
      </c>
      <c r="M36" s="150">
        <v>33.625039999999998</v>
      </c>
      <c r="N36" s="150"/>
      <c r="O36" s="147"/>
      <c r="P36" s="184">
        <v>67730</v>
      </c>
      <c r="Q36" s="151"/>
      <c r="R36" s="147"/>
      <c r="S36" s="152">
        <v>256460</v>
      </c>
      <c r="T36" s="148"/>
      <c r="U36" s="184"/>
      <c r="V36" s="147"/>
      <c r="W36" s="148"/>
      <c r="X36" s="184"/>
      <c r="Y36" s="150">
        <v>0.57240000000000002</v>
      </c>
      <c r="Z36" s="160"/>
      <c r="AA36" s="154"/>
      <c r="AB36" s="147" t="s">
        <v>354</v>
      </c>
      <c r="AC36" s="147"/>
    </row>
    <row r="37" spans="1:29" s="179" customFormat="1" ht="30" customHeight="1">
      <c r="A37" s="319"/>
      <c r="B37" s="299" t="s">
        <v>451</v>
      </c>
      <c r="C37" s="183" t="s">
        <v>348</v>
      </c>
      <c r="D37" s="170"/>
      <c r="E37" s="170"/>
      <c r="F37" s="128" t="s">
        <v>452</v>
      </c>
      <c r="G37" s="172" t="s">
        <v>128</v>
      </c>
      <c r="H37" s="128" t="s">
        <v>351</v>
      </c>
      <c r="I37" s="175" t="s">
        <v>453</v>
      </c>
      <c r="J37" s="128" t="s">
        <v>353</v>
      </c>
      <c r="K37" s="173">
        <v>6</v>
      </c>
      <c r="L37" s="173">
        <v>7.5</v>
      </c>
      <c r="M37" s="174"/>
      <c r="N37" s="174"/>
      <c r="O37" s="170"/>
      <c r="P37" s="176">
        <v>20844</v>
      </c>
      <c r="Q37" s="151"/>
      <c r="R37" s="128"/>
      <c r="S37" s="176">
        <v>59586</v>
      </c>
      <c r="T37" s="173"/>
      <c r="U37" s="185"/>
      <c r="V37" s="170"/>
      <c r="W37" s="173"/>
      <c r="X37" s="170"/>
      <c r="Y37" s="174">
        <v>0.60219999999999996</v>
      </c>
      <c r="Z37" s="160"/>
      <c r="AA37" s="128"/>
      <c r="AB37" s="300" t="s">
        <v>354</v>
      </c>
      <c r="AC37" s="170"/>
    </row>
    <row r="38" spans="1:29" s="179" customFormat="1" ht="30" customHeight="1">
      <c r="A38" s="319"/>
      <c r="B38" s="299"/>
      <c r="C38" s="183" t="s">
        <v>360</v>
      </c>
      <c r="D38" s="170"/>
      <c r="E38" s="170"/>
      <c r="F38" s="128" t="s">
        <v>454</v>
      </c>
      <c r="G38" s="172" t="s">
        <v>455</v>
      </c>
      <c r="H38" s="128" t="s">
        <v>351</v>
      </c>
      <c r="I38" s="175" t="s">
        <v>456</v>
      </c>
      <c r="J38" s="128" t="s">
        <v>353</v>
      </c>
      <c r="K38" s="173">
        <v>6</v>
      </c>
      <c r="L38" s="173">
        <v>6</v>
      </c>
      <c r="M38" s="174"/>
      <c r="N38" s="174"/>
      <c r="O38" s="170"/>
      <c r="P38" s="176">
        <v>15430</v>
      </c>
      <c r="Q38" s="151"/>
      <c r="R38" s="128"/>
      <c r="S38" s="176">
        <v>30785</v>
      </c>
      <c r="T38" s="173"/>
      <c r="U38" s="185"/>
      <c r="V38" s="170"/>
      <c r="W38" s="173"/>
      <c r="X38" s="170"/>
      <c r="Y38" s="174">
        <v>0.58689999999999998</v>
      </c>
      <c r="Z38" s="160"/>
      <c r="AA38" s="128"/>
      <c r="AB38" s="300"/>
      <c r="AC38" s="170"/>
    </row>
    <row r="39" spans="1:29" s="161" customFormat="1" ht="30" customHeight="1">
      <c r="A39" s="319"/>
      <c r="B39" s="127" t="s">
        <v>457</v>
      </c>
      <c r="C39" s="156" t="s">
        <v>360</v>
      </c>
      <c r="D39" s="156"/>
      <c r="E39" s="156"/>
      <c r="F39" s="127" t="s">
        <v>458</v>
      </c>
      <c r="G39" s="180" t="s">
        <v>424</v>
      </c>
      <c r="H39" s="146" t="s">
        <v>351</v>
      </c>
      <c r="I39" s="127" t="s">
        <v>459</v>
      </c>
      <c r="J39" s="151" t="s">
        <v>353</v>
      </c>
      <c r="K39" s="151">
        <v>3.6</v>
      </c>
      <c r="L39" s="151">
        <v>3.8</v>
      </c>
      <c r="M39" s="158"/>
      <c r="N39" s="158"/>
      <c r="O39" s="156"/>
      <c r="P39" s="127">
        <v>19410</v>
      </c>
      <c r="Q39" s="151"/>
      <c r="R39" s="151"/>
      <c r="S39" s="159">
        <v>31849</v>
      </c>
      <c r="T39" s="151"/>
      <c r="U39" s="159"/>
      <c r="V39" s="156"/>
      <c r="W39" s="151"/>
      <c r="X39" s="156"/>
      <c r="Y39" s="158">
        <v>0.63019999999999998</v>
      </c>
      <c r="Z39" s="160"/>
      <c r="AA39" s="127"/>
      <c r="AB39" s="156" t="s">
        <v>354</v>
      </c>
      <c r="AC39" s="156"/>
    </row>
    <row r="40" spans="1:29" s="161" customFormat="1" ht="30" customHeight="1">
      <c r="A40" s="319"/>
      <c r="B40" s="127" t="s">
        <v>460</v>
      </c>
      <c r="C40" s="156" t="s">
        <v>348</v>
      </c>
      <c r="D40" s="156"/>
      <c r="E40" s="156"/>
      <c r="F40" s="127" t="s">
        <v>461</v>
      </c>
      <c r="G40" s="180" t="s">
        <v>362</v>
      </c>
      <c r="H40" s="127" t="s">
        <v>351</v>
      </c>
      <c r="I40" s="127" t="s">
        <v>462</v>
      </c>
      <c r="J40" s="151" t="s">
        <v>353</v>
      </c>
      <c r="K40" s="151">
        <v>4.5999999999999996</v>
      </c>
      <c r="L40" s="151">
        <v>6.5</v>
      </c>
      <c r="M40" s="158"/>
      <c r="N40" s="158"/>
      <c r="O40" s="156"/>
      <c r="P40" s="127">
        <v>22933</v>
      </c>
      <c r="Q40" s="151"/>
      <c r="R40" s="151"/>
      <c r="S40" s="159">
        <v>49405</v>
      </c>
      <c r="T40" s="151"/>
      <c r="U40" s="159"/>
      <c r="V40" s="156"/>
      <c r="W40" s="151"/>
      <c r="X40" s="156"/>
      <c r="Y40" s="158">
        <v>0.58540000000000003</v>
      </c>
      <c r="Z40" s="160"/>
      <c r="AA40" s="127"/>
      <c r="AB40" s="156" t="s">
        <v>354</v>
      </c>
      <c r="AC40" s="156"/>
    </row>
    <row r="41" spans="1:29" s="161" customFormat="1" ht="30" customHeight="1">
      <c r="A41" s="319"/>
      <c r="B41" s="127" t="s">
        <v>463</v>
      </c>
      <c r="C41" s="147" t="s">
        <v>373</v>
      </c>
      <c r="D41" s="156"/>
      <c r="E41" s="156"/>
      <c r="F41" s="127" t="s">
        <v>464</v>
      </c>
      <c r="G41" s="180" t="s">
        <v>386</v>
      </c>
      <c r="H41" s="127" t="s">
        <v>351</v>
      </c>
      <c r="I41" s="127" t="s">
        <v>465</v>
      </c>
      <c r="J41" s="127" t="s">
        <v>353</v>
      </c>
      <c r="K41" s="151">
        <v>15</v>
      </c>
      <c r="L41" s="151">
        <v>17.100000000000001</v>
      </c>
      <c r="M41" s="158">
        <v>30.639800000000001</v>
      </c>
      <c r="N41" s="158">
        <v>20.5258</v>
      </c>
      <c r="O41" s="156"/>
      <c r="P41" s="127">
        <v>43716</v>
      </c>
      <c r="Q41" s="151"/>
      <c r="R41" s="151"/>
      <c r="S41" s="159">
        <v>142001</v>
      </c>
      <c r="T41" s="151"/>
      <c r="U41" s="159">
        <v>62955</v>
      </c>
      <c r="V41" s="156"/>
      <c r="W41" s="151">
        <v>121.4</v>
      </c>
      <c r="X41" s="156"/>
      <c r="Y41" s="158">
        <v>0.61009999999999998</v>
      </c>
      <c r="Z41" s="160"/>
      <c r="AA41" s="127"/>
      <c r="AB41" s="147" t="s">
        <v>354</v>
      </c>
      <c r="AC41" s="156"/>
    </row>
    <row r="42" spans="1:29" ht="30" customHeight="1">
      <c r="A42" s="319"/>
      <c r="B42" s="146" t="s">
        <v>466</v>
      </c>
      <c r="C42" s="147" t="s">
        <v>373</v>
      </c>
      <c r="D42" s="147"/>
      <c r="E42" s="147"/>
      <c r="F42" s="146" t="s">
        <v>467</v>
      </c>
      <c r="G42" s="167" t="s">
        <v>428</v>
      </c>
      <c r="H42" s="146" t="s">
        <v>351</v>
      </c>
      <c r="I42" s="146" t="s">
        <v>468</v>
      </c>
      <c r="J42" s="146" t="s">
        <v>353</v>
      </c>
      <c r="K42" s="148">
        <v>4.9000000000000004</v>
      </c>
      <c r="L42" s="148">
        <v>7.4</v>
      </c>
      <c r="M42" s="150">
        <v>33.332999999999998</v>
      </c>
      <c r="N42" s="150"/>
      <c r="O42" s="147"/>
      <c r="P42" s="146">
        <v>41849</v>
      </c>
      <c r="Q42" s="151"/>
      <c r="R42" s="147"/>
      <c r="S42" s="152">
        <v>89718</v>
      </c>
      <c r="T42" s="148"/>
      <c r="U42" s="146"/>
      <c r="V42" s="147"/>
      <c r="W42" s="148"/>
      <c r="X42" s="146"/>
      <c r="Y42" s="150">
        <v>0.59140000000000004</v>
      </c>
      <c r="Z42" s="160"/>
      <c r="AA42" s="127"/>
      <c r="AB42" s="147" t="s">
        <v>354</v>
      </c>
      <c r="AC42" s="147"/>
    </row>
    <row r="43" spans="1:29" ht="30" customHeight="1">
      <c r="A43" s="319"/>
      <c r="B43" s="301" t="s">
        <v>469</v>
      </c>
      <c r="C43" s="147" t="s">
        <v>360</v>
      </c>
      <c r="D43" s="147"/>
      <c r="E43" s="147"/>
      <c r="F43" s="146" t="s">
        <v>470</v>
      </c>
      <c r="G43" s="167" t="s">
        <v>362</v>
      </c>
      <c r="H43" s="146" t="s">
        <v>351</v>
      </c>
      <c r="I43" s="146" t="s">
        <v>471</v>
      </c>
      <c r="J43" s="146" t="s">
        <v>353</v>
      </c>
      <c r="K43" s="148">
        <v>4.0999999999999996</v>
      </c>
      <c r="L43" s="148">
        <v>4.9000000000000004</v>
      </c>
      <c r="M43" s="186"/>
      <c r="N43" s="186"/>
      <c r="O43" s="147"/>
      <c r="P43" s="146">
        <v>22839</v>
      </c>
      <c r="Q43" s="151"/>
      <c r="R43" s="147"/>
      <c r="S43" s="184">
        <v>32253</v>
      </c>
      <c r="T43" s="148"/>
      <c r="U43" s="146"/>
      <c r="V43" s="147"/>
      <c r="W43" s="148"/>
      <c r="X43" s="146"/>
      <c r="Y43" s="150">
        <v>0.59299999999999997</v>
      </c>
      <c r="Z43" s="160"/>
      <c r="AA43" s="127"/>
      <c r="AB43" s="304" t="s">
        <v>354</v>
      </c>
      <c r="AC43" s="304"/>
    </row>
    <row r="44" spans="1:29" ht="30" customHeight="1">
      <c r="A44" s="319"/>
      <c r="B44" s="301"/>
      <c r="C44" s="147" t="s">
        <v>348</v>
      </c>
      <c r="D44" s="147"/>
      <c r="E44" s="147"/>
      <c r="F44" s="146" t="s">
        <v>472</v>
      </c>
      <c r="G44" s="167" t="s">
        <v>362</v>
      </c>
      <c r="H44" s="146" t="s">
        <v>351</v>
      </c>
      <c r="I44" s="146" t="s">
        <v>473</v>
      </c>
      <c r="J44" s="146" t="s">
        <v>353</v>
      </c>
      <c r="K44" s="148">
        <v>7.3</v>
      </c>
      <c r="L44" s="148">
        <v>9.6999999999999993</v>
      </c>
      <c r="M44" s="186"/>
      <c r="N44" s="186"/>
      <c r="O44" s="147"/>
      <c r="P44" s="146">
        <v>21903</v>
      </c>
      <c r="Q44" s="151"/>
      <c r="R44" s="147"/>
      <c r="S44" s="184">
        <v>54886</v>
      </c>
      <c r="T44" s="148"/>
      <c r="U44" s="146"/>
      <c r="V44" s="147"/>
      <c r="W44" s="148"/>
      <c r="X44" s="146"/>
      <c r="Y44" s="150">
        <v>0.60409999999999997</v>
      </c>
      <c r="Z44" s="160"/>
      <c r="AA44" s="127"/>
      <c r="AB44" s="304"/>
      <c r="AC44" s="304"/>
    </row>
    <row r="45" spans="1:29" ht="30" customHeight="1">
      <c r="A45" s="319"/>
      <c r="B45" s="146" t="s">
        <v>474</v>
      </c>
      <c r="C45" s="147" t="s">
        <v>348</v>
      </c>
      <c r="D45" s="147"/>
      <c r="E45" s="147"/>
      <c r="F45" s="146" t="s">
        <v>475</v>
      </c>
      <c r="G45" s="167" t="s">
        <v>362</v>
      </c>
      <c r="H45" s="146" t="s">
        <v>351</v>
      </c>
      <c r="I45" s="146" t="s">
        <v>476</v>
      </c>
      <c r="J45" s="146" t="s">
        <v>353</v>
      </c>
      <c r="K45" s="148">
        <v>3.9</v>
      </c>
      <c r="L45" s="148">
        <v>4.0999999999999996</v>
      </c>
      <c r="M45" s="150"/>
      <c r="N45" s="150"/>
      <c r="O45" s="147"/>
      <c r="P45" s="146">
        <v>10577</v>
      </c>
      <c r="Q45" s="151"/>
      <c r="R45" s="147"/>
      <c r="S45" s="152">
        <v>19011</v>
      </c>
      <c r="T45" s="148"/>
      <c r="U45" s="146"/>
      <c r="V45" s="147"/>
      <c r="W45" s="148"/>
      <c r="X45" s="146"/>
      <c r="Y45" s="150">
        <v>0.59319999999999995</v>
      </c>
      <c r="Z45" s="160"/>
      <c r="AA45" s="154"/>
      <c r="AB45" s="156" t="s">
        <v>354</v>
      </c>
      <c r="AC45" s="147"/>
    </row>
    <row r="46" spans="1:29" ht="30" customHeight="1">
      <c r="A46" s="319"/>
      <c r="B46" s="301" t="s">
        <v>477</v>
      </c>
      <c r="C46" s="147" t="s">
        <v>360</v>
      </c>
      <c r="D46" s="147"/>
      <c r="E46" s="147"/>
      <c r="F46" s="146" t="s">
        <v>478</v>
      </c>
      <c r="G46" s="167" t="s">
        <v>370</v>
      </c>
      <c r="H46" s="146" t="s">
        <v>351</v>
      </c>
      <c r="I46" s="146" t="s">
        <v>479</v>
      </c>
      <c r="J46" s="146" t="s">
        <v>353</v>
      </c>
      <c r="K46" s="148">
        <v>3.3</v>
      </c>
      <c r="L46" s="148">
        <v>5.4</v>
      </c>
      <c r="M46" s="150"/>
      <c r="N46" s="150"/>
      <c r="O46" s="147"/>
      <c r="P46" s="146">
        <v>24436</v>
      </c>
      <c r="Q46" s="151"/>
      <c r="R46" s="146"/>
      <c r="S46" s="152">
        <v>65553</v>
      </c>
      <c r="T46" s="148"/>
      <c r="U46" s="152"/>
      <c r="V46" s="147"/>
      <c r="W46" s="148"/>
      <c r="X46" s="147"/>
      <c r="Y46" s="150">
        <v>0.60489999999999999</v>
      </c>
      <c r="Z46" s="160"/>
      <c r="AA46" s="154"/>
      <c r="AB46" s="302" t="s">
        <v>354</v>
      </c>
      <c r="AC46" s="147"/>
    </row>
    <row r="47" spans="1:29" ht="30" customHeight="1">
      <c r="A47" s="319"/>
      <c r="B47" s="301"/>
      <c r="C47" s="147" t="s">
        <v>348</v>
      </c>
      <c r="D47" s="147"/>
      <c r="E47" s="147"/>
      <c r="F47" s="146" t="s">
        <v>480</v>
      </c>
      <c r="G47" s="167" t="s">
        <v>362</v>
      </c>
      <c r="H47" s="146" t="s">
        <v>351</v>
      </c>
      <c r="I47" s="146" t="s">
        <v>481</v>
      </c>
      <c r="J47" s="146" t="s">
        <v>353</v>
      </c>
      <c r="K47" s="148">
        <v>4.8</v>
      </c>
      <c r="L47" s="148">
        <v>7.8</v>
      </c>
      <c r="M47" s="150"/>
      <c r="N47" s="150"/>
      <c r="O47" s="147"/>
      <c r="P47" s="146">
        <v>21120</v>
      </c>
      <c r="Q47" s="151">
        <v>7.5</v>
      </c>
      <c r="R47" s="146"/>
      <c r="S47" s="152"/>
      <c r="T47" s="148"/>
      <c r="U47" s="152"/>
      <c r="V47" s="147"/>
      <c r="W47" s="148"/>
      <c r="X47" s="147"/>
      <c r="Y47" s="150">
        <v>0.60489999999999999</v>
      </c>
      <c r="Z47" s="160">
        <v>21.38</v>
      </c>
      <c r="AA47" s="127" t="s">
        <v>367</v>
      </c>
      <c r="AB47" s="302"/>
      <c r="AC47" s="147"/>
    </row>
    <row r="48" spans="1:29" s="179" customFormat="1" ht="30" customHeight="1">
      <c r="A48" s="319"/>
      <c r="B48" s="187" t="s">
        <v>482</v>
      </c>
      <c r="C48" s="147" t="s">
        <v>373</v>
      </c>
      <c r="D48" s="170"/>
      <c r="E48" s="170"/>
      <c r="F48" s="128" t="s">
        <v>483</v>
      </c>
      <c r="G48" s="172" t="s">
        <v>484</v>
      </c>
      <c r="H48" s="187" t="s">
        <v>351</v>
      </c>
      <c r="I48" s="187" t="s">
        <v>485</v>
      </c>
      <c r="J48" s="187" t="s">
        <v>353</v>
      </c>
      <c r="K48" s="188">
        <v>13.5</v>
      </c>
      <c r="L48" s="188">
        <v>13.8</v>
      </c>
      <c r="M48" s="189"/>
      <c r="N48" s="189"/>
      <c r="O48" s="190"/>
      <c r="P48" s="187">
        <v>43992</v>
      </c>
      <c r="Q48" s="151"/>
      <c r="R48" s="187"/>
      <c r="S48" s="191">
        <v>130666</v>
      </c>
      <c r="T48" s="188"/>
      <c r="U48" s="192"/>
      <c r="V48" s="190"/>
      <c r="W48" s="188"/>
      <c r="X48" s="190"/>
      <c r="Y48" s="189">
        <v>0.59079999999999999</v>
      </c>
      <c r="Z48" s="160"/>
      <c r="AA48" s="187"/>
      <c r="AB48" s="190" t="s">
        <v>354</v>
      </c>
      <c r="AC48" s="190"/>
    </row>
    <row r="49" spans="1:29" ht="30" customHeight="1">
      <c r="A49" s="319"/>
      <c r="B49" s="146" t="s">
        <v>486</v>
      </c>
      <c r="C49" s="147" t="s">
        <v>348</v>
      </c>
      <c r="D49" s="147"/>
      <c r="E49" s="147"/>
      <c r="F49" s="146" t="s">
        <v>487</v>
      </c>
      <c r="G49" s="167" t="s">
        <v>488</v>
      </c>
      <c r="H49" s="146" t="s">
        <v>351</v>
      </c>
      <c r="I49" s="146" t="s">
        <v>489</v>
      </c>
      <c r="J49" s="127" t="s">
        <v>353</v>
      </c>
      <c r="K49" s="151">
        <v>1</v>
      </c>
      <c r="L49" s="151">
        <v>0</v>
      </c>
      <c r="M49" s="150"/>
      <c r="N49" s="150"/>
      <c r="O49" s="147"/>
      <c r="P49" s="146">
        <v>15903</v>
      </c>
      <c r="Q49" s="151">
        <v>11.1</v>
      </c>
      <c r="R49" s="146"/>
      <c r="S49" s="152">
        <v>32852</v>
      </c>
      <c r="T49" s="148">
        <v>22.8</v>
      </c>
      <c r="U49" s="152"/>
      <c r="V49" s="147"/>
      <c r="W49" s="148"/>
      <c r="X49" s="147"/>
      <c r="Y49" s="150">
        <v>0.59019999999999995</v>
      </c>
      <c r="Z49" s="160">
        <v>39</v>
      </c>
      <c r="AA49" s="127" t="s">
        <v>367</v>
      </c>
      <c r="AB49" s="156" t="s">
        <v>354</v>
      </c>
      <c r="AC49" s="147"/>
    </row>
    <row r="50" spans="1:29" s="161" customFormat="1" ht="30" customHeight="1">
      <c r="A50" s="319"/>
      <c r="B50" s="298" t="s">
        <v>490</v>
      </c>
      <c r="C50" s="156" t="s">
        <v>360</v>
      </c>
      <c r="D50" s="156"/>
      <c r="E50" s="156"/>
      <c r="F50" s="127" t="s">
        <v>491</v>
      </c>
      <c r="G50" s="180" t="s">
        <v>492</v>
      </c>
      <c r="H50" s="127" t="s">
        <v>351</v>
      </c>
      <c r="I50" s="127" t="s">
        <v>493</v>
      </c>
      <c r="J50" s="127" t="s">
        <v>353</v>
      </c>
      <c r="K50" s="151">
        <v>5.0999999999999996</v>
      </c>
      <c r="L50" s="151">
        <v>6.6</v>
      </c>
      <c r="M50" s="158"/>
      <c r="N50" s="158"/>
      <c r="O50" s="156"/>
      <c r="P50" s="127">
        <v>41050</v>
      </c>
      <c r="Q50" s="151"/>
      <c r="R50" s="151"/>
      <c r="S50" s="159">
        <v>115065</v>
      </c>
      <c r="T50" s="151"/>
      <c r="U50" s="159"/>
      <c r="V50" s="156"/>
      <c r="W50" s="151"/>
      <c r="X50" s="156"/>
      <c r="Y50" s="158">
        <v>0.61150000000000004</v>
      </c>
      <c r="Z50" s="160"/>
      <c r="AA50" s="127"/>
      <c r="AB50" s="304" t="s">
        <v>354</v>
      </c>
      <c r="AC50" s="156"/>
    </row>
    <row r="51" spans="1:29" s="161" customFormat="1" ht="30" customHeight="1">
      <c r="A51" s="319"/>
      <c r="B51" s="298"/>
      <c r="C51" s="183" t="s">
        <v>348</v>
      </c>
      <c r="D51" s="156"/>
      <c r="E51" s="156"/>
      <c r="F51" s="127" t="s">
        <v>494</v>
      </c>
      <c r="G51" s="180" t="s">
        <v>362</v>
      </c>
      <c r="H51" s="127" t="s">
        <v>351</v>
      </c>
      <c r="I51" s="127" t="s">
        <v>495</v>
      </c>
      <c r="J51" s="127" t="s">
        <v>353</v>
      </c>
      <c r="K51" s="151">
        <v>0</v>
      </c>
      <c r="L51" s="151">
        <v>1.4</v>
      </c>
      <c r="M51" s="158"/>
      <c r="N51" s="158"/>
      <c r="O51" s="156"/>
      <c r="P51" s="127">
        <v>386</v>
      </c>
      <c r="Q51" s="151"/>
      <c r="R51" s="151"/>
      <c r="S51" s="159">
        <v>400</v>
      </c>
      <c r="T51" s="151"/>
      <c r="U51" s="159"/>
      <c r="V51" s="156"/>
      <c r="W51" s="151"/>
      <c r="X51" s="156"/>
      <c r="Y51" s="158">
        <v>0.61480000000000001</v>
      </c>
      <c r="Z51" s="160"/>
      <c r="AA51" s="127"/>
      <c r="AB51" s="304"/>
      <c r="AC51" s="156"/>
    </row>
    <row r="52" spans="1:29" ht="30" customHeight="1">
      <c r="A52" s="319"/>
      <c r="B52" s="301" t="s">
        <v>496</v>
      </c>
      <c r="C52" s="147" t="s">
        <v>497</v>
      </c>
      <c r="D52" s="147"/>
      <c r="E52" s="147"/>
      <c r="F52" s="146" t="s">
        <v>498</v>
      </c>
      <c r="G52" s="167" t="s">
        <v>499</v>
      </c>
      <c r="H52" s="146" t="s">
        <v>351</v>
      </c>
      <c r="I52" s="193" t="s">
        <v>500</v>
      </c>
      <c r="J52" s="146" t="s">
        <v>353</v>
      </c>
      <c r="K52" s="148">
        <v>14.5</v>
      </c>
      <c r="L52" s="148">
        <v>15.6</v>
      </c>
      <c r="M52" s="150">
        <v>30.760300000000001</v>
      </c>
      <c r="N52" s="150">
        <v>21.7149</v>
      </c>
      <c r="O52" s="147"/>
      <c r="P52" s="146">
        <v>47352</v>
      </c>
      <c r="Q52" s="151"/>
      <c r="R52" s="147"/>
      <c r="S52" s="152">
        <v>65267</v>
      </c>
      <c r="T52" s="148"/>
      <c r="U52" s="146">
        <v>72374</v>
      </c>
      <c r="V52" s="147"/>
      <c r="W52" s="148">
        <v>124.9</v>
      </c>
      <c r="X52" s="146"/>
      <c r="Y52" s="150">
        <v>0.59430000000000005</v>
      </c>
      <c r="Z52" s="160"/>
      <c r="AA52" s="154"/>
      <c r="AB52" s="304" t="s">
        <v>354</v>
      </c>
      <c r="AC52" s="304"/>
    </row>
    <row r="53" spans="1:29" ht="30" customHeight="1">
      <c r="A53" s="319"/>
      <c r="B53" s="301"/>
      <c r="C53" s="147" t="s">
        <v>348</v>
      </c>
      <c r="D53" s="147"/>
      <c r="E53" s="147"/>
      <c r="F53" s="146" t="s">
        <v>501</v>
      </c>
      <c r="G53" s="167" t="s">
        <v>386</v>
      </c>
      <c r="H53" s="146" t="s">
        <v>351</v>
      </c>
      <c r="I53" s="167" t="s">
        <v>502</v>
      </c>
      <c r="J53" s="146" t="s">
        <v>353</v>
      </c>
      <c r="K53" s="148">
        <v>2.5</v>
      </c>
      <c r="L53" s="148">
        <v>8.3000000000000007</v>
      </c>
      <c r="M53" s="150">
        <v>26.9148</v>
      </c>
      <c r="N53" s="150"/>
      <c r="O53" s="147"/>
      <c r="P53" s="152">
        <v>18838</v>
      </c>
      <c r="Q53" s="151">
        <v>13</v>
      </c>
      <c r="R53" s="147"/>
      <c r="S53" s="152">
        <v>22021</v>
      </c>
      <c r="T53" s="148">
        <v>20</v>
      </c>
      <c r="U53" s="146"/>
      <c r="V53" s="147"/>
      <c r="W53" s="148">
        <v>113.6</v>
      </c>
      <c r="X53" s="146"/>
      <c r="Y53" s="150">
        <v>0.58830000000000005</v>
      </c>
      <c r="Z53" s="160">
        <v>28.71</v>
      </c>
      <c r="AA53" s="154" t="s">
        <v>503</v>
      </c>
      <c r="AB53" s="304"/>
      <c r="AC53" s="304"/>
    </row>
    <row r="54" spans="1:29" s="179" customFormat="1" ht="30" customHeight="1">
      <c r="A54" s="319"/>
      <c r="B54" s="299" t="s">
        <v>504</v>
      </c>
      <c r="C54" s="170" t="s">
        <v>95</v>
      </c>
      <c r="D54" s="170"/>
      <c r="E54" s="170"/>
      <c r="F54" s="128" t="s">
        <v>505</v>
      </c>
      <c r="G54" s="172" t="s">
        <v>129</v>
      </c>
      <c r="H54" s="128" t="s">
        <v>351</v>
      </c>
      <c r="I54" s="128" t="s">
        <v>506</v>
      </c>
      <c r="J54" s="128" t="s">
        <v>353</v>
      </c>
      <c r="K54" s="173"/>
      <c r="L54" s="173"/>
      <c r="M54" s="174"/>
      <c r="N54" s="174"/>
      <c r="O54" s="170"/>
      <c r="P54" s="128">
        <v>721</v>
      </c>
      <c r="Q54" s="151">
        <v>9</v>
      </c>
      <c r="R54" s="194"/>
      <c r="S54" s="176">
        <v>842</v>
      </c>
      <c r="T54" s="173"/>
      <c r="U54" s="177"/>
      <c r="V54" s="170"/>
      <c r="W54" s="173"/>
      <c r="X54" s="170"/>
      <c r="Y54" s="174">
        <v>0.6129</v>
      </c>
      <c r="Z54" s="160">
        <v>15.39</v>
      </c>
      <c r="AA54" s="128" t="s">
        <v>507</v>
      </c>
      <c r="AB54" s="300" t="s">
        <v>508</v>
      </c>
      <c r="AC54" s="170"/>
    </row>
    <row r="55" spans="1:29" s="179" customFormat="1" ht="30" customHeight="1">
      <c r="A55" s="319"/>
      <c r="B55" s="299"/>
      <c r="C55" s="170" t="s">
        <v>509</v>
      </c>
      <c r="D55" s="170"/>
      <c r="E55" s="170"/>
      <c r="F55" s="128" t="s">
        <v>510</v>
      </c>
      <c r="G55" s="172" t="s">
        <v>129</v>
      </c>
      <c r="H55" s="128" t="s">
        <v>351</v>
      </c>
      <c r="I55" s="128" t="s">
        <v>511</v>
      </c>
      <c r="J55" s="128" t="s">
        <v>353</v>
      </c>
      <c r="K55" s="173"/>
      <c r="L55" s="173"/>
      <c r="M55" s="174"/>
      <c r="N55" s="174"/>
      <c r="O55" s="170"/>
      <c r="P55" s="128">
        <v>500</v>
      </c>
      <c r="Q55" s="151"/>
      <c r="R55" s="194"/>
      <c r="S55" s="176">
        <v>818</v>
      </c>
      <c r="T55" s="173"/>
      <c r="U55" s="177"/>
      <c r="V55" s="170"/>
      <c r="W55" s="173"/>
      <c r="X55" s="170"/>
      <c r="Y55" s="174">
        <v>0.59089999999999998</v>
      </c>
      <c r="Z55" s="160"/>
      <c r="AA55" s="128"/>
      <c r="AB55" s="300"/>
      <c r="AC55" s="170"/>
    </row>
    <row r="56" spans="1:29" ht="30" customHeight="1">
      <c r="A56" s="319"/>
      <c r="B56" s="146" t="s">
        <v>512</v>
      </c>
      <c r="C56" s="147" t="s">
        <v>513</v>
      </c>
      <c r="D56" s="147"/>
      <c r="E56" s="147"/>
      <c r="F56" s="146" t="s">
        <v>514</v>
      </c>
      <c r="G56" s="167" t="s">
        <v>428</v>
      </c>
      <c r="H56" s="146" t="s">
        <v>351</v>
      </c>
      <c r="I56" s="146" t="s">
        <v>515</v>
      </c>
      <c r="J56" s="146" t="s">
        <v>353</v>
      </c>
      <c r="K56" s="148">
        <v>4.5</v>
      </c>
      <c r="L56" s="148">
        <v>5.5</v>
      </c>
      <c r="M56" s="195"/>
      <c r="N56" s="195"/>
      <c r="O56" s="147"/>
      <c r="P56" s="146">
        <v>20873</v>
      </c>
      <c r="Q56" s="151">
        <v>17</v>
      </c>
      <c r="R56" s="147"/>
      <c r="S56" s="146">
        <v>23894</v>
      </c>
      <c r="T56" s="148"/>
      <c r="U56" s="146"/>
      <c r="V56" s="147"/>
      <c r="W56" s="148"/>
      <c r="X56" s="146"/>
      <c r="Y56" s="150">
        <v>0.58489999999999998</v>
      </c>
      <c r="Z56" s="160">
        <v>37.229999999999997</v>
      </c>
      <c r="AA56" s="154" t="s">
        <v>503</v>
      </c>
      <c r="AB56" s="147" t="s">
        <v>354</v>
      </c>
      <c r="AC56" s="147"/>
    </row>
    <row r="57" spans="1:29" s="179" customFormat="1" ht="30" customHeight="1">
      <c r="A57" s="319"/>
      <c r="B57" s="299" t="s">
        <v>516</v>
      </c>
      <c r="C57" s="170" t="s">
        <v>348</v>
      </c>
      <c r="D57" s="170"/>
      <c r="E57" s="170"/>
      <c r="F57" s="128" t="s">
        <v>517</v>
      </c>
      <c r="G57" s="172" t="s">
        <v>130</v>
      </c>
      <c r="H57" s="128" t="s">
        <v>351</v>
      </c>
      <c r="I57" s="128" t="s">
        <v>518</v>
      </c>
      <c r="J57" s="128" t="s">
        <v>353</v>
      </c>
      <c r="K57" s="173">
        <v>3.1</v>
      </c>
      <c r="L57" s="173">
        <v>3.8</v>
      </c>
      <c r="M57" s="174"/>
      <c r="N57" s="174"/>
      <c r="O57" s="170"/>
      <c r="P57" s="128">
        <v>14428</v>
      </c>
      <c r="Q57" s="151"/>
      <c r="R57" s="128"/>
      <c r="S57" s="176">
        <v>31448</v>
      </c>
      <c r="T57" s="173"/>
      <c r="U57" s="177"/>
      <c r="V57" s="170"/>
      <c r="W57" s="173"/>
      <c r="X57" s="170"/>
      <c r="Y57" s="174">
        <v>0.59050000000000002</v>
      </c>
      <c r="Z57" s="160"/>
      <c r="AA57" s="128"/>
      <c r="AB57" s="300" t="s">
        <v>354</v>
      </c>
      <c r="AC57" s="170"/>
    </row>
    <row r="58" spans="1:29" s="179" customFormat="1" ht="30" customHeight="1">
      <c r="A58" s="319"/>
      <c r="B58" s="299"/>
      <c r="C58" s="183" t="s">
        <v>360</v>
      </c>
      <c r="D58" s="170"/>
      <c r="E58" s="170"/>
      <c r="F58" s="128" t="s">
        <v>519</v>
      </c>
      <c r="G58" s="172" t="s">
        <v>520</v>
      </c>
      <c r="H58" s="128" t="s">
        <v>351</v>
      </c>
      <c r="I58" s="128" t="s">
        <v>521</v>
      </c>
      <c r="J58" s="128" t="s">
        <v>131</v>
      </c>
      <c r="K58" s="173">
        <v>1.2</v>
      </c>
      <c r="L58" s="173"/>
      <c r="M58" s="174"/>
      <c r="N58" s="174"/>
      <c r="O58" s="170"/>
      <c r="P58" s="128">
        <v>1187</v>
      </c>
      <c r="Q58" s="151">
        <v>13</v>
      </c>
      <c r="R58" s="128"/>
      <c r="S58" s="176">
        <v>2105</v>
      </c>
      <c r="T58" s="173"/>
      <c r="U58" s="177"/>
      <c r="V58" s="170"/>
      <c r="W58" s="173"/>
      <c r="X58" s="170"/>
      <c r="Y58" s="174">
        <v>0.59250000000000003</v>
      </c>
      <c r="Z58" s="160"/>
      <c r="AA58" s="128"/>
      <c r="AB58" s="300"/>
      <c r="AC58" s="170"/>
    </row>
    <row r="59" spans="1:29" s="179" customFormat="1" ht="30" customHeight="1">
      <c r="A59" s="319"/>
      <c r="B59" s="305" t="s">
        <v>522</v>
      </c>
      <c r="C59" s="183" t="s">
        <v>348</v>
      </c>
      <c r="D59" s="170"/>
      <c r="E59" s="170"/>
      <c r="F59" s="128" t="s">
        <v>523</v>
      </c>
      <c r="G59" s="172" t="s">
        <v>132</v>
      </c>
      <c r="H59" s="128" t="s">
        <v>351</v>
      </c>
      <c r="I59" s="128" t="s">
        <v>524</v>
      </c>
      <c r="J59" s="128" t="s">
        <v>353</v>
      </c>
      <c r="K59" s="173">
        <v>5.5</v>
      </c>
      <c r="L59" s="173">
        <v>14.5</v>
      </c>
      <c r="M59" s="174"/>
      <c r="N59" s="174"/>
      <c r="O59" s="170"/>
      <c r="P59" s="128">
        <v>32738</v>
      </c>
      <c r="Q59" s="151"/>
      <c r="R59" s="128"/>
      <c r="S59" s="176">
        <v>77872</v>
      </c>
      <c r="T59" s="173"/>
      <c r="U59" s="177"/>
      <c r="V59" s="170"/>
      <c r="W59" s="173"/>
      <c r="X59" s="170"/>
      <c r="Y59" s="174">
        <v>0.60219999999999996</v>
      </c>
      <c r="Z59" s="160"/>
      <c r="AA59" s="128"/>
      <c r="AB59" s="300" t="s">
        <v>354</v>
      </c>
      <c r="AC59" s="170"/>
    </row>
    <row r="60" spans="1:29" s="179" customFormat="1" ht="30" customHeight="1">
      <c r="A60" s="319"/>
      <c r="B60" s="305"/>
      <c r="C60" s="183" t="s">
        <v>360</v>
      </c>
      <c r="D60" s="170"/>
      <c r="E60" s="170"/>
      <c r="F60" s="128" t="s">
        <v>525</v>
      </c>
      <c r="G60" s="172" t="s">
        <v>128</v>
      </c>
      <c r="H60" s="128" t="s">
        <v>351</v>
      </c>
      <c r="I60" s="128" t="s">
        <v>526</v>
      </c>
      <c r="J60" s="128" t="s">
        <v>353</v>
      </c>
      <c r="K60" s="173">
        <v>4.7</v>
      </c>
      <c r="L60" s="173">
        <v>5.7</v>
      </c>
      <c r="M60" s="174">
        <v>31.2042</v>
      </c>
      <c r="N60" s="174"/>
      <c r="O60" s="170"/>
      <c r="P60" s="128">
        <v>30407</v>
      </c>
      <c r="Q60" s="151"/>
      <c r="R60" s="128"/>
      <c r="S60" s="176">
        <v>90949</v>
      </c>
      <c r="T60" s="173"/>
      <c r="U60" s="177"/>
      <c r="V60" s="170"/>
      <c r="W60" s="173"/>
      <c r="X60" s="170"/>
      <c r="Y60" s="174">
        <v>0.58930000000000005</v>
      </c>
      <c r="Z60" s="160"/>
      <c r="AA60" s="128"/>
      <c r="AB60" s="300"/>
      <c r="AC60" s="170"/>
    </row>
    <row r="61" spans="1:29" s="161" customFormat="1" ht="30" customHeight="1">
      <c r="A61" s="319"/>
      <c r="B61" s="127" t="s">
        <v>527</v>
      </c>
      <c r="C61" s="156" t="s">
        <v>348</v>
      </c>
      <c r="D61" s="156"/>
      <c r="E61" s="156"/>
      <c r="F61" s="127" t="s">
        <v>528</v>
      </c>
      <c r="G61" s="180" t="s">
        <v>362</v>
      </c>
      <c r="H61" s="127" t="s">
        <v>351</v>
      </c>
      <c r="I61" s="127" t="s">
        <v>529</v>
      </c>
      <c r="J61" s="127" t="s">
        <v>353</v>
      </c>
      <c r="K61" s="151">
        <v>3.2</v>
      </c>
      <c r="L61" s="151">
        <v>3.6</v>
      </c>
      <c r="M61" s="158"/>
      <c r="N61" s="158"/>
      <c r="O61" s="156"/>
      <c r="P61" s="127">
        <v>22482</v>
      </c>
      <c r="Q61" s="151"/>
      <c r="R61" s="151"/>
      <c r="S61" s="159">
        <v>47677</v>
      </c>
      <c r="T61" s="151"/>
      <c r="U61" s="159"/>
      <c r="V61" s="156"/>
      <c r="W61" s="151"/>
      <c r="X61" s="156"/>
      <c r="Y61" s="158">
        <v>0.60389999999999999</v>
      </c>
      <c r="Z61" s="160"/>
      <c r="AA61" s="127"/>
      <c r="AB61" s="156" t="s">
        <v>354</v>
      </c>
      <c r="AC61" s="156"/>
    </row>
    <row r="62" spans="1:29" s="161" customFormat="1" ht="30" customHeight="1">
      <c r="A62" s="319"/>
      <c r="B62" s="127" t="s">
        <v>530</v>
      </c>
      <c r="C62" s="156" t="s">
        <v>348</v>
      </c>
      <c r="D62" s="156"/>
      <c r="E62" s="156"/>
      <c r="F62" s="127" t="s">
        <v>531</v>
      </c>
      <c r="G62" s="180" t="s">
        <v>362</v>
      </c>
      <c r="H62" s="127" t="s">
        <v>351</v>
      </c>
      <c r="I62" s="156" t="s">
        <v>411</v>
      </c>
      <c r="J62" s="127" t="s">
        <v>353</v>
      </c>
      <c r="K62" s="160">
        <v>4.8</v>
      </c>
      <c r="L62" s="160">
        <v>6.5</v>
      </c>
      <c r="M62" s="158"/>
      <c r="N62" s="158"/>
      <c r="O62" s="156"/>
      <c r="P62" s="156">
        <v>46250</v>
      </c>
      <c r="Q62" s="151"/>
      <c r="R62" s="156"/>
      <c r="S62" s="196">
        <v>117234</v>
      </c>
      <c r="T62" s="160"/>
      <c r="U62" s="159"/>
      <c r="V62" s="156"/>
      <c r="W62" s="151"/>
      <c r="X62" s="156"/>
      <c r="Y62" s="158">
        <v>0.58689999999999998</v>
      </c>
      <c r="Z62" s="160"/>
      <c r="AA62" s="127"/>
      <c r="AB62" s="156" t="s">
        <v>354</v>
      </c>
      <c r="AC62" s="156"/>
    </row>
    <row r="63" spans="1:29" s="161" customFormat="1" ht="30" customHeight="1">
      <c r="A63" s="319"/>
      <c r="B63" s="298" t="s">
        <v>133</v>
      </c>
      <c r="C63" s="183" t="s">
        <v>360</v>
      </c>
      <c r="D63" s="156"/>
      <c r="E63" s="156"/>
      <c r="F63" s="127" t="s">
        <v>532</v>
      </c>
      <c r="G63" s="180" t="s">
        <v>362</v>
      </c>
      <c r="H63" s="127" t="s">
        <v>351</v>
      </c>
      <c r="I63" s="156" t="s">
        <v>533</v>
      </c>
      <c r="J63" s="127" t="s">
        <v>353</v>
      </c>
      <c r="K63" s="160">
        <v>2.9</v>
      </c>
      <c r="L63" s="160">
        <v>4</v>
      </c>
      <c r="M63" s="158"/>
      <c r="N63" s="158"/>
      <c r="O63" s="156"/>
      <c r="P63" s="156">
        <v>10030</v>
      </c>
      <c r="Q63" s="151"/>
      <c r="R63" s="156"/>
      <c r="S63" s="196">
        <v>27430</v>
      </c>
      <c r="T63" s="160"/>
      <c r="U63" s="159"/>
      <c r="V63" s="156"/>
      <c r="W63" s="151"/>
      <c r="X63" s="156"/>
      <c r="Y63" s="158">
        <v>0.59499999999999997</v>
      </c>
      <c r="Z63" s="160"/>
      <c r="AA63" s="127"/>
      <c r="AB63" s="302" t="s">
        <v>354</v>
      </c>
      <c r="AC63" s="156"/>
    </row>
    <row r="64" spans="1:29" s="161" customFormat="1" ht="30" customHeight="1">
      <c r="A64" s="319"/>
      <c r="B64" s="298"/>
      <c r="C64" s="183" t="s">
        <v>348</v>
      </c>
      <c r="D64" s="156"/>
      <c r="E64" s="156"/>
      <c r="F64" s="127" t="s">
        <v>534</v>
      </c>
      <c r="G64" s="180" t="s">
        <v>370</v>
      </c>
      <c r="H64" s="127" t="s">
        <v>351</v>
      </c>
      <c r="I64" s="156" t="s">
        <v>535</v>
      </c>
      <c r="J64" s="127" t="s">
        <v>353</v>
      </c>
      <c r="K64" s="160">
        <v>3.8</v>
      </c>
      <c r="L64" s="160">
        <v>8.1999999999999993</v>
      </c>
      <c r="M64" s="158">
        <v>26.5441</v>
      </c>
      <c r="N64" s="158"/>
      <c r="O64" s="156"/>
      <c r="P64" s="156">
        <v>40744</v>
      </c>
      <c r="Q64" s="151"/>
      <c r="R64" s="156"/>
      <c r="S64" s="196">
        <v>102761</v>
      </c>
      <c r="T64" s="160"/>
      <c r="U64" s="159"/>
      <c r="V64" s="156"/>
      <c r="W64" s="151"/>
      <c r="X64" s="156"/>
      <c r="Y64" s="158">
        <v>0.58499999999999996</v>
      </c>
      <c r="Z64" s="160"/>
      <c r="AA64" s="154"/>
      <c r="AB64" s="302"/>
      <c r="AC64" s="156"/>
    </row>
    <row r="65" spans="1:205" s="161" customFormat="1" ht="30" customHeight="1">
      <c r="A65" s="319"/>
      <c r="B65" s="298" t="s">
        <v>536</v>
      </c>
      <c r="C65" s="183" t="s">
        <v>360</v>
      </c>
      <c r="D65" s="156"/>
      <c r="E65" s="156"/>
      <c r="F65" s="127" t="s">
        <v>537</v>
      </c>
      <c r="G65" s="180" t="s">
        <v>370</v>
      </c>
      <c r="H65" s="127" t="s">
        <v>351</v>
      </c>
      <c r="I65" s="156" t="s">
        <v>538</v>
      </c>
      <c r="J65" s="127" t="s">
        <v>353</v>
      </c>
      <c r="K65" s="160">
        <v>6.6</v>
      </c>
      <c r="L65" s="160">
        <v>7.2</v>
      </c>
      <c r="M65" s="158"/>
      <c r="N65" s="158"/>
      <c r="O65" s="156"/>
      <c r="P65" s="156">
        <v>40071</v>
      </c>
      <c r="Q65" s="151"/>
      <c r="R65" s="156"/>
      <c r="S65" s="196">
        <v>101556</v>
      </c>
      <c r="T65" s="160"/>
      <c r="U65" s="159"/>
      <c r="V65" s="156"/>
      <c r="W65" s="151"/>
      <c r="X65" s="156"/>
      <c r="Y65" s="158">
        <v>0.59099999999999997</v>
      </c>
      <c r="Z65" s="160"/>
      <c r="AA65" s="154"/>
      <c r="AB65" s="302" t="s">
        <v>354</v>
      </c>
      <c r="AC65" s="156"/>
    </row>
    <row r="66" spans="1:205" s="161" customFormat="1" ht="30" customHeight="1">
      <c r="A66" s="319"/>
      <c r="B66" s="298"/>
      <c r="C66" s="183" t="s">
        <v>348</v>
      </c>
      <c r="D66" s="156"/>
      <c r="E66" s="156"/>
      <c r="F66" s="127" t="s">
        <v>539</v>
      </c>
      <c r="G66" s="180" t="s">
        <v>362</v>
      </c>
      <c r="H66" s="127" t="s">
        <v>351</v>
      </c>
      <c r="I66" s="156" t="s">
        <v>540</v>
      </c>
      <c r="J66" s="127" t="s">
        <v>353</v>
      </c>
      <c r="K66" s="160">
        <v>6.9</v>
      </c>
      <c r="L66" s="160">
        <v>8.6</v>
      </c>
      <c r="M66" s="158"/>
      <c r="N66" s="158"/>
      <c r="O66" s="156"/>
      <c r="P66" s="156">
        <v>53739</v>
      </c>
      <c r="Q66" s="151"/>
      <c r="R66" s="156"/>
      <c r="S66" s="196">
        <v>171119</v>
      </c>
      <c r="T66" s="160"/>
      <c r="U66" s="159"/>
      <c r="V66" s="156"/>
      <c r="W66" s="151"/>
      <c r="X66" s="156"/>
      <c r="Y66" s="158">
        <v>0.56759999999999999</v>
      </c>
      <c r="Z66" s="160"/>
      <c r="AA66" s="154"/>
      <c r="AB66" s="302"/>
      <c r="AC66" s="156"/>
    </row>
    <row r="67" spans="1:205" s="161" customFormat="1" ht="30" customHeight="1">
      <c r="A67" s="319"/>
      <c r="B67" s="127" t="s">
        <v>541</v>
      </c>
      <c r="C67" s="183" t="s">
        <v>348</v>
      </c>
      <c r="D67" s="156"/>
      <c r="E67" s="156"/>
      <c r="F67" s="127" t="s">
        <v>542</v>
      </c>
      <c r="G67" s="180" t="s">
        <v>370</v>
      </c>
      <c r="H67" s="127" t="s">
        <v>351</v>
      </c>
      <c r="I67" s="156" t="s">
        <v>543</v>
      </c>
      <c r="J67" s="127" t="s">
        <v>353</v>
      </c>
      <c r="K67" s="160">
        <v>6.5</v>
      </c>
      <c r="L67" s="160">
        <v>9.1999999999999993</v>
      </c>
      <c r="M67" s="158"/>
      <c r="N67" s="158"/>
      <c r="O67" s="156"/>
      <c r="P67" s="156">
        <v>20716</v>
      </c>
      <c r="Q67" s="151"/>
      <c r="R67" s="156"/>
      <c r="S67" s="196"/>
      <c r="T67" s="160"/>
      <c r="U67" s="159"/>
      <c r="V67" s="156"/>
      <c r="W67" s="151"/>
      <c r="X67" s="156"/>
      <c r="Y67" s="158"/>
      <c r="Z67" s="160"/>
      <c r="AA67" s="154"/>
      <c r="AB67" s="156" t="s">
        <v>354</v>
      </c>
      <c r="AC67" s="156"/>
    </row>
    <row r="68" spans="1:205" s="161" customFormat="1" ht="30" customHeight="1">
      <c r="A68" s="319"/>
      <c r="B68" s="305" t="s">
        <v>544</v>
      </c>
      <c r="C68" s="183" t="s">
        <v>360</v>
      </c>
      <c r="D68" s="183"/>
      <c r="E68" s="183"/>
      <c r="F68" s="128" t="s">
        <v>441</v>
      </c>
      <c r="G68" s="172" t="s">
        <v>128</v>
      </c>
      <c r="H68" s="178" t="s">
        <v>351</v>
      </c>
      <c r="I68" s="128" t="s">
        <v>545</v>
      </c>
      <c r="J68" s="128" t="s">
        <v>353</v>
      </c>
      <c r="K68" s="197">
        <v>4.0999999999999996</v>
      </c>
      <c r="L68" s="197">
        <v>8.6</v>
      </c>
      <c r="M68" s="195"/>
      <c r="N68" s="195"/>
      <c r="O68" s="178"/>
      <c r="P68" s="154">
        <v>10364</v>
      </c>
      <c r="Q68" s="151"/>
      <c r="R68" s="154"/>
      <c r="S68" s="154">
        <v>22434</v>
      </c>
      <c r="T68" s="197"/>
      <c r="U68" s="154"/>
      <c r="V68" s="178"/>
      <c r="W68" s="197"/>
      <c r="X68" s="178"/>
      <c r="Y68" s="195">
        <v>0.58919999999999995</v>
      </c>
      <c r="Z68" s="160"/>
      <c r="AA68" s="154"/>
      <c r="AB68" s="306" t="s">
        <v>354</v>
      </c>
      <c r="AC68" s="178"/>
    </row>
    <row r="69" spans="1:205" s="200" customFormat="1" ht="30" customHeight="1">
      <c r="A69" s="319"/>
      <c r="B69" s="305"/>
      <c r="C69" s="183" t="s">
        <v>348</v>
      </c>
      <c r="D69" s="183"/>
      <c r="E69" s="183"/>
      <c r="F69" s="128" t="s">
        <v>546</v>
      </c>
      <c r="G69" s="172" t="s">
        <v>128</v>
      </c>
      <c r="H69" s="128" t="s">
        <v>351</v>
      </c>
      <c r="I69" s="128" t="s">
        <v>547</v>
      </c>
      <c r="J69" s="128" t="s">
        <v>353</v>
      </c>
      <c r="K69" s="197">
        <v>16.5</v>
      </c>
      <c r="L69" s="197">
        <v>19.3</v>
      </c>
      <c r="M69" s="195">
        <v>32.984299999999998</v>
      </c>
      <c r="N69" s="195">
        <v>26.814599999999999</v>
      </c>
      <c r="O69" s="178"/>
      <c r="P69" s="154">
        <v>41285</v>
      </c>
      <c r="Q69" s="151"/>
      <c r="R69" s="154"/>
      <c r="S69" s="154">
        <v>132577</v>
      </c>
      <c r="T69" s="197"/>
      <c r="U69" s="154">
        <v>81297</v>
      </c>
      <c r="V69" s="178"/>
      <c r="W69" s="197">
        <v>113</v>
      </c>
      <c r="X69" s="178"/>
      <c r="Y69" s="195">
        <v>0.58879999999999999</v>
      </c>
      <c r="Z69" s="160"/>
      <c r="AA69" s="154"/>
      <c r="AB69" s="306"/>
      <c r="AC69" s="178"/>
    </row>
    <row r="70" spans="1:205" ht="30" customHeight="1">
      <c r="A70" s="319"/>
      <c r="B70" s="298" t="s">
        <v>548</v>
      </c>
      <c r="C70" s="183" t="s">
        <v>360</v>
      </c>
      <c r="D70" s="147"/>
      <c r="E70" s="146"/>
      <c r="F70" s="127" t="s">
        <v>549</v>
      </c>
      <c r="G70" s="180" t="s">
        <v>362</v>
      </c>
      <c r="H70" s="127" t="s">
        <v>351</v>
      </c>
      <c r="I70" s="127" t="s">
        <v>550</v>
      </c>
      <c r="J70" s="127" t="s">
        <v>353</v>
      </c>
      <c r="K70" s="151">
        <v>0</v>
      </c>
      <c r="L70" s="151">
        <v>0</v>
      </c>
      <c r="M70" s="158"/>
      <c r="N70" s="158"/>
      <c r="O70" s="147"/>
      <c r="P70" s="127">
        <v>594</v>
      </c>
      <c r="Q70" s="151">
        <v>12</v>
      </c>
      <c r="R70" s="147"/>
      <c r="S70" s="201">
        <v>621</v>
      </c>
      <c r="T70" s="153">
        <v>102.3</v>
      </c>
      <c r="U70" s="147"/>
      <c r="V70" s="147"/>
      <c r="W70" s="151"/>
      <c r="X70" s="147"/>
      <c r="Y70" s="202">
        <v>0.61519999999999997</v>
      </c>
      <c r="Z70" s="160">
        <v>20.059999999999999</v>
      </c>
      <c r="AA70" s="154" t="s">
        <v>503</v>
      </c>
      <c r="AB70" s="304" t="s">
        <v>354</v>
      </c>
      <c r="AC70" s="147"/>
    </row>
    <row r="71" spans="1:205" ht="30" customHeight="1">
      <c r="A71" s="319"/>
      <c r="B71" s="298"/>
      <c r="C71" s="183" t="s">
        <v>348</v>
      </c>
      <c r="D71" s="147"/>
      <c r="E71" s="147"/>
      <c r="F71" s="127" t="s">
        <v>551</v>
      </c>
      <c r="G71" s="180" t="s">
        <v>362</v>
      </c>
      <c r="H71" s="127" t="s">
        <v>351</v>
      </c>
      <c r="I71" s="127" t="s">
        <v>552</v>
      </c>
      <c r="J71" s="127" t="s">
        <v>353</v>
      </c>
      <c r="K71" s="151">
        <v>2</v>
      </c>
      <c r="L71" s="151">
        <v>3.9</v>
      </c>
      <c r="M71" s="158"/>
      <c r="N71" s="158"/>
      <c r="O71" s="147"/>
      <c r="P71" s="127">
        <v>11286</v>
      </c>
      <c r="Q71" s="151">
        <v>6.5</v>
      </c>
      <c r="R71" s="147"/>
      <c r="S71" s="152">
        <v>26475</v>
      </c>
      <c r="T71" s="148">
        <v>13</v>
      </c>
      <c r="U71" s="146"/>
      <c r="V71" s="147"/>
      <c r="W71" s="151"/>
      <c r="X71" s="146"/>
      <c r="Y71" s="150">
        <v>0.61899999999999999</v>
      </c>
      <c r="Z71" s="160">
        <v>38</v>
      </c>
      <c r="AA71" s="154" t="s">
        <v>503</v>
      </c>
      <c r="AB71" s="304"/>
      <c r="AC71" s="147"/>
    </row>
    <row r="72" spans="1:205" ht="30" customHeight="1">
      <c r="A72" s="319"/>
      <c r="B72" s="298" t="s">
        <v>553</v>
      </c>
      <c r="C72" s="183" t="s">
        <v>497</v>
      </c>
      <c r="D72" s="147"/>
      <c r="E72" s="147"/>
      <c r="F72" s="127" t="s">
        <v>554</v>
      </c>
      <c r="G72" s="149" t="s">
        <v>492</v>
      </c>
      <c r="H72" s="127" t="s">
        <v>351</v>
      </c>
      <c r="I72" s="127" t="s">
        <v>555</v>
      </c>
      <c r="J72" s="127" t="s">
        <v>353</v>
      </c>
      <c r="K72" s="151">
        <v>7.4</v>
      </c>
      <c r="L72" s="151">
        <v>9.6999999999999993</v>
      </c>
      <c r="M72" s="158">
        <v>32.220500000000001</v>
      </c>
      <c r="N72" s="158"/>
      <c r="O72" s="147"/>
      <c r="P72" s="127">
        <v>61753</v>
      </c>
      <c r="Q72" s="151"/>
      <c r="R72" s="147"/>
      <c r="S72" s="152">
        <v>156205</v>
      </c>
      <c r="T72" s="148"/>
      <c r="U72" s="146">
        <v>74637</v>
      </c>
      <c r="V72" s="147"/>
      <c r="W72" s="151">
        <v>110.5</v>
      </c>
      <c r="X72" s="146"/>
      <c r="Y72" s="150">
        <v>0.67</v>
      </c>
      <c r="Z72" s="160"/>
      <c r="AA72" s="146"/>
      <c r="AB72" s="304" t="s">
        <v>354</v>
      </c>
      <c r="AC72" s="147"/>
    </row>
    <row r="73" spans="1:205" ht="30" customHeight="1">
      <c r="A73" s="319"/>
      <c r="B73" s="298"/>
      <c r="C73" s="183" t="s">
        <v>348</v>
      </c>
      <c r="D73" s="147"/>
      <c r="E73" s="147"/>
      <c r="F73" s="127" t="s">
        <v>556</v>
      </c>
      <c r="G73" s="180" t="s">
        <v>362</v>
      </c>
      <c r="H73" s="127" t="s">
        <v>351</v>
      </c>
      <c r="I73" s="127" t="s">
        <v>557</v>
      </c>
      <c r="J73" s="127" t="s">
        <v>353</v>
      </c>
      <c r="K73" s="151">
        <v>8.5</v>
      </c>
      <c r="L73" s="151">
        <v>14.2</v>
      </c>
      <c r="M73" s="158"/>
      <c r="N73" s="158"/>
      <c r="O73" s="147"/>
      <c r="P73" s="127">
        <v>44768</v>
      </c>
      <c r="Q73" s="151"/>
      <c r="R73" s="147"/>
      <c r="S73" s="152">
        <v>86080</v>
      </c>
      <c r="T73" s="148"/>
      <c r="U73" s="146"/>
      <c r="V73" s="147"/>
      <c r="W73" s="151"/>
      <c r="X73" s="146"/>
      <c r="Y73" s="150">
        <v>0.73699999999999999</v>
      </c>
      <c r="Z73" s="160"/>
      <c r="AA73" s="154"/>
      <c r="AB73" s="304"/>
      <c r="AC73" s="147"/>
    </row>
    <row r="74" spans="1:205" ht="30" customHeight="1">
      <c r="A74" s="319"/>
      <c r="B74" s="298" t="s">
        <v>558</v>
      </c>
      <c r="C74" s="183" t="s">
        <v>360</v>
      </c>
      <c r="D74" s="147"/>
      <c r="E74" s="147"/>
      <c r="F74" s="127" t="s">
        <v>559</v>
      </c>
      <c r="G74" s="180" t="s">
        <v>424</v>
      </c>
      <c r="H74" s="127" t="s">
        <v>351</v>
      </c>
      <c r="I74" s="127" t="s">
        <v>560</v>
      </c>
      <c r="J74" s="127" t="s">
        <v>353</v>
      </c>
      <c r="K74" s="151">
        <v>4.7</v>
      </c>
      <c r="L74" s="151">
        <v>6.2</v>
      </c>
      <c r="M74" s="158">
        <v>32.057600000000001</v>
      </c>
      <c r="N74" s="158"/>
      <c r="O74" s="147"/>
      <c r="P74" s="127">
        <v>41194</v>
      </c>
      <c r="Q74" s="151"/>
      <c r="R74" s="147"/>
      <c r="S74" s="152">
        <v>62695</v>
      </c>
      <c r="T74" s="148"/>
      <c r="U74" s="146"/>
      <c r="V74" s="147"/>
      <c r="W74" s="151">
        <v>112.1</v>
      </c>
      <c r="X74" s="146"/>
      <c r="Y74" s="150">
        <v>0.61429999999999996</v>
      </c>
      <c r="Z74" s="160"/>
      <c r="AA74" s="146"/>
      <c r="AB74" s="304" t="s">
        <v>354</v>
      </c>
      <c r="AC74" s="147"/>
    </row>
    <row r="75" spans="1:205" ht="30" customHeight="1">
      <c r="A75" s="319"/>
      <c r="B75" s="298"/>
      <c r="C75" s="183" t="s">
        <v>348</v>
      </c>
      <c r="D75" s="147"/>
      <c r="E75" s="147"/>
      <c r="F75" s="127" t="s">
        <v>561</v>
      </c>
      <c r="G75" s="180" t="s">
        <v>362</v>
      </c>
      <c r="H75" s="127" t="s">
        <v>351</v>
      </c>
      <c r="I75" s="127" t="s">
        <v>562</v>
      </c>
      <c r="J75" s="127" t="s">
        <v>353</v>
      </c>
      <c r="K75" s="151">
        <v>3.8</v>
      </c>
      <c r="L75" s="151">
        <v>8</v>
      </c>
      <c r="M75" s="158">
        <v>28.843900000000001</v>
      </c>
      <c r="N75" s="158"/>
      <c r="O75" s="147"/>
      <c r="P75" s="127">
        <v>22858</v>
      </c>
      <c r="Q75" s="151">
        <v>27</v>
      </c>
      <c r="R75" s="147"/>
      <c r="S75" s="152">
        <v>48204</v>
      </c>
      <c r="T75" s="148">
        <v>35.299999999999997</v>
      </c>
      <c r="U75" s="146"/>
      <c r="V75" s="147"/>
      <c r="W75" s="151">
        <v>113.4</v>
      </c>
      <c r="X75" s="146"/>
      <c r="Y75" s="150">
        <v>0.59660000000000002</v>
      </c>
      <c r="Z75" s="160">
        <v>38.22</v>
      </c>
      <c r="AA75" s="154" t="s">
        <v>503</v>
      </c>
      <c r="AB75" s="304"/>
      <c r="AC75" s="147"/>
    </row>
    <row r="76" spans="1:205" ht="30" customHeight="1">
      <c r="A76" s="319"/>
      <c r="B76" s="298" t="s">
        <v>134</v>
      </c>
      <c r="C76" s="183" t="s">
        <v>360</v>
      </c>
      <c r="D76" s="147"/>
      <c r="E76" s="147"/>
      <c r="F76" s="127" t="s">
        <v>563</v>
      </c>
      <c r="G76" s="180" t="s">
        <v>370</v>
      </c>
      <c r="H76" s="127" t="s">
        <v>351</v>
      </c>
      <c r="I76" s="127" t="s">
        <v>564</v>
      </c>
      <c r="J76" s="127" t="s">
        <v>353</v>
      </c>
      <c r="K76" s="151">
        <v>3.2</v>
      </c>
      <c r="L76" s="151">
        <v>4.5</v>
      </c>
      <c r="M76" s="158">
        <v>27.7348</v>
      </c>
      <c r="N76" s="158"/>
      <c r="O76" s="147"/>
      <c r="P76" s="127">
        <v>41795</v>
      </c>
      <c r="Q76" s="151"/>
      <c r="R76" s="147"/>
      <c r="S76" s="152">
        <v>84860</v>
      </c>
      <c r="T76" s="148"/>
      <c r="U76" s="146"/>
      <c r="V76" s="147"/>
      <c r="W76" s="151">
        <v>111.8</v>
      </c>
      <c r="X76" s="146"/>
      <c r="Y76" s="150">
        <v>0.59299999999999997</v>
      </c>
      <c r="Z76" s="160"/>
      <c r="AA76" s="154"/>
      <c r="AB76" s="304" t="s">
        <v>354</v>
      </c>
      <c r="AC76" s="147"/>
    </row>
    <row r="77" spans="1:205" ht="30" customHeight="1">
      <c r="A77" s="319"/>
      <c r="B77" s="298"/>
      <c r="C77" s="183" t="s">
        <v>348</v>
      </c>
      <c r="D77" s="147"/>
      <c r="E77" s="147"/>
      <c r="F77" s="127" t="s">
        <v>565</v>
      </c>
      <c r="G77" s="180" t="s">
        <v>362</v>
      </c>
      <c r="H77" s="127" t="s">
        <v>351</v>
      </c>
      <c r="I77" s="127" t="s">
        <v>566</v>
      </c>
      <c r="J77" s="127" t="s">
        <v>353</v>
      </c>
      <c r="K77" s="151">
        <v>4.3</v>
      </c>
      <c r="L77" s="151">
        <v>6.2</v>
      </c>
      <c r="M77" s="158">
        <v>31.0139</v>
      </c>
      <c r="N77" s="158"/>
      <c r="O77" s="147"/>
      <c r="P77" s="127">
        <v>41886</v>
      </c>
      <c r="Q77" s="151"/>
      <c r="R77" s="147"/>
      <c r="S77" s="152">
        <v>90225</v>
      </c>
      <c r="T77" s="148"/>
      <c r="U77" s="146"/>
      <c r="V77" s="147"/>
      <c r="W77" s="151">
        <v>109.6</v>
      </c>
      <c r="X77" s="146"/>
      <c r="Y77" s="150">
        <v>0.60340000000000005</v>
      </c>
      <c r="Z77" s="160"/>
      <c r="AA77" s="146"/>
      <c r="AB77" s="304"/>
      <c r="AC77" s="147"/>
    </row>
    <row r="78" spans="1:205" s="209" customFormat="1" ht="76.5" customHeight="1">
      <c r="A78" s="319"/>
      <c r="B78" s="203" t="s">
        <v>135</v>
      </c>
      <c r="C78" s="204" t="s">
        <v>567</v>
      </c>
      <c r="D78" s="203"/>
      <c r="E78" s="203"/>
      <c r="F78" s="205" t="s">
        <v>568</v>
      </c>
      <c r="G78" s="172" t="s">
        <v>569</v>
      </c>
      <c r="H78" s="204" t="s">
        <v>136</v>
      </c>
      <c r="I78" s="206"/>
      <c r="J78" s="204"/>
      <c r="K78" s="205"/>
      <c r="L78" s="205"/>
      <c r="M78" s="207"/>
      <c r="N78" s="208">
        <v>24.380199999999999</v>
      </c>
      <c r="O78" s="204"/>
      <c r="P78" s="203">
        <v>145239</v>
      </c>
      <c r="Q78" s="151"/>
      <c r="R78" s="204"/>
      <c r="S78" s="204"/>
      <c r="T78" s="205"/>
      <c r="U78" s="203">
        <v>323467</v>
      </c>
      <c r="V78" s="204"/>
      <c r="W78" s="205"/>
      <c r="X78" s="204"/>
      <c r="Y78" s="207"/>
      <c r="Z78" s="160"/>
      <c r="AA78" s="204"/>
      <c r="AB78" s="204" t="s">
        <v>354</v>
      </c>
      <c r="AC78" s="204"/>
    </row>
    <row r="79" spans="1:205" ht="30" customHeight="1">
      <c r="A79" s="319"/>
      <c r="B79" s="147" t="s">
        <v>137</v>
      </c>
      <c r="C79" s="147" t="s">
        <v>373</v>
      </c>
      <c r="D79" s="147"/>
      <c r="E79" s="147"/>
      <c r="F79" s="148" t="s">
        <v>570</v>
      </c>
      <c r="G79" s="149" t="s">
        <v>375</v>
      </c>
      <c r="H79" s="147" t="s">
        <v>351</v>
      </c>
      <c r="I79" s="147" t="s">
        <v>571</v>
      </c>
      <c r="J79" s="147" t="s">
        <v>353</v>
      </c>
      <c r="K79" s="148">
        <v>7.6</v>
      </c>
      <c r="L79" s="148">
        <v>7.2</v>
      </c>
      <c r="M79" s="150"/>
      <c r="N79" s="150"/>
      <c r="O79" s="148"/>
      <c r="P79" s="184">
        <v>40569</v>
      </c>
      <c r="Q79" s="151"/>
      <c r="R79" s="148"/>
      <c r="S79" s="152">
        <v>118173</v>
      </c>
      <c r="T79" s="148"/>
      <c r="U79" s="148"/>
      <c r="V79" s="148"/>
      <c r="W79" s="148"/>
      <c r="X79" s="148"/>
      <c r="Y79" s="195">
        <v>0.56469999999999998</v>
      </c>
      <c r="Z79" s="160"/>
      <c r="AA79" s="154"/>
      <c r="AB79" s="148" t="s">
        <v>354</v>
      </c>
      <c r="AC79" s="148"/>
    </row>
    <row r="80" spans="1:205" s="216" customFormat="1" ht="30" customHeight="1">
      <c r="A80" s="319"/>
      <c r="B80" s="299" t="s">
        <v>572</v>
      </c>
      <c r="C80" s="183" t="s">
        <v>348</v>
      </c>
      <c r="D80" s="172"/>
      <c r="E80" s="172"/>
      <c r="F80" s="210" t="s">
        <v>573</v>
      </c>
      <c r="G80" s="172" t="s">
        <v>129</v>
      </c>
      <c r="H80" s="178" t="s">
        <v>351</v>
      </c>
      <c r="I80" s="128" t="s">
        <v>574</v>
      </c>
      <c r="J80" s="211" t="s">
        <v>353</v>
      </c>
      <c r="K80" s="212">
        <v>20.5</v>
      </c>
      <c r="L80" s="212">
        <v>20.7</v>
      </c>
      <c r="M80" s="166"/>
      <c r="N80" s="166"/>
      <c r="O80" s="211"/>
      <c r="P80" s="213">
        <v>45198</v>
      </c>
      <c r="Q80" s="151"/>
      <c r="R80" s="211"/>
      <c r="S80" s="213">
        <v>139861</v>
      </c>
      <c r="T80" s="212"/>
      <c r="U80" s="213">
        <v>108097</v>
      </c>
      <c r="V80" s="211"/>
      <c r="W80" s="212"/>
      <c r="X80" s="211"/>
      <c r="Y80" s="166">
        <v>0.58089999999999997</v>
      </c>
      <c r="Z80" s="160"/>
      <c r="AA80" s="211"/>
      <c r="AB80" s="303" t="s">
        <v>354</v>
      </c>
      <c r="AC80" s="211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4"/>
      <c r="BY80" s="214"/>
      <c r="BZ80" s="214"/>
      <c r="CA80" s="214"/>
      <c r="CB80" s="214"/>
      <c r="CC80" s="214"/>
      <c r="CD80" s="214"/>
      <c r="CE80" s="214"/>
      <c r="CF80" s="214"/>
      <c r="CG80" s="214"/>
      <c r="CH80" s="214"/>
      <c r="CI80" s="214"/>
      <c r="CJ80" s="214"/>
      <c r="CK80" s="214"/>
      <c r="CL80" s="214"/>
      <c r="CM80" s="214"/>
      <c r="CN80" s="214"/>
      <c r="CO80" s="214"/>
      <c r="CP80" s="214"/>
      <c r="CQ80" s="214"/>
      <c r="CR80" s="214"/>
      <c r="CS80" s="214"/>
      <c r="CT80" s="214"/>
      <c r="CU80" s="214"/>
      <c r="CV80" s="214"/>
      <c r="CW80" s="214"/>
      <c r="CX80" s="214"/>
      <c r="CY80" s="214"/>
      <c r="CZ80" s="214"/>
      <c r="DA80" s="214"/>
      <c r="DB80" s="214"/>
      <c r="DC80" s="214"/>
      <c r="DD80" s="214"/>
      <c r="DE80" s="214"/>
      <c r="DF80" s="214"/>
      <c r="DG80" s="214"/>
      <c r="DH80" s="214"/>
      <c r="DI80" s="214"/>
      <c r="DJ80" s="214"/>
      <c r="DK80" s="214"/>
      <c r="DL80" s="214"/>
      <c r="DM80" s="214"/>
      <c r="DN80" s="214"/>
      <c r="DO80" s="214"/>
      <c r="DP80" s="214"/>
      <c r="DQ80" s="214"/>
      <c r="DR80" s="214"/>
      <c r="DS80" s="214"/>
      <c r="DT80" s="214"/>
      <c r="DU80" s="214"/>
      <c r="DV80" s="214"/>
      <c r="DW80" s="214"/>
      <c r="DX80" s="214"/>
      <c r="DY80" s="214"/>
      <c r="DZ80" s="214"/>
      <c r="EA80" s="214"/>
      <c r="EB80" s="214"/>
      <c r="EC80" s="214"/>
      <c r="ED80" s="214"/>
      <c r="EE80" s="214"/>
      <c r="EF80" s="214"/>
      <c r="EG80" s="214"/>
      <c r="EH80" s="214"/>
      <c r="EI80" s="214"/>
      <c r="EJ80" s="214"/>
      <c r="EK80" s="214"/>
      <c r="EL80" s="214"/>
      <c r="EM80" s="214"/>
      <c r="EN80" s="214"/>
      <c r="EO80" s="214"/>
      <c r="EP80" s="214"/>
      <c r="EQ80" s="214"/>
      <c r="ER80" s="214"/>
      <c r="ES80" s="214"/>
      <c r="ET80" s="214"/>
      <c r="EU80" s="214"/>
      <c r="EV80" s="214"/>
      <c r="EW80" s="214"/>
      <c r="EX80" s="214"/>
      <c r="EY80" s="214"/>
      <c r="EZ80" s="214"/>
      <c r="FA80" s="214"/>
      <c r="FB80" s="214"/>
      <c r="FC80" s="214"/>
      <c r="FD80" s="214"/>
      <c r="FE80" s="214"/>
      <c r="FF80" s="214"/>
      <c r="FG80" s="214"/>
      <c r="FH80" s="214"/>
      <c r="FI80" s="214"/>
      <c r="FJ80" s="214"/>
      <c r="FK80" s="214"/>
      <c r="FL80" s="214"/>
      <c r="FM80" s="214"/>
      <c r="FN80" s="214"/>
      <c r="FO80" s="214"/>
      <c r="FP80" s="214"/>
      <c r="FQ80" s="214"/>
      <c r="FR80" s="214"/>
      <c r="FS80" s="214"/>
      <c r="FT80" s="214"/>
      <c r="FU80" s="214"/>
      <c r="FV80" s="214"/>
      <c r="FW80" s="214"/>
      <c r="FX80" s="214"/>
      <c r="FY80" s="214"/>
      <c r="FZ80" s="214"/>
      <c r="GA80" s="214"/>
      <c r="GB80" s="214"/>
      <c r="GC80" s="214"/>
      <c r="GD80" s="214"/>
      <c r="GE80" s="214"/>
      <c r="GF80" s="214"/>
      <c r="GG80" s="214"/>
      <c r="GH80" s="214"/>
      <c r="GI80" s="214"/>
      <c r="GJ80" s="214"/>
      <c r="GK80" s="214"/>
      <c r="GL80" s="214"/>
      <c r="GM80" s="214"/>
      <c r="GN80" s="215"/>
      <c r="GO80" s="215"/>
      <c r="GP80" s="215"/>
      <c r="GQ80" s="215"/>
      <c r="GR80" s="215"/>
      <c r="GS80" s="215"/>
      <c r="GT80" s="215"/>
      <c r="GU80" s="215"/>
      <c r="GV80" s="215"/>
      <c r="GW80" s="215"/>
    </row>
    <row r="81" spans="1:205" s="216" customFormat="1" ht="30" customHeight="1">
      <c r="A81" s="319"/>
      <c r="B81" s="299"/>
      <c r="C81" s="183" t="s">
        <v>360</v>
      </c>
      <c r="D81" s="172" t="s">
        <v>575</v>
      </c>
      <c r="E81" s="172"/>
      <c r="F81" s="172" t="s">
        <v>576</v>
      </c>
      <c r="G81" s="172" t="s">
        <v>428</v>
      </c>
      <c r="H81" s="178" t="s">
        <v>351</v>
      </c>
      <c r="I81" s="128" t="s">
        <v>577</v>
      </c>
      <c r="J81" s="211" t="s">
        <v>353</v>
      </c>
      <c r="K81" s="212">
        <v>10.3</v>
      </c>
      <c r="L81" s="212">
        <v>11.4</v>
      </c>
      <c r="M81" s="166">
        <v>31.1419</v>
      </c>
      <c r="N81" s="166">
        <v>24.685600000000001</v>
      </c>
      <c r="O81" s="212"/>
      <c r="P81" s="213">
        <v>54458</v>
      </c>
      <c r="Q81" s="151"/>
      <c r="R81" s="212"/>
      <c r="S81" s="213">
        <v>179342</v>
      </c>
      <c r="T81" s="212"/>
      <c r="U81" s="213">
        <v>100788</v>
      </c>
      <c r="V81" s="212"/>
      <c r="W81" s="212">
        <v>110.5</v>
      </c>
      <c r="X81" s="212"/>
      <c r="Y81" s="166">
        <v>0.58650000000000002</v>
      </c>
      <c r="Z81" s="160"/>
      <c r="AA81" s="212"/>
      <c r="AB81" s="303"/>
      <c r="AC81" s="212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4"/>
      <c r="BY81" s="214"/>
      <c r="BZ81" s="214"/>
      <c r="CA81" s="214"/>
      <c r="CB81" s="214"/>
      <c r="CC81" s="214"/>
      <c r="CD81" s="214"/>
      <c r="CE81" s="214"/>
      <c r="CF81" s="214"/>
      <c r="CG81" s="214"/>
      <c r="CH81" s="214"/>
      <c r="CI81" s="214"/>
      <c r="CJ81" s="214"/>
      <c r="CK81" s="214"/>
      <c r="CL81" s="214"/>
      <c r="CM81" s="214"/>
      <c r="CN81" s="214"/>
      <c r="CO81" s="214"/>
      <c r="CP81" s="214"/>
      <c r="CQ81" s="214"/>
      <c r="CR81" s="214"/>
      <c r="CS81" s="214"/>
      <c r="CT81" s="214"/>
      <c r="CU81" s="214"/>
      <c r="CV81" s="214"/>
      <c r="CW81" s="214"/>
      <c r="CX81" s="214"/>
      <c r="CY81" s="214"/>
      <c r="CZ81" s="214"/>
      <c r="DA81" s="214"/>
      <c r="DB81" s="214"/>
      <c r="DC81" s="214"/>
      <c r="DD81" s="214"/>
      <c r="DE81" s="214"/>
      <c r="DF81" s="214"/>
      <c r="DG81" s="214"/>
      <c r="DH81" s="214"/>
      <c r="DI81" s="214"/>
      <c r="DJ81" s="214"/>
      <c r="DK81" s="214"/>
      <c r="DL81" s="214"/>
      <c r="DM81" s="214"/>
      <c r="DN81" s="214"/>
      <c r="DO81" s="214"/>
      <c r="DP81" s="214"/>
      <c r="DQ81" s="214"/>
      <c r="DR81" s="214"/>
      <c r="DS81" s="214"/>
      <c r="DT81" s="214"/>
      <c r="DU81" s="214"/>
      <c r="DV81" s="214"/>
      <c r="DW81" s="214"/>
      <c r="DX81" s="214"/>
      <c r="DY81" s="214"/>
      <c r="DZ81" s="214"/>
      <c r="EA81" s="214"/>
      <c r="EB81" s="214"/>
      <c r="EC81" s="214"/>
      <c r="ED81" s="214"/>
      <c r="EE81" s="214"/>
      <c r="EF81" s="214"/>
      <c r="EG81" s="214"/>
      <c r="EH81" s="214"/>
      <c r="EI81" s="214"/>
      <c r="EJ81" s="214"/>
      <c r="EK81" s="214"/>
      <c r="EL81" s="214"/>
      <c r="EM81" s="214"/>
      <c r="EN81" s="214"/>
      <c r="EO81" s="214"/>
      <c r="EP81" s="214"/>
      <c r="EQ81" s="214"/>
      <c r="ER81" s="214"/>
      <c r="ES81" s="214"/>
      <c r="ET81" s="214"/>
      <c r="EU81" s="214"/>
      <c r="EV81" s="214"/>
      <c r="EW81" s="214"/>
      <c r="EX81" s="214"/>
      <c r="EY81" s="214"/>
      <c r="EZ81" s="214"/>
      <c r="FA81" s="214"/>
      <c r="FB81" s="214"/>
      <c r="FC81" s="214"/>
      <c r="FD81" s="214"/>
      <c r="FE81" s="214"/>
      <c r="FF81" s="214"/>
      <c r="FG81" s="214"/>
      <c r="FH81" s="214"/>
      <c r="FI81" s="214"/>
      <c r="FJ81" s="214"/>
      <c r="FK81" s="214"/>
      <c r="FL81" s="214"/>
      <c r="FM81" s="214"/>
      <c r="FN81" s="214"/>
      <c r="FO81" s="214"/>
      <c r="FP81" s="214"/>
      <c r="FQ81" s="214"/>
      <c r="FR81" s="214"/>
      <c r="FS81" s="214"/>
      <c r="FT81" s="214"/>
      <c r="FU81" s="214"/>
      <c r="FV81" s="214"/>
      <c r="FW81" s="214"/>
      <c r="FX81" s="214"/>
      <c r="FY81" s="214"/>
      <c r="FZ81" s="214"/>
      <c r="GA81" s="214"/>
      <c r="GB81" s="214"/>
      <c r="GC81" s="214"/>
      <c r="GD81" s="214"/>
      <c r="GE81" s="214"/>
      <c r="GF81" s="214"/>
      <c r="GG81" s="214"/>
      <c r="GH81" s="214"/>
      <c r="GI81" s="214"/>
      <c r="GJ81" s="214"/>
      <c r="GK81" s="214"/>
      <c r="GL81" s="214"/>
      <c r="GM81" s="214"/>
      <c r="GN81" s="215"/>
      <c r="GO81" s="215"/>
      <c r="GP81" s="215"/>
      <c r="GQ81" s="215"/>
      <c r="GR81" s="215"/>
      <c r="GS81" s="215"/>
      <c r="GT81" s="215"/>
      <c r="GU81" s="215"/>
      <c r="GV81" s="215"/>
      <c r="GW81" s="215"/>
    </row>
    <row r="82" spans="1:205" ht="30" customHeight="1">
      <c r="A82" s="217"/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8"/>
      <c r="M82" s="218"/>
      <c r="N82" s="217"/>
      <c r="O82" s="217"/>
      <c r="P82" s="217"/>
      <c r="Q82" s="217"/>
      <c r="R82" s="217"/>
      <c r="S82" s="219"/>
      <c r="T82" s="220"/>
      <c r="U82" s="221"/>
      <c r="V82" s="219"/>
      <c r="W82" s="220"/>
      <c r="X82" s="222" t="s">
        <v>578</v>
      </c>
      <c r="Y82" s="219"/>
      <c r="Z82" s="220"/>
      <c r="AA82" s="220"/>
      <c r="AB82" s="220"/>
    </row>
  </sheetData>
  <mergeCells count="91">
    <mergeCell ref="B13:B14"/>
    <mergeCell ref="B18:B19"/>
    <mergeCell ref="Q2:Q3"/>
    <mergeCell ref="E1:E3"/>
    <mergeCell ref="G1:G2"/>
    <mergeCell ref="J1:J3"/>
    <mergeCell ref="K1:N1"/>
    <mergeCell ref="O1:Q1"/>
    <mergeCell ref="U1:U2"/>
    <mergeCell ref="V1:X1"/>
    <mergeCell ref="A4:A81"/>
    <mergeCell ref="T2:T3"/>
    <mergeCell ref="X2:X3"/>
    <mergeCell ref="B23:B24"/>
    <mergeCell ref="B11:B12"/>
    <mergeCell ref="B15:B16"/>
    <mergeCell ref="B20:B21"/>
    <mergeCell ref="B6:B7"/>
    <mergeCell ref="S2:S3"/>
    <mergeCell ref="O2:O3"/>
    <mergeCell ref="A1:A3"/>
    <mergeCell ref="D1:D3"/>
    <mergeCell ref="F1:F2"/>
    <mergeCell ref="I1:I3"/>
    <mergeCell ref="H1:H3"/>
    <mergeCell ref="B1:B3"/>
    <mergeCell ref="C1:C3"/>
    <mergeCell ref="R1:T1"/>
    <mergeCell ref="L2:L3"/>
    <mergeCell ref="K2:K3"/>
    <mergeCell ref="M2:M3"/>
    <mergeCell ref="N2:N3"/>
    <mergeCell ref="P2:P3"/>
    <mergeCell ref="R2:R3"/>
    <mergeCell ref="W2:W3"/>
    <mergeCell ref="AB46:AB47"/>
    <mergeCell ref="AB20:AB21"/>
    <mergeCell ref="AB30:AB31"/>
    <mergeCell ref="AB23:AB24"/>
    <mergeCell ref="AB13:AB14"/>
    <mergeCell ref="Y1:Y3"/>
    <mergeCell ref="Z1:AA1"/>
    <mergeCell ref="AB43:AB44"/>
    <mergeCell ref="AA2:AA3"/>
    <mergeCell ref="AC11:AC12"/>
    <mergeCell ref="AB11:AB12"/>
    <mergeCell ref="AB18:AB19"/>
    <mergeCell ref="AB15:AB16"/>
    <mergeCell ref="AB6:AB7"/>
    <mergeCell ref="AB1:AB3"/>
    <mergeCell ref="AB72:AB73"/>
    <mergeCell ref="AB57:AB58"/>
    <mergeCell ref="AB59:AB60"/>
    <mergeCell ref="AB52:AB53"/>
    <mergeCell ref="AB68:AB69"/>
    <mergeCell ref="AB65:AB66"/>
    <mergeCell ref="AC43:AC44"/>
    <mergeCell ref="B50:B51"/>
    <mergeCell ref="B46:B47"/>
    <mergeCell ref="AB34:AB35"/>
    <mergeCell ref="AB37:AB38"/>
    <mergeCell ref="AB70:AB71"/>
    <mergeCell ref="AB50:AB51"/>
    <mergeCell ref="AB63:AB64"/>
    <mergeCell ref="AC52:AC53"/>
    <mergeCell ref="B72:B73"/>
    <mergeCell ref="B32:B33"/>
    <mergeCell ref="B52:B53"/>
    <mergeCell ref="B34:B35"/>
    <mergeCell ref="B70:B71"/>
    <mergeCell ref="B63:B64"/>
    <mergeCell ref="B68:B69"/>
    <mergeCell ref="B57:B58"/>
    <mergeCell ref="B59:B60"/>
    <mergeCell ref="B37:B38"/>
    <mergeCell ref="B80:B81"/>
    <mergeCell ref="B76:B77"/>
    <mergeCell ref="B74:B75"/>
    <mergeCell ref="AB80:AB81"/>
    <mergeCell ref="AB74:AB75"/>
    <mergeCell ref="AB76:AB77"/>
    <mergeCell ref="B65:B66"/>
    <mergeCell ref="B54:B55"/>
    <mergeCell ref="AB54:AB55"/>
    <mergeCell ref="B26:B27"/>
    <mergeCell ref="B30:B31"/>
    <mergeCell ref="B43:B44"/>
    <mergeCell ref="B28:B29"/>
    <mergeCell ref="AB32:AB33"/>
    <mergeCell ref="AB28:AB29"/>
    <mergeCell ref="AB26:AB27"/>
  </mergeCells>
  <phoneticPr fontId="30" type="noConversion"/>
  <printOptions horizontalCentered="1"/>
  <pageMargins left="0.86614173228346458" right="0.27559055118110237" top="0.9055118110236221" bottom="0.43307086614173229" header="0.55118110236220474" footer="0.27559055118110237"/>
  <pageSetup paperSize="8" scale="75" orientation="landscape" r:id="rId1"/>
  <headerFooter alignWithMargins="0">
    <oddHeader>&amp;C&amp;"黑体,常规"&amp;18附表4-&amp;P 苏里格气田西一区新增探明储量区块试气成果表</oddHeader>
  </headerFooter>
  <rowBreaks count="1" manualBreakCount="1">
    <brk id="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BO174"/>
  <sheetViews>
    <sheetView zoomScaleNormal="50" zoomScaleSheetLayoutView="100" workbookViewId="0">
      <pane xSplit="6" ySplit="4" topLeftCell="G5" activePane="bottomRight" state="frozen"/>
      <selection activeCell="J22" sqref="J22"/>
      <selection pane="topRight" activeCell="J22" sqref="J22"/>
      <selection pane="bottomLeft" activeCell="J22" sqref="J22"/>
      <selection pane="bottomRight" activeCell="J22" sqref="J22"/>
    </sheetView>
  </sheetViews>
  <sheetFormatPr defaultRowHeight="12"/>
  <cols>
    <col min="1" max="1" width="10.125" style="249" customWidth="1"/>
    <col min="2" max="2" width="6.375" style="249" customWidth="1"/>
    <col min="3" max="3" width="4.375" style="249" customWidth="1"/>
    <col min="4" max="4" width="8.125" style="250" customWidth="1"/>
    <col min="5" max="5" width="7.75" style="250" customWidth="1"/>
    <col min="6" max="6" width="6.125" style="250" customWidth="1"/>
    <col min="7" max="7" width="7.625" style="250" customWidth="1"/>
    <col min="8" max="8" width="8" style="250" customWidth="1"/>
    <col min="9" max="9" width="7.625" style="251" customWidth="1"/>
    <col min="10" max="10" width="8.25" style="252" customWidth="1"/>
    <col min="11" max="11" width="7.875" style="250" customWidth="1"/>
    <col min="12" max="12" width="7.375" style="249" customWidth="1"/>
    <col min="13" max="13" width="16.625" style="249" customWidth="1"/>
    <col min="14" max="14" width="5.375" style="250" customWidth="1"/>
    <col min="15" max="15" width="5.75" style="250" customWidth="1"/>
    <col min="16" max="16" width="8.625" style="250" customWidth="1"/>
    <col min="17" max="17" width="8.875" style="250" customWidth="1"/>
    <col min="18" max="18" width="6.25" style="250" customWidth="1"/>
    <col min="19" max="19" width="5.375" style="250" customWidth="1"/>
    <col min="20" max="20" width="4.125" style="250" customWidth="1"/>
    <col min="21" max="21" width="8.25" style="250" customWidth="1"/>
    <col min="22" max="22" width="6.5" style="250" customWidth="1"/>
    <col min="23" max="16384" width="9" style="249"/>
  </cols>
  <sheetData>
    <row r="1" spans="1:67" s="233" customFormat="1" ht="15.95" customHeight="1">
      <c r="A1" s="330" t="s">
        <v>138</v>
      </c>
      <c r="B1" s="330" t="s">
        <v>99</v>
      </c>
      <c r="C1" s="332" t="s">
        <v>139</v>
      </c>
      <c r="D1" s="333"/>
      <c r="E1" s="333"/>
      <c r="F1" s="333"/>
      <c r="G1" s="333"/>
      <c r="H1" s="333"/>
      <c r="I1" s="333"/>
      <c r="J1" s="333"/>
      <c r="K1" s="333"/>
      <c r="L1" s="334"/>
      <c r="M1" s="330" t="s">
        <v>140</v>
      </c>
      <c r="N1" s="330"/>
      <c r="O1" s="330"/>
      <c r="P1" s="230"/>
      <c r="Q1" s="231"/>
      <c r="R1" s="231"/>
      <c r="S1" s="231"/>
      <c r="T1" s="231"/>
      <c r="U1" s="232"/>
    </row>
    <row r="2" spans="1:67" s="233" customFormat="1" ht="48" customHeight="1">
      <c r="A2" s="330"/>
      <c r="B2" s="330"/>
      <c r="C2" s="332" t="s">
        <v>141</v>
      </c>
      <c r="D2" s="326" t="s">
        <v>142</v>
      </c>
      <c r="E2" s="327"/>
      <c r="F2" s="234" t="s">
        <v>143</v>
      </c>
      <c r="G2" s="234" t="s">
        <v>144</v>
      </c>
      <c r="H2" s="234" t="s">
        <v>145</v>
      </c>
      <c r="I2" s="234" t="s">
        <v>146</v>
      </c>
      <c r="J2" s="234" t="s">
        <v>147</v>
      </c>
      <c r="K2" s="234" t="s">
        <v>148</v>
      </c>
      <c r="L2" s="330" t="s">
        <v>149</v>
      </c>
      <c r="M2" s="234" t="s">
        <v>117</v>
      </c>
      <c r="N2" s="234" t="s">
        <v>118</v>
      </c>
      <c r="O2" s="330" t="s">
        <v>150</v>
      </c>
      <c r="P2" s="326" t="s">
        <v>151</v>
      </c>
      <c r="Q2" s="327"/>
      <c r="R2" s="234" t="s">
        <v>143</v>
      </c>
      <c r="S2" s="234" t="s">
        <v>152</v>
      </c>
      <c r="T2" s="198" t="s">
        <v>153</v>
      </c>
      <c r="U2" s="234" t="s">
        <v>154</v>
      </c>
    </row>
    <row r="3" spans="1:67" s="233" customFormat="1" ht="21" customHeight="1">
      <c r="A3" s="330"/>
      <c r="B3" s="330"/>
      <c r="C3" s="332"/>
      <c r="D3" s="328" t="s">
        <v>124</v>
      </c>
      <c r="E3" s="329"/>
      <c r="F3" s="235" t="s">
        <v>124</v>
      </c>
      <c r="G3" s="235" t="s">
        <v>155</v>
      </c>
      <c r="H3" s="235" t="s">
        <v>156</v>
      </c>
      <c r="I3" s="235" t="s">
        <v>157</v>
      </c>
      <c r="J3" s="235" t="s">
        <v>158</v>
      </c>
      <c r="K3" s="235" t="s">
        <v>157</v>
      </c>
      <c r="L3" s="330"/>
      <c r="M3" s="235" t="s">
        <v>125</v>
      </c>
      <c r="N3" s="235" t="s">
        <v>125</v>
      </c>
      <c r="O3" s="330"/>
      <c r="P3" s="328" t="s">
        <v>124</v>
      </c>
      <c r="Q3" s="329"/>
      <c r="R3" s="235" t="s">
        <v>124</v>
      </c>
      <c r="S3" s="235" t="s">
        <v>124</v>
      </c>
      <c r="T3" s="198"/>
      <c r="U3" s="235" t="s">
        <v>124</v>
      </c>
    </row>
    <row r="4" spans="1:67" s="241" customFormat="1" ht="18" customHeight="1">
      <c r="A4" s="324" t="s">
        <v>527</v>
      </c>
      <c r="B4" s="199" t="s">
        <v>348</v>
      </c>
      <c r="C4" s="199">
        <v>1</v>
      </c>
      <c r="D4" s="171">
        <v>3583.63</v>
      </c>
      <c r="E4" s="171">
        <v>3586.75</v>
      </c>
      <c r="F4" s="236">
        <v>3.2</v>
      </c>
      <c r="G4" s="236">
        <v>49.78</v>
      </c>
      <c r="H4" s="236">
        <v>209.59</v>
      </c>
      <c r="I4" s="237">
        <v>6.45</v>
      </c>
      <c r="J4" s="238">
        <v>0.215</v>
      </c>
      <c r="K4" s="236">
        <v>61</v>
      </c>
      <c r="L4" s="239" t="s">
        <v>579</v>
      </c>
      <c r="M4" s="324">
        <v>22482</v>
      </c>
      <c r="N4" s="325"/>
      <c r="O4" s="236" t="s">
        <v>579</v>
      </c>
      <c r="P4" s="171">
        <v>3583.63</v>
      </c>
      <c r="Q4" s="171">
        <v>3586.75</v>
      </c>
      <c r="R4" s="236">
        <v>3.2</v>
      </c>
      <c r="S4" s="171"/>
      <c r="T4" s="236" t="s">
        <v>579</v>
      </c>
      <c r="U4" s="236">
        <v>3.2</v>
      </c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40"/>
      <c r="BI4" s="240"/>
      <c r="BJ4" s="240"/>
      <c r="BK4" s="240"/>
      <c r="BL4" s="240"/>
      <c r="BM4" s="240"/>
      <c r="BN4" s="240"/>
      <c r="BO4" s="240"/>
    </row>
    <row r="5" spans="1:67" s="241" customFormat="1" ht="18" customHeight="1">
      <c r="A5" s="324"/>
      <c r="B5" s="199" t="s">
        <v>348</v>
      </c>
      <c r="C5" s="199">
        <v>2</v>
      </c>
      <c r="D5" s="171">
        <v>3588</v>
      </c>
      <c r="E5" s="171">
        <v>3595.88</v>
      </c>
      <c r="F5" s="236">
        <v>7.9</v>
      </c>
      <c r="G5" s="236">
        <v>62.86</v>
      </c>
      <c r="H5" s="236">
        <v>212.67</v>
      </c>
      <c r="I5" s="237">
        <v>6.95</v>
      </c>
      <c r="J5" s="238">
        <v>0.32100000000000001</v>
      </c>
      <c r="K5" s="236">
        <v>64.7</v>
      </c>
      <c r="L5" s="239" t="s">
        <v>579</v>
      </c>
      <c r="M5" s="324"/>
      <c r="N5" s="325"/>
      <c r="O5" s="236" t="s">
        <v>579</v>
      </c>
      <c r="P5" s="171">
        <v>3588</v>
      </c>
      <c r="Q5" s="171">
        <v>3595.88</v>
      </c>
      <c r="R5" s="236">
        <v>7.9</v>
      </c>
      <c r="S5" s="171"/>
      <c r="T5" s="236" t="s">
        <v>579</v>
      </c>
      <c r="U5" s="236">
        <v>7.9</v>
      </c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I5" s="240"/>
      <c r="BJ5" s="240"/>
      <c r="BK5" s="240"/>
      <c r="BL5" s="240"/>
      <c r="BM5" s="240"/>
      <c r="BN5" s="240"/>
      <c r="BO5" s="240"/>
    </row>
    <row r="6" spans="1:67" s="241" customFormat="1" ht="18" customHeight="1">
      <c r="A6" s="324"/>
      <c r="B6" s="199" t="s">
        <v>580</v>
      </c>
      <c r="C6" s="199"/>
      <c r="D6" s="171"/>
      <c r="E6" s="171"/>
      <c r="F6" s="236">
        <v>11.1</v>
      </c>
      <c r="G6" s="236"/>
      <c r="H6" s="236"/>
      <c r="I6" s="237">
        <v>6.7</v>
      </c>
      <c r="J6" s="238">
        <v>0.22600000000000001</v>
      </c>
      <c r="K6" s="236">
        <v>62.9</v>
      </c>
      <c r="L6" s="239" t="s">
        <v>579</v>
      </c>
      <c r="M6" s="199"/>
      <c r="N6" s="242"/>
      <c r="O6" s="236" t="s">
        <v>579</v>
      </c>
      <c r="P6" s="171"/>
      <c r="Q6" s="171"/>
      <c r="R6" s="236"/>
      <c r="S6" s="171"/>
      <c r="T6" s="236" t="s">
        <v>579</v>
      </c>
      <c r="U6" s="236">
        <v>11.1</v>
      </c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0"/>
      <c r="BH6" s="240"/>
      <c r="BI6" s="240"/>
      <c r="BJ6" s="240"/>
      <c r="BK6" s="240"/>
      <c r="BL6" s="240"/>
      <c r="BM6" s="240"/>
      <c r="BN6" s="240"/>
      <c r="BO6" s="240"/>
    </row>
    <row r="7" spans="1:67" s="241" customFormat="1" ht="18" customHeight="1">
      <c r="A7" s="324" t="s">
        <v>372</v>
      </c>
      <c r="B7" s="199" t="s">
        <v>348</v>
      </c>
      <c r="C7" s="199">
        <v>1</v>
      </c>
      <c r="D7" s="171">
        <v>3564.3</v>
      </c>
      <c r="E7" s="171">
        <v>3569.3</v>
      </c>
      <c r="F7" s="236">
        <v>5</v>
      </c>
      <c r="G7" s="236">
        <v>61.84</v>
      </c>
      <c r="H7" s="236">
        <v>228.72</v>
      </c>
      <c r="I7" s="237">
        <v>8.76</v>
      </c>
      <c r="J7" s="238">
        <v>0.81200000000000006</v>
      </c>
      <c r="K7" s="236">
        <v>70.430000000000007</v>
      </c>
      <c r="L7" s="239" t="s">
        <v>579</v>
      </c>
      <c r="M7" s="324">
        <v>62541</v>
      </c>
      <c r="N7" s="325"/>
      <c r="O7" s="236" t="s">
        <v>579</v>
      </c>
      <c r="P7" s="171">
        <v>3564.3</v>
      </c>
      <c r="Q7" s="171">
        <v>3569.3</v>
      </c>
      <c r="R7" s="236">
        <v>5</v>
      </c>
      <c r="S7" s="171"/>
      <c r="T7" s="236" t="s">
        <v>159</v>
      </c>
      <c r="U7" s="236">
        <v>5</v>
      </c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0"/>
      <c r="BE7" s="240"/>
      <c r="BF7" s="240"/>
      <c r="BG7" s="240"/>
      <c r="BH7" s="240"/>
      <c r="BI7" s="240"/>
      <c r="BJ7" s="240"/>
      <c r="BK7" s="240"/>
      <c r="BL7" s="240"/>
      <c r="BM7" s="240"/>
      <c r="BN7" s="240"/>
      <c r="BO7" s="240"/>
    </row>
    <row r="8" spans="1:67" s="241" customFormat="1" ht="18" customHeight="1">
      <c r="A8" s="324"/>
      <c r="B8" s="199" t="s">
        <v>95</v>
      </c>
      <c r="C8" s="199">
        <v>2</v>
      </c>
      <c r="D8" s="171">
        <v>3569.3</v>
      </c>
      <c r="E8" s="171">
        <v>3573</v>
      </c>
      <c r="F8" s="236">
        <v>3.7</v>
      </c>
      <c r="G8" s="236">
        <v>31.2</v>
      </c>
      <c r="H8" s="236">
        <v>222.6</v>
      </c>
      <c r="I8" s="237">
        <v>7.76</v>
      </c>
      <c r="J8" s="238">
        <v>0.503</v>
      </c>
      <c r="K8" s="236">
        <v>55.5</v>
      </c>
      <c r="L8" s="239" t="s">
        <v>579</v>
      </c>
      <c r="M8" s="324"/>
      <c r="N8" s="325"/>
      <c r="O8" s="236" t="s">
        <v>579</v>
      </c>
      <c r="P8" s="171">
        <v>3569.3</v>
      </c>
      <c r="Q8" s="171">
        <v>3573</v>
      </c>
      <c r="R8" s="236">
        <v>3.7</v>
      </c>
      <c r="S8" s="171"/>
      <c r="T8" s="236" t="s">
        <v>159</v>
      </c>
      <c r="U8" s="236">
        <v>3.7</v>
      </c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0"/>
      <c r="BH8" s="240"/>
      <c r="BI8" s="240"/>
      <c r="BJ8" s="240"/>
      <c r="BK8" s="240"/>
      <c r="BL8" s="240"/>
      <c r="BM8" s="240"/>
      <c r="BN8" s="240"/>
      <c r="BO8" s="240"/>
    </row>
    <row r="9" spans="1:67" s="241" customFormat="1" ht="18" customHeight="1">
      <c r="A9" s="324"/>
      <c r="B9" s="199" t="s">
        <v>348</v>
      </c>
      <c r="C9" s="199">
        <v>3</v>
      </c>
      <c r="D9" s="171">
        <v>3577.7</v>
      </c>
      <c r="E9" s="171">
        <v>3581</v>
      </c>
      <c r="F9" s="236">
        <v>3.3</v>
      </c>
      <c r="G9" s="236">
        <v>33.25</v>
      </c>
      <c r="H9" s="236">
        <v>222.99</v>
      </c>
      <c r="I9" s="237">
        <v>7.82</v>
      </c>
      <c r="J9" s="238">
        <v>0.497</v>
      </c>
      <c r="K9" s="236">
        <v>57.4</v>
      </c>
      <c r="L9" s="239" t="s">
        <v>579</v>
      </c>
      <c r="M9" s="324"/>
      <c r="N9" s="325"/>
      <c r="O9" s="236" t="s">
        <v>579</v>
      </c>
      <c r="P9" s="171">
        <v>3577.7</v>
      </c>
      <c r="Q9" s="171">
        <v>3581</v>
      </c>
      <c r="R9" s="236">
        <v>3.3</v>
      </c>
      <c r="S9" s="171"/>
      <c r="T9" s="236" t="s">
        <v>159</v>
      </c>
      <c r="U9" s="236">
        <v>3.3</v>
      </c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0"/>
      <c r="BH9" s="240"/>
      <c r="BI9" s="240"/>
      <c r="BJ9" s="240"/>
      <c r="BK9" s="240"/>
      <c r="BL9" s="240"/>
      <c r="BM9" s="240"/>
      <c r="BN9" s="240"/>
      <c r="BO9" s="240"/>
    </row>
    <row r="10" spans="1:67" s="241" customFormat="1" ht="18" customHeight="1">
      <c r="A10" s="324"/>
      <c r="B10" s="199" t="s">
        <v>348</v>
      </c>
      <c r="C10" s="199">
        <v>4</v>
      </c>
      <c r="D10" s="171">
        <v>3581</v>
      </c>
      <c r="E10" s="171">
        <v>3585.6</v>
      </c>
      <c r="F10" s="236">
        <v>4.5999999999999996</v>
      </c>
      <c r="G10" s="236">
        <v>45.21</v>
      </c>
      <c r="H10" s="236">
        <v>220.41</v>
      </c>
      <c r="I10" s="237">
        <v>7.4</v>
      </c>
      <c r="J10" s="238">
        <v>0.40600000000000003</v>
      </c>
      <c r="K10" s="236">
        <v>61.8</v>
      </c>
      <c r="L10" s="239" t="s">
        <v>579</v>
      </c>
      <c r="M10" s="324"/>
      <c r="N10" s="325"/>
      <c r="O10" s="236" t="s">
        <v>579</v>
      </c>
      <c r="P10" s="171">
        <v>3581</v>
      </c>
      <c r="Q10" s="171">
        <v>3585.6</v>
      </c>
      <c r="R10" s="236">
        <v>4.5999999999999996</v>
      </c>
      <c r="S10" s="171"/>
      <c r="T10" s="236" t="s">
        <v>159</v>
      </c>
      <c r="U10" s="236">
        <v>4.5999999999999996</v>
      </c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0"/>
      <c r="BH10" s="240"/>
      <c r="BI10" s="240"/>
      <c r="BJ10" s="240"/>
      <c r="BK10" s="240"/>
      <c r="BL10" s="240"/>
      <c r="BM10" s="240"/>
      <c r="BN10" s="240"/>
      <c r="BO10" s="240"/>
    </row>
    <row r="11" spans="1:67" s="241" customFormat="1" ht="18" customHeight="1">
      <c r="A11" s="324"/>
      <c r="B11" s="199" t="s">
        <v>580</v>
      </c>
      <c r="C11" s="199"/>
      <c r="D11" s="171"/>
      <c r="E11" s="171"/>
      <c r="F11" s="236">
        <v>16.600000000000001</v>
      </c>
      <c r="G11" s="236"/>
      <c r="H11" s="236"/>
      <c r="I11" s="237">
        <v>7.94</v>
      </c>
      <c r="J11" s="238">
        <v>0.55600000000000005</v>
      </c>
      <c r="K11" s="236">
        <v>61.3</v>
      </c>
      <c r="L11" s="239" t="s">
        <v>579</v>
      </c>
      <c r="M11" s="199"/>
      <c r="N11" s="242"/>
      <c r="O11" s="236" t="s">
        <v>579</v>
      </c>
      <c r="P11" s="171"/>
      <c r="Q11" s="171"/>
      <c r="R11" s="236"/>
      <c r="S11" s="171"/>
      <c r="T11" s="236" t="s">
        <v>579</v>
      </c>
      <c r="U11" s="236">
        <v>16.600000000000001</v>
      </c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0"/>
    </row>
    <row r="12" spans="1:67" s="241" customFormat="1" ht="18" customHeight="1">
      <c r="A12" s="324" t="s">
        <v>548</v>
      </c>
      <c r="B12" s="199" t="s">
        <v>95</v>
      </c>
      <c r="C12" s="199">
        <v>1</v>
      </c>
      <c r="D12" s="171">
        <v>3578.6</v>
      </c>
      <c r="E12" s="171">
        <v>3580.7</v>
      </c>
      <c r="F12" s="236">
        <v>2.1</v>
      </c>
      <c r="G12" s="236">
        <v>26.02</v>
      </c>
      <c r="H12" s="236">
        <v>246.38</v>
      </c>
      <c r="I12" s="237">
        <v>10.98</v>
      </c>
      <c r="J12" s="238">
        <v>0.91100000000000003</v>
      </c>
      <c r="K12" s="236">
        <v>52.62</v>
      </c>
      <c r="L12" s="239" t="s">
        <v>579</v>
      </c>
      <c r="M12" s="324">
        <v>11286</v>
      </c>
      <c r="N12" s="325">
        <v>6.5</v>
      </c>
      <c r="O12" s="236" t="s">
        <v>579</v>
      </c>
      <c r="P12" s="171">
        <v>3578.6</v>
      </c>
      <c r="Q12" s="171">
        <v>3580.7</v>
      </c>
      <c r="R12" s="236">
        <v>2.1</v>
      </c>
      <c r="S12" s="171"/>
      <c r="T12" s="236" t="s">
        <v>579</v>
      </c>
      <c r="U12" s="236">
        <v>2.1</v>
      </c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0"/>
      <c r="BH12" s="240"/>
      <c r="BI12" s="240"/>
      <c r="BJ12" s="240"/>
      <c r="BK12" s="240"/>
      <c r="BL12" s="240"/>
      <c r="BM12" s="240"/>
      <c r="BN12" s="240"/>
      <c r="BO12" s="240"/>
    </row>
    <row r="13" spans="1:67" s="241" customFormat="1" ht="18" customHeight="1">
      <c r="A13" s="324"/>
      <c r="B13" s="199" t="s">
        <v>348</v>
      </c>
      <c r="C13" s="199">
        <v>2</v>
      </c>
      <c r="D13" s="171">
        <v>3584</v>
      </c>
      <c r="E13" s="171">
        <v>3588</v>
      </c>
      <c r="F13" s="236">
        <v>4</v>
      </c>
      <c r="G13" s="236">
        <v>24.19</v>
      </c>
      <c r="H13" s="236">
        <v>237.7</v>
      </c>
      <c r="I13" s="237">
        <v>9.52</v>
      </c>
      <c r="J13" s="238">
        <v>0.49</v>
      </c>
      <c r="K13" s="236">
        <v>50.09</v>
      </c>
      <c r="L13" s="239" t="s">
        <v>579</v>
      </c>
      <c r="M13" s="324"/>
      <c r="N13" s="325"/>
      <c r="O13" s="236" t="s">
        <v>579</v>
      </c>
      <c r="P13" s="171">
        <v>3584</v>
      </c>
      <c r="Q13" s="171">
        <v>3588</v>
      </c>
      <c r="R13" s="236">
        <v>4</v>
      </c>
      <c r="S13" s="171"/>
      <c r="T13" s="236" t="s">
        <v>579</v>
      </c>
      <c r="U13" s="236">
        <v>4</v>
      </c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/>
      <c r="BM13" s="240"/>
      <c r="BN13" s="240"/>
      <c r="BO13" s="240"/>
    </row>
    <row r="14" spans="1:67" s="241" customFormat="1" ht="18" customHeight="1">
      <c r="A14" s="324"/>
      <c r="B14" s="199" t="s">
        <v>580</v>
      </c>
      <c r="C14" s="199"/>
      <c r="D14" s="171"/>
      <c r="E14" s="171"/>
      <c r="F14" s="236">
        <v>6.1</v>
      </c>
      <c r="G14" s="236"/>
      <c r="H14" s="236"/>
      <c r="I14" s="237">
        <v>10.25</v>
      </c>
      <c r="J14" s="238">
        <v>0.70099999999999996</v>
      </c>
      <c r="K14" s="236">
        <v>51.4</v>
      </c>
      <c r="L14" s="239" t="s">
        <v>579</v>
      </c>
      <c r="M14" s="199"/>
      <c r="N14" s="242"/>
      <c r="O14" s="236" t="s">
        <v>579</v>
      </c>
      <c r="P14" s="171"/>
      <c r="Q14" s="171"/>
      <c r="R14" s="236"/>
      <c r="S14" s="171"/>
      <c r="T14" s="236" t="s">
        <v>579</v>
      </c>
      <c r="U14" s="236">
        <v>6.1</v>
      </c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BK14" s="240"/>
      <c r="BL14" s="240"/>
      <c r="BM14" s="240"/>
      <c r="BN14" s="240"/>
      <c r="BO14" s="240"/>
    </row>
    <row r="15" spans="1:67" s="241" customFormat="1" ht="18" customHeight="1">
      <c r="A15" s="324" t="s">
        <v>399</v>
      </c>
      <c r="B15" s="199" t="s">
        <v>348</v>
      </c>
      <c r="C15" s="199">
        <v>1</v>
      </c>
      <c r="D15" s="171">
        <v>3572.63</v>
      </c>
      <c r="E15" s="171">
        <v>3575.6</v>
      </c>
      <c r="F15" s="236">
        <v>3</v>
      </c>
      <c r="G15" s="236">
        <v>42.2</v>
      </c>
      <c r="H15" s="236">
        <v>219.7</v>
      </c>
      <c r="I15" s="237">
        <v>6.48</v>
      </c>
      <c r="J15" s="238">
        <v>0.25800000000000001</v>
      </c>
      <c r="K15" s="236">
        <v>52.8</v>
      </c>
      <c r="L15" s="239" t="s">
        <v>579</v>
      </c>
      <c r="M15" s="199">
        <v>10001</v>
      </c>
      <c r="N15" s="171">
        <v>21</v>
      </c>
      <c r="O15" s="236" t="s">
        <v>579</v>
      </c>
      <c r="P15" s="171">
        <v>3572.63</v>
      </c>
      <c r="Q15" s="171">
        <v>3575.6</v>
      </c>
      <c r="R15" s="236">
        <v>3</v>
      </c>
      <c r="S15" s="171"/>
      <c r="T15" s="236" t="s">
        <v>579</v>
      </c>
      <c r="U15" s="236">
        <v>3</v>
      </c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40"/>
      <c r="BI15" s="240"/>
      <c r="BJ15" s="240"/>
      <c r="BK15" s="240"/>
      <c r="BL15" s="240"/>
      <c r="BM15" s="240"/>
      <c r="BN15" s="240"/>
      <c r="BO15" s="240"/>
    </row>
    <row r="16" spans="1:67" s="241" customFormat="1" ht="18" customHeight="1">
      <c r="A16" s="324"/>
      <c r="B16" s="199" t="s">
        <v>580</v>
      </c>
      <c r="C16" s="199"/>
      <c r="D16" s="171"/>
      <c r="E16" s="171"/>
      <c r="F16" s="236">
        <v>3</v>
      </c>
      <c r="G16" s="236"/>
      <c r="H16" s="236"/>
      <c r="I16" s="237">
        <v>6.48</v>
      </c>
      <c r="J16" s="238">
        <v>0.25800000000000001</v>
      </c>
      <c r="K16" s="236">
        <v>52.8</v>
      </c>
      <c r="L16" s="239" t="s">
        <v>579</v>
      </c>
      <c r="M16" s="199"/>
      <c r="N16" s="171"/>
      <c r="O16" s="236" t="s">
        <v>579</v>
      </c>
      <c r="P16" s="171"/>
      <c r="Q16" s="171"/>
      <c r="R16" s="236"/>
      <c r="S16" s="171"/>
      <c r="T16" s="236" t="s">
        <v>579</v>
      </c>
      <c r="U16" s="236">
        <v>3</v>
      </c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40"/>
      <c r="BM16" s="240"/>
      <c r="BN16" s="240"/>
      <c r="BO16" s="240"/>
    </row>
    <row r="17" spans="1:67" s="241" customFormat="1" ht="18" customHeight="1">
      <c r="A17" s="324" t="s">
        <v>412</v>
      </c>
      <c r="B17" s="199" t="s">
        <v>348</v>
      </c>
      <c r="C17" s="199">
        <v>1</v>
      </c>
      <c r="D17" s="171">
        <v>3539</v>
      </c>
      <c r="E17" s="171">
        <v>3542</v>
      </c>
      <c r="F17" s="236">
        <v>3</v>
      </c>
      <c r="G17" s="236">
        <v>12.92</v>
      </c>
      <c r="H17" s="236">
        <v>233.89</v>
      </c>
      <c r="I17" s="237">
        <v>8.8800000000000008</v>
      </c>
      <c r="J17" s="238">
        <v>0.44</v>
      </c>
      <c r="K17" s="236">
        <v>53.25</v>
      </c>
      <c r="L17" s="239" t="s">
        <v>579</v>
      </c>
      <c r="M17" s="324">
        <v>48587</v>
      </c>
      <c r="N17" s="325"/>
      <c r="O17" s="236" t="s">
        <v>579</v>
      </c>
      <c r="P17" s="171">
        <v>3539</v>
      </c>
      <c r="Q17" s="171">
        <v>3542</v>
      </c>
      <c r="R17" s="236">
        <v>3</v>
      </c>
      <c r="S17" s="171"/>
      <c r="T17" s="236" t="s">
        <v>579</v>
      </c>
      <c r="U17" s="236">
        <v>3</v>
      </c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40"/>
      <c r="BI17" s="240"/>
      <c r="BJ17" s="240"/>
      <c r="BK17" s="240"/>
      <c r="BL17" s="240"/>
      <c r="BM17" s="240"/>
      <c r="BN17" s="240"/>
      <c r="BO17" s="240"/>
    </row>
    <row r="18" spans="1:67" s="241" customFormat="1" ht="18" customHeight="1">
      <c r="A18" s="324"/>
      <c r="B18" s="199" t="s">
        <v>348</v>
      </c>
      <c r="C18" s="199">
        <v>2</v>
      </c>
      <c r="D18" s="171">
        <v>3542</v>
      </c>
      <c r="E18" s="171">
        <v>3546.38</v>
      </c>
      <c r="F18" s="236">
        <v>4.4000000000000004</v>
      </c>
      <c r="G18" s="236">
        <v>16.100000000000001</v>
      </c>
      <c r="H18" s="236">
        <v>251.01</v>
      </c>
      <c r="I18" s="237">
        <v>11.76</v>
      </c>
      <c r="J18" s="238">
        <v>1.228</v>
      </c>
      <c r="K18" s="236">
        <v>59.6</v>
      </c>
      <c r="L18" s="239" t="s">
        <v>159</v>
      </c>
      <c r="M18" s="324"/>
      <c r="N18" s="325"/>
      <c r="O18" s="236" t="s">
        <v>159</v>
      </c>
      <c r="P18" s="171">
        <v>3542</v>
      </c>
      <c r="Q18" s="171">
        <v>3546.38</v>
      </c>
      <c r="R18" s="236">
        <v>4.4000000000000004</v>
      </c>
      <c r="S18" s="171"/>
      <c r="T18" s="236" t="s">
        <v>159</v>
      </c>
      <c r="U18" s="236">
        <v>4.4000000000000004</v>
      </c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/>
      <c r="AV18" s="240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0"/>
      <c r="BH18" s="240"/>
      <c r="BI18" s="240"/>
      <c r="BJ18" s="240"/>
      <c r="BK18" s="240"/>
      <c r="BL18" s="240"/>
      <c r="BM18" s="240"/>
      <c r="BN18" s="240"/>
      <c r="BO18" s="240"/>
    </row>
    <row r="19" spans="1:67" s="241" customFormat="1" ht="18" customHeight="1">
      <c r="A19" s="324"/>
      <c r="B19" s="199" t="s">
        <v>580</v>
      </c>
      <c r="C19" s="199"/>
      <c r="D19" s="171"/>
      <c r="E19" s="171"/>
      <c r="F19" s="236">
        <v>7.4</v>
      </c>
      <c r="G19" s="236"/>
      <c r="H19" s="236"/>
      <c r="I19" s="237">
        <v>10.32</v>
      </c>
      <c r="J19" s="238">
        <v>0.83399999999999996</v>
      </c>
      <c r="K19" s="236">
        <v>56.4</v>
      </c>
      <c r="L19" s="239" t="s">
        <v>579</v>
      </c>
      <c r="M19" s="199"/>
      <c r="N19" s="242"/>
      <c r="O19" s="236" t="s">
        <v>579</v>
      </c>
      <c r="P19" s="171"/>
      <c r="Q19" s="171"/>
      <c r="R19" s="236"/>
      <c r="S19" s="171"/>
      <c r="T19" s="236" t="s">
        <v>159</v>
      </c>
      <c r="U19" s="236">
        <v>7.4</v>
      </c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0"/>
      <c r="BH19" s="240"/>
      <c r="BI19" s="240"/>
      <c r="BJ19" s="240"/>
      <c r="BK19" s="240"/>
      <c r="BL19" s="240"/>
      <c r="BM19" s="240"/>
      <c r="BN19" s="240"/>
      <c r="BO19" s="240"/>
    </row>
    <row r="20" spans="1:67" s="241" customFormat="1" ht="18" customHeight="1">
      <c r="A20" s="324" t="s">
        <v>553</v>
      </c>
      <c r="B20" s="199" t="s">
        <v>95</v>
      </c>
      <c r="C20" s="199">
        <v>1</v>
      </c>
      <c r="D20" s="171">
        <v>3522</v>
      </c>
      <c r="E20" s="171">
        <v>3527</v>
      </c>
      <c r="F20" s="236">
        <v>5</v>
      </c>
      <c r="G20" s="171">
        <v>97.89</v>
      </c>
      <c r="H20" s="171">
        <v>215.94</v>
      </c>
      <c r="I20" s="237">
        <v>5.83</v>
      </c>
      <c r="J20" s="238">
        <v>0.48699999999999999</v>
      </c>
      <c r="K20" s="236">
        <v>58.85</v>
      </c>
      <c r="L20" s="199" t="s">
        <v>159</v>
      </c>
      <c r="M20" s="324">
        <v>44768</v>
      </c>
      <c r="N20" s="325"/>
      <c r="O20" s="171" t="s">
        <v>159</v>
      </c>
      <c r="P20" s="171">
        <v>3522</v>
      </c>
      <c r="Q20" s="171">
        <v>3527</v>
      </c>
      <c r="R20" s="236">
        <v>5</v>
      </c>
      <c r="S20" s="171"/>
      <c r="T20" s="236" t="s">
        <v>159</v>
      </c>
      <c r="U20" s="236">
        <v>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BK20" s="240"/>
      <c r="BL20" s="240"/>
      <c r="BM20" s="240"/>
      <c r="BN20" s="240"/>
      <c r="BO20" s="240"/>
    </row>
    <row r="21" spans="1:67" s="241" customFormat="1" ht="18" customHeight="1">
      <c r="A21" s="324"/>
      <c r="B21" s="199" t="s">
        <v>580</v>
      </c>
      <c r="C21" s="199"/>
      <c r="D21" s="171"/>
      <c r="E21" s="171"/>
      <c r="F21" s="236">
        <v>5</v>
      </c>
      <c r="G21" s="236"/>
      <c r="H21" s="236"/>
      <c r="I21" s="237">
        <v>5.83</v>
      </c>
      <c r="J21" s="238">
        <v>0.48699999999999999</v>
      </c>
      <c r="K21" s="236">
        <v>58.85</v>
      </c>
      <c r="L21" s="199" t="s">
        <v>579</v>
      </c>
      <c r="M21" s="324"/>
      <c r="N21" s="325"/>
      <c r="O21" s="171" t="s">
        <v>579</v>
      </c>
      <c r="P21" s="171"/>
      <c r="Q21" s="171"/>
      <c r="R21" s="236"/>
      <c r="S21" s="171"/>
      <c r="T21" s="236" t="s">
        <v>159</v>
      </c>
      <c r="U21" s="236">
        <v>5</v>
      </c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BK21" s="240"/>
      <c r="BL21" s="240"/>
      <c r="BM21" s="240"/>
      <c r="BN21" s="240"/>
      <c r="BO21" s="240"/>
    </row>
    <row r="22" spans="1:67" s="241" customFormat="1" ht="18" customHeight="1">
      <c r="A22" s="324" t="s">
        <v>390</v>
      </c>
      <c r="B22" s="199" t="s">
        <v>348</v>
      </c>
      <c r="C22" s="199">
        <v>1</v>
      </c>
      <c r="D22" s="171">
        <v>3510</v>
      </c>
      <c r="E22" s="171">
        <v>3519.4</v>
      </c>
      <c r="F22" s="236">
        <v>9.4</v>
      </c>
      <c r="G22" s="236">
        <v>15.87</v>
      </c>
      <c r="H22" s="236">
        <v>252.86</v>
      </c>
      <c r="I22" s="237">
        <v>12.9</v>
      </c>
      <c r="J22" s="238">
        <v>2.1840000000000002</v>
      </c>
      <c r="K22" s="236">
        <v>63.5</v>
      </c>
      <c r="L22" s="239" t="s">
        <v>159</v>
      </c>
      <c r="M22" s="324">
        <v>81537</v>
      </c>
      <c r="N22" s="325"/>
      <c r="O22" s="236" t="s">
        <v>159</v>
      </c>
      <c r="P22" s="171">
        <v>3510</v>
      </c>
      <c r="Q22" s="171">
        <v>3519.4</v>
      </c>
      <c r="R22" s="236">
        <v>9.4</v>
      </c>
      <c r="S22" s="171"/>
      <c r="T22" s="236" t="s">
        <v>159</v>
      </c>
      <c r="U22" s="236">
        <v>9.4</v>
      </c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BK22" s="240"/>
      <c r="BL22" s="240"/>
      <c r="BM22" s="240"/>
      <c r="BN22" s="240"/>
      <c r="BO22" s="240"/>
    </row>
    <row r="23" spans="1:67" s="241" customFormat="1" ht="18" customHeight="1">
      <c r="A23" s="324"/>
      <c r="B23" s="199" t="s">
        <v>348</v>
      </c>
      <c r="C23" s="199">
        <v>2</v>
      </c>
      <c r="D23" s="171">
        <v>3539</v>
      </c>
      <c r="E23" s="171">
        <v>3541.2</v>
      </c>
      <c r="F23" s="236">
        <v>2.2000000000000002</v>
      </c>
      <c r="G23" s="236">
        <v>41.65</v>
      </c>
      <c r="H23" s="236">
        <v>214.78</v>
      </c>
      <c r="I23" s="237">
        <v>5.65</v>
      </c>
      <c r="J23" s="238">
        <v>0.11799999999999999</v>
      </c>
      <c r="K23" s="236">
        <v>58.6</v>
      </c>
      <c r="L23" s="239" t="s">
        <v>579</v>
      </c>
      <c r="M23" s="324"/>
      <c r="N23" s="325"/>
      <c r="O23" s="236" t="s">
        <v>579</v>
      </c>
      <c r="P23" s="171">
        <v>3539</v>
      </c>
      <c r="Q23" s="171">
        <v>3541.2</v>
      </c>
      <c r="R23" s="236">
        <v>2.2000000000000002</v>
      </c>
      <c r="S23" s="171"/>
      <c r="T23" s="236" t="s">
        <v>159</v>
      </c>
      <c r="U23" s="236">
        <v>2.2000000000000002</v>
      </c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BK23" s="240"/>
      <c r="BL23" s="240"/>
      <c r="BM23" s="240"/>
      <c r="BN23" s="240"/>
      <c r="BO23" s="240"/>
    </row>
    <row r="24" spans="1:67" s="241" customFormat="1" ht="18" customHeight="1">
      <c r="A24" s="324"/>
      <c r="B24" s="199" t="s">
        <v>348</v>
      </c>
      <c r="C24" s="199">
        <v>3</v>
      </c>
      <c r="D24" s="171">
        <v>3547.1</v>
      </c>
      <c r="E24" s="171">
        <v>3548.7</v>
      </c>
      <c r="F24" s="236">
        <v>1.6</v>
      </c>
      <c r="G24" s="236">
        <v>67.680000000000007</v>
      </c>
      <c r="H24" s="236">
        <v>223.71</v>
      </c>
      <c r="I24" s="237">
        <v>6.44</v>
      </c>
      <c r="J24" s="238">
        <v>0.186</v>
      </c>
      <c r="K24" s="236">
        <v>55</v>
      </c>
      <c r="L24" s="239" t="s">
        <v>579</v>
      </c>
      <c r="M24" s="324"/>
      <c r="N24" s="325"/>
      <c r="O24" s="236" t="s">
        <v>579</v>
      </c>
      <c r="P24" s="171">
        <v>3547.1</v>
      </c>
      <c r="Q24" s="171">
        <v>3548.7</v>
      </c>
      <c r="R24" s="236">
        <v>1.6</v>
      </c>
      <c r="S24" s="171"/>
      <c r="T24" s="236" t="s">
        <v>159</v>
      </c>
      <c r="U24" s="236">
        <v>1.6</v>
      </c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BK24" s="240"/>
      <c r="BL24" s="240"/>
      <c r="BM24" s="240"/>
      <c r="BN24" s="240"/>
      <c r="BO24" s="240"/>
    </row>
    <row r="25" spans="1:67" s="241" customFormat="1" ht="18" customHeight="1">
      <c r="A25" s="324"/>
      <c r="B25" s="199" t="s">
        <v>580</v>
      </c>
      <c r="C25" s="199"/>
      <c r="D25" s="171"/>
      <c r="E25" s="171"/>
      <c r="F25" s="236">
        <v>13.2</v>
      </c>
      <c r="G25" s="236"/>
      <c r="H25" s="236"/>
      <c r="I25" s="237">
        <v>8.33</v>
      </c>
      <c r="J25" s="238">
        <v>0.82899999999999996</v>
      </c>
      <c r="K25" s="236">
        <v>59</v>
      </c>
      <c r="L25" s="239" t="s">
        <v>579</v>
      </c>
      <c r="M25" s="199"/>
      <c r="N25" s="242"/>
      <c r="O25" s="236" t="s">
        <v>579</v>
      </c>
      <c r="P25" s="171"/>
      <c r="Q25" s="171"/>
      <c r="R25" s="236"/>
      <c r="S25" s="171"/>
      <c r="T25" s="236" t="s">
        <v>159</v>
      </c>
      <c r="U25" s="236">
        <v>13.2</v>
      </c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BK25" s="240"/>
      <c r="BL25" s="240"/>
      <c r="BM25" s="240"/>
      <c r="BN25" s="240"/>
      <c r="BO25" s="240"/>
    </row>
    <row r="26" spans="1:67" s="241" customFormat="1" ht="18" customHeight="1">
      <c r="A26" s="324" t="s">
        <v>417</v>
      </c>
      <c r="B26" s="199" t="s">
        <v>95</v>
      </c>
      <c r="C26" s="199">
        <v>1</v>
      </c>
      <c r="D26" s="171">
        <v>3651.38</v>
      </c>
      <c r="E26" s="171">
        <v>3657.88</v>
      </c>
      <c r="F26" s="236">
        <v>6.5</v>
      </c>
      <c r="G26" s="171">
        <v>98.74</v>
      </c>
      <c r="H26" s="171">
        <v>234.84</v>
      </c>
      <c r="I26" s="237">
        <v>9.01</v>
      </c>
      <c r="J26" s="238">
        <v>0.51900000000000002</v>
      </c>
      <c r="K26" s="236">
        <v>76.099999999999994</v>
      </c>
      <c r="L26" s="199" t="s">
        <v>159</v>
      </c>
      <c r="M26" s="324">
        <v>46849</v>
      </c>
      <c r="N26" s="325"/>
      <c r="O26" s="171" t="s">
        <v>159</v>
      </c>
      <c r="P26" s="171">
        <v>3651.38</v>
      </c>
      <c r="Q26" s="171">
        <v>3657.88</v>
      </c>
      <c r="R26" s="236">
        <v>6.5</v>
      </c>
      <c r="S26" s="171"/>
      <c r="T26" s="236" t="s">
        <v>159</v>
      </c>
      <c r="U26" s="236">
        <v>6.5</v>
      </c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BK26" s="240"/>
      <c r="BL26" s="240"/>
      <c r="BM26" s="240"/>
      <c r="BN26" s="240"/>
      <c r="BO26" s="240"/>
    </row>
    <row r="27" spans="1:67" s="241" customFormat="1" ht="18" customHeight="1">
      <c r="A27" s="324"/>
      <c r="B27" s="199" t="s">
        <v>580</v>
      </c>
      <c r="C27" s="199"/>
      <c r="D27" s="171"/>
      <c r="E27" s="171"/>
      <c r="F27" s="236">
        <v>6.5</v>
      </c>
      <c r="G27" s="236"/>
      <c r="H27" s="236"/>
      <c r="I27" s="237">
        <v>9.01</v>
      </c>
      <c r="J27" s="238">
        <v>0.51900000000000002</v>
      </c>
      <c r="K27" s="236">
        <v>76.099999999999994</v>
      </c>
      <c r="L27" s="199" t="s">
        <v>579</v>
      </c>
      <c r="M27" s="324"/>
      <c r="N27" s="325"/>
      <c r="O27" s="171" t="s">
        <v>579</v>
      </c>
      <c r="P27" s="171"/>
      <c r="Q27" s="171"/>
      <c r="R27" s="236"/>
      <c r="S27" s="171"/>
      <c r="T27" s="236" t="s">
        <v>159</v>
      </c>
      <c r="U27" s="236">
        <v>6.5</v>
      </c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BK27" s="240"/>
      <c r="BL27" s="240"/>
      <c r="BM27" s="240"/>
      <c r="BN27" s="240"/>
      <c r="BO27" s="240"/>
    </row>
    <row r="28" spans="1:67" s="241" customFormat="1" ht="18" customHeight="1">
      <c r="A28" s="324" t="s">
        <v>486</v>
      </c>
      <c r="B28" s="199" t="s">
        <v>348</v>
      </c>
      <c r="C28" s="199">
        <v>1</v>
      </c>
      <c r="D28" s="171">
        <v>3698</v>
      </c>
      <c r="E28" s="171">
        <v>3701</v>
      </c>
      <c r="F28" s="236">
        <v>3</v>
      </c>
      <c r="G28" s="236">
        <v>27.907250000000001</v>
      </c>
      <c r="H28" s="236">
        <v>226.67259999999999</v>
      </c>
      <c r="I28" s="237">
        <v>8.4225919000000005</v>
      </c>
      <c r="J28" s="238">
        <v>0.27823951450000001</v>
      </c>
      <c r="K28" s="236">
        <v>56.5</v>
      </c>
      <c r="L28" s="239" t="s">
        <v>159</v>
      </c>
      <c r="M28" s="199">
        <v>15903</v>
      </c>
      <c r="N28" s="171">
        <v>11.1</v>
      </c>
      <c r="O28" s="236" t="s">
        <v>159</v>
      </c>
      <c r="P28" s="171">
        <v>3698</v>
      </c>
      <c r="Q28" s="171">
        <v>3701</v>
      </c>
      <c r="R28" s="236">
        <v>3</v>
      </c>
      <c r="S28" s="171"/>
      <c r="T28" s="236" t="s">
        <v>159</v>
      </c>
      <c r="U28" s="236">
        <v>3</v>
      </c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BK28" s="240"/>
      <c r="BL28" s="240"/>
      <c r="BM28" s="240"/>
      <c r="BN28" s="240"/>
      <c r="BO28" s="240"/>
    </row>
    <row r="29" spans="1:67" s="241" customFormat="1" ht="18" customHeight="1">
      <c r="A29" s="324"/>
      <c r="B29" s="199" t="s">
        <v>580</v>
      </c>
      <c r="C29" s="199"/>
      <c r="D29" s="171"/>
      <c r="E29" s="171"/>
      <c r="F29" s="236">
        <v>3</v>
      </c>
      <c r="G29" s="236"/>
      <c r="H29" s="236"/>
      <c r="I29" s="237">
        <v>8.4225919000000005</v>
      </c>
      <c r="J29" s="238">
        <v>0.27823951450000001</v>
      </c>
      <c r="K29" s="236">
        <v>56.5</v>
      </c>
      <c r="L29" s="239" t="s">
        <v>579</v>
      </c>
      <c r="M29" s="199"/>
      <c r="N29" s="242"/>
      <c r="O29" s="236" t="s">
        <v>579</v>
      </c>
      <c r="P29" s="171"/>
      <c r="Q29" s="171"/>
      <c r="R29" s="236"/>
      <c r="S29" s="171"/>
      <c r="T29" s="236" t="s">
        <v>159</v>
      </c>
      <c r="U29" s="236">
        <v>3</v>
      </c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M29" s="240"/>
      <c r="BN29" s="240"/>
      <c r="BO29" s="240"/>
    </row>
    <row r="30" spans="1:67" s="241" customFormat="1" ht="18" customHeight="1">
      <c r="A30" s="324" t="s">
        <v>396</v>
      </c>
      <c r="B30" s="199" t="s">
        <v>348</v>
      </c>
      <c r="C30" s="199">
        <v>1</v>
      </c>
      <c r="D30" s="171">
        <v>3617</v>
      </c>
      <c r="E30" s="171">
        <v>3620.6</v>
      </c>
      <c r="F30" s="236">
        <v>3.6</v>
      </c>
      <c r="G30" s="236">
        <v>88.135463414634145</v>
      </c>
      <c r="H30" s="236">
        <v>216.12450000000001</v>
      </c>
      <c r="I30" s="237">
        <v>6.7032600000000002</v>
      </c>
      <c r="J30" s="238">
        <v>0.25541435000000001</v>
      </c>
      <c r="K30" s="236">
        <v>61.5</v>
      </c>
      <c r="L30" s="239" t="s">
        <v>159</v>
      </c>
      <c r="M30" s="324">
        <v>15299</v>
      </c>
      <c r="N30" s="325">
        <v>9</v>
      </c>
      <c r="O30" s="236" t="s">
        <v>159</v>
      </c>
      <c r="P30" s="171">
        <v>3617</v>
      </c>
      <c r="Q30" s="171">
        <v>3620.6</v>
      </c>
      <c r="R30" s="236">
        <v>3.6</v>
      </c>
      <c r="S30" s="171"/>
      <c r="T30" s="236" t="s">
        <v>159</v>
      </c>
      <c r="U30" s="236">
        <v>3.6</v>
      </c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M30" s="240"/>
      <c r="BN30" s="240"/>
      <c r="BO30" s="240"/>
    </row>
    <row r="31" spans="1:67" s="241" customFormat="1" ht="18" customHeight="1">
      <c r="A31" s="324"/>
      <c r="B31" s="199" t="s">
        <v>348</v>
      </c>
      <c r="C31" s="199">
        <v>2</v>
      </c>
      <c r="D31" s="171">
        <v>3624.3</v>
      </c>
      <c r="E31" s="171">
        <v>3627</v>
      </c>
      <c r="F31" s="236">
        <v>2.7</v>
      </c>
      <c r="G31" s="236">
        <v>71.599965517241372</v>
      </c>
      <c r="H31" s="236">
        <v>213</v>
      </c>
      <c r="I31" s="237">
        <v>6.1939687692307697</v>
      </c>
      <c r="J31" s="238">
        <v>0.17488655923076923</v>
      </c>
      <c r="K31" s="236">
        <v>58.9</v>
      </c>
      <c r="L31" s="239" t="s">
        <v>159</v>
      </c>
      <c r="M31" s="324"/>
      <c r="N31" s="325"/>
      <c r="O31" s="236" t="s">
        <v>159</v>
      </c>
      <c r="P31" s="171">
        <v>3624.3</v>
      </c>
      <c r="Q31" s="171">
        <v>3627</v>
      </c>
      <c r="R31" s="236">
        <v>2.7</v>
      </c>
      <c r="S31" s="171"/>
      <c r="T31" s="236" t="s">
        <v>159</v>
      </c>
      <c r="U31" s="236">
        <v>2.7</v>
      </c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</row>
    <row r="32" spans="1:67" s="241" customFormat="1" ht="18" customHeight="1">
      <c r="A32" s="324"/>
      <c r="B32" s="199" t="s">
        <v>580</v>
      </c>
      <c r="C32" s="199"/>
      <c r="D32" s="171"/>
      <c r="E32" s="171"/>
      <c r="F32" s="236">
        <v>6.3</v>
      </c>
      <c r="G32" s="236"/>
      <c r="H32" s="236"/>
      <c r="I32" s="237">
        <v>6.45</v>
      </c>
      <c r="J32" s="238">
        <v>0.215</v>
      </c>
      <c r="K32" s="236">
        <v>60.2</v>
      </c>
      <c r="L32" s="239" t="s">
        <v>579</v>
      </c>
      <c r="M32" s="199"/>
      <c r="N32" s="242"/>
      <c r="O32" s="236" t="s">
        <v>579</v>
      </c>
      <c r="P32" s="171"/>
      <c r="Q32" s="171"/>
      <c r="R32" s="236"/>
      <c r="S32" s="171"/>
      <c r="T32" s="236" t="s">
        <v>159</v>
      </c>
      <c r="U32" s="236">
        <v>6.3</v>
      </c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BK32" s="240"/>
      <c r="BL32" s="240"/>
      <c r="BM32" s="240"/>
      <c r="BN32" s="240"/>
      <c r="BO32" s="240"/>
    </row>
    <row r="33" spans="1:67" s="241" customFormat="1" ht="18" customHeight="1">
      <c r="A33" s="324" t="s">
        <v>359</v>
      </c>
      <c r="B33" s="199" t="s">
        <v>348</v>
      </c>
      <c r="C33" s="199">
        <v>1</v>
      </c>
      <c r="D33" s="171">
        <v>3555.875</v>
      </c>
      <c r="E33" s="171">
        <v>3558.9</v>
      </c>
      <c r="F33" s="236">
        <v>3</v>
      </c>
      <c r="G33" s="236">
        <v>16.070771379310344</v>
      </c>
      <c r="H33" s="236">
        <v>257.54557241379308</v>
      </c>
      <c r="I33" s="237">
        <v>14.388225517241379</v>
      </c>
      <c r="J33" s="238">
        <v>1.27</v>
      </c>
      <c r="K33" s="236">
        <v>63.261996206896555</v>
      </c>
      <c r="L33" s="239" t="s">
        <v>159</v>
      </c>
      <c r="M33" s="199">
        <v>12339</v>
      </c>
      <c r="N33" s="171">
        <v>15.6</v>
      </c>
      <c r="O33" s="236" t="s">
        <v>159</v>
      </c>
      <c r="P33" s="171">
        <v>3555.875</v>
      </c>
      <c r="Q33" s="171">
        <v>3558.9</v>
      </c>
      <c r="R33" s="236">
        <v>3</v>
      </c>
      <c r="S33" s="171"/>
      <c r="T33" s="236" t="s">
        <v>159</v>
      </c>
      <c r="U33" s="236">
        <v>3</v>
      </c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0"/>
      <c r="BN33" s="240"/>
      <c r="BO33" s="240"/>
    </row>
    <row r="34" spans="1:67" s="241" customFormat="1" ht="18" customHeight="1">
      <c r="A34" s="324"/>
      <c r="B34" s="199" t="s">
        <v>580</v>
      </c>
      <c r="C34" s="199"/>
      <c r="D34" s="171"/>
      <c r="E34" s="171"/>
      <c r="F34" s="236">
        <v>3</v>
      </c>
      <c r="G34" s="236"/>
      <c r="H34" s="236"/>
      <c r="I34" s="237">
        <v>14.388225517241379</v>
      </c>
      <c r="J34" s="238">
        <v>1.27</v>
      </c>
      <c r="K34" s="236">
        <v>63.261996206896555</v>
      </c>
      <c r="L34" s="239" t="s">
        <v>579</v>
      </c>
      <c r="M34" s="199"/>
      <c r="N34" s="242"/>
      <c r="O34" s="236" t="s">
        <v>579</v>
      </c>
      <c r="P34" s="171"/>
      <c r="Q34" s="171"/>
      <c r="R34" s="236"/>
      <c r="S34" s="171"/>
      <c r="T34" s="236" t="s">
        <v>159</v>
      </c>
      <c r="U34" s="236">
        <v>3</v>
      </c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BK34" s="240"/>
      <c r="BL34" s="240"/>
      <c r="BM34" s="240"/>
      <c r="BN34" s="240"/>
      <c r="BO34" s="240"/>
    </row>
    <row r="35" spans="1:67" s="241" customFormat="1" ht="18" customHeight="1">
      <c r="A35" s="324" t="s">
        <v>558</v>
      </c>
      <c r="B35" s="199" t="s">
        <v>348</v>
      </c>
      <c r="C35" s="199">
        <v>1</v>
      </c>
      <c r="D35" s="171">
        <v>3637.75</v>
      </c>
      <c r="E35" s="171">
        <v>3642.1</v>
      </c>
      <c r="F35" s="236">
        <v>4.3</v>
      </c>
      <c r="G35" s="236">
        <v>28.958656250000001</v>
      </c>
      <c r="H35" s="236">
        <v>230.24953124999999</v>
      </c>
      <c r="I35" s="237">
        <v>9.8206244062499994</v>
      </c>
      <c r="J35" s="238">
        <v>0.42107905499999998</v>
      </c>
      <c r="K35" s="236">
        <v>60.1</v>
      </c>
      <c r="L35" s="239" t="s">
        <v>159</v>
      </c>
      <c r="M35" s="324">
        <v>22858</v>
      </c>
      <c r="N35" s="325">
        <v>27</v>
      </c>
      <c r="O35" s="236" t="s">
        <v>159</v>
      </c>
      <c r="P35" s="171">
        <v>3637.75</v>
      </c>
      <c r="Q35" s="171">
        <v>3642.1</v>
      </c>
      <c r="R35" s="236">
        <v>4.3</v>
      </c>
      <c r="S35" s="171"/>
      <c r="T35" s="236" t="s">
        <v>159</v>
      </c>
      <c r="U35" s="236">
        <v>4.3</v>
      </c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40"/>
      <c r="BI35" s="240"/>
      <c r="BJ35" s="240"/>
      <c r="BK35" s="240"/>
      <c r="BL35" s="240"/>
      <c r="BM35" s="240"/>
      <c r="BN35" s="240"/>
      <c r="BO35" s="240"/>
    </row>
    <row r="36" spans="1:67" s="241" customFormat="1" ht="18" customHeight="1">
      <c r="A36" s="324"/>
      <c r="B36" s="199" t="s">
        <v>348</v>
      </c>
      <c r="C36" s="199">
        <v>2</v>
      </c>
      <c r="D36" s="171">
        <v>3643.5</v>
      </c>
      <c r="E36" s="171">
        <v>3646.4</v>
      </c>
      <c r="F36" s="236">
        <v>2.9</v>
      </c>
      <c r="G36" s="236">
        <v>41.597030303030301</v>
      </c>
      <c r="H36" s="236">
        <v>226.48272727272726</v>
      </c>
      <c r="I36" s="237">
        <v>9.8783928484848484</v>
      </c>
      <c r="J36" s="238">
        <v>0.34712458181818184</v>
      </c>
      <c r="K36" s="236">
        <v>57.888686363636367</v>
      </c>
      <c r="L36" s="239" t="s">
        <v>159</v>
      </c>
      <c r="M36" s="324">
        <v>2.2858000000000001</v>
      </c>
      <c r="N36" s="325">
        <v>27</v>
      </c>
      <c r="O36" s="236" t="s">
        <v>159</v>
      </c>
      <c r="P36" s="171">
        <v>3643.5</v>
      </c>
      <c r="Q36" s="171">
        <v>3646.4</v>
      </c>
      <c r="R36" s="236">
        <v>2.9</v>
      </c>
      <c r="S36" s="171"/>
      <c r="T36" s="236" t="s">
        <v>159</v>
      </c>
      <c r="U36" s="236">
        <v>2.9</v>
      </c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0"/>
      <c r="BH36" s="240"/>
      <c r="BI36" s="240"/>
      <c r="BJ36" s="240"/>
      <c r="BK36" s="240"/>
      <c r="BL36" s="240"/>
      <c r="BM36" s="240"/>
      <c r="BN36" s="240"/>
      <c r="BO36" s="240"/>
    </row>
    <row r="37" spans="1:67" s="241" customFormat="1" ht="18" customHeight="1">
      <c r="A37" s="324"/>
      <c r="B37" s="199" t="s">
        <v>580</v>
      </c>
      <c r="C37" s="199"/>
      <c r="D37" s="171"/>
      <c r="E37" s="171"/>
      <c r="F37" s="236">
        <v>7.2</v>
      </c>
      <c r="G37" s="236"/>
      <c r="H37" s="236"/>
      <c r="I37" s="237">
        <v>9.85</v>
      </c>
      <c r="J37" s="238">
        <v>0.38400000000000001</v>
      </c>
      <c r="K37" s="236">
        <v>59</v>
      </c>
      <c r="L37" s="239" t="s">
        <v>159</v>
      </c>
      <c r="M37" s="324">
        <v>2.2858000000000001</v>
      </c>
      <c r="N37" s="325">
        <v>27</v>
      </c>
      <c r="O37" s="236" t="s">
        <v>159</v>
      </c>
      <c r="P37" s="171"/>
      <c r="Q37" s="171"/>
      <c r="R37" s="236"/>
      <c r="S37" s="171"/>
      <c r="T37" s="236" t="s">
        <v>159</v>
      </c>
      <c r="U37" s="236">
        <v>7.2</v>
      </c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  <c r="AS37" s="240"/>
      <c r="AT37" s="240"/>
      <c r="AU37" s="240"/>
      <c r="AV37" s="240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0"/>
      <c r="BH37" s="240"/>
      <c r="BI37" s="240"/>
      <c r="BJ37" s="240"/>
      <c r="BK37" s="240"/>
      <c r="BL37" s="240"/>
      <c r="BM37" s="240"/>
      <c r="BN37" s="240"/>
      <c r="BO37" s="240"/>
    </row>
    <row r="38" spans="1:67" s="241" customFormat="1" ht="18" customHeight="1">
      <c r="A38" s="324" t="s">
        <v>420</v>
      </c>
      <c r="B38" s="199" t="s">
        <v>348</v>
      </c>
      <c r="C38" s="199">
        <v>1</v>
      </c>
      <c r="D38" s="171">
        <v>3600.25</v>
      </c>
      <c r="E38" s="171">
        <v>3602.875</v>
      </c>
      <c r="F38" s="236">
        <v>2.625</v>
      </c>
      <c r="G38" s="236">
        <v>32.496994999999998</v>
      </c>
      <c r="H38" s="236">
        <v>226.42246499999999</v>
      </c>
      <c r="I38" s="237">
        <v>7.3218992500000004</v>
      </c>
      <c r="J38" s="238">
        <v>0.23267124</v>
      </c>
      <c r="K38" s="236">
        <v>53.164054999999998</v>
      </c>
      <c r="L38" s="239" t="s">
        <v>159</v>
      </c>
      <c r="M38" s="324">
        <v>15199</v>
      </c>
      <c r="N38" s="325"/>
      <c r="O38" s="236" t="s">
        <v>159</v>
      </c>
      <c r="P38" s="171">
        <v>3600.25</v>
      </c>
      <c r="Q38" s="171">
        <v>3602.875</v>
      </c>
      <c r="R38" s="236">
        <v>2.625</v>
      </c>
      <c r="S38" s="171"/>
      <c r="T38" s="236" t="s">
        <v>159</v>
      </c>
      <c r="U38" s="236">
        <v>2.625</v>
      </c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0"/>
      <c r="BH38" s="240"/>
      <c r="BI38" s="240"/>
      <c r="BJ38" s="240"/>
      <c r="BK38" s="240"/>
      <c r="BL38" s="240"/>
      <c r="BM38" s="240"/>
      <c r="BN38" s="240"/>
      <c r="BO38" s="240"/>
    </row>
    <row r="39" spans="1:67" s="241" customFormat="1" ht="18" customHeight="1">
      <c r="A39" s="324"/>
      <c r="B39" s="199" t="s">
        <v>348</v>
      </c>
      <c r="C39" s="199">
        <v>2</v>
      </c>
      <c r="D39" s="171">
        <v>3613.75</v>
      </c>
      <c r="E39" s="171">
        <v>3618.5</v>
      </c>
      <c r="F39" s="236">
        <v>4.75</v>
      </c>
      <c r="G39" s="236">
        <v>90.965837837837839</v>
      </c>
      <c r="H39" s="236">
        <v>211.54186486486486</v>
      </c>
      <c r="I39" s="237">
        <v>6.3007399189189188</v>
      </c>
      <c r="J39" s="238">
        <v>0.48063250000000002</v>
      </c>
      <c r="K39" s="236">
        <v>70.078202702702697</v>
      </c>
      <c r="L39" s="239" t="s">
        <v>579</v>
      </c>
      <c r="M39" s="324"/>
      <c r="N39" s="325">
        <v>3.6</v>
      </c>
      <c r="O39" s="236" t="s">
        <v>579</v>
      </c>
      <c r="P39" s="171">
        <v>3613.75</v>
      </c>
      <c r="Q39" s="171">
        <v>3618.5</v>
      </c>
      <c r="R39" s="236">
        <v>4.75</v>
      </c>
      <c r="S39" s="171"/>
      <c r="T39" s="236" t="s">
        <v>159</v>
      </c>
      <c r="U39" s="236">
        <v>4.75</v>
      </c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40"/>
      <c r="BI39" s="240"/>
      <c r="BJ39" s="240"/>
      <c r="BK39" s="240"/>
      <c r="BL39" s="240"/>
      <c r="BM39" s="240"/>
      <c r="BN39" s="240"/>
      <c r="BO39" s="240"/>
    </row>
    <row r="40" spans="1:67" s="241" customFormat="1" ht="18" customHeight="1">
      <c r="A40" s="324"/>
      <c r="B40" s="199" t="s">
        <v>580</v>
      </c>
      <c r="C40" s="199"/>
      <c r="D40" s="171"/>
      <c r="E40" s="171"/>
      <c r="F40" s="236">
        <v>7.4</v>
      </c>
      <c r="G40" s="236"/>
      <c r="H40" s="236"/>
      <c r="I40" s="237">
        <v>6.81</v>
      </c>
      <c r="J40" s="238">
        <v>0.35699999999999998</v>
      </c>
      <c r="K40" s="236">
        <v>61.6</v>
      </c>
      <c r="L40" s="239" t="s">
        <v>579</v>
      </c>
      <c r="M40" s="324"/>
      <c r="N40" s="325">
        <v>3.6</v>
      </c>
      <c r="O40" s="236" t="s">
        <v>579</v>
      </c>
      <c r="P40" s="171"/>
      <c r="Q40" s="171"/>
      <c r="R40" s="236"/>
      <c r="S40" s="171"/>
      <c r="T40" s="236" t="s">
        <v>159</v>
      </c>
      <c r="U40" s="236">
        <v>7.4</v>
      </c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40"/>
      <c r="BI40" s="240"/>
      <c r="BJ40" s="240"/>
      <c r="BK40" s="240"/>
      <c r="BL40" s="240"/>
      <c r="BM40" s="240"/>
      <c r="BN40" s="240"/>
      <c r="BO40" s="240"/>
    </row>
    <row r="41" spans="1:67" s="241" customFormat="1" ht="18" customHeight="1">
      <c r="A41" s="324" t="s">
        <v>581</v>
      </c>
      <c r="B41" s="199" t="s">
        <v>348</v>
      </c>
      <c r="C41" s="199">
        <v>1</v>
      </c>
      <c r="D41" s="171">
        <v>3586.38</v>
      </c>
      <c r="E41" s="171">
        <v>3589</v>
      </c>
      <c r="F41" s="236">
        <f>E41-D41</f>
        <v>2.6199999999998909</v>
      </c>
      <c r="G41" s="236">
        <v>69.849999999999994</v>
      </c>
      <c r="H41" s="236">
        <v>227.77</v>
      </c>
      <c r="I41" s="237">
        <v>7.79</v>
      </c>
      <c r="J41" s="238">
        <v>0.19700000000000001</v>
      </c>
      <c r="K41" s="236">
        <v>63.45</v>
      </c>
      <c r="L41" s="239" t="s">
        <v>159</v>
      </c>
      <c r="M41" s="324">
        <v>41886</v>
      </c>
      <c r="N41" s="325"/>
      <c r="O41" s="236" t="s">
        <v>159</v>
      </c>
      <c r="P41" s="171">
        <v>3586.38</v>
      </c>
      <c r="Q41" s="171">
        <v>3589</v>
      </c>
      <c r="R41" s="236">
        <v>2.6199999999998909</v>
      </c>
      <c r="S41" s="171"/>
      <c r="T41" s="236" t="s">
        <v>159</v>
      </c>
      <c r="U41" s="236">
        <v>2.6199999999998909</v>
      </c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A41" s="240"/>
      <c r="BB41" s="240"/>
      <c r="BC41" s="240"/>
      <c r="BD41" s="240"/>
      <c r="BE41" s="240"/>
      <c r="BF41" s="240"/>
      <c r="BG41" s="240"/>
      <c r="BH41" s="240"/>
      <c r="BI41" s="240"/>
      <c r="BJ41" s="240"/>
      <c r="BK41" s="240"/>
      <c r="BL41" s="240"/>
      <c r="BM41" s="240"/>
      <c r="BN41" s="240"/>
      <c r="BO41" s="240"/>
    </row>
    <row r="42" spans="1:67" s="241" customFormat="1" ht="18" customHeight="1">
      <c r="A42" s="324"/>
      <c r="B42" s="199" t="s">
        <v>95</v>
      </c>
      <c r="C42" s="199">
        <v>2</v>
      </c>
      <c r="D42" s="171">
        <v>3631.35</v>
      </c>
      <c r="E42" s="171">
        <v>3633.73</v>
      </c>
      <c r="F42" s="236">
        <v>2.2999999999999998</v>
      </c>
      <c r="G42" s="236">
        <v>41.01</v>
      </c>
      <c r="H42" s="236">
        <v>236.85</v>
      </c>
      <c r="I42" s="237">
        <v>9.27</v>
      </c>
      <c r="J42" s="238">
        <v>0.23899999999999999</v>
      </c>
      <c r="K42" s="236">
        <v>50.15</v>
      </c>
      <c r="L42" s="239" t="s">
        <v>159</v>
      </c>
      <c r="M42" s="324"/>
      <c r="N42" s="325"/>
      <c r="O42" s="236" t="s">
        <v>159</v>
      </c>
      <c r="P42" s="171">
        <v>3631.35</v>
      </c>
      <c r="Q42" s="171">
        <v>3633.73</v>
      </c>
      <c r="R42" s="236">
        <v>2.2999999999999998</v>
      </c>
      <c r="S42" s="171"/>
      <c r="T42" s="236" t="s">
        <v>159</v>
      </c>
      <c r="U42" s="236">
        <v>2.2999999999999998</v>
      </c>
      <c r="V42" s="240"/>
      <c r="W42" s="240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0"/>
      <c r="AX42" s="240"/>
      <c r="AY42" s="240"/>
      <c r="AZ42" s="240"/>
      <c r="BA42" s="240"/>
      <c r="BB42" s="240"/>
      <c r="BC42" s="240"/>
      <c r="BD42" s="240"/>
      <c r="BE42" s="240"/>
      <c r="BF42" s="240"/>
      <c r="BG42" s="240"/>
      <c r="BH42" s="240"/>
      <c r="BI42" s="240"/>
      <c r="BJ42" s="240"/>
      <c r="BK42" s="240"/>
      <c r="BL42" s="240"/>
      <c r="BM42" s="240"/>
      <c r="BN42" s="240"/>
      <c r="BO42" s="240"/>
    </row>
    <row r="43" spans="1:67" s="241" customFormat="1" ht="18" customHeight="1">
      <c r="A43" s="324"/>
      <c r="B43" s="199" t="s">
        <v>95</v>
      </c>
      <c r="C43" s="199">
        <v>3</v>
      </c>
      <c r="D43" s="171">
        <v>3647.35</v>
      </c>
      <c r="E43" s="171">
        <v>3650.98</v>
      </c>
      <c r="F43" s="236">
        <v>3.6</v>
      </c>
      <c r="G43" s="236">
        <v>34.24</v>
      </c>
      <c r="H43" s="236">
        <v>256.93</v>
      </c>
      <c r="I43" s="237">
        <v>12.54</v>
      </c>
      <c r="J43" s="238">
        <v>1.079</v>
      </c>
      <c r="K43" s="236">
        <v>65.3</v>
      </c>
      <c r="L43" s="239" t="s">
        <v>159</v>
      </c>
      <c r="M43" s="324">
        <v>1.5299</v>
      </c>
      <c r="N43" s="325"/>
      <c r="O43" s="236" t="s">
        <v>159</v>
      </c>
      <c r="P43" s="171">
        <v>3647.35</v>
      </c>
      <c r="Q43" s="171">
        <v>3650.98</v>
      </c>
      <c r="R43" s="236">
        <v>3.6</v>
      </c>
      <c r="S43" s="171"/>
      <c r="T43" s="236" t="s">
        <v>159</v>
      </c>
      <c r="U43" s="236">
        <v>3.6</v>
      </c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0"/>
      <c r="AX43" s="240"/>
      <c r="AY43" s="240"/>
      <c r="AZ43" s="240"/>
      <c r="BA43" s="240"/>
      <c r="BB43" s="240"/>
      <c r="BC43" s="240"/>
      <c r="BD43" s="240"/>
      <c r="BE43" s="240"/>
      <c r="BF43" s="240"/>
      <c r="BG43" s="240"/>
      <c r="BH43" s="240"/>
      <c r="BI43" s="240"/>
      <c r="BJ43" s="240"/>
      <c r="BK43" s="240"/>
      <c r="BL43" s="240"/>
      <c r="BM43" s="240"/>
      <c r="BN43" s="240"/>
      <c r="BO43" s="240"/>
    </row>
    <row r="44" spans="1:67" s="241" customFormat="1" ht="18" customHeight="1">
      <c r="A44" s="324"/>
      <c r="B44" s="199" t="s">
        <v>580</v>
      </c>
      <c r="C44" s="199"/>
      <c r="D44" s="171"/>
      <c r="E44" s="171"/>
      <c r="F44" s="236">
        <v>8.5</v>
      </c>
      <c r="G44" s="236"/>
      <c r="H44" s="236"/>
      <c r="I44" s="237">
        <v>9.8699999999999992</v>
      </c>
      <c r="J44" s="238">
        <v>0.505</v>
      </c>
      <c r="K44" s="236">
        <v>59.6</v>
      </c>
      <c r="L44" s="239" t="s">
        <v>579</v>
      </c>
      <c r="M44" s="324">
        <v>1.5299</v>
      </c>
      <c r="N44" s="325"/>
      <c r="O44" s="236" t="s">
        <v>579</v>
      </c>
      <c r="P44" s="171"/>
      <c r="Q44" s="171"/>
      <c r="R44" s="236"/>
      <c r="S44" s="171"/>
      <c r="T44" s="236" t="s">
        <v>159</v>
      </c>
      <c r="U44" s="236">
        <v>8.5</v>
      </c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0"/>
      <c r="AX44" s="240"/>
      <c r="AY44" s="240"/>
      <c r="AZ44" s="240"/>
      <c r="BA44" s="240"/>
      <c r="BB44" s="240"/>
      <c r="BC44" s="240"/>
      <c r="BD44" s="240"/>
      <c r="BE44" s="240"/>
      <c r="BF44" s="240"/>
      <c r="BG44" s="240"/>
      <c r="BH44" s="240"/>
      <c r="BI44" s="240"/>
      <c r="BJ44" s="240"/>
      <c r="BK44" s="240"/>
      <c r="BL44" s="240"/>
      <c r="BM44" s="240"/>
      <c r="BN44" s="240"/>
      <c r="BO44" s="240"/>
    </row>
    <row r="45" spans="1:67" s="241" customFormat="1" ht="18" customHeight="1">
      <c r="A45" s="324" t="s">
        <v>384</v>
      </c>
      <c r="B45" s="199" t="s">
        <v>348</v>
      </c>
      <c r="C45" s="199">
        <v>1</v>
      </c>
      <c r="D45" s="171">
        <v>3615.2</v>
      </c>
      <c r="E45" s="171">
        <v>3618.1</v>
      </c>
      <c r="F45" s="236">
        <v>2.9000000000000901</v>
      </c>
      <c r="G45" s="236">
        <v>212.006</v>
      </c>
      <c r="H45" s="236">
        <v>215.75508695652175</v>
      </c>
      <c r="I45" s="237">
        <v>5.3173548695652171</v>
      </c>
      <c r="J45" s="238">
        <v>9.3831723404347825E-2</v>
      </c>
      <c r="K45" s="236">
        <v>61.71655260869565</v>
      </c>
      <c r="L45" s="239" t="s">
        <v>579</v>
      </c>
      <c r="M45" s="324">
        <v>43285</v>
      </c>
      <c r="N45" s="325"/>
      <c r="O45" s="236" t="s">
        <v>579</v>
      </c>
      <c r="P45" s="171">
        <v>3615.2</v>
      </c>
      <c r="Q45" s="171">
        <v>3618.1</v>
      </c>
      <c r="R45" s="236">
        <v>2.9000000000000901</v>
      </c>
      <c r="S45" s="171"/>
      <c r="T45" s="236" t="s">
        <v>159</v>
      </c>
      <c r="U45" s="236">
        <v>2.9000000000000901</v>
      </c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0"/>
      <c r="AK45" s="240"/>
      <c r="AL45" s="240"/>
      <c r="AM45" s="240"/>
      <c r="AN45" s="240"/>
      <c r="AO45" s="240"/>
      <c r="AP45" s="240"/>
      <c r="AQ45" s="240"/>
      <c r="AR45" s="240"/>
      <c r="AS45" s="240"/>
      <c r="AT45" s="240"/>
      <c r="AU45" s="240"/>
      <c r="AV45" s="240"/>
      <c r="AW45" s="240"/>
      <c r="AX45" s="240"/>
      <c r="AY45" s="240"/>
      <c r="AZ45" s="240"/>
      <c r="BA45" s="240"/>
      <c r="BB45" s="240"/>
      <c r="BC45" s="240"/>
      <c r="BD45" s="240"/>
      <c r="BE45" s="240"/>
      <c r="BF45" s="240"/>
      <c r="BG45" s="240"/>
      <c r="BH45" s="240"/>
      <c r="BI45" s="240"/>
      <c r="BJ45" s="240"/>
      <c r="BK45" s="240"/>
      <c r="BL45" s="240"/>
      <c r="BM45" s="240"/>
      <c r="BN45" s="240"/>
      <c r="BO45" s="240"/>
    </row>
    <row r="46" spans="1:67" s="241" customFormat="1" ht="18" customHeight="1">
      <c r="A46" s="324"/>
      <c r="B46" s="199" t="s">
        <v>95</v>
      </c>
      <c r="C46" s="199">
        <v>2</v>
      </c>
      <c r="D46" s="171">
        <v>3622</v>
      </c>
      <c r="E46" s="171">
        <v>3635.375</v>
      </c>
      <c r="F46" s="236">
        <v>13.375</v>
      </c>
      <c r="G46" s="236">
        <v>97.113226415094346</v>
      </c>
      <c r="H46" s="236">
        <v>218.16001886792452</v>
      </c>
      <c r="I46" s="237">
        <v>7.3610462641509438</v>
      </c>
      <c r="J46" s="238">
        <v>0.42113762556603773</v>
      </c>
      <c r="K46" s="236">
        <v>68.11946933962264</v>
      </c>
      <c r="L46" s="239" t="s">
        <v>579</v>
      </c>
      <c r="M46" s="324">
        <v>4.3285</v>
      </c>
      <c r="N46" s="325">
        <v>3.3</v>
      </c>
      <c r="O46" s="236" t="s">
        <v>579</v>
      </c>
      <c r="P46" s="171">
        <v>3622</v>
      </c>
      <c r="Q46" s="171">
        <v>3635.375</v>
      </c>
      <c r="R46" s="236">
        <v>13.375</v>
      </c>
      <c r="S46" s="171"/>
      <c r="T46" s="236" t="s">
        <v>159</v>
      </c>
      <c r="U46" s="236">
        <v>13.375</v>
      </c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0"/>
      <c r="AW46" s="240"/>
      <c r="AX46" s="240"/>
      <c r="AY46" s="240"/>
      <c r="AZ46" s="240"/>
      <c r="BA46" s="240"/>
      <c r="BB46" s="240"/>
      <c r="BC46" s="240"/>
      <c r="BD46" s="240"/>
      <c r="BE46" s="240"/>
      <c r="BF46" s="240"/>
      <c r="BG46" s="240"/>
      <c r="BH46" s="240"/>
      <c r="BI46" s="240"/>
      <c r="BJ46" s="240"/>
      <c r="BK46" s="240"/>
      <c r="BL46" s="240"/>
      <c r="BM46" s="240"/>
      <c r="BN46" s="240"/>
      <c r="BO46" s="240"/>
    </row>
    <row r="47" spans="1:67" s="241" customFormat="1" ht="18" customHeight="1">
      <c r="A47" s="324"/>
      <c r="B47" s="199" t="s">
        <v>348</v>
      </c>
      <c r="C47" s="199">
        <v>3</v>
      </c>
      <c r="D47" s="171">
        <v>3640.7</v>
      </c>
      <c r="E47" s="171">
        <v>3645</v>
      </c>
      <c r="F47" s="236">
        <v>4.3000000000001801</v>
      </c>
      <c r="G47" s="236">
        <v>81.288529411764699</v>
      </c>
      <c r="H47" s="236">
        <v>225.43341176470588</v>
      </c>
      <c r="I47" s="237">
        <v>8.2206051176470591</v>
      </c>
      <c r="J47" s="238">
        <v>0.24914731588235295</v>
      </c>
      <c r="K47" s="236">
        <v>69.438917352941175</v>
      </c>
      <c r="L47" s="239" t="s">
        <v>579</v>
      </c>
      <c r="M47" s="324">
        <v>4.3285</v>
      </c>
      <c r="N47" s="325">
        <v>3.3</v>
      </c>
      <c r="O47" s="236" t="s">
        <v>579</v>
      </c>
      <c r="P47" s="171">
        <v>3640.7</v>
      </c>
      <c r="Q47" s="171">
        <v>3645</v>
      </c>
      <c r="R47" s="236">
        <v>4.3000000000001801</v>
      </c>
      <c r="S47" s="171"/>
      <c r="T47" s="236" t="s">
        <v>159</v>
      </c>
      <c r="U47" s="236">
        <v>4.3000000000001801</v>
      </c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0"/>
      <c r="BD47" s="240"/>
      <c r="BE47" s="240"/>
      <c r="BF47" s="240"/>
      <c r="BG47" s="240"/>
      <c r="BH47" s="240"/>
      <c r="BI47" s="240"/>
      <c r="BJ47" s="240"/>
      <c r="BK47" s="240"/>
      <c r="BL47" s="240"/>
      <c r="BM47" s="240"/>
      <c r="BN47" s="240"/>
      <c r="BO47" s="240"/>
    </row>
    <row r="48" spans="1:67" s="241" customFormat="1" ht="18" customHeight="1">
      <c r="A48" s="324"/>
      <c r="B48" s="199" t="s">
        <v>348</v>
      </c>
      <c r="C48" s="199">
        <v>4</v>
      </c>
      <c r="D48" s="171">
        <v>3648.5</v>
      </c>
      <c r="E48" s="171">
        <v>3652.3</v>
      </c>
      <c r="F48" s="236">
        <v>3.8000000000001801</v>
      </c>
      <c r="G48" s="236">
        <v>53.356733333333331</v>
      </c>
      <c r="H48" s="236">
        <v>243.71663333333333</v>
      </c>
      <c r="I48" s="237">
        <v>10.541872166666666</v>
      </c>
      <c r="J48" s="238">
        <v>0.96097837666666663</v>
      </c>
      <c r="K48" s="236">
        <v>70.113539333333335</v>
      </c>
      <c r="L48" s="239" t="s">
        <v>579</v>
      </c>
      <c r="M48" s="324">
        <v>4.3285</v>
      </c>
      <c r="N48" s="325">
        <v>3.3</v>
      </c>
      <c r="O48" s="236" t="s">
        <v>579</v>
      </c>
      <c r="P48" s="171">
        <v>3648.5</v>
      </c>
      <c r="Q48" s="171">
        <v>3652.3</v>
      </c>
      <c r="R48" s="236">
        <v>3.8000000000001801</v>
      </c>
      <c r="S48" s="171"/>
      <c r="T48" s="236" t="s">
        <v>159</v>
      </c>
      <c r="U48" s="236">
        <v>3.8000000000001801</v>
      </c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40"/>
      <c r="AW48" s="240"/>
      <c r="AX48" s="240"/>
      <c r="AY48" s="240"/>
      <c r="AZ48" s="240"/>
      <c r="BA48" s="240"/>
      <c r="BB48" s="240"/>
      <c r="BC48" s="240"/>
      <c r="BD48" s="240"/>
      <c r="BE48" s="240"/>
      <c r="BF48" s="240"/>
      <c r="BG48" s="240"/>
      <c r="BH48" s="240"/>
      <c r="BI48" s="240"/>
      <c r="BJ48" s="240"/>
      <c r="BK48" s="240"/>
      <c r="BL48" s="240"/>
      <c r="BM48" s="240"/>
      <c r="BN48" s="240"/>
      <c r="BO48" s="240"/>
    </row>
    <row r="49" spans="1:67" s="241" customFormat="1" ht="18" customHeight="1">
      <c r="A49" s="324"/>
      <c r="B49" s="199" t="s">
        <v>580</v>
      </c>
      <c r="C49" s="199"/>
      <c r="D49" s="171"/>
      <c r="E49" s="171"/>
      <c r="F49" s="236">
        <v>24.4</v>
      </c>
      <c r="G49" s="236"/>
      <c r="H49" s="236"/>
      <c r="I49" s="237">
        <v>7.86</v>
      </c>
      <c r="J49" s="238">
        <v>0.43099999999999999</v>
      </c>
      <c r="K49" s="236">
        <v>67.3</v>
      </c>
      <c r="L49" s="239" t="s">
        <v>579</v>
      </c>
      <c r="M49" s="324">
        <v>4.3285</v>
      </c>
      <c r="N49" s="325">
        <v>3.3</v>
      </c>
      <c r="O49" s="236" t="s">
        <v>579</v>
      </c>
      <c r="P49" s="171"/>
      <c r="Q49" s="171"/>
      <c r="R49" s="236"/>
      <c r="S49" s="171"/>
      <c r="T49" s="236" t="s">
        <v>159</v>
      </c>
      <c r="U49" s="236">
        <v>24.4</v>
      </c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240"/>
      <c r="BG49" s="240"/>
      <c r="BH49" s="240"/>
      <c r="BI49" s="240"/>
      <c r="BJ49" s="240"/>
      <c r="BK49" s="240"/>
      <c r="BL49" s="240"/>
      <c r="BM49" s="240"/>
      <c r="BN49" s="240"/>
      <c r="BO49" s="240"/>
    </row>
    <row r="50" spans="1:67" s="241" customFormat="1" ht="18" customHeight="1">
      <c r="A50" s="324" t="s">
        <v>426</v>
      </c>
      <c r="B50" s="199" t="s">
        <v>348</v>
      </c>
      <c r="C50" s="199">
        <v>1</v>
      </c>
      <c r="D50" s="171">
        <v>3626.88</v>
      </c>
      <c r="E50" s="171">
        <v>3628.88</v>
      </c>
      <c r="F50" s="236">
        <v>2</v>
      </c>
      <c r="G50" s="236">
        <v>80.03</v>
      </c>
      <c r="H50" s="236">
        <v>216.73</v>
      </c>
      <c r="I50" s="237">
        <v>6.8</v>
      </c>
      <c r="J50" s="238">
        <v>0.21299999999999999</v>
      </c>
      <c r="K50" s="236">
        <v>53.53</v>
      </c>
      <c r="L50" s="239" t="s">
        <v>579</v>
      </c>
      <c r="M50" s="324">
        <v>10318</v>
      </c>
      <c r="N50" s="325"/>
      <c r="O50" s="236" t="s">
        <v>579</v>
      </c>
      <c r="P50" s="171">
        <v>3626.88</v>
      </c>
      <c r="Q50" s="171">
        <v>3628.88</v>
      </c>
      <c r="R50" s="236">
        <v>2</v>
      </c>
      <c r="S50" s="171"/>
      <c r="T50" s="236" t="s">
        <v>159</v>
      </c>
      <c r="U50" s="236">
        <v>2</v>
      </c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40"/>
      <c r="AT50" s="240"/>
      <c r="AU50" s="240"/>
      <c r="AV50" s="240"/>
      <c r="AW50" s="240"/>
      <c r="AX50" s="240"/>
      <c r="AY50" s="240"/>
      <c r="AZ50" s="240"/>
      <c r="BA50" s="240"/>
      <c r="BB50" s="240"/>
      <c r="BC50" s="240"/>
      <c r="BD50" s="240"/>
      <c r="BE50" s="240"/>
      <c r="BF50" s="240"/>
      <c r="BG50" s="240"/>
      <c r="BH50" s="240"/>
      <c r="BI50" s="240"/>
      <c r="BJ50" s="240"/>
      <c r="BK50" s="240"/>
      <c r="BL50" s="240"/>
      <c r="BM50" s="240"/>
      <c r="BN50" s="240"/>
      <c r="BO50" s="240"/>
    </row>
    <row r="51" spans="1:67" s="241" customFormat="1" ht="18" customHeight="1">
      <c r="A51" s="324"/>
      <c r="B51" s="199" t="s">
        <v>95</v>
      </c>
      <c r="C51" s="199">
        <v>2</v>
      </c>
      <c r="D51" s="171">
        <v>3635.5</v>
      </c>
      <c r="E51" s="171">
        <v>3638.75</v>
      </c>
      <c r="F51" s="236">
        <v>3.3</v>
      </c>
      <c r="G51" s="236">
        <v>49.99</v>
      </c>
      <c r="H51" s="236">
        <v>240.21</v>
      </c>
      <c r="I51" s="237">
        <v>8.42</v>
      </c>
      <c r="J51" s="238">
        <v>1.526</v>
      </c>
      <c r="K51" s="236">
        <v>56.18</v>
      </c>
      <c r="L51" s="239" t="s">
        <v>579</v>
      </c>
      <c r="M51" s="324">
        <v>3.6160000000000001</v>
      </c>
      <c r="N51" s="325"/>
      <c r="O51" s="236" t="s">
        <v>579</v>
      </c>
      <c r="P51" s="171">
        <v>3635.5</v>
      </c>
      <c r="Q51" s="171">
        <v>3638.75</v>
      </c>
      <c r="R51" s="236">
        <v>3.3</v>
      </c>
      <c r="S51" s="171"/>
      <c r="T51" s="236" t="s">
        <v>159</v>
      </c>
      <c r="U51" s="236">
        <v>3.3</v>
      </c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0"/>
      <c r="AX51" s="240"/>
      <c r="AY51" s="240"/>
      <c r="AZ51" s="240"/>
      <c r="BA51" s="240"/>
      <c r="BB51" s="240"/>
      <c r="BC51" s="240"/>
      <c r="BD51" s="240"/>
      <c r="BE51" s="240"/>
      <c r="BF51" s="240"/>
      <c r="BG51" s="240"/>
      <c r="BH51" s="240"/>
      <c r="BI51" s="240"/>
      <c r="BJ51" s="240"/>
      <c r="BK51" s="240"/>
      <c r="BL51" s="240"/>
      <c r="BM51" s="240"/>
      <c r="BN51" s="240"/>
      <c r="BO51" s="240"/>
    </row>
    <row r="52" spans="1:67" s="241" customFormat="1" ht="18" customHeight="1">
      <c r="A52" s="324"/>
      <c r="B52" s="199" t="s">
        <v>348</v>
      </c>
      <c r="C52" s="199">
        <v>3</v>
      </c>
      <c r="D52" s="171">
        <v>3641.63</v>
      </c>
      <c r="E52" s="171">
        <v>3643.25</v>
      </c>
      <c r="F52" s="236">
        <v>1.7</v>
      </c>
      <c r="G52" s="236">
        <v>90.38</v>
      </c>
      <c r="H52" s="236">
        <v>215.08</v>
      </c>
      <c r="I52" s="237">
        <v>6.53</v>
      </c>
      <c r="J52" s="238">
        <v>0.54600000000000004</v>
      </c>
      <c r="K52" s="236">
        <v>57.45</v>
      </c>
      <c r="L52" s="239" t="s">
        <v>579</v>
      </c>
      <c r="M52" s="324">
        <v>3.6160000000000001</v>
      </c>
      <c r="N52" s="325"/>
      <c r="O52" s="236" t="s">
        <v>579</v>
      </c>
      <c r="P52" s="171">
        <v>3641.63</v>
      </c>
      <c r="Q52" s="171">
        <v>3643.25</v>
      </c>
      <c r="R52" s="236">
        <v>1.7</v>
      </c>
      <c r="S52" s="171"/>
      <c r="T52" s="236" t="s">
        <v>159</v>
      </c>
      <c r="U52" s="236">
        <v>1.7</v>
      </c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0"/>
      <c r="BF52" s="240"/>
      <c r="BG52" s="240"/>
      <c r="BH52" s="240"/>
      <c r="BI52" s="240"/>
      <c r="BJ52" s="240"/>
      <c r="BK52" s="240"/>
      <c r="BL52" s="240"/>
      <c r="BM52" s="240"/>
      <c r="BN52" s="240"/>
      <c r="BO52" s="240"/>
    </row>
    <row r="53" spans="1:67" s="241" customFormat="1" ht="18" customHeight="1">
      <c r="A53" s="324"/>
      <c r="B53" s="199" t="s">
        <v>348</v>
      </c>
      <c r="C53" s="199">
        <v>4</v>
      </c>
      <c r="D53" s="171">
        <v>3665.5</v>
      </c>
      <c r="E53" s="171">
        <v>3667.13</v>
      </c>
      <c r="F53" s="236">
        <v>1.6</v>
      </c>
      <c r="G53" s="236">
        <v>60.22</v>
      </c>
      <c r="H53" s="236">
        <v>229.62</v>
      </c>
      <c r="I53" s="237">
        <v>6.46</v>
      </c>
      <c r="J53" s="238">
        <v>0.191</v>
      </c>
      <c r="K53" s="236">
        <v>51.91</v>
      </c>
      <c r="L53" s="239" t="s">
        <v>579</v>
      </c>
      <c r="M53" s="324">
        <v>3.6160000000000001</v>
      </c>
      <c r="N53" s="325"/>
      <c r="O53" s="236" t="s">
        <v>579</v>
      </c>
      <c r="P53" s="171">
        <v>3665.5</v>
      </c>
      <c r="Q53" s="171">
        <v>3667.13</v>
      </c>
      <c r="R53" s="236">
        <v>1.6</v>
      </c>
      <c r="S53" s="171"/>
      <c r="T53" s="236" t="s">
        <v>159</v>
      </c>
      <c r="U53" s="236">
        <v>1.6</v>
      </c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40"/>
      <c r="BA53" s="240"/>
      <c r="BB53" s="240"/>
      <c r="BC53" s="240"/>
      <c r="BD53" s="240"/>
      <c r="BE53" s="240"/>
      <c r="BF53" s="240"/>
      <c r="BG53" s="240"/>
      <c r="BH53" s="240"/>
      <c r="BI53" s="240"/>
      <c r="BJ53" s="240"/>
      <c r="BK53" s="240"/>
      <c r="BL53" s="240"/>
      <c r="BM53" s="240"/>
      <c r="BN53" s="240"/>
      <c r="BO53" s="240"/>
    </row>
    <row r="54" spans="1:67" s="241" customFormat="1" ht="18" customHeight="1">
      <c r="A54" s="324"/>
      <c r="B54" s="199" t="s">
        <v>580</v>
      </c>
      <c r="C54" s="199"/>
      <c r="D54" s="171"/>
      <c r="E54" s="171"/>
      <c r="F54" s="236">
        <v>8.6</v>
      </c>
      <c r="G54" s="236"/>
      <c r="H54" s="236"/>
      <c r="I54" s="237">
        <v>7.05</v>
      </c>
      <c r="J54" s="238">
        <v>0.61899999999999999</v>
      </c>
      <c r="K54" s="236">
        <v>54.8</v>
      </c>
      <c r="L54" s="239" t="s">
        <v>579</v>
      </c>
      <c r="M54" s="324">
        <v>3.6160000000000001</v>
      </c>
      <c r="N54" s="325"/>
      <c r="O54" s="236" t="s">
        <v>579</v>
      </c>
      <c r="P54" s="171"/>
      <c r="Q54" s="171"/>
      <c r="R54" s="236"/>
      <c r="S54" s="171"/>
      <c r="T54" s="236" t="s">
        <v>159</v>
      </c>
      <c r="U54" s="236">
        <v>8.6</v>
      </c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40"/>
      <c r="BB54" s="240"/>
      <c r="BC54" s="240"/>
      <c r="BD54" s="240"/>
      <c r="BE54" s="240"/>
      <c r="BF54" s="240"/>
      <c r="BG54" s="240"/>
      <c r="BH54" s="240"/>
      <c r="BI54" s="240"/>
      <c r="BJ54" s="240"/>
      <c r="BK54" s="240"/>
      <c r="BL54" s="240"/>
      <c r="BM54" s="240"/>
      <c r="BN54" s="240"/>
      <c r="BO54" s="240"/>
    </row>
    <row r="55" spans="1:67" s="241" customFormat="1" ht="18" customHeight="1">
      <c r="A55" s="324" t="s">
        <v>433</v>
      </c>
      <c r="B55" s="199" t="s">
        <v>348</v>
      </c>
      <c r="C55" s="199">
        <v>1</v>
      </c>
      <c r="D55" s="171">
        <v>3612.2</v>
      </c>
      <c r="E55" s="171">
        <v>3614.63</v>
      </c>
      <c r="F55" s="236">
        <v>2.4</v>
      </c>
      <c r="G55" s="236">
        <v>144.31</v>
      </c>
      <c r="H55" s="236">
        <v>211.02</v>
      </c>
      <c r="I55" s="237">
        <v>5.8</v>
      </c>
      <c r="J55" s="238">
        <v>0.61099999999999999</v>
      </c>
      <c r="K55" s="236">
        <v>70.33</v>
      </c>
      <c r="L55" s="239" t="s">
        <v>159</v>
      </c>
      <c r="M55" s="324">
        <v>36160</v>
      </c>
      <c r="N55" s="325"/>
      <c r="O55" s="236" t="s">
        <v>159</v>
      </c>
      <c r="P55" s="171">
        <v>3612.2</v>
      </c>
      <c r="Q55" s="171">
        <v>3614.63</v>
      </c>
      <c r="R55" s="236">
        <v>2.4</v>
      </c>
      <c r="S55" s="171"/>
      <c r="T55" s="236" t="s">
        <v>159</v>
      </c>
      <c r="U55" s="236">
        <v>2.4</v>
      </c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40"/>
      <c r="BC55" s="240"/>
      <c r="BD55" s="240"/>
      <c r="BE55" s="240"/>
      <c r="BF55" s="240"/>
      <c r="BG55" s="240"/>
      <c r="BH55" s="240"/>
      <c r="BI55" s="240"/>
      <c r="BJ55" s="240"/>
      <c r="BK55" s="240"/>
      <c r="BL55" s="240"/>
      <c r="BM55" s="240"/>
      <c r="BN55" s="240"/>
      <c r="BO55" s="240"/>
    </row>
    <row r="56" spans="1:67" s="241" customFormat="1" ht="18" customHeight="1">
      <c r="A56" s="324"/>
      <c r="B56" s="199" t="s">
        <v>348</v>
      </c>
      <c r="C56" s="199">
        <v>2</v>
      </c>
      <c r="D56" s="171">
        <v>3617</v>
      </c>
      <c r="E56" s="171">
        <v>3620.25</v>
      </c>
      <c r="F56" s="236">
        <v>3.3</v>
      </c>
      <c r="G56" s="236">
        <v>84.91</v>
      </c>
      <c r="H56" s="236">
        <v>213.82</v>
      </c>
      <c r="I56" s="237">
        <v>5.66</v>
      </c>
      <c r="J56" s="238">
        <v>0.42299999999999999</v>
      </c>
      <c r="K56" s="236">
        <v>57.07</v>
      </c>
      <c r="L56" s="239" t="s">
        <v>159</v>
      </c>
      <c r="M56" s="324"/>
      <c r="N56" s="325"/>
      <c r="O56" s="236" t="s">
        <v>159</v>
      </c>
      <c r="P56" s="171">
        <v>3617</v>
      </c>
      <c r="Q56" s="171">
        <v>3620.25</v>
      </c>
      <c r="R56" s="236">
        <v>3.3</v>
      </c>
      <c r="S56" s="171"/>
      <c r="T56" s="236" t="s">
        <v>159</v>
      </c>
      <c r="U56" s="236">
        <v>3.3</v>
      </c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/>
      <c r="AZ56" s="240"/>
      <c r="BA56" s="240"/>
      <c r="BB56" s="240"/>
      <c r="BC56" s="240"/>
      <c r="BD56" s="240"/>
      <c r="BE56" s="240"/>
      <c r="BF56" s="240"/>
      <c r="BG56" s="240"/>
      <c r="BH56" s="240"/>
      <c r="BI56" s="240"/>
      <c r="BJ56" s="240"/>
      <c r="BK56" s="240"/>
      <c r="BL56" s="240"/>
      <c r="BM56" s="240"/>
      <c r="BN56" s="240"/>
      <c r="BO56" s="240"/>
    </row>
    <row r="57" spans="1:67" s="241" customFormat="1" ht="18" customHeight="1">
      <c r="A57" s="324"/>
      <c r="B57" s="199" t="s">
        <v>580</v>
      </c>
      <c r="C57" s="199"/>
      <c r="D57" s="171"/>
      <c r="E57" s="171"/>
      <c r="F57" s="236">
        <v>5.7</v>
      </c>
      <c r="G57" s="236"/>
      <c r="H57" s="236"/>
      <c r="I57" s="237">
        <v>5.73</v>
      </c>
      <c r="J57" s="238">
        <v>0.51700000000000002</v>
      </c>
      <c r="K57" s="236">
        <v>63.7</v>
      </c>
      <c r="L57" s="239" t="s">
        <v>579</v>
      </c>
      <c r="M57" s="324"/>
      <c r="N57" s="325"/>
      <c r="O57" s="236" t="s">
        <v>579</v>
      </c>
      <c r="P57" s="171"/>
      <c r="Q57" s="171"/>
      <c r="R57" s="236"/>
      <c r="S57" s="171"/>
      <c r="T57" s="236" t="s">
        <v>159</v>
      </c>
      <c r="U57" s="236">
        <v>5.7</v>
      </c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  <c r="BC57" s="240"/>
      <c r="BD57" s="240"/>
      <c r="BE57" s="240"/>
      <c r="BF57" s="240"/>
      <c r="BG57" s="240"/>
      <c r="BH57" s="240"/>
      <c r="BI57" s="240"/>
      <c r="BJ57" s="240"/>
      <c r="BK57" s="240"/>
      <c r="BL57" s="240"/>
      <c r="BM57" s="240"/>
      <c r="BN57" s="240"/>
      <c r="BO57" s="240"/>
    </row>
    <row r="58" spans="1:67" s="241" customFormat="1" ht="18" customHeight="1">
      <c r="A58" s="324" t="s">
        <v>530</v>
      </c>
      <c r="B58" s="199" t="s">
        <v>348</v>
      </c>
      <c r="C58" s="199">
        <v>1</v>
      </c>
      <c r="D58" s="171">
        <v>3616.5</v>
      </c>
      <c r="E58" s="171">
        <v>3619.25</v>
      </c>
      <c r="F58" s="236">
        <v>2.8</v>
      </c>
      <c r="G58" s="236">
        <v>77.069999999999993</v>
      </c>
      <c r="H58" s="236">
        <v>209.48</v>
      </c>
      <c r="I58" s="237">
        <v>6.44</v>
      </c>
      <c r="J58" s="238">
        <v>0.31900000000000001</v>
      </c>
      <c r="K58" s="236">
        <v>52.33</v>
      </c>
      <c r="L58" s="239" t="s">
        <v>579</v>
      </c>
      <c r="M58" s="324">
        <v>46250</v>
      </c>
      <c r="N58" s="325"/>
      <c r="O58" s="236" t="s">
        <v>579</v>
      </c>
      <c r="P58" s="171">
        <v>3616.5</v>
      </c>
      <c r="Q58" s="171">
        <v>3619.25</v>
      </c>
      <c r="R58" s="236">
        <v>2.8</v>
      </c>
      <c r="S58" s="171"/>
      <c r="T58" s="236" t="s">
        <v>159</v>
      </c>
      <c r="U58" s="236">
        <v>2.8</v>
      </c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  <c r="BC58" s="240"/>
      <c r="BD58" s="240"/>
      <c r="BE58" s="240"/>
      <c r="BF58" s="240"/>
      <c r="BG58" s="240"/>
      <c r="BH58" s="240"/>
      <c r="BI58" s="240"/>
      <c r="BJ58" s="240"/>
      <c r="BK58" s="240"/>
      <c r="BL58" s="240"/>
      <c r="BM58" s="240"/>
      <c r="BN58" s="240"/>
      <c r="BO58" s="240"/>
    </row>
    <row r="59" spans="1:67" s="241" customFormat="1" ht="18" customHeight="1">
      <c r="A59" s="324"/>
      <c r="B59" s="199" t="s">
        <v>95</v>
      </c>
      <c r="C59" s="199">
        <v>2</v>
      </c>
      <c r="D59" s="171">
        <v>3619.25</v>
      </c>
      <c r="E59" s="171">
        <v>3623.38</v>
      </c>
      <c r="F59" s="236">
        <v>4.0999999999999996</v>
      </c>
      <c r="G59" s="236">
        <v>121.45</v>
      </c>
      <c r="H59" s="236">
        <v>209.76</v>
      </c>
      <c r="I59" s="237">
        <v>6.48</v>
      </c>
      <c r="J59" s="238">
        <v>0.35499999999999998</v>
      </c>
      <c r="K59" s="236">
        <v>53.33</v>
      </c>
      <c r="L59" s="239" t="s">
        <v>579</v>
      </c>
      <c r="M59" s="324"/>
      <c r="N59" s="325"/>
      <c r="O59" s="236" t="s">
        <v>579</v>
      </c>
      <c r="P59" s="171">
        <v>3619.25</v>
      </c>
      <c r="Q59" s="171">
        <v>3623.38</v>
      </c>
      <c r="R59" s="236">
        <v>4.0999999999999996</v>
      </c>
      <c r="S59" s="171"/>
      <c r="T59" s="236" t="s">
        <v>159</v>
      </c>
      <c r="U59" s="236">
        <v>4.0999999999999996</v>
      </c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40"/>
      <c r="BD59" s="240"/>
      <c r="BE59" s="240"/>
      <c r="BF59" s="240"/>
      <c r="BG59" s="240"/>
      <c r="BH59" s="240"/>
      <c r="BI59" s="240"/>
      <c r="BJ59" s="240"/>
      <c r="BK59" s="240"/>
      <c r="BL59" s="240"/>
      <c r="BM59" s="240"/>
      <c r="BN59" s="240"/>
      <c r="BO59" s="240"/>
    </row>
    <row r="60" spans="1:67" s="241" customFormat="1" ht="18" customHeight="1">
      <c r="A60" s="324"/>
      <c r="B60" s="199" t="s">
        <v>95</v>
      </c>
      <c r="C60" s="199">
        <v>3</v>
      </c>
      <c r="D60" s="171">
        <v>3629.75</v>
      </c>
      <c r="E60" s="171">
        <v>3632.25</v>
      </c>
      <c r="F60" s="236">
        <v>2.5</v>
      </c>
      <c r="G60" s="236">
        <v>57.01</v>
      </c>
      <c r="H60" s="236">
        <v>215.37</v>
      </c>
      <c r="I60" s="237">
        <v>7.4</v>
      </c>
      <c r="J60" s="238">
        <v>0.45600000000000002</v>
      </c>
      <c r="K60" s="236">
        <v>59.38</v>
      </c>
      <c r="L60" s="239" t="s">
        <v>579</v>
      </c>
      <c r="M60" s="324"/>
      <c r="N60" s="325"/>
      <c r="O60" s="236" t="s">
        <v>579</v>
      </c>
      <c r="P60" s="171">
        <v>3629.75</v>
      </c>
      <c r="Q60" s="171">
        <v>3632.25</v>
      </c>
      <c r="R60" s="236">
        <v>2.5</v>
      </c>
      <c r="S60" s="171"/>
      <c r="T60" s="236" t="s">
        <v>159</v>
      </c>
      <c r="U60" s="236">
        <v>2.5</v>
      </c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  <c r="BH60" s="240"/>
      <c r="BI60" s="240"/>
      <c r="BJ60" s="240"/>
      <c r="BK60" s="240"/>
      <c r="BL60" s="240"/>
      <c r="BM60" s="240"/>
      <c r="BN60" s="240"/>
      <c r="BO60" s="240"/>
    </row>
    <row r="61" spans="1:67" s="241" customFormat="1" ht="18" customHeight="1">
      <c r="A61" s="324"/>
      <c r="B61" s="199" t="s">
        <v>95</v>
      </c>
      <c r="C61" s="199">
        <v>4</v>
      </c>
      <c r="D61" s="171">
        <v>3636</v>
      </c>
      <c r="E61" s="171">
        <v>3639.63</v>
      </c>
      <c r="F61" s="236">
        <v>3.6</v>
      </c>
      <c r="G61" s="236">
        <v>254.68</v>
      </c>
      <c r="H61" s="236">
        <v>202.52</v>
      </c>
      <c r="I61" s="237">
        <v>5.3</v>
      </c>
      <c r="J61" s="238">
        <v>0.27</v>
      </c>
      <c r="K61" s="236">
        <v>62.49</v>
      </c>
      <c r="L61" s="239" t="s">
        <v>579</v>
      </c>
      <c r="M61" s="324"/>
      <c r="N61" s="325"/>
      <c r="O61" s="236" t="s">
        <v>579</v>
      </c>
      <c r="P61" s="171">
        <v>3636</v>
      </c>
      <c r="Q61" s="171">
        <v>3639.63</v>
      </c>
      <c r="R61" s="236">
        <v>3.6</v>
      </c>
      <c r="S61" s="171"/>
      <c r="T61" s="236" t="s">
        <v>159</v>
      </c>
      <c r="U61" s="236">
        <v>3.6</v>
      </c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0"/>
      <c r="BE61" s="240"/>
      <c r="BF61" s="240"/>
      <c r="BG61" s="240"/>
      <c r="BH61" s="240"/>
      <c r="BI61" s="240"/>
      <c r="BJ61" s="240"/>
      <c r="BK61" s="240"/>
      <c r="BL61" s="240"/>
      <c r="BM61" s="240"/>
      <c r="BN61" s="240"/>
      <c r="BO61" s="240"/>
    </row>
    <row r="62" spans="1:67" s="241" customFormat="1" ht="18" customHeight="1">
      <c r="A62" s="324"/>
      <c r="B62" s="199" t="s">
        <v>348</v>
      </c>
      <c r="C62" s="199">
        <v>5</v>
      </c>
      <c r="D62" s="171">
        <v>3639.63</v>
      </c>
      <c r="E62" s="171">
        <v>3642.38</v>
      </c>
      <c r="F62" s="236">
        <v>2.8</v>
      </c>
      <c r="G62" s="236">
        <v>124.66</v>
      </c>
      <c r="H62" s="236">
        <v>201.07</v>
      </c>
      <c r="I62" s="237">
        <v>5.0599999999999996</v>
      </c>
      <c r="J62" s="238">
        <v>0.22600000000000001</v>
      </c>
      <c r="K62" s="236">
        <v>52.99</v>
      </c>
      <c r="L62" s="239" t="s">
        <v>579</v>
      </c>
      <c r="M62" s="324"/>
      <c r="N62" s="325"/>
      <c r="O62" s="236" t="s">
        <v>579</v>
      </c>
      <c r="P62" s="171">
        <v>3639.63</v>
      </c>
      <c r="Q62" s="171">
        <v>3642.38</v>
      </c>
      <c r="R62" s="236">
        <v>2.8</v>
      </c>
      <c r="S62" s="171"/>
      <c r="T62" s="236" t="s">
        <v>159</v>
      </c>
      <c r="U62" s="236">
        <v>2.8</v>
      </c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40"/>
      <c r="BD62" s="240"/>
      <c r="BE62" s="240"/>
      <c r="BF62" s="240"/>
      <c r="BG62" s="240"/>
      <c r="BH62" s="240"/>
      <c r="BI62" s="240"/>
      <c r="BJ62" s="240"/>
      <c r="BK62" s="240"/>
      <c r="BL62" s="240"/>
      <c r="BM62" s="240"/>
      <c r="BN62" s="240"/>
      <c r="BO62" s="240"/>
    </row>
    <row r="63" spans="1:67" s="241" customFormat="1" ht="18" customHeight="1">
      <c r="A63" s="324"/>
      <c r="B63" s="199" t="s">
        <v>580</v>
      </c>
      <c r="C63" s="199"/>
      <c r="D63" s="171"/>
      <c r="E63" s="171"/>
      <c r="F63" s="236">
        <v>15.8</v>
      </c>
      <c r="G63" s="236"/>
      <c r="H63" s="236"/>
      <c r="I63" s="237">
        <v>6.14</v>
      </c>
      <c r="J63" s="238">
        <v>0.32500000000000001</v>
      </c>
      <c r="K63" s="236">
        <v>56.1</v>
      </c>
      <c r="L63" s="239" t="s">
        <v>579</v>
      </c>
      <c r="M63" s="199"/>
      <c r="N63" s="242"/>
      <c r="O63" s="236" t="s">
        <v>579</v>
      </c>
      <c r="P63" s="171"/>
      <c r="Q63" s="171"/>
      <c r="R63" s="236"/>
      <c r="S63" s="171"/>
      <c r="T63" s="236" t="s">
        <v>159</v>
      </c>
      <c r="U63" s="236">
        <v>15.8</v>
      </c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240"/>
      <c r="BD63" s="240"/>
      <c r="BE63" s="240"/>
      <c r="BF63" s="240"/>
      <c r="BG63" s="240"/>
      <c r="BH63" s="240"/>
      <c r="BI63" s="240"/>
      <c r="BJ63" s="240"/>
      <c r="BK63" s="240"/>
      <c r="BL63" s="240"/>
      <c r="BM63" s="240"/>
      <c r="BN63" s="240"/>
      <c r="BO63" s="240"/>
    </row>
    <row r="64" spans="1:67" s="241" customFormat="1" ht="18" customHeight="1">
      <c r="A64" s="324" t="s">
        <v>368</v>
      </c>
      <c r="B64" s="199" t="s">
        <v>348</v>
      </c>
      <c r="C64" s="199">
        <v>1</v>
      </c>
      <c r="D64" s="171">
        <v>3597.5</v>
      </c>
      <c r="E64" s="171">
        <v>3604.1</v>
      </c>
      <c r="F64" s="236">
        <v>6.6</v>
      </c>
      <c r="G64" s="236">
        <v>87.72</v>
      </c>
      <c r="H64" s="236">
        <v>219.73</v>
      </c>
      <c r="I64" s="237">
        <v>7.92</v>
      </c>
      <c r="J64" s="238">
        <v>0.7</v>
      </c>
      <c r="K64" s="236">
        <v>70.98</v>
      </c>
      <c r="L64" s="239" t="s">
        <v>159</v>
      </c>
      <c r="M64" s="199">
        <v>47002</v>
      </c>
      <c r="N64" s="171">
        <v>10.6</v>
      </c>
      <c r="O64" s="236" t="s">
        <v>159</v>
      </c>
      <c r="P64" s="171">
        <v>3597.5</v>
      </c>
      <c r="Q64" s="171">
        <v>3604.1</v>
      </c>
      <c r="R64" s="236">
        <v>6.5999999999999091</v>
      </c>
      <c r="S64" s="171"/>
      <c r="T64" s="236" t="s">
        <v>159</v>
      </c>
      <c r="U64" s="236">
        <v>6.6</v>
      </c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240"/>
      <c r="BD64" s="240"/>
      <c r="BE64" s="240"/>
      <c r="BF64" s="240"/>
      <c r="BG64" s="240"/>
      <c r="BH64" s="240"/>
      <c r="BI64" s="240"/>
      <c r="BJ64" s="240"/>
      <c r="BK64" s="240"/>
      <c r="BL64" s="240"/>
      <c r="BM64" s="240"/>
      <c r="BN64" s="240"/>
      <c r="BO64" s="240"/>
    </row>
    <row r="65" spans="1:67" s="241" customFormat="1" ht="18" customHeight="1">
      <c r="A65" s="324"/>
      <c r="B65" s="199" t="s">
        <v>580</v>
      </c>
      <c r="C65" s="199"/>
      <c r="D65" s="171"/>
      <c r="E65" s="171"/>
      <c r="F65" s="236">
        <v>6.6</v>
      </c>
      <c r="G65" s="236"/>
      <c r="H65" s="236"/>
      <c r="I65" s="237">
        <v>7.92</v>
      </c>
      <c r="J65" s="238">
        <v>0.7</v>
      </c>
      <c r="K65" s="236">
        <v>70.98</v>
      </c>
      <c r="L65" s="239" t="s">
        <v>579</v>
      </c>
      <c r="M65" s="199"/>
      <c r="N65" s="242"/>
      <c r="O65" s="236" t="s">
        <v>579</v>
      </c>
      <c r="P65" s="171"/>
      <c r="Q65" s="171"/>
      <c r="R65" s="236"/>
      <c r="S65" s="171"/>
      <c r="T65" s="236" t="s">
        <v>159</v>
      </c>
      <c r="U65" s="236">
        <v>6.6</v>
      </c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240"/>
      <c r="BD65" s="240"/>
      <c r="BE65" s="240"/>
      <c r="BF65" s="240"/>
      <c r="BG65" s="240"/>
      <c r="BH65" s="240"/>
      <c r="BI65" s="240"/>
      <c r="BJ65" s="240"/>
      <c r="BK65" s="240"/>
      <c r="BL65" s="240"/>
      <c r="BM65" s="240"/>
      <c r="BN65" s="240"/>
      <c r="BO65" s="240"/>
    </row>
    <row r="66" spans="1:67" s="241" customFormat="1" ht="18" customHeight="1">
      <c r="A66" s="324" t="s">
        <v>443</v>
      </c>
      <c r="B66" s="199" t="s">
        <v>348</v>
      </c>
      <c r="C66" s="199">
        <v>1</v>
      </c>
      <c r="D66" s="171">
        <v>3627.75</v>
      </c>
      <c r="E66" s="171">
        <v>3634.3</v>
      </c>
      <c r="F66" s="236">
        <v>6.5</v>
      </c>
      <c r="G66" s="236">
        <v>74.25</v>
      </c>
      <c r="H66" s="236">
        <v>218.23</v>
      </c>
      <c r="I66" s="237">
        <v>6.22</v>
      </c>
      <c r="J66" s="238">
        <v>0.49</v>
      </c>
      <c r="K66" s="236">
        <v>63.1</v>
      </c>
      <c r="L66" s="239" t="s">
        <v>159</v>
      </c>
      <c r="M66" s="324">
        <v>70985</v>
      </c>
      <c r="N66" s="325"/>
      <c r="O66" s="236" t="s">
        <v>159</v>
      </c>
      <c r="P66" s="171">
        <v>3627.75</v>
      </c>
      <c r="Q66" s="171">
        <v>3634.3</v>
      </c>
      <c r="R66" s="236">
        <v>6.5</v>
      </c>
      <c r="S66" s="171"/>
      <c r="T66" s="236" t="s">
        <v>159</v>
      </c>
      <c r="U66" s="236">
        <v>6.5</v>
      </c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40"/>
      <c r="BD66" s="240"/>
      <c r="BE66" s="240"/>
      <c r="BF66" s="240"/>
      <c r="BG66" s="240"/>
      <c r="BH66" s="240"/>
      <c r="BI66" s="240"/>
      <c r="BJ66" s="240"/>
      <c r="BK66" s="240"/>
      <c r="BL66" s="240"/>
      <c r="BM66" s="240"/>
      <c r="BN66" s="240"/>
      <c r="BO66" s="240"/>
    </row>
    <row r="67" spans="1:67" s="241" customFormat="1" ht="18" customHeight="1">
      <c r="A67" s="324"/>
      <c r="B67" s="199" t="s">
        <v>348</v>
      </c>
      <c r="C67" s="199">
        <v>2</v>
      </c>
      <c r="D67" s="171">
        <v>3640.75</v>
      </c>
      <c r="E67" s="171">
        <v>3644.6</v>
      </c>
      <c r="F67" s="236">
        <v>3.8</v>
      </c>
      <c r="G67" s="236">
        <v>32.56</v>
      </c>
      <c r="H67" s="236">
        <v>222.25</v>
      </c>
      <c r="I67" s="237">
        <v>6.87</v>
      </c>
      <c r="J67" s="238">
        <v>0.38</v>
      </c>
      <c r="K67" s="236">
        <v>54.4</v>
      </c>
      <c r="L67" s="239" t="s">
        <v>159</v>
      </c>
      <c r="M67" s="324"/>
      <c r="N67" s="325"/>
      <c r="O67" s="236" t="s">
        <v>159</v>
      </c>
      <c r="P67" s="171">
        <v>3640.75</v>
      </c>
      <c r="Q67" s="171">
        <v>3644.6</v>
      </c>
      <c r="R67" s="236">
        <v>3.8</v>
      </c>
      <c r="S67" s="171"/>
      <c r="T67" s="236" t="s">
        <v>159</v>
      </c>
      <c r="U67" s="236">
        <v>3.8</v>
      </c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240"/>
      <c r="BD67" s="240"/>
      <c r="BE67" s="240"/>
      <c r="BF67" s="240"/>
      <c r="BG67" s="240"/>
      <c r="BH67" s="240"/>
      <c r="BI67" s="240"/>
      <c r="BJ67" s="240"/>
      <c r="BK67" s="240"/>
      <c r="BL67" s="240"/>
      <c r="BM67" s="240"/>
      <c r="BN67" s="240"/>
      <c r="BO67" s="240"/>
    </row>
    <row r="68" spans="1:67" s="241" customFormat="1" ht="18" customHeight="1">
      <c r="A68" s="324"/>
      <c r="B68" s="199" t="s">
        <v>580</v>
      </c>
      <c r="C68" s="199"/>
      <c r="D68" s="171"/>
      <c r="E68" s="171"/>
      <c r="F68" s="236">
        <v>10.3</v>
      </c>
      <c r="G68" s="236"/>
      <c r="H68" s="236"/>
      <c r="I68" s="237">
        <v>6.55</v>
      </c>
      <c r="J68" s="238">
        <v>0.435</v>
      </c>
      <c r="K68" s="236">
        <v>58.8</v>
      </c>
      <c r="L68" s="239" t="s">
        <v>579</v>
      </c>
      <c r="M68" s="199"/>
      <c r="N68" s="242"/>
      <c r="O68" s="236" t="s">
        <v>579</v>
      </c>
      <c r="P68" s="171"/>
      <c r="Q68" s="171"/>
      <c r="R68" s="236"/>
      <c r="S68" s="171"/>
      <c r="T68" s="236" t="s">
        <v>159</v>
      </c>
      <c r="U68" s="236">
        <v>10.3</v>
      </c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240"/>
      <c r="BD68" s="240"/>
      <c r="BE68" s="240"/>
      <c r="BF68" s="240"/>
      <c r="BG68" s="240"/>
      <c r="BH68" s="240"/>
      <c r="BI68" s="240"/>
      <c r="BJ68" s="240"/>
      <c r="BK68" s="240"/>
      <c r="BL68" s="240"/>
      <c r="BM68" s="240"/>
      <c r="BN68" s="240"/>
      <c r="BO68" s="240"/>
    </row>
    <row r="69" spans="1:67" s="241" customFormat="1" ht="18" customHeight="1">
      <c r="A69" s="324" t="s">
        <v>460</v>
      </c>
      <c r="B69" s="199" t="s">
        <v>348</v>
      </c>
      <c r="C69" s="199">
        <v>1</v>
      </c>
      <c r="D69" s="171">
        <v>3606</v>
      </c>
      <c r="E69" s="171">
        <v>3614</v>
      </c>
      <c r="F69" s="236">
        <v>8</v>
      </c>
      <c r="G69" s="236">
        <v>28.68</v>
      </c>
      <c r="H69" s="236">
        <v>232.1</v>
      </c>
      <c r="I69" s="237">
        <v>9.31</v>
      </c>
      <c r="J69" s="238">
        <v>0.41099999999999998</v>
      </c>
      <c r="K69" s="236">
        <v>54.53</v>
      </c>
      <c r="L69" s="239" t="s">
        <v>579</v>
      </c>
      <c r="M69" s="324">
        <v>22933</v>
      </c>
      <c r="N69" s="325"/>
      <c r="O69" s="236" t="s">
        <v>579</v>
      </c>
      <c r="P69" s="171">
        <v>3606</v>
      </c>
      <c r="Q69" s="171">
        <v>3614</v>
      </c>
      <c r="R69" s="236">
        <v>8</v>
      </c>
      <c r="S69" s="171"/>
      <c r="T69" s="236" t="s">
        <v>579</v>
      </c>
      <c r="U69" s="236">
        <v>8</v>
      </c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240"/>
      <c r="BD69" s="240"/>
      <c r="BE69" s="240"/>
      <c r="BF69" s="240"/>
      <c r="BG69" s="240"/>
      <c r="BH69" s="240"/>
      <c r="BI69" s="240"/>
      <c r="BJ69" s="240"/>
      <c r="BK69" s="240"/>
      <c r="BL69" s="240"/>
      <c r="BM69" s="240"/>
      <c r="BN69" s="240"/>
      <c r="BO69" s="240"/>
    </row>
    <row r="70" spans="1:67" s="241" customFormat="1" ht="18" customHeight="1">
      <c r="A70" s="324"/>
      <c r="B70" s="199" t="s">
        <v>348</v>
      </c>
      <c r="C70" s="199">
        <v>2</v>
      </c>
      <c r="D70" s="171">
        <v>3626.75</v>
      </c>
      <c r="E70" s="171">
        <v>3630.88</v>
      </c>
      <c r="F70" s="236">
        <v>4.0999999999999996</v>
      </c>
      <c r="G70" s="236">
        <v>53.36</v>
      </c>
      <c r="H70" s="236">
        <v>223.11</v>
      </c>
      <c r="I70" s="237">
        <v>7.84</v>
      </c>
      <c r="J70" s="238">
        <v>0.20799999999999999</v>
      </c>
      <c r="K70" s="236">
        <v>55.63</v>
      </c>
      <c r="L70" s="239" t="s">
        <v>579</v>
      </c>
      <c r="M70" s="324"/>
      <c r="N70" s="325"/>
      <c r="O70" s="236" t="s">
        <v>579</v>
      </c>
      <c r="P70" s="171">
        <v>3626.75</v>
      </c>
      <c r="Q70" s="171">
        <v>3630.88</v>
      </c>
      <c r="R70" s="236">
        <v>4.0999999999999996</v>
      </c>
      <c r="S70" s="171"/>
      <c r="T70" s="236" t="s">
        <v>579</v>
      </c>
      <c r="U70" s="236">
        <v>4.0999999999999996</v>
      </c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240"/>
      <c r="BC70" s="240"/>
      <c r="BD70" s="240"/>
      <c r="BE70" s="240"/>
      <c r="BF70" s="240"/>
      <c r="BG70" s="240"/>
      <c r="BH70" s="240"/>
      <c r="BI70" s="240"/>
      <c r="BJ70" s="240"/>
      <c r="BK70" s="240"/>
      <c r="BL70" s="240"/>
      <c r="BM70" s="240"/>
      <c r="BN70" s="240"/>
      <c r="BO70" s="240"/>
    </row>
    <row r="71" spans="1:67" s="241" customFormat="1" ht="18" customHeight="1">
      <c r="A71" s="324"/>
      <c r="B71" s="199" t="s">
        <v>580</v>
      </c>
      <c r="C71" s="199"/>
      <c r="D71" s="171"/>
      <c r="E71" s="171"/>
      <c r="F71" s="236">
        <v>12.1</v>
      </c>
      <c r="G71" s="236"/>
      <c r="H71" s="236"/>
      <c r="I71" s="237">
        <v>8.58</v>
      </c>
      <c r="J71" s="238">
        <v>0.31</v>
      </c>
      <c r="K71" s="236">
        <v>55.1</v>
      </c>
      <c r="L71" s="239" t="s">
        <v>579</v>
      </c>
      <c r="M71" s="199"/>
      <c r="N71" s="325"/>
      <c r="O71" s="236" t="s">
        <v>579</v>
      </c>
      <c r="P71" s="171"/>
      <c r="Q71" s="171"/>
      <c r="R71" s="236"/>
      <c r="S71" s="171"/>
      <c r="T71" s="236" t="s">
        <v>579</v>
      </c>
      <c r="U71" s="236">
        <v>12.1</v>
      </c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240"/>
      <c r="BD71" s="240"/>
      <c r="BE71" s="240"/>
      <c r="BF71" s="240"/>
      <c r="BG71" s="240"/>
      <c r="BH71" s="240"/>
      <c r="BI71" s="240"/>
      <c r="BJ71" s="240"/>
      <c r="BK71" s="240"/>
      <c r="BL71" s="240"/>
      <c r="BM71" s="240"/>
      <c r="BN71" s="240"/>
      <c r="BO71" s="240"/>
    </row>
    <row r="72" spans="1:67" s="241" customFormat="1" ht="18" customHeight="1">
      <c r="A72" s="324" t="s">
        <v>582</v>
      </c>
      <c r="B72" s="199" t="s">
        <v>348</v>
      </c>
      <c r="C72" s="199">
        <v>1</v>
      </c>
      <c r="D72" s="171">
        <v>3629.38</v>
      </c>
      <c r="E72" s="171">
        <v>3636.25</v>
      </c>
      <c r="F72" s="236">
        <v>6.9</v>
      </c>
      <c r="G72" s="171">
        <v>74.36</v>
      </c>
      <c r="H72" s="171">
        <v>215.54</v>
      </c>
      <c r="I72" s="237">
        <v>6.34</v>
      </c>
      <c r="J72" s="238">
        <v>0.38</v>
      </c>
      <c r="K72" s="236">
        <v>67.84</v>
      </c>
      <c r="L72" s="239" t="s">
        <v>159</v>
      </c>
      <c r="M72" s="324">
        <v>40744</v>
      </c>
      <c r="N72" s="325"/>
      <c r="O72" s="236" t="s">
        <v>159</v>
      </c>
      <c r="P72" s="171">
        <v>3629.38</v>
      </c>
      <c r="Q72" s="171">
        <v>3636.25</v>
      </c>
      <c r="R72" s="236">
        <v>6.9</v>
      </c>
      <c r="S72" s="171"/>
      <c r="T72" s="236" t="s">
        <v>159</v>
      </c>
      <c r="U72" s="236">
        <v>6.9</v>
      </c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/>
      <c r="AZ72" s="240"/>
      <c r="BA72" s="240"/>
      <c r="BB72" s="240"/>
      <c r="BC72" s="240"/>
      <c r="BD72" s="240"/>
      <c r="BE72" s="240"/>
      <c r="BF72" s="240"/>
      <c r="BG72" s="240"/>
      <c r="BH72" s="240"/>
      <c r="BI72" s="240"/>
      <c r="BJ72" s="240"/>
      <c r="BK72" s="240"/>
      <c r="BL72" s="240"/>
      <c r="BM72" s="240"/>
      <c r="BN72" s="240"/>
      <c r="BO72" s="240"/>
    </row>
    <row r="73" spans="1:67" s="241" customFormat="1" ht="18" customHeight="1">
      <c r="A73" s="324"/>
      <c r="B73" s="199" t="s">
        <v>348</v>
      </c>
      <c r="C73" s="199">
        <v>2</v>
      </c>
      <c r="D73" s="171">
        <v>3640</v>
      </c>
      <c r="E73" s="171">
        <v>3642.5</v>
      </c>
      <c r="F73" s="236">
        <v>2.5</v>
      </c>
      <c r="G73" s="171">
        <v>58.42</v>
      </c>
      <c r="H73" s="171">
        <v>213.55</v>
      </c>
      <c r="I73" s="237">
        <v>6.03</v>
      </c>
      <c r="J73" s="238">
        <v>0.33300000000000002</v>
      </c>
      <c r="K73" s="236">
        <v>67.239999999999995</v>
      </c>
      <c r="L73" s="239" t="s">
        <v>159</v>
      </c>
      <c r="M73" s="324"/>
      <c r="N73" s="325"/>
      <c r="O73" s="236" t="s">
        <v>159</v>
      </c>
      <c r="P73" s="171">
        <v>3640</v>
      </c>
      <c r="Q73" s="171">
        <v>3642.5</v>
      </c>
      <c r="R73" s="236">
        <v>2.5</v>
      </c>
      <c r="S73" s="171"/>
      <c r="T73" s="236" t="s">
        <v>159</v>
      </c>
      <c r="U73" s="236">
        <v>2.5</v>
      </c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240"/>
      <c r="BD73" s="240"/>
      <c r="BE73" s="240"/>
      <c r="BF73" s="240"/>
      <c r="BG73" s="240"/>
      <c r="BH73" s="240"/>
      <c r="BI73" s="240"/>
      <c r="BJ73" s="240"/>
      <c r="BK73" s="240"/>
      <c r="BL73" s="240"/>
      <c r="BM73" s="240"/>
      <c r="BN73" s="240"/>
      <c r="BO73" s="240"/>
    </row>
    <row r="74" spans="1:67" s="241" customFormat="1" ht="18" customHeight="1">
      <c r="A74" s="324"/>
      <c r="B74" s="199" t="s">
        <v>95</v>
      </c>
      <c r="C74" s="199">
        <v>3</v>
      </c>
      <c r="D74" s="171">
        <v>3662.63</v>
      </c>
      <c r="E74" s="171">
        <v>3665.5</v>
      </c>
      <c r="F74" s="236">
        <v>2.9</v>
      </c>
      <c r="G74" s="171">
        <v>49.61</v>
      </c>
      <c r="H74" s="171">
        <v>224.03</v>
      </c>
      <c r="I74" s="237">
        <v>5.13</v>
      </c>
      <c r="J74" s="238">
        <v>0.33900000000000002</v>
      </c>
      <c r="K74" s="236">
        <v>60.63</v>
      </c>
      <c r="L74" s="239" t="s">
        <v>159</v>
      </c>
      <c r="M74" s="324"/>
      <c r="N74" s="325"/>
      <c r="O74" s="236" t="s">
        <v>159</v>
      </c>
      <c r="P74" s="171">
        <v>3662.63</v>
      </c>
      <c r="Q74" s="171">
        <v>3665.5</v>
      </c>
      <c r="R74" s="236">
        <v>2.9</v>
      </c>
      <c r="S74" s="171"/>
      <c r="T74" s="236" t="s">
        <v>159</v>
      </c>
      <c r="U74" s="236">
        <v>2.9</v>
      </c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240"/>
      <c r="BD74" s="240"/>
      <c r="BE74" s="240"/>
      <c r="BF74" s="240"/>
      <c r="BG74" s="240"/>
      <c r="BH74" s="240"/>
      <c r="BI74" s="240"/>
      <c r="BJ74" s="240"/>
      <c r="BK74" s="240"/>
      <c r="BL74" s="240"/>
      <c r="BM74" s="240"/>
      <c r="BN74" s="240"/>
      <c r="BO74" s="240"/>
    </row>
    <row r="75" spans="1:67" s="241" customFormat="1" ht="18" customHeight="1">
      <c r="A75" s="324"/>
      <c r="B75" s="199" t="s">
        <v>580</v>
      </c>
      <c r="C75" s="199"/>
      <c r="D75" s="171"/>
      <c r="E75" s="171"/>
      <c r="F75" s="236">
        <v>12.3</v>
      </c>
      <c r="G75" s="236"/>
      <c r="H75" s="236"/>
      <c r="I75" s="237">
        <v>5.83</v>
      </c>
      <c r="J75" s="238">
        <v>0.35099999999999998</v>
      </c>
      <c r="K75" s="236">
        <v>65.2</v>
      </c>
      <c r="L75" s="239" t="s">
        <v>159</v>
      </c>
      <c r="M75" s="199"/>
      <c r="N75" s="325"/>
      <c r="O75" s="236" t="s">
        <v>159</v>
      </c>
      <c r="P75" s="171"/>
      <c r="Q75" s="171"/>
      <c r="R75" s="236"/>
      <c r="S75" s="171"/>
      <c r="T75" s="236" t="s">
        <v>159</v>
      </c>
      <c r="U75" s="236">
        <v>12.3</v>
      </c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240"/>
      <c r="BD75" s="240"/>
      <c r="BE75" s="240"/>
      <c r="BF75" s="240"/>
      <c r="BG75" s="240"/>
      <c r="BH75" s="240"/>
      <c r="BI75" s="240"/>
      <c r="BJ75" s="240"/>
      <c r="BK75" s="240"/>
      <c r="BL75" s="240"/>
      <c r="BM75" s="240"/>
      <c r="BN75" s="240"/>
      <c r="BO75" s="240"/>
    </row>
    <row r="76" spans="1:67" s="241" customFormat="1" ht="18" customHeight="1">
      <c r="A76" s="324" t="s">
        <v>377</v>
      </c>
      <c r="B76" s="199" t="s">
        <v>348</v>
      </c>
      <c r="C76" s="199">
        <v>1</v>
      </c>
      <c r="D76" s="171">
        <v>3608.7</v>
      </c>
      <c r="E76" s="171">
        <v>3611</v>
      </c>
      <c r="F76" s="236">
        <v>2.2999999999999998</v>
      </c>
      <c r="G76" s="171">
        <v>47.12</v>
      </c>
      <c r="H76" s="171">
        <v>212.12</v>
      </c>
      <c r="I76" s="237">
        <v>6.87</v>
      </c>
      <c r="J76" s="238">
        <v>0.124</v>
      </c>
      <c r="K76" s="236">
        <v>59.46</v>
      </c>
      <c r="L76" s="239" t="s">
        <v>579</v>
      </c>
      <c r="M76" s="324">
        <v>11475</v>
      </c>
      <c r="N76" s="325"/>
      <c r="O76" s="236" t="s">
        <v>579</v>
      </c>
      <c r="P76" s="171">
        <v>3608.7</v>
      </c>
      <c r="Q76" s="171">
        <v>3611</v>
      </c>
      <c r="R76" s="236">
        <v>2.2999999999999998</v>
      </c>
      <c r="S76" s="171"/>
      <c r="T76" s="236" t="s">
        <v>579</v>
      </c>
      <c r="U76" s="236">
        <v>2.2999999999999998</v>
      </c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240"/>
      <c r="BD76" s="240"/>
      <c r="BE76" s="240"/>
      <c r="BF76" s="240"/>
      <c r="BG76" s="240"/>
      <c r="BH76" s="240"/>
      <c r="BI76" s="240"/>
      <c r="BJ76" s="240"/>
      <c r="BK76" s="240"/>
      <c r="BL76" s="240"/>
      <c r="BM76" s="240"/>
      <c r="BN76" s="240"/>
      <c r="BO76" s="240"/>
    </row>
    <row r="77" spans="1:67" s="241" customFormat="1" ht="18" customHeight="1">
      <c r="A77" s="324"/>
      <c r="B77" s="199" t="s">
        <v>348</v>
      </c>
      <c r="C77" s="199">
        <v>2</v>
      </c>
      <c r="D77" s="171">
        <v>3611</v>
      </c>
      <c r="E77" s="171">
        <v>3614</v>
      </c>
      <c r="F77" s="236">
        <v>3</v>
      </c>
      <c r="G77" s="171">
        <v>80.14</v>
      </c>
      <c r="H77" s="171">
        <v>214.09</v>
      </c>
      <c r="I77" s="237">
        <v>7.19</v>
      </c>
      <c r="J77" s="238">
        <v>0.22500000000000001</v>
      </c>
      <c r="K77" s="236">
        <v>67.95</v>
      </c>
      <c r="L77" s="239" t="s">
        <v>579</v>
      </c>
      <c r="M77" s="324"/>
      <c r="N77" s="325"/>
      <c r="O77" s="236" t="s">
        <v>579</v>
      </c>
      <c r="P77" s="171">
        <v>3611</v>
      </c>
      <c r="Q77" s="171">
        <v>3614</v>
      </c>
      <c r="R77" s="236">
        <v>3</v>
      </c>
      <c r="S77" s="171"/>
      <c r="T77" s="236" t="s">
        <v>579</v>
      </c>
      <c r="U77" s="236">
        <v>3</v>
      </c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240"/>
      <c r="BD77" s="240"/>
      <c r="BE77" s="240"/>
      <c r="BF77" s="240"/>
      <c r="BG77" s="240"/>
      <c r="BH77" s="240"/>
      <c r="BI77" s="240"/>
      <c r="BJ77" s="240"/>
      <c r="BK77" s="240"/>
      <c r="BL77" s="240"/>
      <c r="BM77" s="240"/>
      <c r="BN77" s="240"/>
      <c r="BO77" s="240"/>
    </row>
    <row r="78" spans="1:67" s="241" customFormat="1" ht="18" customHeight="1">
      <c r="A78" s="324"/>
      <c r="B78" s="199" t="s">
        <v>580</v>
      </c>
      <c r="C78" s="199"/>
      <c r="D78" s="171"/>
      <c r="E78" s="171"/>
      <c r="F78" s="236">
        <v>5.3</v>
      </c>
      <c r="G78" s="236"/>
      <c r="H78" s="236"/>
      <c r="I78" s="237">
        <v>7</v>
      </c>
      <c r="J78" s="238">
        <v>0.17499999999999999</v>
      </c>
      <c r="K78" s="236">
        <v>65.7</v>
      </c>
      <c r="L78" s="239" t="s">
        <v>579</v>
      </c>
      <c r="M78" s="199"/>
      <c r="N78" s="325"/>
      <c r="O78" s="236" t="s">
        <v>579</v>
      </c>
      <c r="P78" s="171"/>
      <c r="Q78" s="171"/>
      <c r="R78" s="236"/>
      <c r="S78" s="171"/>
      <c r="T78" s="236" t="s">
        <v>159</v>
      </c>
      <c r="U78" s="236">
        <v>5.3</v>
      </c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240"/>
      <c r="BD78" s="240"/>
      <c r="BE78" s="240"/>
      <c r="BF78" s="240"/>
      <c r="BG78" s="240"/>
      <c r="BH78" s="240"/>
      <c r="BI78" s="240"/>
      <c r="BJ78" s="240"/>
      <c r="BK78" s="240"/>
      <c r="BL78" s="240"/>
      <c r="BM78" s="240"/>
      <c r="BN78" s="240"/>
      <c r="BO78" s="240"/>
    </row>
    <row r="79" spans="1:67" s="241" customFormat="1" ht="18" customHeight="1">
      <c r="A79" s="324" t="s">
        <v>463</v>
      </c>
      <c r="B79" s="199" t="s">
        <v>348</v>
      </c>
      <c r="C79" s="199">
        <v>1</v>
      </c>
      <c r="D79" s="171">
        <v>3585.75</v>
      </c>
      <c r="E79" s="171">
        <v>3588.88</v>
      </c>
      <c r="F79" s="236">
        <v>3.1</v>
      </c>
      <c r="G79" s="171">
        <v>79.650000000000006</v>
      </c>
      <c r="H79" s="171">
        <v>210.92</v>
      </c>
      <c r="I79" s="237">
        <v>5.0999999999999996</v>
      </c>
      <c r="J79" s="238">
        <v>0.36</v>
      </c>
      <c r="K79" s="236">
        <v>58.6</v>
      </c>
      <c r="L79" s="239" t="s">
        <v>579</v>
      </c>
      <c r="M79" s="324">
        <v>43716</v>
      </c>
      <c r="N79" s="325"/>
      <c r="O79" s="236" t="s">
        <v>579</v>
      </c>
      <c r="P79" s="171">
        <v>3585.75</v>
      </c>
      <c r="Q79" s="171">
        <v>3588.88</v>
      </c>
      <c r="R79" s="236">
        <v>3.1</v>
      </c>
      <c r="S79" s="171"/>
      <c r="T79" s="236" t="s">
        <v>579</v>
      </c>
      <c r="U79" s="236">
        <v>3.1</v>
      </c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/>
      <c r="AZ79" s="240"/>
      <c r="BA79" s="240"/>
      <c r="BB79" s="240"/>
      <c r="BC79" s="240"/>
      <c r="BD79" s="240"/>
      <c r="BE79" s="240"/>
      <c r="BF79" s="240"/>
      <c r="BG79" s="240"/>
      <c r="BH79" s="240"/>
      <c r="BI79" s="240"/>
      <c r="BJ79" s="240"/>
      <c r="BK79" s="240"/>
      <c r="BL79" s="240"/>
      <c r="BM79" s="240"/>
      <c r="BN79" s="240"/>
      <c r="BO79" s="240"/>
    </row>
    <row r="80" spans="1:67" s="241" customFormat="1" ht="18" customHeight="1">
      <c r="A80" s="324"/>
      <c r="B80" s="199" t="s">
        <v>348</v>
      </c>
      <c r="C80" s="199">
        <v>2</v>
      </c>
      <c r="D80" s="171">
        <v>3591.38</v>
      </c>
      <c r="E80" s="171">
        <v>3594.25</v>
      </c>
      <c r="F80" s="236">
        <v>2.9</v>
      </c>
      <c r="G80" s="171">
        <v>81.53</v>
      </c>
      <c r="H80" s="171">
        <v>220.5</v>
      </c>
      <c r="I80" s="237">
        <v>6.59</v>
      </c>
      <c r="J80" s="238">
        <v>0.43</v>
      </c>
      <c r="K80" s="236">
        <v>67.34</v>
      </c>
      <c r="L80" s="239" t="s">
        <v>579</v>
      </c>
      <c r="M80" s="324"/>
      <c r="N80" s="325"/>
      <c r="O80" s="236" t="s">
        <v>579</v>
      </c>
      <c r="P80" s="171">
        <v>3591.38</v>
      </c>
      <c r="Q80" s="171">
        <v>3594.25</v>
      </c>
      <c r="R80" s="236">
        <v>2.9</v>
      </c>
      <c r="S80" s="171"/>
      <c r="T80" s="236" t="s">
        <v>579</v>
      </c>
      <c r="U80" s="236">
        <v>2.9</v>
      </c>
      <c r="V80" s="240"/>
      <c r="W80" s="240"/>
      <c r="X80" s="240"/>
      <c r="Y80" s="240"/>
      <c r="Z80" s="240"/>
      <c r="AA80" s="240"/>
      <c r="AB80" s="240"/>
      <c r="AC80" s="240"/>
      <c r="AD80" s="240"/>
      <c r="AE80" s="240"/>
      <c r="AF80" s="240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/>
      <c r="AZ80" s="240"/>
      <c r="BA80" s="240"/>
      <c r="BB80" s="240"/>
      <c r="BC80" s="240"/>
      <c r="BD80" s="240"/>
      <c r="BE80" s="240"/>
      <c r="BF80" s="240"/>
      <c r="BG80" s="240"/>
      <c r="BH80" s="240"/>
      <c r="BI80" s="240"/>
      <c r="BJ80" s="240"/>
      <c r="BK80" s="240"/>
      <c r="BL80" s="240"/>
      <c r="BM80" s="240"/>
      <c r="BN80" s="240"/>
      <c r="BO80" s="240"/>
    </row>
    <row r="81" spans="1:67" s="241" customFormat="1" ht="18" customHeight="1">
      <c r="A81" s="324"/>
      <c r="B81" s="199" t="s">
        <v>95</v>
      </c>
      <c r="C81" s="199">
        <v>3</v>
      </c>
      <c r="D81" s="171">
        <v>3596</v>
      </c>
      <c r="E81" s="171">
        <v>3598.5</v>
      </c>
      <c r="F81" s="236">
        <v>2.5</v>
      </c>
      <c r="G81" s="171">
        <v>47.74</v>
      </c>
      <c r="H81" s="171">
        <v>220.04</v>
      </c>
      <c r="I81" s="237">
        <v>6.58</v>
      </c>
      <c r="J81" s="238">
        <v>0.26300000000000001</v>
      </c>
      <c r="K81" s="236">
        <v>57.71</v>
      </c>
      <c r="L81" s="239" t="s">
        <v>579</v>
      </c>
      <c r="M81" s="324"/>
      <c r="N81" s="325"/>
      <c r="O81" s="236" t="s">
        <v>579</v>
      </c>
      <c r="P81" s="171">
        <v>3596</v>
      </c>
      <c r="Q81" s="171">
        <v>3598.5</v>
      </c>
      <c r="R81" s="236">
        <v>2.5</v>
      </c>
      <c r="S81" s="171"/>
      <c r="T81" s="236" t="s">
        <v>579</v>
      </c>
      <c r="U81" s="236">
        <v>2.5</v>
      </c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/>
      <c r="AZ81" s="240"/>
      <c r="BA81" s="240"/>
      <c r="BB81" s="240"/>
      <c r="BC81" s="240"/>
      <c r="BD81" s="240"/>
      <c r="BE81" s="240"/>
      <c r="BF81" s="240"/>
      <c r="BG81" s="240"/>
      <c r="BH81" s="240"/>
      <c r="BI81" s="240"/>
      <c r="BJ81" s="240"/>
      <c r="BK81" s="240"/>
      <c r="BL81" s="240"/>
      <c r="BM81" s="240"/>
      <c r="BN81" s="240"/>
      <c r="BO81" s="240"/>
    </row>
    <row r="82" spans="1:67" s="241" customFormat="1" ht="18" customHeight="1">
      <c r="A82" s="324"/>
      <c r="B82" s="199" t="s">
        <v>580</v>
      </c>
      <c r="C82" s="199"/>
      <c r="D82" s="171"/>
      <c r="E82" s="171"/>
      <c r="F82" s="236">
        <v>8.5</v>
      </c>
      <c r="G82" s="236"/>
      <c r="H82" s="236"/>
      <c r="I82" s="237">
        <v>6.09</v>
      </c>
      <c r="J82" s="238">
        <v>0.35099999999999998</v>
      </c>
      <c r="K82" s="236">
        <v>61.2</v>
      </c>
      <c r="L82" s="239" t="s">
        <v>579</v>
      </c>
      <c r="M82" s="199"/>
      <c r="N82" s="171"/>
      <c r="O82" s="236" t="s">
        <v>579</v>
      </c>
      <c r="P82" s="171"/>
      <c r="Q82" s="171"/>
      <c r="R82" s="236"/>
      <c r="S82" s="171"/>
      <c r="T82" s="236" t="s">
        <v>159</v>
      </c>
      <c r="U82" s="236">
        <v>8.5</v>
      </c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</row>
    <row r="83" spans="1:67" s="241" customFormat="1" ht="18" customHeight="1">
      <c r="A83" s="324" t="s">
        <v>355</v>
      </c>
      <c r="B83" s="199" t="s">
        <v>348</v>
      </c>
      <c r="C83" s="199">
        <v>1</v>
      </c>
      <c r="D83" s="171">
        <v>3548</v>
      </c>
      <c r="E83" s="171">
        <v>3555.2</v>
      </c>
      <c r="F83" s="236">
        <v>7.1999999999998181</v>
      </c>
      <c r="G83" s="171">
        <v>159.69999999999999</v>
      </c>
      <c r="H83" s="171">
        <v>213.3</v>
      </c>
      <c r="I83" s="237">
        <v>6.25</v>
      </c>
      <c r="J83" s="238">
        <v>0.67</v>
      </c>
      <c r="K83" s="236">
        <v>68.5</v>
      </c>
      <c r="L83" s="239" t="s">
        <v>579</v>
      </c>
      <c r="M83" s="199">
        <v>26188</v>
      </c>
      <c r="N83" s="325"/>
      <c r="O83" s="236" t="s">
        <v>579</v>
      </c>
      <c r="P83" s="171">
        <v>3548</v>
      </c>
      <c r="Q83" s="171">
        <v>3555.2</v>
      </c>
      <c r="R83" s="236">
        <v>7.2</v>
      </c>
      <c r="S83" s="171"/>
      <c r="T83" s="236" t="s">
        <v>579</v>
      </c>
      <c r="U83" s="236">
        <v>7.2</v>
      </c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240"/>
      <c r="BD83" s="240"/>
      <c r="BE83" s="240"/>
      <c r="BF83" s="240"/>
      <c r="BG83" s="240"/>
      <c r="BH83" s="240"/>
      <c r="BI83" s="240"/>
      <c r="BJ83" s="240"/>
      <c r="BK83" s="240"/>
      <c r="BL83" s="240"/>
      <c r="BM83" s="240"/>
      <c r="BN83" s="240"/>
      <c r="BO83" s="240"/>
    </row>
    <row r="84" spans="1:67" s="241" customFormat="1" ht="18" customHeight="1">
      <c r="A84" s="324"/>
      <c r="B84" s="199" t="s">
        <v>580</v>
      </c>
      <c r="C84" s="199"/>
      <c r="D84" s="171"/>
      <c r="E84" s="171"/>
      <c r="F84" s="236">
        <v>7.2</v>
      </c>
      <c r="G84" s="236"/>
      <c r="H84" s="236"/>
      <c r="I84" s="237">
        <v>6.25</v>
      </c>
      <c r="J84" s="238">
        <v>0.67</v>
      </c>
      <c r="K84" s="236">
        <v>68.5</v>
      </c>
      <c r="L84" s="239" t="s">
        <v>579</v>
      </c>
      <c r="M84" s="199"/>
      <c r="N84" s="325"/>
      <c r="O84" s="236" t="s">
        <v>579</v>
      </c>
      <c r="P84" s="171"/>
      <c r="Q84" s="171"/>
      <c r="R84" s="236"/>
      <c r="S84" s="171"/>
      <c r="T84" s="236" t="s">
        <v>159</v>
      </c>
      <c r="U84" s="236">
        <v>7.2</v>
      </c>
      <c r="V84" s="240"/>
      <c r="W84" s="240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240"/>
      <c r="BD84" s="240"/>
      <c r="BE84" s="240"/>
      <c r="BF84" s="240"/>
      <c r="BG84" s="240"/>
      <c r="BH84" s="240"/>
      <c r="BI84" s="240"/>
      <c r="BJ84" s="240"/>
      <c r="BK84" s="240"/>
      <c r="BL84" s="240"/>
      <c r="BM84" s="240"/>
      <c r="BN84" s="240"/>
      <c r="BO84" s="240"/>
    </row>
    <row r="85" spans="1:67" s="241" customFormat="1" ht="18" customHeight="1">
      <c r="A85" s="324" t="s">
        <v>496</v>
      </c>
      <c r="B85" s="199" t="s">
        <v>348</v>
      </c>
      <c r="C85" s="199">
        <v>1</v>
      </c>
      <c r="D85" s="171">
        <v>3612.13</v>
      </c>
      <c r="E85" s="171">
        <v>3615.8</v>
      </c>
      <c r="F85" s="236">
        <v>3.7</v>
      </c>
      <c r="G85" s="236">
        <v>87.63</v>
      </c>
      <c r="H85" s="236">
        <v>223.27</v>
      </c>
      <c r="I85" s="237">
        <v>7.04</v>
      </c>
      <c r="J85" s="238">
        <v>0.36899999999999999</v>
      </c>
      <c r="K85" s="236">
        <v>65.319999999999993</v>
      </c>
      <c r="L85" s="239" t="s">
        <v>159</v>
      </c>
      <c r="M85" s="324">
        <v>18838</v>
      </c>
      <c r="N85" s="325">
        <v>13</v>
      </c>
      <c r="O85" s="236" t="s">
        <v>159</v>
      </c>
      <c r="P85" s="171">
        <v>3612.13</v>
      </c>
      <c r="Q85" s="171">
        <v>3615.8</v>
      </c>
      <c r="R85" s="236">
        <v>3.7</v>
      </c>
      <c r="S85" s="171"/>
      <c r="T85" s="236" t="s">
        <v>159</v>
      </c>
      <c r="U85" s="236">
        <v>3.7</v>
      </c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240"/>
      <c r="BD85" s="240"/>
      <c r="BE85" s="240"/>
      <c r="BF85" s="240"/>
      <c r="BG85" s="240"/>
      <c r="BH85" s="240"/>
      <c r="BI85" s="240"/>
      <c r="BJ85" s="240"/>
      <c r="BK85" s="240"/>
      <c r="BL85" s="240"/>
      <c r="BM85" s="240"/>
      <c r="BN85" s="240"/>
      <c r="BO85" s="240"/>
    </row>
    <row r="86" spans="1:67" s="241" customFormat="1" ht="18" customHeight="1">
      <c r="A86" s="324"/>
      <c r="B86" s="199" t="s">
        <v>348</v>
      </c>
      <c r="C86" s="199">
        <v>2</v>
      </c>
      <c r="D86" s="171">
        <v>3620.6</v>
      </c>
      <c r="E86" s="171">
        <v>3623.63</v>
      </c>
      <c r="F86" s="236">
        <v>3</v>
      </c>
      <c r="G86" s="236">
        <v>94.23</v>
      </c>
      <c r="H86" s="236">
        <v>211.86</v>
      </c>
      <c r="I86" s="237">
        <v>7.63</v>
      </c>
      <c r="J86" s="238">
        <v>0.33500000000000002</v>
      </c>
      <c r="K86" s="236">
        <v>59.04</v>
      </c>
      <c r="L86" s="239" t="s">
        <v>159</v>
      </c>
      <c r="M86" s="324"/>
      <c r="N86" s="325"/>
      <c r="O86" s="236" t="s">
        <v>159</v>
      </c>
      <c r="P86" s="171">
        <v>3620.6</v>
      </c>
      <c r="Q86" s="171">
        <v>3623.63</v>
      </c>
      <c r="R86" s="236">
        <v>3</v>
      </c>
      <c r="S86" s="171"/>
      <c r="T86" s="236" t="s">
        <v>159</v>
      </c>
      <c r="U86" s="236">
        <v>3</v>
      </c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240"/>
      <c r="BD86" s="240"/>
      <c r="BE86" s="240"/>
      <c r="BF86" s="240"/>
      <c r="BG86" s="240"/>
      <c r="BH86" s="240"/>
      <c r="BI86" s="240"/>
      <c r="BJ86" s="240"/>
      <c r="BK86" s="240"/>
      <c r="BL86" s="240"/>
      <c r="BM86" s="240"/>
      <c r="BN86" s="240"/>
      <c r="BO86" s="240"/>
    </row>
    <row r="87" spans="1:67" s="241" customFormat="1" ht="18" customHeight="1">
      <c r="A87" s="324"/>
      <c r="B87" s="199" t="s">
        <v>95</v>
      </c>
      <c r="C87" s="199">
        <v>3</v>
      </c>
      <c r="D87" s="171">
        <v>3641.8</v>
      </c>
      <c r="E87" s="171">
        <v>3645.8</v>
      </c>
      <c r="F87" s="236">
        <v>4</v>
      </c>
      <c r="G87" s="236">
        <v>93.61</v>
      </c>
      <c r="H87" s="236">
        <v>239.17</v>
      </c>
      <c r="I87" s="237">
        <v>9.64</v>
      </c>
      <c r="J87" s="238">
        <v>0.51200000000000001</v>
      </c>
      <c r="K87" s="236">
        <v>69.2</v>
      </c>
      <c r="L87" s="239" t="s">
        <v>159</v>
      </c>
      <c r="M87" s="324"/>
      <c r="N87" s="325"/>
      <c r="O87" s="236" t="s">
        <v>159</v>
      </c>
      <c r="P87" s="171">
        <v>3641.8</v>
      </c>
      <c r="Q87" s="171">
        <v>3645.8</v>
      </c>
      <c r="R87" s="236">
        <v>4</v>
      </c>
      <c r="S87" s="171"/>
      <c r="T87" s="236" t="s">
        <v>159</v>
      </c>
      <c r="U87" s="236">
        <v>4</v>
      </c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0"/>
      <c r="BI87" s="240"/>
      <c r="BJ87" s="240"/>
      <c r="BK87" s="240"/>
      <c r="BL87" s="240"/>
      <c r="BM87" s="240"/>
      <c r="BN87" s="240"/>
      <c r="BO87" s="240"/>
    </row>
    <row r="88" spans="1:67" s="241" customFormat="1" ht="18" customHeight="1">
      <c r="A88" s="324"/>
      <c r="B88" s="199" t="s">
        <v>580</v>
      </c>
      <c r="C88" s="199"/>
      <c r="D88" s="171"/>
      <c r="E88" s="171"/>
      <c r="F88" s="236">
        <v>10.7</v>
      </c>
      <c r="G88" s="236"/>
      <c r="H88" s="236"/>
      <c r="I88" s="237">
        <v>8.1887951807228916</v>
      </c>
      <c r="J88" s="238">
        <v>0.4121686746987952</v>
      </c>
      <c r="K88" s="236">
        <v>65.263486103550264</v>
      </c>
      <c r="L88" s="239" t="s">
        <v>159</v>
      </c>
      <c r="M88" s="199"/>
      <c r="N88" s="171"/>
      <c r="O88" s="236" t="s">
        <v>159</v>
      </c>
      <c r="P88" s="171"/>
      <c r="Q88" s="171"/>
      <c r="R88" s="236"/>
      <c r="S88" s="171"/>
      <c r="T88" s="236" t="s">
        <v>159</v>
      </c>
      <c r="U88" s="236">
        <v>10.7</v>
      </c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40"/>
      <c r="AT88" s="240"/>
      <c r="AU88" s="240"/>
      <c r="AV88" s="240"/>
      <c r="AW88" s="240"/>
      <c r="AX88" s="240"/>
      <c r="AY88" s="240"/>
      <c r="AZ88" s="240"/>
      <c r="BA88" s="240"/>
      <c r="BB88" s="240"/>
      <c r="BC88" s="240"/>
      <c r="BD88" s="240"/>
      <c r="BE88" s="240"/>
      <c r="BF88" s="240"/>
      <c r="BG88" s="240"/>
      <c r="BH88" s="240"/>
      <c r="BI88" s="240"/>
      <c r="BJ88" s="240"/>
      <c r="BK88" s="240"/>
      <c r="BL88" s="240"/>
      <c r="BM88" s="240"/>
      <c r="BN88" s="240"/>
      <c r="BO88" s="240"/>
    </row>
    <row r="89" spans="1:67" s="241" customFormat="1" ht="18" customHeight="1">
      <c r="A89" s="324" t="s">
        <v>448</v>
      </c>
      <c r="B89" s="199" t="s">
        <v>348</v>
      </c>
      <c r="C89" s="199">
        <v>1</v>
      </c>
      <c r="D89" s="171">
        <v>3536.13</v>
      </c>
      <c r="E89" s="171">
        <v>3543.63</v>
      </c>
      <c r="F89" s="236">
        <v>7.5</v>
      </c>
      <c r="G89" s="171">
        <v>22.16</v>
      </c>
      <c r="H89" s="171">
        <v>257.94</v>
      </c>
      <c r="I89" s="237">
        <v>12.7</v>
      </c>
      <c r="J89" s="238">
        <v>3.1949999999999998</v>
      </c>
      <c r="K89" s="236">
        <v>65.88</v>
      </c>
      <c r="L89" s="239" t="s">
        <v>579</v>
      </c>
      <c r="M89" s="324">
        <v>67730</v>
      </c>
      <c r="N89" s="325"/>
      <c r="O89" s="236" t="s">
        <v>579</v>
      </c>
      <c r="P89" s="171">
        <v>3536.13</v>
      </c>
      <c r="Q89" s="171">
        <v>3543.63</v>
      </c>
      <c r="R89" s="236">
        <v>7.5</v>
      </c>
      <c r="S89" s="171"/>
      <c r="T89" s="236" t="s">
        <v>579</v>
      </c>
      <c r="U89" s="236">
        <v>7.5</v>
      </c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0"/>
      <c r="AX89" s="240"/>
      <c r="AY89" s="240"/>
      <c r="AZ89" s="240"/>
      <c r="BA89" s="240"/>
      <c r="BB89" s="240"/>
      <c r="BC89" s="240"/>
      <c r="BD89" s="240"/>
      <c r="BE89" s="240"/>
      <c r="BF89" s="240"/>
      <c r="BG89" s="240"/>
      <c r="BH89" s="240"/>
      <c r="BI89" s="240"/>
      <c r="BJ89" s="240"/>
      <c r="BK89" s="240"/>
      <c r="BL89" s="240"/>
      <c r="BM89" s="240"/>
      <c r="BN89" s="240"/>
      <c r="BO89" s="240"/>
    </row>
    <row r="90" spans="1:67" s="241" customFormat="1" ht="18" customHeight="1">
      <c r="A90" s="324"/>
      <c r="B90" s="199" t="s">
        <v>95</v>
      </c>
      <c r="C90" s="199">
        <v>2</v>
      </c>
      <c r="D90" s="171">
        <v>3552.88</v>
      </c>
      <c r="E90" s="171">
        <v>3555.13</v>
      </c>
      <c r="F90" s="236">
        <v>2.2000000000000002</v>
      </c>
      <c r="G90" s="171">
        <v>20.32</v>
      </c>
      <c r="H90" s="171">
        <v>225.51</v>
      </c>
      <c r="I90" s="237">
        <v>7.42</v>
      </c>
      <c r="J90" s="238">
        <v>0.437</v>
      </c>
      <c r="K90" s="236">
        <v>59.99</v>
      </c>
      <c r="L90" s="239" t="s">
        <v>579</v>
      </c>
      <c r="M90" s="324"/>
      <c r="N90" s="325"/>
      <c r="O90" s="236" t="s">
        <v>579</v>
      </c>
      <c r="P90" s="171">
        <v>3552.88</v>
      </c>
      <c r="Q90" s="171">
        <v>3555.13</v>
      </c>
      <c r="R90" s="236">
        <v>2.2000000000000002</v>
      </c>
      <c r="S90" s="171"/>
      <c r="T90" s="236" t="s">
        <v>579</v>
      </c>
      <c r="U90" s="236">
        <v>2.2000000000000002</v>
      </c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0"/>
      <c r="AX90" s="240"/>
      <c r="AY90" s="240"/>
      <c r="AZ90" s="240"/>
      <c r="BA90" s="240"/>
      <c r="BB90" s="240"/>
      <c r="BC90" s="240"/>
      <c r="BD90" s="240"/>
      <c r="BE90" s="240"/>
      <c r="BF90" s="240"/>
      <c r="BG90" s="240"/>
      <c r="BH90" s="240"/>
      <c r="BI90" s="240"/>
      <c r="BJ90" s="240"/>
      <c r="BK90" s="240"/>
      <c r="BL90" s="240"/>
      <c r="BM90" s="240"/>
      <c r="BN90" s="240"/>
      <c r="BO90" s="240"/>
    </row>
    <row r="91" spans="1:67" s="241" customFormat="1" ht="18" customHeight="1">
      <c r="A91" s="324"/>
      <c r="B91" s="199" t="s">
        <v>95</v>
      </c>
      <c r="C91" s="199">
        <v>3</v>
      </c>
      <c r="D91" s="171">
        <v>3555.13</v>
      </c>
      <c r="E91" s="171">
        <v>3559.88</v>
      </c>
      <c r="F91" s="236">
        <v>4.8</v>
      </c>
      <c r="G91" s="171">
        <v>15.43</v>
      </c>
      <c r="H91" s="171">
        <v>251.54</v>
      </c>
      <c r="I91" s="237">
        <v>11.66</v>
      </c>
      <c r="J91" s="238">
        <v>2.5139999999999998</v>
      </c>
      <c r="K91" s="236">
        <v>65.27</v>
      </c>
      <c r="L91" s="239" t="s">
        <v>579</v>
      </c>
      <c r="M91" s="324"/>
      <c r="N91" s="325"/>
      <c r="O91" s="236" t="s">
        <v>579</v>
      </c>
      <c r="P91" s="171">
        <v>3555.13</v>
      </c>
      <c r="Q91" s="171">
        <v>3559.88</v>
      </c>
      <c r="R91" s="236">
        <v>4.8</v>
      </c>
      <c r="S91" s="171"/>
      <c r="T91" s="236" t="s">
        <v>579</v>
      </c>
      <c r="U91" s="236">
        <v>4.8</v>
      </c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  <c r="AI91" s="240"/>
      <c r="AJ91" s="240"/>
      <c r="AK91" s="240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0"/>
      <c r="AX91" s="240"/>
      <c r="AY91" s="240"/>
      <c r="AZ91" s="240"/>
      <c r="BA91" s="240"/>
      <c r="BB91" s="240"/>
      <c r="BC91" s="240"/>
      <c r="BD91" s="240"/>
      <c r="BE91" s="240"/>
      <c r="BF91" s="240"/>
      <c r="BG91" s="240"/>
      <c r="BH91" s="240"/>
      <c r="BI91" s="240"/>
      <c r="BJ91" s="240"/>
      <c r="BK91" s="240"/>
      <c r="BL91" s="240"/>
      <c r="BM91" s="240"/>
      <c r="BN91" s="240"/>
      <c r="BO91" s="240"/>
    </row>
    <row r="92" spans="1:67" s="241" customFormat="1" ht="18" customHeight="1">
      <c r="A92" s="324"/>
      <c r="B92" s="199" t="s">
        <v>95</v>
      </c>
      <c r="C92" s="199">
        <v>4</v>
      </c>
      <c r="D92" s="171">
        <v>3572.75</v>
      </c>
      <c r="E92" s="171">
        <v>3580.5</v>
      </c>
      <c r="F92" s="236">
        <v>7.7</v>
      </c>
      <c r="G92" s="171">
        <v>67.39</v>
      </c>
      <c r="H92" s="171">
        <v>209.99</v>
      </c>
      <c r="I92" s="237">
        <v>5.0999999999999996</v>
      </c>
      <c r="J92" s="238">
        <v>0.151</v>
      </c>
      <c r="K92" s="236">
        <v>58.75</v>
      </c>
      <c r="L92" s="239" t="s">
        <v>579</v>
      </c>
      <c r="M92" s="324"/>
      <c r="N92" s="325"/>
      <c r="O92" s="236" t="s">
        <v>579</v>
      </c>
      <c r="P92" s="171">
        <v>3572.75</v>
      </c>
      <c r="Q92" s="171">
        <v>3580.5</v>
      </c>
      <c r="R92" s="236">
        <v>7.7</v>
      </c>
      <c r="S92" s="171"/>
      <c r="T92" s="236" t="s">
        <v>579</v>
      </c>
      <c r="U92" s="236">
        <v>7.7</v>
      </c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40"/>
      <c r="AI92" s="240"/>
      <c r="AJ92" s="240"/>
      <c r="AK92" s="240"/>
      <c r="AL92" s="240"/>
      <c r="AM92" s="240"/>
      <c r="AN92" s="240"/>
      <c r="AO92" s="240"/>
      <c r="AP92" s="240"/>
      <c r="AQ92" s="240"/>
      <c r="AR92" s="240"/>
      <c r="AS92" s="240"/>
      <c r="AT92" s="240"/>
      <c r="AU92" s="240"/>
      <c r="AV92" s="240"/>
      <c r="AW92" s="240"/>
      <c r="AX92" s="240"/>
      <c r="AY92" s="240"/>
      <c r="AZ92" s="240"/>
      <c r="BA92" s="240"/>
      <c r="BB92" s="240"/>
      <c r="BC92" s="240"/>
      <c r="BD92" s="240"/>
      <c r="BE92" s="240"/>
      <c r="BF92" s="240"/>
      <c r="BG92" s="240"/>
      <c r="BH92" s="240"/>
      <c r="BI92" s="240"/>
      <c r="BJ92" s="240"/>
      <c r="BK92" s="240"/>
      <c r="BL92" s="240"/>
      <c r="BM92" s="240"/>
      <c r="BN92" s="240"/>
      <c r="BO92" s="240"/>
    </row>
    <row r="93" spans="1:67" s="241" customFormat="1" ht="18" customHeight="1">
      <c r="A93" s="324"/>
      <c r="B93" s="199" t="s">
        <v>348</v>
      </c>
      <c r="C93" s="199">
        <v>5</v>
      </c>
      <c r="D93" s="171">
        <v>3588</v>
      </c>
      <c r="E93" s="171">
        <v>3591</v>
      </c>
      <c r="F93" s="236">
        <v>3</v>
      </c>
      <c r="G93" s="171">
        <v>151.94999999999999</v>
      </c>
      <c r="H93" s="171">
        <v>200.45</v>
      </c>
      <c r="I93" s="237">
        <v>5.32</v>
      </c>
      <c r="J93" s="238">
        <v>0.12</v>
      </c>
      <c r="K93" s="236">
        <v>59.97</v>
      </c>
      <c r="L93" s="239" t="s">
        <v>579</v>
      </c>
      <c r="M93" s="324"/>
      <c r="N93" s="325"/>
      <c r="O93" s="236" t="s">
        <v>579</v>
      </c>
      <c r="P93" s="171">
        <v>3588</v>
      </c>
      <c r="Q93" s="171">
        <v>3591</v>
      </c>
      <c r="R93" s="236">
        <v>3</v>
      </c>
      <c r="S93" s="171"/>
      <c r="T93" s="236" t="s">
        <v>579</v>
      </c>
      <c r="U93" s="236">
        <v>3</v>
      </c>
      <c r="V93" s="240"/>
      <c r="W93" s="240"/>
      <c r="X93" s="240"/>
      <c r="Y93" s="240"/>
      <c r="Z93" s="240"/>
      <c r="AA93" s="240"/>
      <c r="AB93" s="240"/>
      <c r="AC93" s="240"/>
      <c r="AD93" s="240"/>
      <c r="AE93" s="240"/>
      <c r="AF93" s="240"/>
      <c r="AG93" s="240"/>
      <c r="AH93" s="240"/>
      <c r="AI93" s="240"/>
      <c r="AJ93" s="240"/>
      <c r="AK93" s="240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0"/>
      <c r="AX93" s="240"/>
      <c r="AY93" s="240"/>
      <c r="AZ93" s="240"/>
      <c r="BA93" s="240"/>
      <c r="BB93" s="240"/>
      <c r="BC93" s="240"/>
      <c r="BD93" s="240"/>
      <c r="BE93" s="240"/>
      <c r="BF93" s="240"/>
      <c r="BG93" s="240"/>
      <c r="BH93" s="240"/>
      <c r="BI93" s="240"/>
      <c r="BJ93" s="240"/>
      <c r="BK93" s="240"/>
      <c r="BL93" s="240"/>
      <c r="BM93" s="240"/>
      <c r="BN93" s="240"/>
      <c r="BO93" s="240"/>
    </row>
    <row r="94" spans="1:67" s="241" customFormat="1" ht="18" customHeight="1">
      <c r="A94" s="324"/>
      <c r="B94" s="199" t="s">
        <v>95</v>
      </c>
      <c r="C94" s="199">
        <v>6</v>
      </c>
      <c r="D94" s="171">
        <v>3598</v>
      </c>
      <c r="E94" s="171">
        <v>3600.75</v>
      </c>
      <c r="F94" s="236">
        <v>2.8</v>
      </c>
      <c r="G94" s="171">
        <v>36.82</v>
      </c>
      <c r="H94" s="171">
        <v>225</v>
      </c>
      <c r="I94" s="237">
        <v>7.32</v>
      </c>
      <c r="J94" s="238">
        <v>0.56200000000000006</v>
      </c>
      <c r="K94" s="236">
        <v>65.959999999999994</v>
      </c>
      <c r="L94" s="239" t="s">
        <v>579</v>
      </c>
      <c r="M94" s="324"/>
      <c r="N94" s="325"/>
      <c r="O94" s="236" t="s">
        <v>579</v>
      </c>
      <c r="P94" s="171">
        <v>3598</v>
      </c>
      <c r="Q94" s="171">
        <v>3600.75</v>
      </c>
      <c r="R94" s="236">
        <v>2.8</v>
      </c>
      <c r="S94" s="171"/>
      <c r="T94" s="236" t="s">
        <v>579</v>
      </c>
      <c r="U94" s="236">
        <v>2.8</v>
      </c>
      <c r="V94" s="240"/>
      <c r="W94" s="240"/>
      <c r="X94" s="240"/>
      <c r="Y94" s="240"/>
      <c r="Z94" s="240"/>
      <c r="AA94" s="240"/>
      <c r="AB94" s="240"/>
      <c r="AC94" s="240"/>
      <c r="AD94" s="240"/>
      <c r="AE94" s="240"/>
      <c r="AF94" s="240"/>
      <c r="AG94" s="240"/>
      <c r="AH94" s="240"/>
      <c r="AI94" s="240"/>
      <c r="AJ94" s="240"/>
      <c r="AK94" s="240"/>
      <c r="AL94" s="240"/>
      <c r="AM94" s="240"/>
      <c r="AN94" s="240"/>
      <c r="AO94" s="240"/>
      <c r="AP94" s="240"/>
      <c r="AQ94" s="240"/>
      <c r="AR94" s="240"/>
      <c r="AS94" s="240"/>
      <c r="AT94" s="240"/>
      <c r="AU94" s="240"/>
      <c r="AV94" s="240"/>
      <c r="AW94" s="240"/>
      <c r="AX94" s="240"/>
      <c r="AY94" s="240"/>
      <c r="AZ94" s="240"/>
      <c r="BA94" s="240"/>
      <c r="BB94" s="240"/>
      <c r="BC94" s="240"/>
      <c r="BD94" s="240"/>
      <c r="BE94" s="240"/>
      <c r="BF94" s="240"/>
      <c r="BG94" s="240"/>
      <c r="BH94" s="240"/>
      <c r="BI94" s="240"/>
      <c r="BJ94" s="240"/>
      <c r="BK94" s="240"/>
      <c r="BL94" s="240"/>
      <c r="BM94" s="240"/>
      <c r="BN94" s="240"/>
      <c r="BO94" s="240"/>
    </row>
    <row r="95" spans="1:67" s="241" customFormat="1" ht="18" customHeight="1">
      <c r="A95" s="324"/>
      <c r="B95" s="199" t="s">
        <v>580</v>
      </c>
      <c r="C95" s="199"/>
      <c r="D95" s="171"/>
      <c r="E95" s="171"/>
      <c r="F95" s="236">
        <v>28</v>
      </c>
      <c r="G95" s="236"/>
      <c r="H95" s="236"/>
      <c r="I95" s="237">
        <v>8.25</v>
      </c>
      <c r="J95" s="238">
        <v>1.1599999999999999</v>
      </c>
      <c r="K95" s="236">
        <v>62.3</v>
      </c>
      <c r="L95" s="239" t="s">
        <v>579</v>
      </c>
      <c r="M95" s="199"/>
      <c r="N95" s="171"/>
      <c r="O95" s="236" t="s">
        <v>579</v>
      </c>
      <c r="P95" s="171"/>
      <c r="Q95" s="171"/>
      <c r="R95" s="236"/>
      <c r="S95" s="171"/>
      <c r="T95" s="236" t="s">
        <v>159</v>
      </c>
      <c r="U95" s="236">
        <v>28</v>
      </c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  <c r="AS95" s="240"/>
      <c r="AT95" s="240"/>
      <c r="AU95" s="240"/>
      <c r="AV95" s="240"/>
      <c r="AW95" s="240"/>
      <c r="AX95" s="240"/>
      <c r="AY95" s="240"/>
      <c r="AZ95" s="240"/>
      <c r="BA95" s="240"/>
      <c r="BB95" s="240"/>
      <c r="BC95" s="240"/>
      <c r="BD95" s="240"/>
      <c r="BE95" s="240"/>
      <c r="BF95" s="240"/>
      <c r="BG95" s="240"/>
      <c r="BH95" s="240"/>
      <c r="BI95" s="240"/>
      <c r="BJ95" s="240"/>
      <c r="BK95" s="240"/>
      <c r="BL95" s="240"/>
      <c r="BM95" s="240"/>
      <c r="BN95" s="240"/>
      <c r="BO95" s="240"/>
    </row>
    <row r="96" spans="1:67" s="241" customFormat="1" ht="18" customHeight="1">
      <c r="A96" s="324" t="s">
        <v>466</v>
      </c>
      <c r="B96" s="199" t="s">
        <v>348</v>
      </c>
      <c r="C96" s="199">
        <v>1</v>
      </c>
      <c r="D96" s="171">
        <v>3581.25</v>
      </c>
      <c r="E96" s="171">
        <v>3586.88</v>
      </c>
      <c r="F96" s="236">
        <v>5.6</v>
      </c>
      <c r="G96" s="171">
        <v>70.84</v>
      </c>
      <c r="H96" s="171">
        <v>220.33</v>
      </c>
      <c r="I96" s="237">
        <v>6.57</v>
      </c>
      <c r="J96" s="238">
        <v>0.44500000000000001</v>
      </c>
      <c r="K96" s="236">
        <v>66.989999999999995</v>
      </c>
      <c r="L96" s="239" t="s">
        <v>579</v>
      </c>
      <c r="M96" s="199">
        <v>41849</v>
      </c>
      <c r="N96" s="171"/>
      <c r="O96" s="236" t="s">
        <v>579</v>
      </c>
      <c r="P96" s="171">
        <v>3581.25</v>
      </c>
      <c r="Q96" s="171">
        <v>3586.88</v>
      </c>
      <c r="R96" s="236">
        <v>5.6</v>
      </c>
      <c r="S96" s="171"/>
      <c r="T96" s="236" t="s">
        <v>579</v>
      </c>
      <c r="U96" s="236">
        <v>5.6</v>
      </c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  <c r="AX96" s="240"/>
      <c r="AY96" s="240"/>
      <c r="AZ96" s="240"/>
      <c r="BA96" s="240"/>
      <c r="BB96" s="240"/>
      <c r="BC96" s="240"/>
      <c r="BD96" s="240"/>
      <c r="BE96" s="240"/>
      <c r="BF96" s="240"/>
      <c r="BG96" s="240"/>
      <c r="BH96" s="240"/>
      <c r="BI96" s="240"/>
      <c r="BJ96" s="240"/>
      <c r="BK96" s="240"/>
      <c r="BL96" s="240"/>
      <c r="BM96" s="240"/>
      <c r="BN96" s="240"/>
      <c r="BO96" s="240"/>
    </row>
    <row r="97" spans="1:67" s="241" customFormat="1" ht="18" customHeight="1">
      <c r="A97" s="324"/>
      <c r="B97" s="199" t="s">
        <v>580</v>
      </c>
      <c r="C97" s="199"/>
      <c r="D97" s="171"/>
      <c r="E97" s="171"/>
      <c r="F97" s="236">
        <v>5.6</v>
      </c>
      <c r="G97" s="236"/>
      <c r="H97" s="236"/>
      <c r="I97" s="237">
        <v>6.57</v>
      </c>
      <c r="J97" s="238">
        <v>0.44500000000000001</v>
      </c>
      <c r="K97" s="236">
        <v>66.989999999999995</v>
      </c>
      <c r="L97" s="239" t="s">
        <v>579</v>
      </c>
      <c r="M97" s="199"/>
      <c r="N97" s="171"/>
      <c r="O97" s="236" t="s">
        <v>579</v>
      </c>
      <c r="P97" s="171"/>
      <c r="Q97" s="171"/>
      <c r="R97" s="236"/>
      <c r="S97" s="171"/>
      <c r="T97" s="236" t="s">
        <v>159</v>
      </c>
      <c r="U97" s="236">
        <v>5.6</v>
      </c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40"/>
      <c r="AT97" s="240"/>
      <c r="AU97" s="240"/>
      <c r="AV97" s="240"/>
      <c r="AW97" s="240"/>
      <c r="AX97" s="240"/>
      <c r="AY97" s="240"/>
      <c r="AZ97" s="240"/>
      <c r="BA97" s="240"/>
      <c r="BB97" s="240"/>
      <c r="BC97" s="240"/>
      <c r="BD97" s="240"/>
      <c r="BE97" s="240"/>
      <c r="BF97" s="240"/>
      <c r="BG97" s="240"/>
      <c r="BH97" s="240"/>
      <c r="BI97" s="240"/>
      <c r="BJ97" s="240"/>
      <c r="BK97" s="240"/>
      <c r="BL97" s="240"/>
      <c r="BM97" s="240"/>
      <c r="BN97" s="240"/>
      <c r="BO97" s="240"/>
    </row>
    <row r="98" spans="1:67" s="241" customFormat="1" ht="18" customHeight="1">
      <c r="A98" s="324" t="s">
        <v>347</v>
      </c>
      <c r="B98" s="199" t="s">
        <v>348</v>
      </c>
      <c r="C98" s="199">
        <v>1</v>
      </c>
      <c r="D98" s="171">
        <v>3645</v>
      </c>
      <c r="E98" s="171">
        <v>3648.3</v>
      </c>
      <c r="F98" s="236">
        <v>3.3</v>
      </c>
      <c r="G98" s="171">
        <v>68.05</v>
      </c>
      <c r="H98" s="171">
        <v>216.04</v>
      </c>
      <c r="I98" s="237">
        <v>5.86</v>
      </c>
      <c r="J98" s="238">
        <v>0.21</v>
      </c>
      <c r="K98" s="236">
        <v>63.78</v>
      </c>
      <c r="L98" s="239" t="s">
        <v>579</v>
      </c>
      <c r="M98" s="324">
        <v>18304</v>
      </c>
      <c r="N98" s="325"/>
      <c r="O98" s="236" t="s">
        <v>579</v>
      </c>
      <c r="P98" s="171">
        <v>3645</v>
      </c>
      <c r="Q98" s="171">
        <v>3648.3</v>
      </c>
      <c r="R98" s="236">
        <v>3.3</v>
      </c>
      <c r="S98" s="171"/>
      <c r="T98" s="236" t="s">
        <v>579</v>
      </c>
      <c r="U98" s="236">
        <v>3.3</v>
      </c>
      <c r="V98" s="240"/>
      <c r="W98" s="240"/>
      <c r="X98" s="240"/>
      <c r="Y98" s="240"/>
      <c r="Z98" s="240"/>
      <c r="AA98" s="240"/>
      <c r="AB98" s="240"/>
      <c r="AC98" s="240"/>
      <c r="AD98" s="240"/>
      <c r="AE98" s="240"/>
      <c r="AF98" s="24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  <c r="AS98" s="240"/>
      <c r="AT98" s="240"/>
      <c r="AU98" s="240"/>
      <c r="AV98" s="240"/>
      <c r="AW98" s="240"/>
      <c r="AX98" s="240"/>
      <c r="AY98" s="240"/>
      <c r="AZ98" s="240"/>
      <c r="BA98" s="240"/>
      <c r="BB98" s="240"/>
      <c r="BC98" s="240"/>
      <c r="BD98" s="240"/>
      <c r="BE98" s="240"/>
      <c r="BF98" s="240"/>
      <c r="BG98" s="240"/>
      <c r="BH98" s="240"/>
      <c r="BI98" s="240"/>
      <c r="BJ98" s="240"/>
      <c r="BK98" s="240"/>
      <c r="BL98" s="240"/>
      <c r="BM98" s="240"/>
      <c r="BN98" s="240"/>
      <c r="BO98" s="240"/>
    </row>
    <row r="99" spans="1:67" s="241" customFormat="1" ht="18" customHeight="1">
      <c r="A99" s="324"/>
      <c r="B99" s="199" t="s">
        <v>348</v>
      </c>
      <c r="C99" s="199">
        <v>2</v>
      </c>
      <c r="D99" s="171">
        <v>3651.5</v>
      </c>
      <c r="E99" s="171">
        <v>3653.4</v>
      </c>
      <c r="F99" s="236">
        <v>1.9</v>
      </c>
      <c r="G99" s="171">
        <v>78.27</v>
      </c>
      <c r="H99" s="171">
        <v>207.87</v>
      </c>
      <c r="I99" s="237">
        <v>5</v>
      </c>
      <c r="J99" s="238">
        <v>0.11</v>
      </c>
      <c r="K99" s="236">
        <v>61.91</v>
      </c>
      <c r="L99" s="239" t="s">
        <v>579</v>
      </c>
      <c r="M99" s="324"/>
      <c r="N99" s="325"/>
      <c r="O99" s="236" t="s">
        <v>579</v>
      </c>
      <c r="P99" s="171">
        <v>3651.5</v>
      </c>
      <c r="Q99" s="171">
        <v>3653.4</v>
      </c>
      <c r="R99" s="236">
        <v>1.9</v>
      </c>
      <c r="S99" s="171"/>
      <c r="T99" s="236" t="s">
        <v>579</v>
      </c>
      <c r="U99" s="236">
        <v>1.9</v>
      </c>
      <c r="V99" s="240"/>
      <c r="W99" s="240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0"/>
      <c r="AX99" s="240"/>
      <c r="AY99" s="240"/>
      <c r="AZ99" s="240"/>
      <c r="BA99" s="240"/>
      <c r="BB99" s="240"/>
      <c r="BC99" s="240"/>
      <c r="BD99" s="240"/>
      <c r="BE99" s="240"/>
      <c r="BF99" s="240"/>
      <c r="BG99" s="240"/>
      <c r="BH99" s="240"/>
      <c r="BI99" s="240"/>
      <c r="BJ99" s="240"/>
      <c r="BK99" s="240"/>
      <c r="BL99" s="240"/>
      <c r="BM99" s="240"/>
      <c r="BN99" s="240"/>
      <c r="BO99" s="240"/>
    </row>
    <row r="100" spans="1:67" s="241" customFormat="1" ht="18" customHeight="1">
      <c r="A100" s="324"/>
      <c r="B100" s="199" t="s">
        <v>580</v>
      </c>
      <c r="C100" s="199"/>
      <c r="D100" s="171"/>
      <c r="E100" s="171"/>
      <c r="F100" s="236">
        <v>5.2</v>
      </c>
      <c r="G100" s="236"/>
      <c r="H100" s="236"/>
      <c r="I100" s="237">
        <v>5.43</v>
      </c>
      <c r="J100" s="238">
        <v>0.16</v>
      </c>
      <c r="K100" s="236">
        <v>62.3</v>
      </c>
      <c r="L100" s="239" t="s">
        <v>579</v>
      </c>
      <c r="M100" s="199"/>
      <c r="N100" s="171"/>
      <c r="O100" s="236" t="s">
        <v>579</v>
      </c>
      <c r="P100" s="171"/>
      <c r="Q100" s="171"/>
      <c r="R100" s="236"/>
      <c r="S100" s="171"/>
      <c r="T100" s="236" t="s">
        <v>159</v>
      </c>
      <c r="U100" s="236">
        <v>5.2</v>
      </c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  <c r="AX100" s="240"/>
      <c r="AY100" s="240"/>
      <c r="AZ100" s="240"/>
      <c r="BA100" s="240"/>
      <c r="BB100" s="240"/>
      <c r="BC100" s="240"/>
      <c r="BD100" s="240"/>
      <c r="BE100" s="240"/>
      <c r="BF100" s="240"/>
      <c r="BG100" s="240"/>
      <c r="BH100" s="240"/>
      <c r="BI100" s="240"/>
      <c r="BJ100" s="240"/>
      <c r="BK100" s="240"/>
      <c r="BL100" s="240"/>
      <c r="BM100" s="240"/>
      <c r="BN100" s="240"/>
      <c r="BO100" s="240"/>
    </row>
    <row r="101" spans="1:67" s="241" customFormat="1" ht="18" customHeight="1">
      <c r="A101" s="324" t="s">
        <v>474</v>
      </c>
      <c r="B101" s="199" t="s">
        <v>348</v>
      </c>
      <c r="C101" s="199">
        <v>1</v>
      </c>
      <c r="D101" s="171">
        <v>3624.25</v>
      </c>
      <c r="E101" s="171">
        <v>3628.25</v>
      </c>
      <c r="F101" s="236">
        <v>4</v>
      </c>
      <c r="G101" s="171">
        <v>97.67</v>
      </c>
      <c r="H101" s="171">
        <v>215.39</v>
      </c>
      <c r="I101" s="237">
        <v>6.47</v>
      </c>
      <c r="J101" s="238">
        <v>0.39</v>
      </c>
      <c r="K101" s="236">
        <v>65.790000000000006</v>
      </c>
      <c r="L101" s="239" t="s">
        <v>579</v>
      </c>
      <c r="M101" s="324">
        <v>10577</v>
      </c>
      <c r="N101" s="325"/>
      <c r="O101" s="236" t="s">
        <v>579</v>
      </c>
      <c r="P101" s="171">
        <v>3624.25</v>
      </c>
      <c r="Q101" s="171">
        <v>3628.25</v>
      </c>
      <c r="R101" s="236">
        <v>4</v>
      </c>
      <c r="S101" s="171"/>
      <c r="T101" s="236" t="s">
        <v>579</v>
      </c>
      <c r="U101" s="236">
        <v>4</v>
      </c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0"/>
      <c r="AS101" s="240"/>
      <c r="AT101" s="240"/>
      <c r="AU101" s="240"/>
      <c r="AV101" s="240"/>
      <c r="AW101" s="240"/>
      <c r="AX101" s="240"/>
      <c r="AY101" s="240"/>
      <c r="AZ101" s="240"/>
      <c r="BA101" s="240"/>
      <c r="BB101" s="240"/>
      <c r="BC101" s="240"/>
      <c r="BD101" s="240"/>
      <c r="BE101" s="240"/>
      <c r="BF101" s="240"/>
      <c r="BG101" s="240"/>
      <c r="BH101" s="240"/>
      <c r="BI101" s="240"/>
      <c r="BJ101" s="240"/>
      <c r="BK101" s="240"/>
      <c r="BL101" s="240"/>
      <c r="BM101" s="240"/>
      <c r="BN101" s="240"/>
      <c r="BO101" s="240"/>
    </row>
    <row r="102" spans="1:67" s="241" customFormat="1" ht="18" customHeight="1">
      <c r="A102" s="324"/>
      <c r="B102" s="199" t="s">
        <v>348</v>
      </c>
      <c r="C102" s="199">
        <v>2</v>
      </c>
      <c r="D102" s="171">
        <v>3648.25</v>
      </c>
      <c r="E102" s="171">
        <v>3650.5</v>
      </c>
      <c r="F102" s="236">
        <v>2.2000000000000002</v>
      </c>
      <c r="G102" s="171">
        <v>76.19</v>
      </c>
      <c r="H102" s="171">
        <v>209.82</v>
      </c>
      <c r="I102" s="237">
        <v>5.0599999999999996</v>
      </c>
      <c r="J102" s="238">
        <v>0.46</v>
      </c>
      <c r="K102" s="236">
        <v>61.4</v>
      </c>
      <c r="L102" s="239" t="s">
        <v>579</v>
      </c>
      <c r="M102" s="324"/>
      <c r="N102" s="325"/>
      <c r="O102" s="236" t="s">
        <v>579</v>
      </c>
      <c r="P102" s="171">
        <v>3648.25</v>
      </c>
      <c r="Q102" s="171">
        <v>3650.5</v>
      </c>
      <c r="R102" s="236">
        <v>2.2000000000000002</v>
      </c>
      <c r="S102" s="171"/>
      <c r="T102" s="236" t="s">
        <v>579</v>
      </c>
      <c r="U102" s="236">
        <v>2.2000000000000002</v>
      </c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0"/>
      <c r="AS102" s="240"/>
      <c r="AT102" s="240"/>
      <c r="AU102" s="240"/>
      <c r="AV102" s="240"/>
      <c r="AW102" s="240"/>
      <c r="AX102" s="240"/>
      <c r="AY102" s="240"/>
      <c r="AZ102" s="240"/>
      <c r="BA102" s="240"/>
      <c r="BB102" s="240"/>
      <c r="BC102" s="240"/>
      <c r="BD102" s="240"/>
      <c r="BE102" s="240"/>
      <c r="BF102" s="240"/>
      <c r="BG102" s="240"/>
      <c r="BH102" s="240"/>
      <c r="BI102" s="240"/>
      <c r="BJ102" s="240"/>
      <c r="BK102" s="240"/>
      <c r="BL102" s="240"/>
      <c r="BM102" s="240"/>
      <c r="BN102" s="240"/>
      <c r="BO102" s="240"/>
    </row>
    <row r="103" spans="1:67" s="241" customFormat="1" ht="18" customHeight="1">
      <c r="A103" s="324"/>
      <c r="B103" s="199" t="s">
        <v>580</v>
      </c>
      <c r="C103" s="199"/>
      <c r="D103" s="171"/>
      <c r="E103" s="171"/>
      <c r="F103" s="236">
        <v>6.2</v>
      </c>
      <c r="G103" s="236"/>
      <c r="H103" s="236"/>
      <c r="I103" s="237">
        <v>5.77</v>
      </c>
      <c r="J103" s="238">
        <v>0.42499999999999999</v>
      </c>
      <c r="K103" s="236">
        <v>63.1</v>
      </c>
      <c r="L103" s="239" t="s">
        <v>579</v>
      </c>
      <c r="M103" s="199"/>
      <c r="N103" s="171"/>
      <c r="O103" s="236" t="s">
        <v>579</v>
      </c>
      <c r="P103" s="171"/>
      <c r="Q103" s="171"/>
      <c r="R103" s="236"/>
      <c r="S103" s="171"/>
      <c r="T103" s="236" t="s">
        <v>159</v>
      </c>
      <c r="U103" s="236">
        <v>6.2</v>
      </c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0"/>
      <c r="BK103" s="240"/>
      <c r="BL103" s="240"/>
      <c r="BM103" s="240"/>
      <c r="BN103" s="240"/>
      <c r="BO103" s="240"/>
    </row>
    <row r="104" spans="1:67" s="241" customFormat="1" ht="18" customHeight="1">
      <c r="A104" s="324" t="s">
        <v>583</v>
      </c>
      <c r="B104" s="199" t="s">
        <v>348</v>
      </c>
      <c r="C104" s="199">
        <v>1</v>
      </c>
      <c r="D104" s="171">
        <v>3579</v>
      </c>
      <c r="E104" s="171">
        <v>3581.7</v>
      </c>
      <c r="F104" s="236">
        <v>2.6999999999998181</v>
      </c>
      <c r="G104" s="171">
        <v>25</v>
      </c>
      <c r="H104" s="171">
        <v>236.81</v>
      </c>
      <c r="I104" s="237">
        <v>9.24</v>
      </c>
      <c r="J104" s="238">
        <v>0.436</v>
      </c>
      <c r="K104" s="236">
        <v>68.400000000000006</v>
      </c>
      <c r="L104" s="239" t="s">
        <v>579</v>
      </c>
      <c r="M104" s="324">
        <v>116860</v>
      </c>
      <c r="N104" s="325"/>
      <c r="O104" s="236" t="s">
        <v>579</v>
      </c>
      <c r="P104" s="171">
        <v>3579</v>
      </c>
      <c r="Q104" s="171">
        <v>3581.7</v>
      </c>
      <c r="R104" s="236">
        <v>2.6999999999998181</v>
      </c>
      <c r="S104" s="171"/>
      <c r="T104" s="236" t="s">
        <v>579</v>
      </c>
      <c r="U104" s="236">
        <v>2.6999999999998181</v>
      </c>
      <c r="V104" s="240"/>
      <c r="W104" s="240"/>
      <c r="X104" s="240"/>
      <c r="Y104" s="240"/>
      <c r="Z104" s="240"/>
      <c r="AA104" s="240"/>
      <c r="AB104" s="240"/>
      <c r="AC104" s="240"/>
      <c r="AD104" s="240"/>
      <c r="AE104" s="240"/>
      <c r="AF104" s="240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0"/>
      <c r="AX104" s="240"/>
      <c r="AY104" s="240"/>
      <c r="AZ104" s="240"/>
      <c r="BA104" s="240"/>
      <c r="BB104" s="240"/>
      <c r="BC104" s="240"/>
      <c r="BD104" s="240"/>
      <c r="BE104" s="240"/>
      <c r="BF104" s="240"/>
      <c r="BG104" s="240"/>
      <c r="BH104" s="240"/>
      <c r="BI104" s="240"/>
      <c r="BJ104" s="240"/>
      <c r="BK104" s="240"/>
      <c r="BL104" s="240"/>
      <c r="BM104" s="240"/>
      <c r="BN104" s="240"/>
      <c r="BO104" s="240"/>
    </row>
    <row r="105" spans="1:67" s="241" customFormat="1" ht="18" customHeight="1">
      <c r="A105" s="324"/>
      <c r="B105" s="199" t="s">
        <v>348</v>
      </c>
      <c r="C105" s="199">
        <v>2</v>
      </c>
      <c r="D105" s="171">
        <v>3584.4</v>
      </c>
      <c r="E105" s="171">
        <v>3591.9</v>
      </c>
      <c r="F105" s="236">
        <v>7.5</v>
      </c>
      <c r="G105" s="171">
        <v>68.069999999999993</v>
      </c>
      <c r="H105" s="171">
        <v>229.87</v>
      </c>
      <c r="I105" s="237">
        <v>8.94</v>
      </c>
      <c r="J105" s="238">
        <v>0.98799999999999999</v>
      </c>
      <c r="K105" s="236">
        <v>70.89</v>
      </c>
      <c r="L105" s="239" t="s">
        <v>579</v>
      </c>
      <c r="M105" s="324"/>
      <c r="N105" s="325"/>
      <c r="O105" s="236" t="s">
        <v>579</v>
      </c>
      <c r="P105" s="171">
        <v>3584.4</v>
      </c>
      <c r="Q105" s="171">
        <v>3591.9</v>
      </c>
      <c r="R105" s="236">
        <v>7.5</v>
      </c>
      <c r="S105" s="171"/>
      <c r="T105" s="236" t="s">
        <v>159</v>
      </c>
      <c r="U105" s="236">
        <v>7.5</v>
      </c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  <c r="AX105" s="240"/>
      <c r="AY105" s="240"/>
      <c r="AZ105" s="240"/>
      <c r="BA105" s="240"/>
      <c r="BB105" s="240"/>
      <c r="BC105" s="240"/>
      <c r="BD105" s="240"/>
      <c r="BE105" s="240"/>
      <c r="BF105" s="240"/>
      <c r="BG105" s="240"/>
      <c r="BH105" s="240"/>
      <c r="BI105" s="240"/>
      <c r="BJ105" s="240"/>
      <c r="BK105" s="240"/>
      <c r="BL105" s="240"/>
      <c r="BM105" s="240"/>
      <c r="BN105" s="240"/>
      <c r="BO105" s="240"/>
    </row>
    <row r="106" spans="1:67" s="241" customFormat="1" ht="18" customHeight="1">
      <c r="A106" s="324"/>
      <c r="B106" s="199" t="s">
        <v>95</v>
      </c>
      <c r="C106" s="199">
        <v>3</v>
      </c>
      <c r="D106" s="171">
        <v>3594</v>
      </c>
      <c r="E106" s="171">
        <v>3596</v>
      </c>
      <c r="F106" s="236">
        <v>2</v>
      </c>
      <c r="G106" s="171">
        <v>54.97</v>
      </c>
      <c r="H106" s="171">
        <v>219.3</v>
      </c>
      <c r="I106" s="237">
        <v>6.43</v>
      </c>
      <c r="J106" s="238">
        <v>0.32200000000000001</v>
      </c>
      <c r="K106" s="236">
        <v>57.8</v>
      </c>
      <c r="L106" s="239" t="s">
        <v>579</v>
      </c>
      <c r="M106" s="324"/>
      <c r="N106" s="325"/>
      <c r="O106" s="236" t="s">
        <v>579</v>
      </c>
      <c r="P106" s="171">
        <v>3594</v>
      </c>
      <c r="Q106" s="171">
        <v>3596</v>
      </c>
      <c r="R106" s="236">
        <v>2</v>
      </c>
      <c r="S106" s="242"/>
      <c r="T106" s="236" t="s">
        <v>159</v>
      </c>
      <c r="U106" s="236">
        <v>2</v>
      </c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  <c r="AS106" s="240"/>
      <c r="AT106" s="240"/>
      <c r="AU106" s="240"/>
      <c r="AV106" s="240"/>
      <c r="AW106" s="240"/>
      <c r="AX106" s="240"/>
      <c r="AY106" s="240"/>
      <c r="AZ106" s="240"/>
      <c r="BA106" s="240"/>
      <c r="BB106" s="240"/>
      <c r="BC106" s="240"/>
      <c r="BD106" s="240"/>
      <c r="BE106" s="240"/>
      <c r="BF106" s="240"/>
      <c r="BG106" s="240"/>
      <c r="BH106" s="240"/>
      <c r="BI106" s="240"/>
      <c r="BJ106" s="240"/>
      <c r="BK106" s="240"/>
      <c r="BL106" s="240"/>
      <c r="BM106" s="240"/>
      <c r="BN106" s="240"/>
      <c r="BO106" s="240"/>
    </row>
    <row r="107" spans="1:67" s="241" customFormat="1" ht="18" customHeight="1">
      <c r="A107" s="324"/>
      <c r="B107" s="199" t="s">
        <v>95</v>
      </c>
      <c r="C107" s="199">
        <v>4</v>
      </c>
      <c r="D107" s="171">
        <v>3610</v>
      </c>
      <c r="E107" s="171">
        <v>3611.6</v>
      </c>
      <c r="F107" s="236">
        <v>1.5999999999999091</v>
      </c>
      <c r="G107" s="171">
        <v>42.29</v>
      </c>
      <c r="H107" s="171">
        <v>220.95</v>
      </c>
      <c r="I107" s="237">
        <v>6.66</v>
      </c>
      <c r="J107" s="238">
        <v>0.32800000000000001</v>
      </c>
      <c r="K107" s="236">
        <v>56.7</v>
      </c>
      <c r="L107" s="239" t="s">
        <v>579</v>
      </c>
      <c r="M107" s="324"/>
      <c r="N107" s="325"/>
      <c r="O107" s="236" t="s">
        <v>579</v>
      </c>
      <c r="P107" s="171">
        <v>3610</v>
      </c>
      <c r="Q107" s="171">
        <v>3611.6</v>
      </c>
      <c r="R107" s="236">
        <v>1.5999999999999091</v>
      </c>
      <c r="S107" s="171"/>
      <c r="T107" s="236" t="s">
        <v>579</v>
      </c>
      <c r="U107" s="236">
        <v>1.5999999999999091</v>
      </c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  <c r="AS107" s="240"/>
      <c r="AT107" s="240"/>
      <c r="AU107" s="240"/>
      <c r="AV107" s="240"/>
      <c r="AW107" s="240"/>
      <c r="AX107" s="240"/>
      <c r="AY107" s="240"/>
      <c r="AZ107" s="240"/>
      <c r="BA107" s="240"/>
      <c r="BB107" s="240"/>
      <c r="BC107" s="240"/>
      <c r="BD107" s="240"/>
      <c r="BE107" s="240"/>
      <c r="BF107" s="240"/>
      <c r="BG107" s="240"/>
      <c r="BH107" s="240"/>
      <c r="BI107" s="240"/>
      <c r="BJ107" s="240"/>
      <c r="BK107" s="240"/>
      <c r="BL107" s="240"/>
      <c r="BM107" s="240"/>
      <c r="BN107" s="240"/>
      <c r="BO107" s="240"/>
    </row>
    <row r="108" spans="1:67" s="241" customFormat="1" ht="18" customHeight="1">
      <c r="A108" s="324"/>
      <c r="B108" s="199" t="s">
        <v>580</v>
      </c>
      <c r="C108" s="199"/>
      <c r="D108" s="171"/>
      <c r="E108" s="171"/>
      <c r="F108" s="236">
        <v>13.8</v>
      </c>
      <c r="G108" s="236"/>
      <c r="H108" s="236"/>
      <c r="I108" s="237">
        <v>8.3699999999999992</v>
      </c>
      <c r="J108" s="238">
        <v>0.51900000000000002</v>
      </c>
      <c r="K108" s="236">
        <v>63.4</v>
      </c>
      <c r="L108" s="239" t="s">
        <v>579</v>
      </c>
      <c r="M108" s="199"/>
      <c r="N108" s="171"/>
      <c r="O108" s="236" t="s">
        <v>579</v>
      </c>
      <c r="P108" s="171"/>
      <c r="Q108" s="171"/>
      <c r="R108" s="236"/>
      <c r="S108" s="171"/>
      <c r="T108" s="236" t="s">
        <v>579</v>
      </c>
      <c r="U108" s="236">
        <v>13.8</v>
      </c>
      <c r="V108" s="240"/>
      <c r="W108" s="240"/>
      <c r="X108" s="240"/>
      <c r="Y108" s="240"/>
      <c r="Z108" s="240"/>
      <c r="AA108" s="240"/>
      <c r="AB108" s="240"/>
      <c r="AC108" s="240"/>
      <c r="AD108" s="240"/>
      <c r="AE108" s="240"/>
      <c r="AF108" s="240"/>
      <c r="AG108" s="240"/>
      <c r="AH108" s="240"/>
      <c r="AI108" s="240"/>
      <c r="AJ108" s="240"/>
      <c r="AK108" s="240"/>
      <c r="AL108" s="240"/>
      <c r="AM108" s="240"/>
      <c r="AN108" s="240"/>
      <c r="AO108" s="240"/>
      <c r="AP108" s="240"/>
      <c r="AQ108" s="240"/>
      <c r="AR108" s="240"/>
      <c r="AS108" s="240"/>
      <c r="AT108" s="240"/>
      <c r="AU108" s="240"/>
      <c r="AV108" s="240"/>
      <c r="AW108" s="240"/>
      <c r="AX108" s="240"/>
      <c r="AY108" s="240"/>
      <c r="AZ108" s="240"/>
      <c r="BA108" s="240"/>
      <c r="BB108" s="240"/>
      <c r="BC108" s="240"/>
      <c r="BD108" s="240"/>
      <c r="BE108" s="240"/>
      <c r="BF108" s="240"/>
      <c r="BG108" s="240"/>
      <c r="BH108" s="240"/>
      <c r="BI108" s="240"/>
      <c r="BJ108" s="240"/>
      <c r="BK108" s="240"/>
      <c r="BL108" s="240"/>
      <c r="BM108" s="240"/>
      <c r="BN108" s="240"/>
      <c r="BO108" s="240"/>
    </row>
    <row r="109" spans="1:67" s="241" customFormat="1" ht="18" customHeight="1">
      <c r="A109" s="324" t="s">
        <v>438</v>
      </c>
      <c r="B109" s="199" t="s">
        <v>348</v>
      </c>
      <c r="C109" s="199">
        <v>1</v>
      </c>
      <c r="D109" s="171">
        <v>3650.7</v>
      </c>
      <c r="E109" s="171">
        <v>3658.2</v>
      </c>
      <c r="F109" s="236">
        <v>7.5</v>
      </c>
      <c r="G109" s="171">
        <v>57.17</v>
      </c>
      <c r="H109" s="171">
        <v>213.2</v>
      </c>
      <c r="I109" s="237">
        <v>5.56</v>
      </c>
      <c r="J109" s="238">
        <v>0.26900000000000002</v>
      </c>
      <c r="K109" s="236">
        <v>61.5</v>
      </c>
      <c r="L109" s="239" t="s">
        <v>579</v>
      </c>
      <c r="M109" s="199">
        <v>11492</v>
      </c>
      <c r="N109" s="171"/>
      <c r="O109" s="236" t="s">
        <v>579</v>
      </c>
      <c r="P109" s="171">
        <v>3650.7</v>
      </c>
      <c r="Q109" s="171">
        <v>3658.2</v>
      </c>
      <c r="R109" s="236">
        <v>7.5</v>
      </c>
      <c r="S109" s="171"/>
      <c r="T109" s="236" t="s">
        <v>579</v>
      </c>
      <c r="U109" s="236">
        <v>7.5</v>
      </c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0"/>
      <c r="AR109" s="240"/>
      <c r="AS109" s="240"/>
      <c r="AT109" s="240"/>
      <c r="AU109" s="240"/>
      <c r="AV109" s="240"/>
      <c r="AW109" s="240"/>
      <c r="AX109" s="240"/>
      <c r="AY109" s="240"/>
      <c r="AZ109" s="240"/>
      <c r="BA109" s="240"/>
      <c r="BB109" s="240"/>
      <c r="BC109" s="240"/>
      <c r="BD109" s="240"/>
      <c r="BE109" s="240"/>
      <c r="BF109" s="240"/>
      <c r="BG109" s="240"/>
      <c r="BH109" s="240"/>
      <c r="BI109" s="240"/>
      <c r="BJ109" s="240"/>
      <c r="BK109" s="240"/>
      <c r="BL109" s="240"/>
      <c r="BM109" s="240"/>
      <c r="BN109" s="240"/>
      <c r="BO109" s="240"/>
    </row>
    <row r="110" spans="1:67" s="241" customFormat="1" ht="18" customHeight="1">
      <c r="A110" s="324"/>
      <c r="B110" s="199" t="s">
        <v>580</v>
      </c>
      <c r="C110" s="199"/>
      <c r="D110" s="171"/>
      <c r="E110" s="171"/>
      <c r="F110" s="236">
        <v>7.5</v>
      </c>
      <c r="G110" s="236"/>
      <c r="H110" s="236"/>
      <c r="I110" s="237">
        <v>5.56</v>
      </c>
      <c r="J110" s="238">
        <v>0.26900000000000002</v>
      </c>
      <c r="K110" s="236">
        <v>61.5</v>
      </c>
      <c r="L110" s="239" t="s">
        <v>579</v>
      </c>
      <c r="M110" s="199"/>
      <c r="N110" s="171"/>
      <c r="O110" s="236" t="s">
        <v>579</v>
      </c>
      <c r="P110" s="171"/>
      <c r="Q110" s="171"/>
      <c r="R110" s="236"/>
      <c r="S110" s="171"/>
      <c r="T110" s="236" t="s">
        <v>579</v>
      </c>
      <c r="U110" s="236">
        <v>7.5</v>
      </c>
      <c r="V110" s="240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40"/>
      <c r="AI110" s="240"/>
      <c r="AJ110" s="240"/>
      <c r="AK110" s="240"/>
      <c r="AL110" s="240"/>
      <c r="AM110" s="240"/>
      <c r="AN110" s="240"/>
      <c r="AO110" s="240"/>
      <c r="AP110" s="240"/>
      <c r="AQ110" s="240"/>
      <c r="AR110" s="240"/>
      <c r="AS110" s="240"/>
      <c r="AT110" s="240"/>
      <c r="AU110" s="240"/>
      <c r="AV110" s="240"/>
      <c r="AW110" s="240"/>
      <c r="AX110" s="240"/>
      <c r="AY110" s="240"/>
      <c r="AZ110" s="240"/>
      <c r="BA110" s="240"/>
      <c r="BB110" s="240"/>
      <c r="BC110" s="240"/>
      <c r="BD110" s="240"/>
      <c r="BE110" s="240"/>
      <c r="BF110" s="240"/>
      <c r="BG110" s="240"/>
      <c r="BH110" s="240"/>
      <c r="BI110" s="240"/>
      <c r="BJ110" s="240"/>
      <c r="BK110" s="240"/>
      <c r="BL110" s="240"/>
      <c r="BM110" s="240"/>
      <c r="BN110" s="240"/>
      <c r="BO110" s="240"/>
    </row>
    <row r="111" spans="1:67" s="241" customFormat="1" ht="18" customHeight="1">
      <c r="A111" s="324" t="s">
        <v>584</v>
      </c>
      <c r="B111" s="199" t="s">
        <v>348</v>
      </c>
      <c r="C111" s="199">
        <v>1</v>
      </c>
      <c r="D111" s="171">
        <v>3558.5</v>
      </c>
      <c r="E111" s="171">
        <v>3560.875</v>
      </c>
      <c r="F111" s="236">
        <v>2.375</v>
      </c>
      <c r="G111" s="171">
        <v>39.777576666666668</v>
      </c>
      <c r="H111" s="171">
        <v>226.07107222222223</v>
      </c>
      <c r="I111" s="237">
        <v>6.9988017222222219</v>
      </c>
      <c r="J111" s="238">
        <v>0.15821905722222221</v>
      </c>
      <c r="K111" s="236">
        <v>55</v>
      </c>
      <c r="L111" s="239" t="s">
        <v>159</v>
      </c>
      <c r="M111" s="324">
        <v>40569</v>
      </c>
      <c r="N111" s="325"/>
      <c r="O111" s="236" t="s">
        <v>159</v>
      </c>
      <c r="P111" s="171">
        <v>3558.5</v>
      </c>
      <c r="Q111" s="171">
        <v>3560.875</v>
      </c>
      <c r="R111" s="236">
        <v>2.375</v>
      </c>
      <c r="S111" s="171"/>
      <c r="T111" s="236" t="s">
        <v>159</v>
      </c>
      <c r="U111" s="236">
        <v>2.375</v>
      </c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  <c r="AS111" s="240"/>
      <c r="AT111" s="240"/>
      <c r="AU111" s="240"/>
      <c r="AV111" s="240"/>
      <c r="AW111" s="240"/>
      <c r="AX111" s="240"/>
      <c r="AY111" s="240"/>
      <c r="AZ111" s="240"/>
      <c r="BA111" s="240"/>
      <c r="BB111" s="240"/>
      <c r="BC111" s="240"/>
      <c r="BD111" s="240"/>
      <c r="BE111" s="240"/>
      <c r="BF111" s="240"/>
      <c r="BG111" s="240"/>
      <c r="BH111" s="240"/>
      <c r="BI111" s="240"/>
      <c r="BJ111" s="240"/>
      <c r="BK111" s="240"/>
      <c r="BL111" s="240"/>
      <c r="BM111" s="240"/>
      <c r="BN111" s="240"/>
      <c r="BO111" s="240"/>
    </row>
    <row r="112" spans="1:67" s="241" customFormat="1" ht="18" customHeight="1">
      <c r="A112" s="324"/>
      <c r="B112" s="199" t="s">
        <v>348</v>
      </c>
      <c r="C112" s="199">
        <v>2</v>
      </c>
      <c r="D112" s="171">
        <v>3566.63</v>
      </c>
      <c r="E112" s="171">
        <v>3569.63</v>
      </c>
      <c r="F112" s="236">
        <v>3</v>
      </c>
      <c r="G112" s="171">
        <v>49.57</v>
      </c>
      <c r="H112" s="171">
        <v>225.57</v>
      </c>
      <c r="I112" s="237">
        <v>7.48</v>
      </c>
      <c r="J112" s="238">
        <v>0.311</v>
      </c>
      <c r="K112" s="236">
        <v>63</v>
      </c>
      <c r="L112" s="239" t="s">
        <v>159</v>
      </c>
      <c r="M112" s="324"/>
      <c r="N112" s="325"/>
      <c r="O112" s="236" t="s">
        <v>159</v>
      </c>
      <c r="P112" s="171">
        <v>3566.63</v>
      </c>
      <c r="Q112" s="171">
        <v>3569.63</v>
      </c>
      <c r="R112" s="236">
        <v>3</v>
      </c>
      <c r="S112" s="171"/>
      <c r="T112" s="236" t="s">
        <v>159</v>
      </c>
      <c r="U112" s="236">
        <v>3</v>
      </c>
      <c r="V112" s="240"/>
      <c r="W112" s="240"/>
      <c r="X112" s="240"/>
      <c r="Y112" s="240"/>
      <c r="Z112" s="240"/>
      <c r="AA112" s="240"/>
      <c r="AB112" s="240"/>
      <c r="AC112" s="240"/>
      <c r="AD112" s="240"/>
      <c r="AE112" s="240"/>
      <c r="AF112" s="240"/>
      <c r="AG112" s="240"/>
      <c r="AH112" s="240"/>
      <c r="AI112" s="240"/>
      <c r="AJ112" s="240"/>
      <c r="AK112" s="240"/>
      <c r="AL112" s="240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0"/>
      <c r="BH112" s="240"/>
      <c r="BI112" s="240"/>
      <c r="BJ112" s="240"/>
      <c r="BK112" s="240"/>
      <c r="BL112" s="240"/>
      <c r="BM112" s="240"/>
      <c r="BN112" s="240"/>
      <c r="BO112" s="240"/>
    </row>
    <row r="113" spans="1:67" s="241" customFormat="1" ht="18" customHeight="1">
      <c r="A113" s="324"/>
      <c r="B113" s="199" t="s">
        <v>580</v>
      </c>
      <c r="C113" s="199"/>
      <c r="D113" s="171"/>
      <c r="E113" s="171"/>
      <c r="F113" s="236">
        <v>5.4</v>
      </c>
      <c r="G113" s="236"/>
      <c r="H113" s="236"/>
      <c r="I113" s="237">
        <v>7.25</v>
      </c>
      <c r="J113" s="238">
        <v>0.23499999999999999</v>
      </c>
      <c r="K113" s="236">
        <v>59</v>
      </c>
      <c r="L113" s="239" t="s">
        <v>159</v>
      </c>
      <c r="M113" s="199"/>
      <c r="N113" s="171"/>
      <c r="O113" s="236" t="s">
        <v>159</v>
      </c>
      <c r="P113" s="171"/>
      <c r="Q113" s="171"/>
      <c r="R113" s="236"/>
      <c r="S113" s="171"/>
      <c r="T113" s="236" t="s">
        <v>159</v>
      </c>
      <c r="U113" s="236">
        <v>5.4</v>
      </c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  <c r="AS113" s="240"/>
      <c r="AT113" s="240"/>
      <c r="AU113" s="240"/>
      <c r="AV113" s="240"/>
      <c r="AW113" s="240"/>
      <c r="AX113" s="240"/>
      <c r="AY113" s="240"/>
      <c r="AZ113" s="240"/>
      <c r="BA113" s="240"/>
      <c r="BB113" s="240"/>
      <c r="BC113" s="240"/>
      <c r="BD113" s="240"/>
      <c r="BE113" s="240"/>
      <c r="BF113" s="240"/>
      <c r="BG113" s="240"/>
      <c r="BH113" s="240"/>
      <c r="BI113" s="240"/>
      <c r="BJ113" s="240"/>
      <c r="BK113" s="240"/>
      <c r="BL113" s="240"/>
      <c r="BM113" s="240"/>
      <c r="BN113" s="240"/>
      <c r="BO113" s="240"/>
    </row>
    <row r="114" spans="1:67" s="241" customFormat="1" ht="18" customHeight="1">
      <c r="A114" s="324" t="s">
        <v>512</v>
      </c>
      <c r="B114" s="199" t="s">
        <v>348</v>
      </c>
      <c r="C114" s="199">
        <v>2</v>
      </c>
      <c r="D114" s="171">
        <v>3688.5</v>
      </c>
      <c r="E114" s="171">
        <v>3691.5</v>
      </c>
      <c r="F114" s="236">
        <v>3</v>
      </c>
      <c r="G114" s="171">
        <v>155.5</v>
      </c>
      <c r="H114" s="171">
        <v>227.96</v>
      </c>
      <c r="I114" s="237">
        <v>7</v>
      </c>
      <c r="J114" s="238">
        <v>0.248</v>
      </c>
      <c r="K114" s="236">
        <v>64</v>
      </c>
      <c r="L114" s="239" t="s">
        <v>159</v>
      </c>
      <c r="M114" s="199" t="s">
        <v>585</v>
      </c>
      <c r="N114" s="242">
        <v>17</v>
      </c>
      <c r="O114" s="236" t="s">
        <v>159</v>
      </c>
      <c r="P114" s="171">
        <v>3688.5</v>
      </c>
      <c r="Q114" s="171">
        <v>3691.5</v>
      </c>
      <c r="R114" s="236">
        <v>3</v>
      </c>
      <c r="S114" s="171"/>
      <c r="T114" s="236" t="s">
        <v>159</v>
      </c>
      <c r="U114" s="236">
        <v>3</v>
      </c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0"/>
      <c r="AX114" s="240"/>
      <c r="AY114" s="240"/>
      <c r="AZ114" s="240"/>
      <c r="BA114" s="240"/>
      <c r="BB114" s="240"/>
      <c r="BC114" s="240"/>
      <c r="BD114" s="240"/>
      <c r="BE114" s="240"/>
      <c r="BF114" s="240"/>
      <c r="BG114" s="240"/>
      <c r="BH114" s="240"/>
      <c r="BI114" s="240"/>
      <c r="BJ114" s="240"/>
      <c r="BK114" s="240"/>
      <c r="BL114" s="240"/>
      <c r="BM114" s="240"/>
      <c r="BN114" s="240"/>
      <c r="BO114" s="240"/>
    </row>
    <row r="115" spans="1:67" s="241" customFormat="1" ht="18" customHeight="1">
      <c r="A115" s="324"/>
      <c r="B115" s="199" t="s">
        <v>580</v>
      </c>
      <c r="C115" s="199"/>
      <c r="D115" s="171"/>
      <c r="E115" s="171"/>
      <c r="F115" s="236">
        <v>3</v>
      </c>
      <c r="G115" s="236"/>
      <c r="H115" s="236"/>
      <c r="I115" s="237">
        <v>6.2</v>
      </c>
      <c r="J115" s="238">
        <v>0.21299999999999999</v>
      </c>
      <c r="K115" s="236">
        <v>61</v>
      </c>
      <c r="L115" s="239" t="s">
        <v>159</v>
      </c>
      <c r="M115" s="199"/>
      <c r="N115" s="171"/>
      <c r="O115" s="236" t="s">
        <v>159</v>
      </c>
      <c r="P115" s="171"/>
      <c r="Q115" s="171"/>
      <c r="R115" s="236"/>
      <c r="S115" s="171"/>
      <c r="T115" s="236" t="s">
        <v>159</v>
      </c>
      <c r="U115" s="236">
        <v>3</v>
      </c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0"/>
      <c r="AX115" s="240"/>
      <c r="AY115" s="240"/>
      <c r="AZ115" s="240"/>
      <c r="BA115" s="240"/>
      <c r="BB115" s="240"/>
      <c r="BC115" s="240"/>
      <c r="BD115" s="240"/>
      <c r="BE115" s="240"/>
      <c r="BF115" s="240"/>
      <c r="BG115" s="240"/>
      <c r="BH115" s="240"/>
      <c r="BI115" s="240"/>
      <c r="BJ115" s="240"/>
      <c r="BK115" s="240"/>
      <c r="BL115" s="240"/>
      <c r="BM115" s="240"/>
      <c r="BN115" s="240"/>
      <c r="BO115" s="240"/>
    </row>
    <row r="116" spans="1:67" s="241" customFormat="1" ht="18" customHeight="1">
      <c r="A116" s="324" t="s">
        <v>469</v>
      </c>
      <c r="B116" s="199" t="s">
        <v>348</v>
      </c>
      <c r="C116" s="199">
        <v>1</v>
      </c>
      <c r="D116" s="171">
        <v>3638.8</v>
      </c>
      <c r="E116" s="171">
        <v>3642.2</v>
      </c>
      <c r="F116" s="236">
        <v>3.3999999999996362</v>
      </c>
      <c r="G116" s="171">
        <v>39.5</v>
      </c>
      <c r="H116" s="171">
        <v>214.69</v>
      </c>
      <c r="I116" s="237">
        <v>5.67</v>
      </c>
      <c r="J116" s="238">
        <v>0.29099999999999998</v>
      </c>
      <c r="K116" s="236">
        <v>58.6</v>
      </c>
      <c r="L116" s="239" t="s">
        <v>579</v>
      </c>
      <c r="M116" s="324">
        <v>21903</v>
      </c>
      <c r="N116" s="325"/>
      <c r="O116" s="236" t="s">
        <v>579</v>
      </c>
      <c r="P116" s="171">
        <v>3638.8</v>
      </c>
      <c r="Q116" s="171">
        <v>3642.2</v>
      </c>
      <c r="R116" s="236">
        <v>3.3999999999996362</v>
      </c>
      <c r="S116" s="171"/>
      <c r="T116" s="236" t="s">
        <v>579</v>
      </c>
      <c r="U116" s="236">
        <v>3.3999999999996362</v>
      </c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  <c r="AS116" s="240"/>
      <c r="AT116" s="240"/>
      <c r="AU116" s="240"/>
      <c r="AV116" s="240"/>
      <c r="AW116" s="240"/>
      <c r="AX116" s="240"/>
      <c r="AY116" s="240"/>
      <c r="AZ116" s="240"/>
      <c r="BA116" s="240"/>
      <c r="BB116" s="240"/>
      <c r="BC116" s="240"/>
      <c r="BD116" s="240"/>
      <c r="BE116" s="240"/>
      <c r="BF116" s="240"/>
      <c r="BG116" s="240"/>
      <c r="BH116" s="240"/>
      <c r="BI116" s="240"/>
      <c r="BJ116" s="240"/>
      <c r="BK116" s="240"/>
      <c r="BL116" s="240"/>
      <c r="BM116" s="240"/>
      <c r="BN116" s="240"/>
      <c r="BO116" s="240"/>
    </row>
    <row r="117" spans="1:67" s="241" customFormat="1" ht="18" customHeight="1">
      <c r="A117" s="324"/>
      <c r="B117" s="199" t="s">
        <v>348</v>
      </c>
      <c r="C117" s="199">
        <v>2</v>
      </c>
      <c r="D117" s="171">
        <v>3649</v>
      </c>
      <c r="E117" s="171">
        <v>3652</v>
      </c>
      <c r="F117" s="236">
        <v>3</v>
      </c>
      <c r="G117" s="171">
        <v>132.41999999999999</v>
      </c>
      <c r="H117" s="171">
        <v>209.32</v>
      </c>
      <c r="I117" s="237">
        <v>4.7300000000000004</v>
      </c>
      <c r="J117" s="238">
        <v>0.46899999999999997</v>
      </c>
      <c r="K117" s="236">
        <v>70.97</v>
      </c>
      <c r="L117" s="239" t="s">
        <v>579</v>
      </c>
      <c r="M117" s="324"/>
      <c r="N117" s="325"/>
      <c r="O117" s="236" t="s">
        <v>579</v>
      </c>
      <c r="P117" s="171">
        <v>3649</v>
      </c>
      <c r="Q117" s="171">
        <v>3652</v>
      </c>
      <c r="R117" s="236">
        <v>3</v>
      </c>
      <c r="S117" s="171"/>
      <c r="T117" s="236" t="s">
        <v>579</v>
      </c>
      <c r="U117" s="236">
        <v>3</v>
      </c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  <c r="AV117" s="240"/>
      <c r="AW117" s="240"/>
      <c r="AX117" s="240"/>
      <c r="AY117" s="240"/>
      <c r="AZ117" s="240"/>
      <c r="BA117" s="240"/>
      <c r="BB117" s="240"/>
      <c r="BC117" s="240"/>
      <c r="BD117" s="240"/>
      <c r="BE117" s="240"/>
      <c r="BF117" s="240"/>
      <c r="BG117" s="240"/>
      <c r="BH117" s="240"/>
      <c r="BI117" s="240"/>
      <c r="BJ117" s="240"/>
      <c r="BK117" s="240"/>
      <c r="BL117" s="240"/>
      <c r="BM117" s="240"/>
      <c r="BN117" s="240"/>
      <c r="BO117" s="240"/>
    </row>
    <row r="118" spans="1:67" s="241" customFormat="1" ht="18" customHeight="1">
      <c r="A118" s="324"/>
      <c r="B118" s="199" t="s">
        <v>580</v>
      </c>
      <c r="C118" s="199"/>
      <c r="D118" s="171"/>
      <c r="E118" s="171"/>
      <c r="F118" s="236">
        <v>6.4</v>
      </c>
      <c r="G118" s="236"/>
      <c r="H118" s="236"/>
      <c r="I118" s="237">
        <v>5.2</v>
      </c>
      <c r="J118" s="238">
        <v>0.38</v>
      </c>
      <c r="K118" s="236">
        <v>64.3</v>
      </c>
      <c r="L118" s="239" t="s">
        <v>579</v>
      </c>
      <c r="M118" s="199"/>
      <c r="N118" s="171"/>
      <c r="O118" s="236" t="s">
        <v>579</v>
      </c>
      <c r="P118" s="171"/>
      <c r="Q118" s="171"/>
      <c r="R118" s="236"/>
      <c r="S118" s="171"/>
      <c r="T118" s="236" t="s">
        <v>159</v>
      </c>
      <c r="U118" s="236">
        <v>6.4</v>
      </c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  <c r="AV118" s="240"/>
      <c r="AW118" s="240"/>
      <c r="AX118" s="240"/>
      <c r="AY118" s="240"/>
      <c r="AZ118" s="240"/>
      <c r="BA118" s="240"/>
      <c r="BB118" s="240"/>
      <c r="BC118" s="240"/>
      <c r="BD118" s="240"/>
      <c r="BE118" s="240"/>
      <c r="BF118" s="240"/>
      <c r="BG118" s="240"/>
      <c r="BH118" s="240"/>
      <c r="BI118" s="240"/>
      <c r="BJ118" s="240"/>
      <c r="BK118" s="240"/>
      <c r="BL118" s="240"/>
      <c r="BM118" s="240"/>
      <c r="BN118" s="240"/>
      <c r="BO118" s="240"/>
    </row>
    <row r="119" spans="1:67" s="241" customFormat="1" ht="18" customHeight="1">
      <c r="A119" s="324" t="s">
        <v>477</v>
      </c>
      <c r="B119" s="199" t="s">
        <v>348</v>
      </c>
      <c r="C119" s="199">
        <v>1</v>
      </c>
      <c r="D119" s="171">
        <v>3604.38</v>
      </c>
      <c r="E119" s="171">
        <v>3608.63</v>
      </c>
      <c r="F119" s="236">
        <v>4.2</v>
      </c>
      <c r="G119" s="171">
        <v>65.44</v>
      </c>
      <c r="H119" s="171">
        <v>220.29</v>
      </c>
      <c r="I119" s="237">
        <v>9.01</v>
      </c>
      <c r="J119" s="238">
        <v>0.45</v>
      </c>
      <c r="K119" s="236">
        <v>69.42</v>
      </c>
      <c r="L119" s="239" t="s">
        <v>579</v>
      </c>
      <c r="M119" s="324">
        <v>21120</v>
      </c>
      <c r="N119" s="325">
        <v>7.5</v>
      </c>
      <c r="O119" s="236" t="s">
        <v>579</v>
      </c>
      <c r="P119" s="171">
        <v>3604.38</v>
      </c>
      <c r="Q119" s="171">
        <v>3608.63</v>
      </c>
      <c r="R119" s="236">
        <v>4.2</v>
      </c>
      <c r="S119" s="171"/>
      <c r="T119" s="236" t="s">
        <v>579</v>
      </c>
      <c r="U119" s="236">
        <v>4.2</v>
      </c>
      <c r="V119" s="240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0"/>
      <c r="AX119" s="240"/>
      <c r="AY119" s="240"/>
      <c r="AZ119" s="240"/>
      <c r="BA119" s="240"/>
      <c r="BB119" s="240"/>
      <c r="BC119" s="240"/>
      <c r="BD119" s="240"/>
      <c r="BE119" s="240"/>
      <c r="BF119" s="240"/>
      <c r="BG119" s="240"/>
      <c r="BH119" s="240"/>
      <c r="BI119" s="240"/>
      <c r="BJ119" s="240"/>
      <c r="BK119" s="240"/>
      <c r="BL119" s="240"/>
      <c r="BM119" s="240"/>
      <c r="BN119" s="240"/>
      <c r="BO119" s="240"/>
    </row>
    <row r="120" spans="1:67" s="241" customFormat="1" ht="18" customHeight="1">
      <c r="A120" s="324"/>
      <c r="B120" s="199" t="s">
        <v>348</v>
      </c>
      <c r="C120" s="199">
        <v>2</v>
      </c>
      <c r="D120" s="171">
        <v>3610.25</v>
      </c>
      <c r="E120" s="171">
        <v>3613.5</v>
      </c>
      <c r="F120" s="236">
        <v>3.2</v>
      </c>
      <c r="G120" s="171">
        <v>40.590000000000003</v>
      </c>
      <c r="H120" s="171">
        <v>231.9</v>
      </c>
      <c r="I120" s="237">
        <v>9.64</v>
      </c>
      <c r="J120" s="238">
        <v>0.75</v>
      </c>
      <c r="K120" s="236">
        <v>55.59</v>
      </c>
      <c r="L120" s="239" t="s">
        <v>579</v>
      </c>
      <c r="M120" s="324"/>
      <c r="N120" s="325"/>
      <c r="O120" s="236" t="s">
        <v>579</v>
      </c>
      <c r="P120" s="171">
        <v>3610.25</v>
      </c>
      <c r="Q120" s="171">
        <v>3613.5</v>
      </c>
      <c r="R120" s="236">
        <v>3.2</v>
      </c>
      <c r="S120" s="171"/>
      <c r="T120" s="236" t="s">
        <v>579</v>
      </c>
      <c r="U120" s="236">
        <v>3.2</v>
      </c>
      <c r="V120" s="240"/>
      <c r="W120" s="240"/>
      <c r="X120" s="240"/>
      <c r="Y120" s="240"/>
      <c r="Z120" s="240"/>
      <c r="AA120" s="2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0"/>
      <c r="AX120" s="240"/>
      <c r="AY120" s="240"/>
      <c r="AZ120" s="240"/>
      <c r="BA120" s="240"/>
      <c r="BB120" s="240"/>
      <c r="BC120" s="240"/>
      <c r="BD120" s="240"/>
      <c r="BE120" s="240"/>
      <c r="BF120" s="240"/>
      <c r="BG120" s="240"/>
      <c r="BH120" s="240"/>
      <c r="BI120" s="240"/>
      <c r="BJ120" s="240"/>
      <c r="BK120" s="240"/>
      <c r="BL120" s="240"/>
      <c r="BM120" s="240"/>
      <c r="BN120" s="240"/>
      <c r="BO120" s="240"/>
    </row>
    <row r="121" spans="1:67" s="241" customFormat="1" ht="18" customHeight="1">
      <c r="A121" s="324"/>
      <c r="B121" s="199" t="s">
        <v>580</v>
      </c>
      <c r="C121" s="199"/>
      <c r="D121" s="171"/>
      <c r="E121" s="171"/>
      <c r="F121" s="236">
        <v>7.4</v>
      </c>
      <c r="G121" s="236"/>
      <c r="H121" s="236"/>
      <c r="I121" s="237">
        <v>9.33</v>
      </c>
      <c r="J121" s="238">
        <v>0.6</v>
      </c>
      <c r="K121" s="236">
        <v>62.5</v>
      </c>
      <c r="L121" s="239" t="s">
        <v>579</v>
      </c>
      <c r="M121" s="199"/>
      <c r="N121" s="171"/>
      <c r="O121" s="236" t="s">
        <v>579</v>
      </c>
      <c r="P121" s="171"/>
      <c r="Q121" s="171"/>
      <c r="R121" s="236"/>
      <c r="S121" s="171"/>
      <c r="T121" s="236" t="s">
        <v>159</v>
      </c>
      <c r="U121" s="236">
        <v>7.4</v>
      </c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0"/>
      <c r="AX121" s="240"/>
      <c r="AY121" s="240"/>
      <c r="AZ121" s="240"/>
      <c r="BA121" s="240"/>
      <c r="BB121" s="240"/>
      <c r="BC121" s="240"/>
      <c r="BD121" s="240"/>
      <c r="BE121" s="240"/>
      <c r="BF121" s="240"/>
      <c r="BG121" s="240"/>
      <c r="BH121" s="240"/>
      <c r="BI121" s="240"/>
      <c r="BJ121" s="240"/>
      <c r="BK121" s="240"/>
      <c r="BL121" s="240"/>
      <c r="BM121" s="240"/>
      <c r="BN121" s="240"/>
      <c r="BO121" s="240"/>
    </row>
    <row r="122" spans="1:67" s="241" customFormat="1" ht="18" customHeight="1">
      <c r="A122" s="324" t="s">
        <v>504</v>
      </c>
      <c r="B122" s="199" t="s">
        <v>348</v>
      </c>
      <c r="C122" s="199">
        <v>1</v>
      </c>
      <c r="D122" s="171">
        <v>3651</v>
      </c>
      <c r="E122" s="171">
        <v>3654</v>
      </c>
      <c r="F122" s="236">
        <v>3</v>
      </c>
      <c r="G122" s="171">
        <v>60.87</v>
      </c>
      <c r="H122" s="171">
        <v>210.37</v>
      </c>
      <c r="I122" s="237">
        <v>5.77</v>
      </c>
      <c r="J122" s="238">
        <v>0.105</v>
      </c>
      <c r="K122" s="236">
        <v>54</v>
      </c>
      <c r="L122" s="199" t="s">
        <v>579</v>
      </c>
      <c r="M122" s="199">
        <v>721</v>
      </c>
      <c r="N122" s="171">
        <v>9</v>
      </c>
      <c r="O122" s="171" t="s">
        <v>579</v>
      </c>
      <c r="P122" s="171">
        <v>3651</v>
      </c>
      <c r="Q122" s="171">
        <v>3656</v>
      </c>
      <c r="R122" s="236">
        <v>3</v>
      </c>
      <c r="S122" s="171"/>
      <c r="T122" s="171" t="s">
        <v>579</v>
      </c>
      <c r="U122" s="236">
        <v>3</v>
      </c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0"/>
      <c r="AX122" s="240"/>
      <c r="AY122" s="240"/>
      <c r="AZ122" s="240"/>
      <c r="BA122" s="240"/>
      <c r="BB122" s="240"/>
      <c r="BC122" s="240"/>
      <c r="BD122" s="240"/>
      <c r="BE122" s="240"/>
      <c r="BF122" s="240"/>
      <c r="BG122" s="240"/>
      <c r="BH122" s="240"/>
      <c r="BI122" s="240"/>
      <c r="BJ122" s="240"/>
      <c r="BK122" s="240"/>
      <c r="BL122" s="240"/>
      <c r="BM122" s="240"/>
      <c r="BN122" s="240"/>
      <c r="BO122" s="240"/>
    </row>
    <row r="123" spans="1:67" s="241" customFormat="1" ht="18" customHeight="1">
      <c r="A123" s="324"/>
      <c r="B123" s="199" t="s">
        <v>580</v>
      </c>
      <c r="C123" s="199"/>
      <c r="D123" s="171"/>
      <c r="E123" s="171"/>
      <c r="F123" s="236">
        <v>3</v>
      </c>
      <c r="G123" s="236"/>
      <c r="H123" s="236"/>
      <c r="I123" s="237">
        <v>5.77</v>
      </c>
      <c r="J123" s="238">
        <v>0.105</v>
      </c>
      <c r="K123" s="236">
        <v>54</v>
      </c>
      <c r="L123" s="199" t="s">
        <v>579</v>
      </c>
      <c r="M123" s="199"/>
      <c r="N123" s="171"/>
      <c r="O123" s="171" t="s">
        <v>579</v>
      </c>
      <c r="P123" s="171"/>
      <c r="Q123" s="171"/>
      <c r="R123" s="236"/>
      <c r="S123" s="171"/>
      <c r="T123" s="236" t="s">
        <v>159</v>
      </c>
      <c r="U123" s="236">
        <v>3</v>
      </c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  <c r="AX123" s="240"/>
      <c r="AY123" s="240"/>
      <c r="AZ123" s="240"/>
      <c r="BA123" s="240"/>
      <c r="BB123" s="240"/>
      <c r="BC123" s="240"/>
      <c r="BD123" s="240"/>
      <c r="BE123" s="240"/>
      <c r="BF123" s="240"/>
      <c r="BG123" s="240"/>
      <c r="BH123" s="240"/>
      <c r="BI123" s="240"/>
      <c r="BJ123" s="240"/>
      <c r="BK123" s="240"/>
      <c r="BL123" s="240"/>
      <c r="BM123" s="240"/>
      <c r="BN123" s="240"/>
      <c r="BO123" s="240"/>
    </row>
    <row r="124" spans="1:67" s="241" customFormat="1" ht="18" customHeight="1">
      <c r="A124" s="324" t="s">
        <v>409</v>
      </c>
      <c r="B124" s="199" t="s">
        <v>348</v>
      </c>
      <c r="C124" s="199">
        <v>1</v>
      </c>
      <c r="D124" s="171">
        <v>3642.25</v>
      </c>
      <c r="E124" s="171">
        <v>3646.25</v>
      </c>
      <c r="F124" s="236">
        <v>4</v>
      </c>
      <c r="G124" s="171">
        <v>21.56</v>
      </c>
      <c r="H124" s="171">
        <v>228.9</v>
      </c>
      <c r="I124" s="237">
        <v>11.62</v>
      </c>
      <c r="J124" s="238">
        <v>1.53</v>
      </c>
      <c r="K124" s="236">
        <v>51.5</v>
      </c>
      <c r="L124" s="199" t="s">
        <v>579</v>
      </c>
      <c r="M124" s="199">
        <v>11431</v>
      </c>
      <c r="N124" s="171"/>
      <c r="O124" s="171" t="s">
        <v>579</v>
      </c>
      <c r="P124" s="171">
        <v>3642.25</v>
      </c>
      <c r="Q124" s="171">
        <v>3646.25</v>
      </c>
      <c r="R124" s="236">
        <v>4</v>
      </c>
      <c r="S124" s="171"/>
      <c r="T124" s="171" t="s">
        <v>579</v>
      </c>
      <c r="U124" s="236">
        <v>4</v>
      </c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40"/>
      <c r="AT124" s="240"/>
      <c r="AU124" s="240"/>
      <c r="AV124" s="240"/>
      <c r="AW124" s="240"/>
      <c r="AX124" s="240"/>
      <c r="AY124" s="240"/>
      <c r="AZ124" s="240"/>
      <c r="BA124" s="240"/>
      <c r="BB124" s="240"/>
      <c r="BC124" s="240"/>
      <c r="BD124" s="240"/>
      <c r="BE124" s="240"/>
      <c r="BF124" s="240"/>
      <c r="BG124" s="240"/>
      <c r="BH124" s="240"/>
      <c r="BI124" s="240"/>
      <c r="BJ124" s="240"/>
      <c r="BK124" s="240"/>
      <c r="BL124" s="240"/>
      <c r="BM124" s="240"/>
      <c r="BN124" s="240"/>
      <c r="BO124" s="240"/>
    </row>
    <row r="125" spans="1:67" s="241" customFormat="1" ht="18" customHeight="1">
      <c r="A125" s="324"/>
      <c r="B125" s="199" t="s">
        <v>580</v>
      </c>
      <c r="C125" s="199"/>
      <c r="D125" s="171"/>
      <c r="E125" s="171"/>
      <c r="F125" s="236">
        <v>4</v>
      </c>
      <c r="G125" s="236"/>
      <c r="H125" s="236"/>
      <c r="I125" s="237">
        <v>11.62</v>
      </c>
      <c r="J125" s="238">
        <v>1.53</v>
      </c>
      <c r="K125" s="236">
        <v>51.5</v>
      </c>
      <c r="L125" s="199" t="s">
        <v>579</v>
      </c>
      <c r="M125" s="199"/>
      <c r="N125" s="171"/>
      <c r="O125" s="171" t="s">
        <v>579</v>
      </c>
      <c r="P125" s="171"/>
      <c r="Q125" s="171"/>
      <c r="R125" s="236"/>
      <c r="S125" s="171"/>
      <c r="T125" s="236" t="s">
        <v>159</v>
      </c>
      <c r="U125" s="236">
        <v>4</v>
      </c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0"/>
      <c r="AX125" s="240"/>
      <c r="AY125" s="240"/>
      <c r="AZ125" s="240"/>
      <c r="BA125" s="240"/>
      <c r="BB125" s="240"/>
      <c r="BC125" s="240"/>
      <c r="BD125" s="240"/>
      <c r="BE125" s="240"/>
      <c r="BF125" s="240"/>
      <c r="BG125" s="240"/>
      <c r="BH125" s="240"/>
      <c r="BI125" s="240"/>
      <c r="BJ125" s="240"/>
      <c r="BK125" s="240"/>
      <c r="BL125" s="240"/>
      <c r="BM125" s="240"/>
      <c r="BN125" s="240"/>
      <c r="BO125" s="240"/>
    </row>
    <row r="126" spans="1:67" s="241" customFormat="1" ht="18" customHeight="1">
      <c r="A126" s="324" t="s">
        <v>516</v>
      </c>
      <c r="B126" s="199" t="s">
        <v>348</v>
      </c>
      <c r="C126" s="199">
        <v>1</v>
      </c>
      <c r="D126" s="171">
        <v>3619</v>
      </c>
      <c r="E126" s="171">
        <v>3628</v>
      </c>
      <c r="F126" s="236">
        <v>9</v>
      </c>
      <c r="G126" s="171">
        <v>68.91</v>
      </c>
      <c r="H126" s="171">
        <v>221.7</v>
      </c>
      <c r="I126" s="237">
        <v>6.78</v>
      </c>
      <c r="J126" s="238">
        <v>0.42899999999999999</v>
      </c>
      <c r="K126" s="236">
        <v>61.5</v>
      </c>
      <c r="L126" s="199" t="s">
        <v>579</v>
      </c>
      <c r="M126" s="199">
        <v>14428</v>
      </c>
      <c r="N126" s="171"/>
      <c r="O126" s="171" t="s">
        <v>579</v>
      </c>
      <c r="P126" s="171">
        <v>3619</v>
      </c>
      <c r="Q126" s="171">
        <v>3628</v>
      </c>
      <c r="R126" s="236">
        <v>9</v>
      </c>
      <c r="S126" s="171"/>
      <c r="T126" s="171" t="s">
        <v>579</v>
      </c>
      <c r="U126" s="236">
        <v>9</v>
      </c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0"/>
      <c r="AX126" s="240"/>
      <c r="AY126" s="240"/>
      <c r="AZ126" s="240"/>
      <c r="BA126" s="240"/>
      <c r="BB126" s="240"/>
      <c r="BC126" s="240"/>
      <c r="BD126" s="240"/>
      <c r="BE126" s="240"/>
      <c r="BF126" s="240"/>
      <c r="BG126" s="240"/>
      <c r="BH126" s="240"/>
      <c r="BI126" s="240"/>
      <c r="BJ126" s="240"/>
      <c r="BK126" s="240"/>
      <c r="BL126" s="240"/>
      <c r="BM126" s="240"/>
      <c r="BN126" s="240"/>
      <c r="BO126" s="240"/>
    </row>
    <row r="127" spans="1:67" s="241" customFormat="1" ht="18" customHeight="1">
      <c r="A127" s="324"/>
      <c r="B127" s="199" t="s">
        <v>580</v>
      </c>
      <c r="C127" s="199"/>
      <c r="D127" s="171"/>
      <c r="E127" s="171"/>
      <c r="F127" s="236">
        <v>9</v>
      </c>
      <c r="G127" s="236"/>
      <c r="H127" s="236"/>
      <c r="I127" s="237">
        <v>6.78</v>
      </c>
      <c r="J127" s="238">
        <v>0.42899999999999999</v>
      </c>
      <c r="K127" s="236">
        <v>61.5</v>
      </c>
      <c r="L127" s="199" t="s">
        <v>579</v>
      </c>
      <c r="M127" s="199"/>
      <c r="N127" s="171"/>
      <c r="O127" s="171" t="s">
        <v>579</v>
      </c>
      <c r="P127" s="171"/>
      <c r="Q127" s="171"/>
      <c r="R127" s="236"/>
      <c r="S127" s="171"/>
      <c r="T127" s="236" t="s">
        <v>159</v>
      </c>
      <c r="U127" s="236">
        <v>9</v>
      </c>
      <c r="V127" s="240"/>
      <c r="W127" s="240"/>
      <c r="X127" s="240"/>
      <c r="Y127" s="240"/>
      <c r="Z127" s="240"/>
      <c r="AA127" s="240"/>
      <c r="AB127" s="240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0"/>
      <c r="AX127" s="240"/>
      <c r="AY127" s="240"/>
      <c r="AZ127" s="240"/>
      <c r="BA127" s="240"/>
      <c r="BB127" s="240"/>
      <c r="BC127" s="240"/>
      <c r="BD127" s="240"/>
      <c r="BE127" s="240"/>
      <c r="BF127" s="240"/>
      <c r="BG127" s="240"/>
      <c r="BH127" s="240"/>
      <c r="BI127" s="240"/>
      <c r="BJ127" s="240"/>
      <c r="BK127" s="240"/>
      <c r="BL127" s="240"/>
      <c r="BM127" s="240"/>
      <c r="BN127" s="240"/>
      <c r="BO127" s="240"/>
    </row>
    <row r="128" spans="1:67" s="241" customFormat="1" ht="18" customHeight="1">
      <c r="A128" s="324" t="s">
        <v>522</v>
      </c>
      <c r="B128" s="199" t="s">
        <v>348</v>
      </c>
      <c r="C128" s="199">
        <v>1</v>
      </c>
      <c r="D128" s="171">
        <v>3631.75</v>
      </c>
      <c r="E128" s="171">
        <v>3635.75</v>
      </c>
      <c r="F128" s="236">
        <v>4</v>
      </c>
      <c r="G128" s="171">
        <v>29.99</v>
      </c>
      <c r="H128" s="171">
        <v>225.5</v>
      </c>
      <c r="I128" s="237">
        <v>9.18</v>
      </c>
      <c r="J128" s="238">
        <v>0.47299999999999998</v>
      </c>
      <c r="K128" s="236">
        <v>55.5</v>
      </c>
      <c r="L128" s="199" t="s">
        <v>579</v>
      </c>
      <c r="M128" s="199">
        <v>32738</v>
      </c>
      <c r="N128" s="171"/>
      <c r="O128" s="171" t="s">
        <v>579</v>
      </c>
      <c r="P128" s="171">
        <v>3631.75</v>
      </c>
      <c r="Q128" s="171">
        <v>3635.75</v>
      </c>
      <c r="R128" s="236">
        <v>4</v>
      </c>
      <c r="S128" s="171"/>
      <c r="T128" s="171" t="s">
        <v>579</v>
      </c>
      <c r="U128" s="236">
        <v>4</v>
      </c>
      <c r="V128" s="240"/>
      <c r="W128" s="240"/>
      <c r="X128" s="240"/>
      <c r="Y128" s="240"/>
      <c r="Z128" s="240"/>
      <c r="AA128" s="240"/>
      <c r="AB128" s="240"/>
      <c r="AC128" s="240"/>
      <c r="AD128" s="240"/>
      <c r="AE128" s="240"/>
      <c r="AF128" s="240"/>
      <c r="AG128" s="240"/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0"/>
      <c r="AV128" s="240"/>
      <c r="AW128" s="240"/>
      <c r="AX128" s="240"/>
      <c r="AY128" s="240"/>
      <c r="AZ128" s="240"/>
      <c r="BA128" s="240"/>
      <c r="BB128" s="240"/>
      <c r="BC128" s="240"/>
      <c r="BD128" s="240"/>
      <c r="BE128" s="240"/>
      <c r="BF128" s="240"/>
      <c r="BG128" s="240"/>
      <c r="BH128" s="240"/>
      <c r="BI128" s="240"/>
      <c r="BJ128" s="240"/>
      <c r="BK128" s="240"/>
      <c r="BL128" s="240"/>
      <c r="BM128" s="240"/>
      <c r="BN128" s="240"/>
      <c r="BO128" s="240"/>
    </row>
    <row r="129" spans="1:67" s="241" customFormat="1" ht="18" customHeight="1">
      <c r="A129" s="324"/>
      <c r="B129" s="199" t="s">
        <v>580</v>
      </c>
      <c r="C129" s="199"/>
      <c r="D129" s="171"/>
      <c r="E129" s="171"/>
      <c r="F129" s="236">
        <v>4</v>
      </c>
      <c r="G129" s="236"/>
      <c r="H129" s="236"/>
      <c r="I129" s="237">
        <v>9.18</v>
      </c>
      <c r="J129" s="238">
        <v>0.47299999999999998</v>
      </c>
      <c r="K129" s="236">
        <v>55.5</v>
      </c>
      <c r="L129" s="199" t="s">
        <v>579</v>
      </c>
      <c r="M129" s="199"/>
      <c r="N129" s="171"/>
      <c r="O129" s="171" t="s">
        <v>579</v>
      </c>
      <c r="P129" s="171"/>
      <c r="Q129" s="171"/>
      <c r="R129" s="236"/>
      <c r="S129" s="171"/>
      <c r="T129" s="236" t="s">
        <v>159</v>
      </c>
      <c r="U129" s="236">
        <v>4</v>
      </c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0"/>
      <c r="AV129" s="240"/>
      <c r="AW129" s="240"/>
      <c r="AX129" s="240"/>
      <c r="AY129" s="240"/>
      <c r="AZ129" s="240"/>
      <c r="BA129" s="240"/>
      <c r="BB129" s="240"/>
      <c r="BC129" s="240"/>
      <c r="BD129" s="240"/>
      <c r="BE129" s="240"/>
      <c r="BF129" s="240"/>
      <c r="BG129" s="240"/>
      <c r="BH129" s="240"/>
      <c r="BI129" s="240"/>
      <c r="BJ129" s="240"/>
      <c r="BK129" s="240"/>
      <c r="BL129" s="240"/>
      <c r="BM129" s="240"/>
      <c r="BN129" s="240"/>
      <c r="BO129" s="240"/>
    </row>
    <row r="130" spans="1:67" s="241" customFormat="1" ht="18" customHeight="1">
      <c r="A130" s="324" t="s">
        <v>404</v>
      </c>
      <c r="B130" s="199" t="s">
        <v>348</v>
      </c>
      <c r="C130" s="199">
        <v>1</v>
      </c>
      <c r="D130" s="171">
        <v>3639.75</v>
      </c>
      <c r="E130" s="171">
        <v>3644.5</v>
      </c>
      <c r="F130" s="236">
        <v>4.7</v>
      </c>
      <c r="G130" s="171">
        <v>94.76</v>
      </c>
      <c r="H130" s="171">
        <v>220.5</v>
      </c>
      <c r="I130" s="237">
        <v>6.61</v>
      </c>
      <c r="J130" s="238">
        <v>0.29899999999999999</v>
      </c>
      <c r="K130" s="236">
        <v>58.9</v>
      </c>
      <c r="L130" s="199" t="s">
        <v>579</v>
      </c>
      <c r="M130" s="199">
        <v>11977</v>
      </c>
      <c r="N130" s="171"/>
      <c r="O130" s="171" t="s">
        <v>579</v>
      </c>
      <c r="P130" s="171">
        <v>3639.75</v>
      </c>
      <c r="Q130" s="171">
        <v>3644.5</v>
      </c>
      <c r="R130" s="236">
        <v>4.7</v>
      </c>
      <c r="S130" s="171"/>
      <c r="T130" s="171" t="s">
        <v>579</v>
      </c>
      <c r="U130" s="236">
        <v>4.7</v>
      </c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240"/>
      <c r="AI130" s="240"/>
      <c r="AJ130" s="240"/>
      <c r="AK130" s="240"/>
      <c r="AL130" s="240"/>
      <c r="AM130" s="240"/>
      <c r="AN130" s="240"/>
      <c r="AO130" s="240"/>
      <c r="AP130" s="240"/>
      <c r="AQ130" s="240"/>
      <c r="AR130" s="240"/>
      <c r="AS130" s="240"/>
      <c r="AT130" s="240"/>
      <c r="AU130" s="240"/>
      <c r="AV130" s="240"/>
      <c r="AW130" s="240"/>
      <c r="AX130" s="240"/>
      <c r="AY130" s="240"/>
      <c r="AZ130" s="240"/>
      <c r="BA130" s="240"/>
      <c r="BB130" s="240"/>
      <c r="BC130" s="240"/>
      <c r="BD130" s="240"/>
      <c r="BE130" s="240"/>
      <c r="BF130" s="240"/>
      <c r="BG130" s="240"/>
      <c r="BH130" s="240"/>
      <c r="BI130" s="240"/>
      <c r="BJ130" s="240"/>
      <c r="BK130" s="240"/>
      <c r="BL130" s="240"/>
      <c r="BM130" s="240"/>
      <c r="BN130" s="240"/>
      <c r="BO130" s="240"/>
    </row>
    <row r="131" spans="1:67" s="241" customFormat="1" ht="18" customHeight="1">
      <c r="A131" s="324"/>
      <c r="B131" s="199" t="s">
        <v>580</v>
      </c>
      <c r="C131" s="199"/>
      <c r="D131" s="171"/>
      <c r="E131" s="171"/>
      <c r="F131" s="236">
        <v>4.7</v>
      </c>
      <c r="G131" s="236"/>
      <c r="H131" s="236"/>
      <c r="I131" s="237">
        <v>6.61</v>
      </c>
      <c r="J131" s="238">
        <v>0.29899999999999999</v>
      </c>
      <c r="K131" s="236">
        <v>58.9</v>
      </c>
      <c r="L131" s="199" t="s">
        <v>579</v>
      </c>
      <c r="M131" s="199"/>
      <c r="N131" s="171"/>
      <c r="O131" s="171" t="s">
        <v>579</v>
      </c>
      <c r="P131" s="171"/>
      <c r="Q131" s="171"/>
      <c r="R131" s="236"/>
      <c r="S131" s="171"/>
      <c r="T131" s="236" t="s">
        <v>159</v>
      </c>
      <c r="U131" s="236">
        <v>4.7</v>
      </c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240"/>
      <c r="AS131" s="240"/>
      <c r="AT131" s="240"/>
      <c r="AU131" s="240"/>
      <c r="AV131" s="240"/>
      <c r="AW131" s="240"/>
      <c r="AX131" s="240"/>
      <c r="AY131" s="240"/>
      <c r="AZ131" s="240"/>
      <c r="BA131" s="240"/>
      <c r="BB131" s="240"/>
      <c r="BC131" s="240"/>
      <c r="BD131" s="240"/>
      <c r="BE131" s="240"/>
      <c r="BF131" s="240"/>
      <c r="BG131" s="240"/>
      <c r="BH131" s="240"/>
      <c r="BI131" s="240"/>
      <c r="BJ131" s="240"/>
      <c r="BK131" s="240"/>
      <c r="BL131" s="240"/>
      <c r="BM131" s="240"/>
      <c r="BN131" s="240"/>
      <c r="BO131" s="240"/>
    </row>
    <row r="132" spans="1:67" s="241" customFormat="1" ht="18" customHeight="1">
      <c r="A132" s="324" t="s">
        <v>572</v>
      </c>
      <c r="B132" s="199" t="s">
        <v>348</v>
      </c>
      <c r="C132" s="199">
        <v>1</v>
      </c>
      <c r="D132" s="171">
        <v>3526.75</v>
      </c>
      <c r="E132" s="171">
        <v>3529.75</v>
      </c>
      <c r="F132" s="236">
        <v>3</v>
      </c>
      <c r="G132" s="236">
        <v>7.7714022608695652</v>
      </c>
      <c r="H132" s="236">
        <v>246.37116521739131</v>
      </c>
      <c r="I132" s="237">
        <v>10.974984391304348</v>
      </c>
      <c r="J132" s="238">
        <v>0.98640927391304345</v>
      </c>
      <c r="K132" s="236">
        <v>48.5</v>
      </c>
      <c r="L132" s="239" t="s">
        <v>579</v>
      </c>
      <c r="M132" s="324">
        <v>45198</v>
      </c>
      <c r="N132" s="325"/>
      <c r="O132" s="236" t="s">
        <v>579</v>
      </c>
      <c r="P132" s="171">
        <v>3526.75</v>
      </c>
      <c r="Q132" s="171">
        <v>3529.75</v>
      </c>
      <c r="R132" s="236">
        <v>3</v>
      </c>
      <c r="S132" s="171"/>
      <c r="T132" s="236" t="s">
        <v>159</v>
      </c>
      <c r="U132" s="236">
        <v>3</v>
      </c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0"/>
      <c r="BH132" s="240"/>
      <c r="BI132" s="240"/>
      <c r="BJ132" s="240"/>
      <c r="BK132" s="240"/>
      <c r="BL132" s="240"/>
      <c r="BM132" s="240"/>
      <c r="BN132" s="240"/>
      <c r="BO132" s="240"/>
    </row>
    <row r="133" spans="1:67" s="241" customFormat="1" ht="18" customHeight="1">
      <c r="A133" s="324"/>
      <c r="B133" s="199" t="s">
        <v>348</v>
      </c>
      <c r="C133" s="199">
        <v>2</v>
      </c>
      <c r="D133" s="171">
        <v>3534.38</v>
      </c>
      <c r="E133" s="171">
        <v>3537.13</v>
      </c>
      <c r="F133" s="236">
        <v>2.7</v>
      </c>
      <c r="G133" s="236">
        <v>11.24</v>
      </c>
      <c r="H133" s="236">
        <v>250.31</v>
      </c>
      <c r="I133" s="237">
        <v>11.03</v>
      </c>
      <c r="J133" s="238">
        <v>0.95799999999999996</v>
      </c>
      <c r="K133" s="236">
        <v>55.6</v>
      </c>
      <c r="L133" s="239" t="s">
        <v>579</v>
      </c>
      <c r="M133" s="324"/>
      <c r="N133" s="325"/>
      <c r="O133" s="236" t="s">
        <v>579</v>
      </c>
      <c r="P133" s="171">
        <v>3534.38</v>
      </c>
      <c r="Q133" s="171">
        <v>3537.13</v>
      </c>
      <c r="R133" s="236">
        <v>2.7</v>
      </c>
      <c r="S133" s="171"/>
      <c r="T133" s="236" t="s">
        <v>159</v>
      </c>
      <c r="U133" s="236">
        <v>2.7</v>
      </c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  <c r="AS133" s="240"/>
      <c r="AT133" s="240"/>
      <c r="AU133" s="240"/>
      <c r="AV133" s="240"/>
      <c r="AW133" s="240"/>
      <c r="AX133" s="240"/>
      <c r="AY133" s="240"/>
      <c r="AZ133" s="240"/>
      <c r="BA133" s="240"/>
      <c r="BB133" s="240"/>
      <c r="BC133" s="240"/>
      <c r="BD133" s="240"/>
      <c r="BE133" s="240"/>
      <c r="BF133" s="240"/>
      <c r="BG133" s="240"/>
      <c r="BH133" s="240"/>
      <c r="BI133" s="240"/>
      <c r="BJ133" s="240"/>
      <c r="BK133" s="240"/>
      <c r="BL133" s="240"/>
      <c r="BM133" s="240"/>
      <c r="BN133" s="240"/>
      <c r="BO133" s="240"/>
    </row>
    <row r="134" spans="1:67" s="241" customFormat="1" ht="18" customHeight="1">
      <c r="A134" s="324"/>
      <c r="B134" s="199" t="s">
        <v>348</v>
      </c>
      <c r="C134" s="199">
        <v>3</v>
      </c>
      <c r="D134" s="171">
        <v>3580.75</v>
      </c>
      <c r="E134" s="171">
        <v>3584.25</v>
      </c>
      <c r="F134" s="236">
        <v>3.5</v>
      </c>
      <c r="G134" s="236">
        <v>39.369999999999997</v>
      </c>
      <c r="H134" s="236">
        <v>229.43</v>
      </c>
      <c r="I134" s="237">
        <v>8.1300000000000008</v>
      </c>
      <c r="J134" s="238">
        <v>0.40799999999999997</v>
      </c>
      <c r="K134" s="236">
        <v>65.22</v>
      </c>
      <c r="L134" s="239" t="s">
        <v>579</v>
      </c>
      <c r="M134" s="324"/>
      <c r="N134" s="325"/>
      <c r="O134" s="236" t="s">
        <v>579</v>
      </c>
      <c r="P134" s="171">
        <v>3580.75</v>
      </c>
      <c r="Q134" s="171">
        <v>3584.25</v>
      </c>
      <c r="R134" s="236">
        <v>3.5</v>
      </c>
      <c r="S134" s="171"/>
      <c r="T134" s="236" t="s">
        <v>159</v>
      </c>
      <c r="U134" s="236">
        <v>3.5</v>
      </c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40"/>
      <c r="AV134" s="240"/>
      <c r="AW134" s="240"/>
      <c r="AX134" s="240"/>
      <c r="AY134" s="240"/>
      <c r="AZ134" s="240"/>
      <c r="BA134" s="240"/>
      <c r="BB134" s="240"/>
      <c r="BC134" s="240"/>
      <c r="BD134" s="240"/>
      <c r="BE134" s="240"/>
      <c r="BF134" s="240"/>
      <c r="BG134" s="240"/>
      <c r="BH134" s="240"/>
      <c r="BI134" s="240"/>
      <c r="BJ134" s="240"/>
      <c r="BK134" s="240"/>
      <c r="BL134" s="240"/>
      <c r="BM134" s="240"/>
      <c r="BN134" s="240"/>
      <c r="BO134" s="240"/>
    </row>
    <row r="135" spans="1:67" s="241" customFormat="1" ht="18" customHeight="1">
      <c r="A135" s="324"/>
      <c r="B135" s="199" t="s">
        <v>580</v>
      </c>
      <c r="C135" s="199"/>
      <c r="D135" s="171"/>
      <c r="E135" s="171"/>
      <c r="F135" s="236">
        <v>9.1999999999999993</v>
      </c>
      <c r="G135" s="236"/>
      <c r="H135" s="236"/>
      <c r="I135" s="237">
        <v>10.039999999999999</v>
      </c>
      <c r="J135" s="238">
        <v>0.78400000000000003</v>
      </c>
      <c r="K135" s="236">
        <v>56.4</v>
      </c>
      <c r="L135" s="239" t="s">
        <v>579</v>
      </c>
      <c r="M135" s="199"/>
      <c r="N135" s="171"/>
      <c r="O135" s="236" t="s">
        <v>579</v>
      </c>
      <c r="P135" s="171"/>
      <c r="Q135" s="171"/>
      <c r="R135" s="236"/>
      <c r="S135" s="171"/>
      <c r="T135" s="236" t="s">
        <v>159</v>
      </c>
      <c r="U135" s="236">
        <v>9.1999999999999993</v>
      </c>
      <c r="V135" s="240"/>
      <c r="W135" s="240"/>
      <c r="X135" s="240"/>
      <c r="Y135" s="240"/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  <c r="AS135" s="240"/>
      <c r="AT135" s="240"/>
      <c r="AU135" s="240"/>
      <c r="AV135" s="240"/>
      <c r="AW135" s="240"/>
      <c r="AX135" s="240"/>
      <c r="AY135" s="240"/>
      <c r="AZ135" s="240"/>
      <c r="BA135" s="240"/>
      <c r="BB135" s="240"/>
      <c r="BC135" s="240"/>
      <c r="BD135" s="240"/>
      <c r="BE135" s="240"/>
      <c r="BF135" s="240"/>
      <c r="BG135" s="240"/>
      <c r="BH135" s="240"/>
      <c r="BI135" s="240"/>
      <c r="BJ135" s="240"/>
      <c r="BK135" s="240"/>
      <c r="BL135" s="240"/>
      <c r="BM135" s="240"/>
      <c r="BN135" s="240"/>
      <c r="BO135" s="240"/>
    </row>
    <row r="136" spans="1:67" s="241" customFormat="1" ht="18" customHeight="1">
      <c r="A136" s="324" t="s">
        <v>482</v>
      </c>
      <c r="B136" s="199" t="s">
        <v>95</v>
      </c>
      <c r="C136" s="199">
        <v>1</v>
      </c>
      <c r="D136" s="171">
        <v>3608.25</v>
      </c>
      <c r="E136" s="171">
        <v>3612.5</v>
      </c>
      <c r="F136" s="236">
        <v>4.2</v>
      </c>
      <c r="G136" s="171">
        <v>41.85</v>
      </c>
      <c r="H136" s="171">
        <v>228.71</v>
      </c>
      <c r="I136" s="237">
        <v>9.09</v>
      </c>
      <c r="J136" s="238">
        <v>0.27</v>
      </c>
      <c r="K136" s="236">
        <v>55.3</v>
      </c>
      <c r="L136" s="199" t="s">
        <v>579</v>
      </c>
      <c r="M136" s="324">
        <v>43992</v>
      </c>
      <c r="N136" s="325"/>
      <c r="O136" s="171" t="s">
        <v>579</v>
      </c>
      <c r="P136" s="171">
        <v>3608.25</v>
      </c>
      <c r="Q136" s="171">
        <v>3612.5</v>
      </c>
      <c r="R136" s="236">
        <v>4.2</v>
      </c>
      <c r="S136" s="171"/>
      <c r="T136" s="236" t="s">
        <v>159</v>
      </c>
      <c r="U136" s="236">
        <v>4.2</v>
      </c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  <c r="AS136" s="240"/>
      <c r="AT136" s="240"/>
      <c r="AU136" s="240"/>
      <c r="AV136" s="240"/>
      <c r="AW136" s="240"/>
      <c r="AX136" s="240"/>
      <c r="AY136" s="240"/>
      <c r="AZ136" s="240"/>
      <c r="BA136" s="240"/>
      <c r="BB136" s="240"/>
      <c r="BC136" s="240"/>
      <c r="BD136" s="240"/>
      <c r="BE136" s="240"/>
      <c r="BF136" s="240"/>
      <c r="BG136" s="240"/>
      <c r="BH136" s="240"/>
      <c r="BI136" s="240"/>
      <c r="BJ136" s="240"/>
      <c r="BK136" s="240"/>
      <c r="BL136" s="240"/>
      <c r="BM136" s="240"/>
      <c r="BN136" s="240"/>
      <c r="BO136" s="240"/>
    </row>
    <row r="137" spans="1:67" s="241" customFormat="1" ht="18" customHeight="1">
      <c r="A137" s="324"/>
      <c r="B137" s="199" t="s">
        <v>95</v>
      </c>
      <c r="C137" s="199">
        <v>2</v>
      </c>
      <c r="D137" s="171">
        <v>3638.88</v>
      </c>
      <c r="E137" s="171">
        <v>3642</v>
      </c>
      <c r="F137" s="236">
        <v>3.1</v>
      </c>
      <c r="G137" s="171">
        <v>125.16</v>
      </c>
      <c r="H137" s="171">
        <v>233.45</v>
      </c>
      <c r="I137" s="237">
        <v>9.5299999999999994</v>
      </c>
      <c r="J137" s="238">
        <v>0.25600000000000001</v>
      </c>
      <c r="K137" s="236">
        <v>66.5</v>
      </c>
      <c r="L137" s="199" t="s">
        <v>579</v>
      </c>
      <c r="M137" s="324"/>
      <c r="N137" s="325"/>
      <c r="O137" s="171" t="s">
        <v>579</v>
      </c>
      <c r="P137" s="171">
        <v>3638.88</v>
      </c>
      <c r="Q137" s="171">
        <v>3642</v>
      </c>
      <c r="R137" s="236">
        <v>3.1</v>
      </c>
      <c r="S137" s="171"/>
      <c r="T137" s="236" t="s">
        <v>159</v>
      </c>
      <c r="U137" s="236">
        <v>3.1</v>
      </c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  <c r="AX137" s="240"/>
      <c r="AY137" s="240"/>
      <c r="AZ137" s="240"/>
      <c r="BA137" s="240"/>
      <c r="BB137" s="240"/>
      <c r="BC137" s="240"/>
      <c r="BD137" s="240"/>
      <c r="BE137" s="240"/>
      <c r="BF137" s="240"/>
      <c r="BG137" s="240"/>
      <c r="BH137" s="240"/>
      <c r="BI137" s="240"/>
      <c r="BJ137" s="240"/>
      <c r="BK137" s="240"/>
      <c r="BL137" s="240"/>
      <c r="BM137" s="240"/>
      <c r="BN137" s="240"/>
      <c r="BO137" s="240"/>
    </row>
    <row r="138" spans="1:67" s="241" customFormat="1" ht="18" customHeight="1">
      <c r="A138" s="324"/>
      <c r="B138" s="199" t="s">
        <v>580</v>
      </c>
      <c r="C138" s="199"/>
      <c r="D138" s="171"/>
      <c r="E138" s="171"/>
      <c r="F138" s="236">
        <v>7.3</v>
      </c>
      <c r="G138" s="236"/>
      <c r="H138" s="236"/>
      <c r="I138" s="237">
        <v>9.31</v>
      </c>
      <c r="J138" s="238">
        <v>0.26300000000000001</v>
      </c>
      <c r="K138" s="236">
        <v>60.9</v>
      </c>
      <c r="L138" s="199" t="s">
        <v>579</v>
      </c>
      <c r="M138" s="199"/>
      <c r="N138" s="171"/>
      <c r="O138" s="171" t="s">
        <v>579</v>
      </c>
      <c r="P138" s="171"/>
      <c r="Q138" s="171"/>
      <c r="R138" s="236"/>
      <c r="S138" s="171"/>
      <c r="T138" s="236" t="s">
        <v>159</v>
      </c>
      <c r="U138" s="236">
        <v>7.3</v>
      </c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  <c r="AX138" s="240"/>
      <c r="AY138" s="240"/>
      <c r="AZ138" s="240"/>
      <c r="BA138" s="240"/>
      <c r="BB138" s="240"/>
      <c r="BC138" s="240"/>
      <c r="BD138" s="240"/>
      <c r="BE138" s="240"/>
      <c r="BF138" s="240"/>
      <c r="BG138" s="240"/>
      <c r="BH138" s="240"/>
      <c r="BI138" s="240"/>
      <c r="BJ138" s="240"/>
      <c r="BK138" s="240"/>
      <c r="BL138" s="240"/>
      <c r="BM138" s="240"/>
      <c r="BN138" s="240"/>
      <c r="BO138" s="240"/>
    </row>
    <row r="139" spans="1:67" s="241" customFormat="1" ht="18" customHeight="1">
      <c r="A139" s="324" t="s">
        <v>544</v>
      </c>
      <c r="B139" s="199" t="s">
        <v>348</v>
      </c>
      <c r="C139" s="199">
        <v>1</v>
      </c>
      <c r="D139" s="171">
        <v>3576.38</v>
      </c>
      <c r="E139" s="171">
        <v>3579.88</v>
      </c>
      <c r="F139" s="236">
        <v>3.5</v>
      </c>
      <c r="G139" s="236">
        <v>33.380000000000003</v>
      </c>
      <c r="H139" s="236">
        <v>226.76</v>
      </c>
      <c r="I139" s="237">
        <v>7.61</v>
      </c>
      <c r="J139" s="238">
        <v>0.193</v>
      </c>
      <c r="K139" s="236">
        <v>55.3</v>
      </c>
      <c r="L139" s="239" t="s">
        <v>579</v>
      </c>
      <c r="M139" s="324">
        <v>41285</v>
      </c>
      <c r="N139" s="325"/>
      <c r="O139" s="236" t="s">
        <v>579</v>
      </c>
      <c r="P139" s="171">
        <v>3576.38</v>
      </c>
      <c r="Q139" s="171">
        <v>3579.88</v>
      </c>
      <c r="R139" s="236">
        <v>3.5</v>
      </c>
      <c r="S139" s="171"/>
      <c r="T139" s="236" t="s">
        <v>159</v>
      </c>
      <c r="U139" s="236">
        <v>3.5</v>
      </c>
      <c r="V139" s="240"/>
      <c r="W139" s="240"/>
      <c r="X139" s="240"/>
      <c r="Y139" s="240"/>
      <c r="Z139" s="240"/>
      <c r="AA139" s="240"/>
      <c r="AB139" s="240"/>
      <c r="AC139" s="240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  <c r="AX139" s="240"/>
      <c r="AY139" s="240"/>
      <c r="AZ139" s="240"/>
      <c r="BA139" s="240"/>
      <c r="BB139" s="240"/>
      <c r="BC139" s="240"/>
      <c r="BD139" s="240"/>
      <c r="BE139" s="240"/>
      <c r="BF139" s="240"/>
      <c r="BG139" s="240"/>
      <c r="BH139" s="240"/>
      <c r="BI139" s="240"/>
      <c r="BJ139" s="240"/>
      <c r="BK139" s="240"/>
      <c r="BL139" s="240"/>
      <c r="BM139" s="240"/>
      <c r="BN139" s="240"/>
      <c r="BO139" s="240"/>
    </row>
    <row r="140" spans="1:67" s="241" customFormat="1" ht="18" customHeight="1">
      <c r="A140" s="324"/>
      <c r="B140" s="199" t="s">
        <v>348</v>
      </c>
      <c r="C140" s="199">
        <v>2</v>
      </c>
      <c r="D140" s="171">
        <v>3588.5</v>
      </c>
      <c r="E140" s="171">
        <v>3591.63</v>
      </c>
      <c r="F140" s="236">
        <v>3.1</v>
      </c>
      <c r="G140" s="236">
        <v>95.51</v>
      </c>
      <c r="H140" s="236">
        <v>222.99</v>
      </c>
      <c r="I140" s="237">
        <v>6.92</v>
      </c>
      <c r="J140" s="238">
        <v>0.20599999999999999</v>
      </c>
      <c r="K140" s="236">
        <v>60</v>
      </c>
      <c r="L140" s="239" t="s">
        <v>579</v>
      </c>
      <c r="M140" s="324"/>
      <c r="N140" s="325"/>
      <c r="O140" s="236" t="s">
        <v>579</v>
      </c>
      <c r="P140" s="171">
        <v>3588.5</v>
      </c>
      <c r="Q140" s="171">
        <v>3591.63</v>
      </c>
      <c r="R140" s="236">
        <v>3.1</v>
      </c>
      <c r="S140" s="171"/>
      <c r="T140" s="236" t="s">
        <v>159</v>
      </c>
      <c r="U140" s="236">
        <v>3.1</v>
      </c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  <c r="AX140" s="240"/>
      <c r="AY140" s="240"/>
      <c r="AZ140" s="240"/>
      <c r="BA140" s="240"/>
      <c r="BB140" s="240"/>
      <c r="BC140" s="240"/>
      <c r="BD140" s="240"/>
      <c r="BE140" s="240"/>
      <c r="BF140" s="240"/>
      <c r="BG140" s="240"/>
      <c r="BH140" s="240"/>
      <c r="BI140" s="240"/>
      <c r="BJ140" s="240"/>
      <c r="BK140" s="240"/>
      <c r="BL140" s="240"/>
      <c r="BM140" s="240"/>
      <c r="BN140" s="240"/>
      <c r="BO140" s="240"/>
    </row>
    <row r="141" spans="1:67" s="241" customFormat="1" ht="18" customHeight="1">
      <c r="A141" s="324"/>
      <c r="B141" s="199" t="s">
        <v>348</v>
      </c>
      <c r="C141" s="199">
        <v>3</v>
      </c>
      <c r="D141" s="171">
        <v>3595.88</v>
      </c>
      <c r="E141" s="171">
        <v>3600.38</v>
      </c>
      <c r="F141" s="236">
        <v>4.5</v>
      </c>
      <c r="G141" s="236">
        <v>46.65</v>
      </c>
      <c r="H141" s="236">
        <v>218.17</v>
      </c>
      <c r="I141" s="237">
        <v>6.21</v>
      </c>
      <c r="J141" s="238">
        <v>0.14599999999999999</v>
      </c>
      <c r="K141" s="236">
        <v>52.6</v>
      </c>
      <c r="L141" s="239" t="s">
        <v>579</v>
      </c>
      <c r="M141" s="324"/>
      <c r="N141" s="325"/>
      <c r="O141" s="236" t="s">
        <v>579</v>
      </c>
      <c r="P141" s="171">
        <v>3595.88</v>
      </c>
      <c r="Q141" s="171">
        <v>3600.38</v>
      </c>
      <c r="R141" s="236">
        <v>4.5</v>
      </c>
      <c r="S141" s="171"/>
      <c r="T141" s="236" t="s">
        <v>159</v>
      </c>
      <c r="U141" s="236">
        <v>4.5</v>
      </c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  <c r="AX141" s="240"/>
      <c r="AY141" s="240"/>
      <c r="AZ141" s="240"/>
      <c r="BA141" s="240"/>
      <c r="BB141" s="240"/>
      <c r="BC141" s="240"/>
      <c r="BD141" s="240"/>
      <c r="BE141" s="240"/>
      <c r="BF141" s="240"/>
      <c r="BG141" s="240"/>
      <c r="BH141" s="240"/>
      <c r="BI141" s="240"/>
      <c r="BJ141" s="240"/>
      <c r="BK141" s="240"/>
      <c r="BL141" s="240"/>
      <c r="BM141" s="240"/>
      <c r="BN141" s="240"/>
      <c r="BO141" s="240"/>
    </row>
    <row r="142" spans="1:67" s="241" customFormat="1" ht="18" customHeight="1">
      <c r="A142" s="324"/>
      <c r="B142" s="199" t="s">
        <v>580</v>
      </c>
      <c r="C142" s="199"/>
      <c r="D142" s="171"/>
      <c r="E142" s="171"/>
      <c r="F142" s="236">
        <v>11.1</v>
      </c>
      <c r="G142" s="236"/>
      <c r="H142" s="236"/>
      <c r="I142" s="237">
        <v>6.91</v>
      </c>
      <c r="J142" s="238">
        <v>0.182</v>
      </c>
      <c r="K142" s="236">
        <v>56</v>
      </c>
      <c r="L142" s="239" t="s">
        <v>579</v>
      </c>
      <c r="M142" s="199"/>
      <c r="N142" s="171"/>
      <c r="O142" s="236" t="s">
        <v>579</v>
      </c>
      <c r="P142" s="171"/>
      <c r="Q142" s="171"/>
      <c r="R142" s="236"/>
      <c r="S142" s="171"/>
      <c r="T142" s="236" t="s">
        <v>159</v>
      </c>
      <c r="U142" s="236">
        <v>11.1</v>
      </c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  <c r="AX142" s="240"/>
      <c r="AY142" s="240"/>
      <c r="AZ142" s="240"/>
      <c r="BA142" s="240"/>
      <c r="BB142" s="240"/>
      <c r="BC142" s="240"/>
      <c r="BD142" s="240"/>
      <c r="BE142" s="240"/>
      <c r="BF142" s="240"/>
      <c r="BG142" s="240"/>
      <c r="BH142" s="240"/>
      <c r="BI142" s="240"/>
      <c r="BJ142" s="240"/>
      <c r="BK142" s="240"/>
      <c r="BL142" s="240"/>
      <c r="BM142" s="240"/>
      <c r="BN142" s="240"/>
      <c r="BO142" s="240"/>
    </row>
    <row r="143" spans="1:67" s="241" customFormat="1" ht="18" customHeight="1">
      <c r="A143" s="324" t="s">
        <v>586</v>
      </c>
      <c r="B143" s="199" t="s">
        <v>348</v>
      </c>
      <c r="C143" s="199">
        <v>1</v>
      </c>
      <c r="D143" s="171">
        <v>3597.5</v>
      </c>
      <c r="E143" s="171">
        <v>3604.9</v>
      </c>
      <c r="F143" s="236">
        <v>7.4000000000000909</v>
      </c>
      <c r="G143" s="171">
        <v>63.91</v>
      </c>
      <c r="H143" s="171">
        <v>242.35</v>
      </c>
      <c r="I143" s="237">
        <v>11.684200000000004</v>
      </c>
      <c r="J143" s="238">
        <v>0.878</v>
      </c>
      <c r="K143" s="236">
        <v>61.5</v>
      </c>
      <c r="L143" s="199" t="s">
        <v>579</v>
      </c>
      <c r="M143" s="199">
        <v>62391</v>
      </c>
      <c r="N143" s="171"/>
      <c r="O143" s="171" t="s">
        <v>579</v>
      </c>
      <c r="P143" s="171">
        <v>3597.5</v>
      </c>
      <c r="Q143" s="171">
        <v>3604.9</v>
      </c>
      <c r="R143" s="236">
        <v>7.4</v>
      </c>
      <c r="S143" s="171"/>
      <c r="T143" s="171" t="s">
        <v>579</v>
      </c>
      <c r="U143" s="236">
        <v>7.4000000000000909</v>
      </c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  <c r="AX143" s="240"/>
      <c r="AY143" s="240"/>
      <c r="AZ143" s="240"/>
      <c r="BA143" s="240"/>
      <c r="BB143" s="240"/>
      <c r="BC143" s="240"/>
      <c r="BD143" s="240"/>
      <c r="BE143" s="240"/>
      <c r="BF143" s="240"/>
      <c r="BG143" s="240"/>
      <c r="BH143" s="240"/>
      <c r="BI143" s="240"/>
      <c r="BJ143" s="240"/>
      <c r="BK143" s="240"/>
      <c r="BL143" s="240"/>
      <c r="BM143" s="240"/>
      <c r="BN143" s="240"/>
      <c r="BO143" s="240"/>
    </row>
    <row r="144" spans="1:67" s="241" customFormat="1" ht="18" customHeight="1">
      <c r="A144" s="324"/>
      <c r="B144" s="199" t="s">
        <v>580</v>
      </c>
      <c r="C144" s="199"/>
      <c r="D144" s="171"/>
      <c r="E144" s="171"/>
      <c r="F144" s="236">
        <v>7.4</v>
      </c>
      <c r="G144" s="236"/>
      <c r="H144" s="236"/>
      <c r="I144" s="237">
        <v>11.684200000000004</v>
      </c>
      <c r="J144" s="238">
        <v>0.878</v>
      </c>
      <c r="K144" s="236">
        <v>61.5</v>
      </c>
      <c r="L144" s="199" t="s">
        <v>579</v>
      </c>
      <c r="M144" s="199"/>
      <c r="N144" s="171"/>
      <c r="O144" s="171" t="s">
        <v>579</v>
      </c>
      <c r="P144" s="171"/>
      <c r="Q144" s="171"/>
      <c r="R144" s="236"/>
      <c r="S144" s="171"/>
      <c r="T144" s="236" t="s">
        <v>159</v>
      </c>
      <c r="U144" s="236">
        <v>7.4</v>
      </c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  <c r="AX144" s="240"/>
      <c r="AY144" s="240"/>
      <c r="AZ144" s="240"/>
      <c r="BA144" s="240"/>
      <c r="BB144" s="240"/>
      <c r="BC144" s="240"/>
      <c r="BD144" s="240"/>
      <c r="BE144" s="240"/>
      <c r="BF144" s="240"/>
      <c r="BG144" s="240"/>
      <c r="BH144" s="240"/>
      <c r="BI144" s="240"/>
      <c r="BJ144" s="240"/>
      <c r="BK144" s="240"/>
      <c r="BL144" s="240"/>
      <c r="BM144" s="240"/>
      <c r="BN144" s="240"/>
      <c r="BO144" s="240"/>
    </row>
    <row r="145" spans="1:67" s="241" customFormat="1" ht="18" customHeight="1">
      <c r="A145" s="324" t="s">
        <v>536</v>
      </c>
      <c r="B145" s="199" t="s">
        <v>348</v>
      </c>
      <c r="C145" s="199">
        <v>1</v>
      </c>
      <c r="D145" s="171">
        <v>3609.5</v>
      </c>
      <c r="E145" s="171">
        <v>3613</v>
      </c>
      <c r="F145" s="236">
        <v>3.5</v>
      </c>
      <c r="G145" s="236">
        <v>212.98833214285713</v>
      </c>
      <c r="H145" s="236">
        <v>217.32845</v>
      </c>
      <c r="I145" s="237">
        <v>6.2189141851851852</v>
      </c>
      <c r="J145" s="238">
        <v>0.31629352962962964</v>
      </c>
      <c r="K145" s="236">
        <v>75.328807037037038</v>
      </c>
      <c r="L145" s="239" t="s">
        <v>579</v>
      </c>
      <c r="M145" s="324">
        <v>53739</v>
      </c>
      <c r="N145" s="171"/>
      <c r="O145" s="236" t="s">
        <v>579</v>
      </c>
      <c r="P145" s="171">
        <v>3609.5</v>
      </c>
      <c r="Q145" s="171">
        <v>3613</v>
      </c>
      <c r="R145" s="236">
        <v>3.5</v>
      </c>
      <c r="S145" s="171"/>
      <c r="T145" s="236" t="s">
        <v>159</v>
      </c>
      <c r="U145" s="236">
        <v>3.5</v>
      </c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40"/>
      <c r="AI145" s="240"/>
      <c r="AJ145" s="240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  <c r="AX145" s="240"/>
      <c r="AY145" s="240"/>
      <c r="AZ145" s="240"/>
      <c r="BA145" s="240"/>
      <c r="BB145" s="240"/>
      <c r="BC145" s="240"/>
      <c r="BD145" s="240"/>
      <c r="BE145" s="240"/>
      <c r="BF145" s="240"/>
      <c r="BG145" s="240"/>
      <c r="BH145" s="240"/>
      <c r="BI145" s="240"/>
      <c r="BJ145" s="240"/>
      <c r="BK145" s="240"/>
      <c r="BL145" s="240"/>
      <c r="BM145" s="240"/>
      <c r="BN145" s="240"/>
      <c r="BO145" s="240"/>
    </row>
    <row r="146" spans="1:67" s="241" customFormat="1" ht="18" customHeight="1">
      <c r="A146" s="324"/>
      <c r="B146" s="199" t="s">
        <v>348</v>
      </c>
      <c r="C146" s="199">
        <v>2</v>
      </c>
      <c r="D146" s="171">
        <v>3613</v>
      </c>
      <c r="E146" s="171">
        <v>3614.625</v>
      </c>
      <c r="F146" s="236">
        <v>1.625</v>
      </c>
      <c r="G146" s="236">
        <v>78.539387692307699</v>
      </c>
      <c r="H146" s="236">
        <v>219.28893846153846</v>
      </c>
      <c r="I146" s="237">
        <v>6.5385286666666671</v>
      </c>
      <c r="J146" s="238">
        <v>0.21813030833333333</v>
      </c>
      <c r="K146" s="236">
        <v>57.374377500000001</v>
      </c>
      <c r="L146" s="239" t="s">
        <v>579</v>
      </c>
      <c r="M146" s="324"/>
      <c r="N146" s="171"/>
      <c r="O146" s="236" t="s">
        <v>579</v>
      </c>
      <c r="P146" s="171">
        <v>3613</v>
      </c>
      <c r="Q146" s="171">
        <v>3614.625</v>
      </c>
      <c r="R146" s="236">
        <v>1.625</v>
      </c>
      <c r="S146" s="171"/>
      <c r="T146" s="236" t="s">
        <v>159</v>
      </c>
      <c r="U146" s="236">
        <v>1.625</v>
      </c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  <c r="AX146" s="240"/>
      <c r="AY146" s="240"/>
      <c r="AZ146" s="240"/>
      <c r="BA146" s="240"/>
      <c r="BB146" s="240"/>
      <c r="BC146" s="240"/>
      <c r="BD146" s="240"/>
      <c r="BE146" s="240"/>
      <c r="BF146" s="240"/>
      <c r="BG146" s="240"/>
      <c r="BH146" s="240"/>
      <c r="BI146" s="240"/>
      <c r="BJ146" s="240"/>
      <c r="BK146" s="240"/>
      <c r="BL146" s="240"/>
      <c r="BM146" s="240"/>
      <c r="BN146" s="240"/>
      <c r="BO146" s="240"/>
    </row>
    <row r="147" spans="1:67" s="241" customFormat="1" ht="18" customHeight="1">
      <c r="A147" s="324"/>
      <c r="B147" s="199" t="s">
        <v>348</v>
      </c>
      <c r="C147" s="199">
        <v>3</v>
      </c>
      <c r="D147" s="171">
        <v>3619.25</v>
      </c>
      <c r="E147" s="171">
        <v>3621.25</v>
      </c>
      <c r="F147" s="236">
        <v>2</v>
      </c>
      <c r="G147" s="236">
        <v>72.423995625000003</v>
      </c>
      <c r="H147" s="236">
        <v>222</v>
      </c>
      <c r="I147" s="237">
        <v>6.7723462000000003</v>
      </c>
      <c r="J147" s="238">
        <v>0.24042749946666667</v>
      </c>
      <c r="K147" s="236">
        <v>55.018895999999998</v>
      </c>
      <c r="L147" s="239" t="s">
        <v>579</v>
      </c>
      <c r="M147" s="324"/>
      <c r="N147" s="171"/>
      <c r="O147" s="236" t="s">
        <v>579</v>
      </c>
      <c r="P147" s="171">
        <v>3619.25</v>
      </c>
      <c r="Q147" s="171">
        <v>3621.25</v>
      </c>
      <c r="R147" s="236">
        <v>2</v>
      </c>
      <c r="S147" s="171"/>
      <c r="T147" s="236" t="s">
        <v>159</v>
      </c>
      <c r="U147" s="236">
        <v>2</v>
      </c>
      <c r="V147" s="240"/>
      <c r="W147" s="240"/>
      <c r="X147" s="240"/>
      <c r="Y147" s="240"/>
      <c r="Z147" s="240"/>
      <c r="AA147" s="240"/>
      <c r="AB147" s="240"/>
      <c r="AC147" s="240"/>
      <c r="AD147" s="240"/>
      <c r="AE147" s="240"/>
      <c r="AF147" s="240"/>
      <c r="AG147" s="240"/>
      <c r="AH147" s="240"/>
      <c r="AI147" s="240"/>
      <c r="AJ147" s="240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  <c r="AX147" s="240"/>
      <c r="AY147" s="240"/>
      <c r="AZ147" s="240"/>
      <c r="BA147" s="240"/>
      <c r="BB147" s="240"/>
      <c r="BC147" s="240"/>
      <c r="BD147" s="240"/>
      <c r="BE147" s="240"/>
      <c r="BF147" s="240"/>
      <c r="BG147" s="240"/>
      <c r="BH147" s="240"/>
      <c r="BI147" s="240"/>
      <c r="BJ147" s="240"/>
      <c r="BK147" s="240"/>
      <c r="BL147" s="240"/>
      <c r="BM147" s="240"/>
      <c r="BN147" s="240"/>
      <c r="BO147" s="240"/>
    </row>
    <row r="148" spans="1:67" s="241" customFormat="1" ht="18" customHeight="1">
      <c r="A148" s="324"/>
      <c r="B148" s="199" t="s">
        <v>580</v>
      </c>
      <c r="C148" s="199"/>
      <c r="D148" s="171"/>
      <c r="E148" s="171"/>
      <c r="F148" s="236">
        <v>7.1</v>
      </c>
      <c r="G148" s="236"/>
      <c r="H148" s="236"/>
      <c r="I148" s="237">
        <v>6.51</v>
      </c>
      <c r="J148" s="238">
        <v>0.25800000000000001</v>
      </c>
      <c r="K148" s="236">
        <v>62.6</v>
      </c>
      <c r="L148" s="239" t="s">
        <v>579</v>
      </c>
      <c r="M148" s="199"/>
      <c r="N148" s="171"/>
      <c r="O148" s="236" t="s">
        <v>579</v>
      </c>
      <c r="P148" s="171"/>
      <c r="Q148" s="171"/>
      <c r="R148" s="236"/>
      <c r="S148" s="171"/>
      <c r="T148" s="236" t="s">
        <v>159</v>
      </c>
      <c r="U148" s="236">
        <v>7.1</v>
      </c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  <c r="AX148" s="240"/>
      <c r="AY148" s="240"/>
      <c r="AZ148" s="240"/>
      <c r="BA148" s="240"/>
      <c r="BB148" s="240"/>
      <c r="BC148" s="240"/>
      <c r="BD148" s="240"/>
      <c r="BE148" s="240"/>
      <c r="BF148" s="240"/>
      <c r="BG148" s="240"/>
      <c r="BH148" s="240"/>
      <c r="BI148" s="240"/>
      <c r="BJ148" s="240"/>
      <c r="BK148" s="240"/>
      <c r="BL148" s="240"/>
      <c r="BM148" s="240"/>
      <c r="BN148" s="240"/>
      <c r="BO148" s="240"/>
    </row>
    <row r="149" spans="1:67" s="241" customFormat="1" ht="18" customHeight="1">
      <c r="A149" s="324" t="s">
        <v>587</v>
      </c>
      <c r="B149" s="199" t="s">
        <v>348</v>
      </c>
      <c r="C149" s="199">
        <v>1</v>
      </c>
      <c r="D149" s="171">
        <v>3661.6</v>
      </c>
      <c r="E149" s="171">
        <v>3663</v>
      </c>
      <c r="F149" s="236">
        <v>1.4</v>
      </c>
      <c r="G149" s="171">
        <v>200</v>
      </c>
      <c r="H149" s="171">
        <v>205.3</v>
      </c>
      <c r="I149" s="237">
        <v>5</v>
      </c>
      <c r="J149" s="238">
        <v>0.27</v>
      </c>
      <c r="K149" s="236">
        <v>56</v>
      </c>
      <c r="L149" s="199" t="s">
        <v>579</v>
      </c>
      <c r="M149" s="199"/>
      <c r="N149" s="171"/>
      <c r="O149" s="171" t="s">
        <v>579</v>
      </c>
      <c r="P149" s="171">
        <v>3661.6</v>
      </c>
      <c r="Q149" s="171">
        <v>3663</v>
      </c>
      <c r="R149" s="236">
        <v>1.4</v>
      </c>
      <c r="S149" s="171"/>
      <c r="T149" s="171" t="s">
        <v>579</v>
      </c>
      <c r="U149" s="236">
        <v>1.4</v>
      </c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240"/>
      <c r="AH149" s="240"/>
      <c r="AI149" s="240"/>
      <c r="AJ149" s="240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  <c r="AX149" s="240"/>
      <c r="AY149" s="240"/>
      <c r="AZ149" s="240"/>
      <c r="BA149" s="240"/>
      <c r="BB149" s="240"/>
      <c r="BC149" s="240"/>
      <c r="BD149" s="240"/>
      <c r="BE149" s="240"/>
      <c r="BF149" s="240"/>
      <c r="BG149" s="240"/>
      <c r="BH149" s="240"/>
      <c r="BI149" s="240"/>
      <c r="BJ149" s="240"/>
      <c r="BK149" s="240"/>
      <c r="BL149" s="240"/>
      <c r="BM149" s="240"/>
      <c r="BN149" s="240"/>
      <c r="BO149" s="240"/>
    </row>
    <row r="150" spans="1:67" s="241" customFormat="1" ht="18" customHeight="1">
      <c r="A150" s="324"/>
      <c r="B150" s="199" t="s">
        <v>348</v>
      </c>
      <c r="C150" s="199">
        <v>2</v>
      </c>
      <c r="D150" s="171">
        <v>3664</v>
      </c>
      <c r="E150" s="171">
        <v>3666</v>
      </c>
      <c r="F150" s="236">
        <v>2</v>
      </c>
      <c r="G150" s="171">
        <v>18</v>
      </c>
      <c r="H150" s="171">
        <v>232</v>
      </c>
      <c r="I150" s="237">
        <v>10.57</v>
      </c>
      <c r="J150" s="238">
        <v>0.85799999999999998</v>
      </c>
      <c r="K150" s="236">
        <v>55</v>
      </c>
      <c r="L150" s="199" t="s">
        <v>579</v>
      </c>
      <c r="M150" s="199"/>
      <c r="N150" s="171"/>
      <c r="O150" s="171" t="s">
        <v>579</v>
      </c>
      <c r="P150" s="171">
        <v>3664</v>
      </c>
      <c r="Q150" s="171">
        <v>3666</v>
      </c>
      <c r="R150" s="236">
        <v>2</v>
      </c>
      <c r="S150" s="171"/>
      <c r="T150" s="171" t="s">
        <v>579</v>
      </c>
      <c r="U150" s="236">
        <v>2</v>
      </c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  <c r="AX150" s="240"/>
      <c r="AY150" s="240"/>
      <c r="AZ150" s="240"/>
      <c r="BA150" s="240"/>
      <c r="BB150" s="240"/>
      <c r="BC150" s="240"/>
      <c r="BD150" s="240"/>
      <c r="BE150" s="240"/>
      <c r="BF150" s="240"/>
      <c r="BG150" s="240"/>
      <c r="BH150" s="240"/>
      <c r="BI150" s="240"/>
      <c r="BJ150" s="240"/>
      <c r="BK150" s="240"/>
      <c r="BL150" s="240"/>
      <c r="BM150" s="240"/>
      <c r="BN150" s="240"/>
      <c r="BO150" s="240"/>
    </row>
    <row r="151" spans="1:67" s="241" customFormat="1" ht="18" customHeight="1">
      <c r="A151" s="324"/>
      <c r="B151" s="199" t="s">
        <v>580</v>
      </c>
      <c r="C151" s="199"/>
      <c r="D151" s="171"/>
      <c r="E151" s="171"/>
      <c r="F151" s="236">
        <v>3.4</v>
      </c>
      <c r="G151" s="236"/>
      <c r="H151" s="236"/>
      <c r="I151" s="237">
        <v>7.79</v>
      </c>
      <c r="J151" s="238">
        <v>0.56399999999999995</v>
      </c>
      <c r="K151" s="236">
        <v>55.5</v>
      </c>
      <c r="L151" s="199" t="s">
        <v>579</v>
      </c>
      <c r="M151" s="199"/>
      <c r="N151" s="171"/>
      <c r="O151" s="171" t="s">
        <v>579</v>
      </c>
      <c r="P151" s="171"/>
      <c r="Q151" s="171"/>
      <c r="R151" s="236"/>
      <c r="S151" s="171"/>
      <c r="T151" s="236" t="s">
        <v>159</v>
      </c>
      <c r="U151" s="236">
        <v>3.4</v>
      </c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  <c r="AS151" s="240"/>
      <c r="AT151" s="240"/>
      <c r="AU151" s="240"/>
      <c r="AV151" s="240"/>
      <c r="AW151" s="240"/>
      <c r="AX151" s="240"/>
      <c r="AY151" s="240"/>
      <c r="AZ151" s="240"/>
      <c r="BA151" s="240"/>
      <c r="BB151" s="240"/>
      <c r="BC151" s="240"/>
      <c r="BD151" s="240"/>
      <c r="BE151" s="240"/>
      <c r="BF151" s="240"/>
      <c r="BG151" s="240"/>
      <c r="BH151" s="240"/>
      <c r="BI151" s="240"/>
      <c r="BJ151" s="240"/>
      <c r="BK151" s="240"/>
      <c r="BL151" s="240"/>
      <c r="BM151" s="240"/>
      <c r="BN151" s="240"/>
      <c r="BO151" s="240"/>
    </row>
    <row r="152" spans="1:67" s="241" customFormat="1" ht="18" customHeight="1">
      <c r="A152" s="324" t="s">
        <v>588</v>
      </c>
      <c r="B152" s="199" t="s">
        <v>348</v>
      </c>
      <c r="C152" s="199">
        <v>1</v>
      </c>
      <c r="D152" s="171">
        <v>3630.13</v>
      </c>
      <c r="E152" s="171">
        <v>3633.63</v>
      </c>
      <c r="F152" s="236">
        <v>3.5</v>
      </c>
      <c r="G152" s="171">
        <v>61.57</v>
      </c>
      <c r="H152" s="171">
        <v>209.76</v>
      </c>
      <c r="I152" s="237">
        <v>5.34</v>
      </c>
      <c r="J152" s="238">
        <v>0.153</v>
      </c>
      <c r="K152" s="236">
        <v>55</v>
      </c>
      <c r="L152" s="199" t="s">
        <v>579</v>
      </c>
      <c r="M152" s="199"/>
      <c r="N152" s="171"/>
      <c r="O152" s="171" t="s">
        <v>579</v>
      </c>
      <c r="P152" s="171">
        <v>3630.13</v>
      </c>
      <c r="Q152" s="171">
        <v>3633.63</v>
      </c>
      <c r="R152" s="236">
        <v>3.5</v>
      </c>
      <c r="S152" s="171"/>
      <c r="T152" s="171" t="s">
        <v>579</v>
      </c>
      <c r="U152" s="236">
        <v>3.5</v>
      </c>
      <c r="V152" s="240"/>
      <c r="W152" s="240"/>
      <c r="X152" s="240"/>
      <c r="Y152" s="240"/>
      <c r="Z152" s="240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  <c r="AS152" s="240"/>
      <c r="AT152" s="240"/>
      <c r="AU152" s="240"/>
      <c r="AV152" s="240"/>
      <c r="AW152" s="240"/>
      <c r="AX152" s="240"/>
      <c r="AY152" s="240"/>
      <c r="AZ152" s="240"/>
      <c r="BA152" s="240"/>
      <c r="BB152" s="240"/>
      <c r="BC152" s="240"/>
      <c r="BD152" s="240"/>
      <c r="BE152" s="240"/>
      <c r="BF152" s="240"/>
      <c r="BG152" s="240"/>
      <c r="BH152" s="240"/>
      <c r="BI152" s="240"/>
      <c r="BJ152" s="240"/>
      <c r="BK152" s="240"/>
      <c r="BL152" s="240"/>
      <c r="BM152" s="240"/>
      <c r="BN152" s="240"/>
      <c r="BO152" s="240"/>
    </row>
    <row r="153" spans="1:67" s="241" customFormat="1" ht="18" customHeight="1">
      <c r="A153" s="324"/>
      <c r="B153" s="199" t="s">
        <v>348</v>
      </c>
      <c r="C153" s="199">
        <v>2</v>
      </c>
      <c r="D153" s="171">
        <v>3645.88</v>
      </c>
      <c r="E153" s="171">
        <v>3648.38</v>
      </c>
      <c r="F153" s="236">
        <v>2.5</v>
      </c>
      <c r="G153" s="171">
        <v>64.989999999999995</v>
      </c>
      <c r="H153" s="171">
        <v>222.59</v>
      </c>
      <c r="I153" s="237">
        <v>6.94</v>
      </c>
      <c r="J153" s="238">
        <v>0.20499999999999999</v>
      </c>
      <c r="K153" s="236">
        <v>62</v>
      </c>
      <c r="L153" s="199" t="s">
        <v>579</v>
      </c>
      <c r="M153" s="199"/>
      <c r="N153" s="171"/>
      <c r="O153" s="171" t="s">
        <v>579</v>
      </c>
      <c r="P153" s="171">
        <v>3645.88</v>
      </c>
      <c r="Q153" s="171">
        <v>3648.38</v>
      </c>
      <c r="R153" s="236">
        <v>2.5</v>
      </c>
      <c r="S153" s="171"/>
      <c r="T153" s="171" t="s">
        <v>579</v>
      </c>
      <c r="U153" s="236">
        <v>2.5</v>
      </c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  <c r="AS153" s="240"/>
      <c r="AT153" s="240"/>
      <c r="AU153" s="240"/>
      <c r="AV153" s="240"/>
      <c r="AW153" s="240"/>
      <c r="AX153" s="240"/>
      <c r="AY153" s="240"/>
      <c r="AZ153" s="240"/>
      <c r="BA153" s="240"/>
      <c r="BB153" s="240"/>
      <c r="BC153" s="240"/>
      <c r="BD153" s="240"/>
      <c r="BE153" s="240"/>
      <c r="BF153" s="240"/>
      <c r="BG153" s="240"/>
      <c r="BH153" s="240"/>
      <c r="BI153" s="240"/>
      <c r="BJ153" s="240"/>
      <c r="BK153" s="240"/>
      <c r="BL153" s="240"/>
      <c r="BM153" s="240"/>
      <c r="BN153" s="240"/>
      <c r="BO153" s="240"/>
    </row>
    <row r="154" spans="1:67" s="241" customFormat="1" ht="18" customHeight="1">
      <c r="A154" s="324"/>
      <c r="B154" s="199" t="s">
        <v>580</v>
      </c>
      <c r="C154" s="199"/>
      <c r="D154" s="171"/>
      <c r="E154" s="171"/>
      <c r="F154" s="236">
        <v>6</v>
      </c>
      <c r="G154" s="236"/>
      <c r="H154" s="236"/>
      <c r="I154" s="237">
        <v>6.14</v>
      </c>
      <c r="J154" s="238">
        <v>0.17899999999999999</v>
      </c>
      <c r="K154" s="236">
        <v>58.5</v>
      </c>
      <c r="L154" s="199" t="s">
        <v>579</v>
      </c>
      <c r="M154" s="199"/>
      <c r="N154" s="171"/>
      <c r="O154" s="171" t="s">
        <v>579</v>
      </c>
      <c r="P154" s="171"/>
      <c r="Q154" s="171"/>
      <c r="R154" s="236"/>
      <c r="S154" s="171"/>
      <c r="T154" s="236" t="s">
        <v>159</v>
      </c>
      <c r="U154" s="236">
        <v>6</v>
      </c>
      <c r="V154" s="240"/>
      <c r="W154" s="240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40"/>
      <c r="AI154" s="240"/>
      <c r="AJ154" s="240"/>
      <c r="AK154" s="240"/>
      <c r="AL154" s="240"/>
      <c r="AM154" s="240"/>
      <c r="AN154" s="240"/>
      <c r="AO154" s="240"/>
      <c r="AP154" s="240"/>
      <c r="AQ154" s="240"/>
      <c r="AR154" s="240"/>
      <c r="AS154" s="240"/>
      <c r="AT154" s="240"/>
      <c r="AU154" s="240"/>
      <c r="AV154" s="240"/>
      <c r="AW154" s="240"/>
      <c r="AX154" s="240"/>
      <c r="AY154" s="240"/>
      <c r="AZ154" s="240"/>
      <c r="BA154" s="240"/>
      <c r="BB154" s="240"/>
      <c r="BC154" s="240"/>
      <c r="BD154" s="240"/>
      <c r="BE154" s="240"/>
      <c r="BF154" s="240"/>
      <c r="BG154" s="240"/>
      <c r="BH154" s="240"/>
      <c r="BI154" s="240"/>
      <c r="BJ154" s="240"/>
      <c r="BK154" s="240"/>
      <c r="BL154" s="240"/>
      <c r="BM154" s="240"/>
      <c r="BN154" s="240"/>
      <c r="BO154" s="240"/>
    </row>
    <row r="155" spans="1:67" s="241" customFormat="1" ht="18" customHeight="1">
      <c r="A155" s="324" t="s">
        <v>589</v>
      </c>
      <c r="B155" s="199" t="s">
        <v>348</v>
      </c>
      <c r="C155" s="199">
        <v>1</v>
      </c>
      <c r="D155" s="171">
        <v>3618.875</v>
      </c>
      <c r="E155" s="171">
        <v>3623.75</v>
      </c>
      <c r="F155" s="236">
        <v>4.875</v>
      </c>
      <c r="G155" s="236">
        <v>13.90789076923077</v>
      </c>
      <c r="H155" s="236">
        <v>237.68854999999999</v>
      </c>
      <c r="I155" s="237">
        <v>10.1110565</v>
      </c>
      <c r="J155" s="238">
        <v>1.8144653421052632</v>
      </c>
      <c r="K155" s="236">
        <v>55</v>
      </c>
      <c r="L155" s="239" t="s">
        <v>159</v>
      </c>
      <c r="M155" s="199"/>
      <c r="N155" s="171"/>
      <c r="O155" s="236" t="s">
        <v>159</v>
      </c>
      <c r="P155" s="171">
        <v>3618.875</v>
      </c>
      <c r="Q155" s="171">
        <v>3623.75</v>
      </c>
      <c r="R155" s="236">
        <v>4.875</v>
      </c>
      <c r="S155" s="171"/>
      <c r="T155" s="236" t="s">
        <v>159</v>
      </c>
      <c r="U155" s="236">
        <v>4.875</v>
      </c>
      <c r="V155" s="240"/>
      <c r="W155" s="240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  <c r="AS155" s="240"/>
      <c r="AT155" s="240"/>
      <c r="AU155" s="240"/>
      <c r="AV155" s="240"/>
      <c r="AW155" s="240"/>
      <c r="AX155" s="240"/>
      <c r="AY155" s="240"/>
      <c r="AZ155" s="240"/>
      <c r="BA155" s="240"/>
      <c r="BB155" s="240"/>
      <c r="BC155" s="240"/>
      <c r="BD155" s="240"/>
      <c r="BE155" s="240"/>
      <c r="BF155" s="240"/>
      <c r="BG155" s="240"/>
      <c r="BH155" s="240"/>
      <c r="BI155" s="240"/>
      <c r="BJ155" s="240"/>
      <c r="BK155" s="240"/>
      <c r="BL155" s="240"/>
      <c r="BM155" s="240"/>
      <c r="BN155" s="240"/>
      <c r="BO155" s="240"/>
    </row>
    <row r="156" spans="1:67" s="241" customFormat="1" ht="18" customHeight="1">
      <c r="A156" s="324"/>
      <c r="B156" s="199" t="s">
        <v>348</v>
      </c>
      <c r="C156" s="199">
        <v>2</v>
      </c>
      <c r="D156" s="171">
        <v>3623.8</v>
      </c>
      <c r="E156" s="171">
        <v>3630.8</v>
      </c>
      <c r="F156" s="236">
        <v>7</v>
      </c>
      <c r="G156" s="236">
        <v>41.034704920634923</v>
      </c>
      <c r="H156" s="236">
        <v>225.43387096774194</v>
      </c>
      <c r="I156" s="237">
        <v>8.1344955806451615</v>
      </c>
      <c r="J156" s="238">
        <v>0.7721541935483871</v>
      </c>
      <c r="K156" s="236">
        <v>58.474142903225804</v>
      </c>
      <c r="L156" s="239" t="s">
        <v>159</v>
      </c>
      <c r="M156" s="199"/>
      <c r="N156" s="171"/>
      <c r="O156" s="236" t="s">
        <v>159</v>
      </c>
      <c r="P156" s="171">
        <v>3623.8</v>
      </c>
      <c r="Q156" s="171">
        <v>3630.8</v>
      </c>
      <c r="R156" s="236">
        <v>7</v>
      </c>
      <c r="S156" s="171"/>
      <c r="T156" s="236" t="s">
        <v>159</v>
      </c>
      <c r="U156" s="236">
        <v>7</v>
      </c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  <c r="AI156" s="240"/>
      <c r="AJ156" s="240"/>
      <c r="AK156" s="240"/>
      <c r="AL156" s="240"/>
      <c r="AM156" s="240"/>
      <c r="AN156" s="240"/>
      <c r="AO156" s="240"/>
      <c r="AP156" s="240"/>
      <c r="AQ156" s="240"/>
      <c r="AR156" s="240"/>
      <c r="AS156" s="240"/>
      <c r="AT156" s="240"/>
      <c r="AU156" s="240"/>
      <c r="AV156" s="240"/>
      <c r="AW156" s="240"/>
      <c r="AX156" s="240"/>
      <c r="AY156" s="240"/>
      <c r="AZ156" s="240"/>
      <c r="BA156" s="240"/>
      <c r="BB156" s="240"/>
      <c r="BC156" s="240"/>
      <c r="BD156" s="240"/>
      <c r="BE156" s="240"/>
      <c r="BF156" s="240"/>
      <c r="BG156" s="240"/>
      <c r="BH156" s="240"/>
      <c r="BI156" s="240"/>
      <c r="BJ156" s="240"/>
      <c r="BK156" s="240"/>
      <c r="BL156" s="240"/>
      <c r="BM156" s="240"/>
      <c r="BN156" s="240"/>
      <c r="BO156" s="240"/>
    </row>
    <row r="157" spans="1:67" s="241" customFormat="1" ht="18" customHeight="1">
      <c r="A157" s="324"/>
      <c r="B157" s="199"/>
      <c r="C157" s="199"/>
      <c r="D157" s="171"/>
      <c r="E157" s="171"/>
      <c r="F157" s="236">
        <v>11.9</v>
      </c>
      <c r="G157" s="236"/>
      <c r="H157" s="236"/>
      <c r="I157" s="237">
        <v>8.93</v>
      </c>
      <c r="J157" s="238">
        <v>1.198</v>
      </c>
      <c r="K157" s="236">
        <v>56.9</v>
      </c>
      <c r="L157" s="239" t="s">
        <v>159</v>
      </c>
      <c r="M157" s="199"/>
      <c r="N157" s="242"/>
      <c r="O157" s="236" t="s">
        <v>159</v>
      </c>
      <c r="P157" s="171"/>
      <c r="Q157" s="171"/>
      <c r="R157" s="236"/>
      <c r="S157" s="171"/>
      <c r="T157" s="236" t="s">
        <v>159</v>
      </c>
      <c r="U157" s="236">
        <v>11.9</v>
      </c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  <c r="AS157" s="240"/>
      <c r="AT157" s="240"/>
      <c r="AU157" s="240"/>
      <c r="AV157" s="240"/>
      <c r="AW157" s="240"/>
      <c r="AX157" s="240"/>
      <c r="AY157" s="240"/>
      <c r="AZ157" s="240"/>
      <c r="BA157" s="240"/>
      <c r="BB157" s="240"/>
      <c r="BC157" s="240"/>
      <c r="BD157" s="240"/>
      <c r="BE157" s="240"/>
      <c r="BF157" s="240"/>
      <c r="BG157" s="240"/>
      <c r="BH157" s="240"/>
      <c r="BI157" s="240"/>
      <c r="BJ157" s="240"/>
      <c r="BK157" s="240"/>
      <c r="BL157" s="240"/>
      <c r="BM157" s="240"/>
      <c r="BN157" s="240"/>
      <c r="BO157" s="240"/>
    </row>
    <row r="158" spans="1:67" s="241" customFormat="1" ht="18" customHeight="1">
      <c r="A158" s="324" t="s">
        <v>590</v>
      </c>
      <c r="B158" s="199" t="s">
        <v>348</v>
      </c>
      <c r="C158" s="199">
        <v>1</v>
      </c>
      <c r="D158" s="171">
        <v>3627.875</v>
      </c>
      <c r="E158" s="171">
        <v>3630.125</v>
      </c>
      <c r="F158" s="236">
        <v>2.25</v>
      </c>
      <c r="G158" s="171">
        <v>118.45115833333334</v>
      </c>
      <c r="H158" s="171">
        <v>210.06614999999999</v>
      </c>
      <c r="I158" s="237">
        <v>5.0353999411764709</v>
      </c>
      <c r="J158" s="238">
        <v>0.33533685294117649</v>
      </c>
      <c r="K158" s="236">
        <v>55</v>
      </c>
      <c r="L158" s="199" t="s">
        <v>579</v>
      </c>
      <c r="M158" s="335">
        <v>20716</v>
      </c>
      <c r="N158" s="171"/>
      <c r="O158" s="171" t="s">
        <v>579</v>
      </c>
      <c r="P158" s="171">
        <v>3627.875</v>
      </c>
      <c r="Q158" s="171">
        <v>3630.125</v>
      </c>
      <c r="R158" s="236">
        <v>2.25</v>
      </c>
      <c r="S158" s="171"/>
      <c r="T158" s="171" t="s">
        <v>579</v>
      </c>
      <c r="U158" s="236">
        <v>2.25</v>
      </c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0"/>
      <c r="AR158" s="240"/>
      <c r="AS158" s="240"/>
      <c r="AT158" s="240"/>
      <c r="AU158" s="240"/>
      <c r="AV158" s="240"/>
      <c r="AW158" s="240"/>
      <c r="AX158" s="240"/>
      <c r="AY158" s="240"/>
      <c r="AZ158" s="240"/>
      <c r="BA158" s="240"/>
      <c r="BB158" s="240"/>
      <c r="BC158" s="240"/>
      <c r="BD158" s="240"/>
      <c r="BE158" s="240"/>
      <c r="BF158" s="240"/>
      <c r="BG158" s="240"/>
      <c r="BH158" s="240"/>
      <c r="BI158" s="240"/>
      <c r="BJ158" s="240"/>
      <c r="BK158" s="240"/>
      <c r="BL158" s="240"/>
      <c r="BM158" s="240"/>
      <c r="BN158" s="240"/>
      <c r="BO158" s="240"/>
    </row>
    <row r="159" spans="1:67" s="241" customFormat="1" ht="18" customHeight="1">
      <c r="A159" s="324"/>
      <c r="B159" s="199" t="s">
        <v>348</v>
      </c>
      <c r="C159" s="199">
        <v>2</v>
      </c>
      <c r="D159" s="171">
        <v>3636.5</v>
      </c>
      <c r="E159" s="171">
        <v>3642</v>
      </c>
      <c r="F159" s="236">
        <v>5.5</v>
      </c>
      <c r="G159" s="171">
        <v>76.949593409090909</v>
      </c>
      <c r="H159" s="171">
        <v>222.6075068181818</v>
      </c>
      <c r="I159" s="237">
        <v>8.1535602093023254</v>
      </c>
      <c r="J159" s="238">
        <v>0.4933395953488372</v>
      </c>
      <c r="K159" s="236">
        <v>63.10569395348837</v>
      </c>
      <c r="L159" s="199" t="s">
        <v>579</v>
      </c>
      <c r="M159" s="336"/>
      <c r="N159" s="171"/>
      <c r="O159" s="171" t="s">
        <v>579</v>
      </c>
      <c r="P159" s="171">
        <v>3636.5</v>
      </c>
      <c r="Q159" s="171">
        <v>3642</v>
      </c>
      <c r="R159" s="236">
        <v>5.5</v>
      </c>
      <c r="S159" s="171"/>
      <c r="T159" s="171" t="s">
        <v>579</v>
      </c>
      <c r="U159" s="236">
        <v>5.5</v>
      </c>
      <c r="V159" s="240"/>
      <c r="W159" s="240"/>
      <c r="X159" s="240"/>
      <c r="Y159" s="240"/>
      <c r="Z159" s="240"/>
      <c r="AA159" s="240"/>
      <c r="AB159" s="240"/>
      <c r="AC159" s="240"/>
      <c r="AD159" s="240"/>
      <c r="AE159" s="240"/>
      <c r="AF159" s="240"/>
      <c r="AG159" s="240"/>
      <c r="AH159" s="240"/>
      <c r="AI159" s="240"/>
      <c r="AJ159" s="240"/>
      <c r="AK159" s="240"/>
      <c r="AL159" s="240"/>
      <c r="AM159" s="240"/>
      <c r="AN159" s="240"/>
      <c r="AO159" s="240"/>
      <c r="AP159" s="240"/>
      <c r="AQ159" s="240"/>
      <c r="AR159" s="240"/>
      <c r="AS159" s="240"/>
      <c r="AT159" s="240"/>
      <c r="AU159" s="240"/>
      <c r="AV159" s="240"/>
      <c r="AW159" s="240"/>
      <c r="AX159" s="240"/>
      <c r="AY159" s="240"/>
      <c r="AZ159" s="240"/>
      <c r="BA159" s="240"/>
      <c r="BB159" s="240"/>
      <c r="BC159" s="240"/>
      <c r="BD159" s="240"/>
      <c r="BE159" s="240"/>
      <c r="BF159" s="240"/>
      <c r="BG159" s="240"/>
      <c r="BH159" s="240"/>
      <c r="BI159" s="240"/>
      <c r="BJ159" s="240"/>
      <c r="BK159" s="240"/>
      <c r="BL159" s="240"/>
      <c r="BM159" s="240"/>
      <c r="BN159" s="240"/>
      <c r="BO159" s="240"/>
    </row>
    <row r="160" spans="1:67" s="241" customFormat="1" ht="18" customHeight="1">
      <c r="A160" s="324"/>
      <c r="B160" s="199" t="s">
        <v>580</v>
      </c>
      <c r="C160" s="199"/>
      <c r="D160" s="171"/>
      <c r="E160" s="171"/>
      <c r="F160" s="236">
        <v>7.8</v>
      </c>
      <c r="G160" s="236"/>
      <c r="H160" s="236"/>
      <c r="I160" s="237">
        <v>6.59</v>
      </c>
      <c r="J160" s="238">
        <v>0.41399999999999998</v>
      </c>
      <c r="K160" s="236">
        <v>59.1</v>
      </c>
      <c r="L160" s="199" t="s">
        <v>579</v>
      </c>
      <c r="M160" s="199"/>
      <c r="N160" s="171"/>
      <c r="O160" s="171" t="s">
        <v>579</v>
      </c>
      <c r="P160" s="171"/>
      <c r="Q160" s="171"/>
      <c r="R160" s="236"/>
      <c r="S160" s="171"/>
      <c r="T160" s="236" t="s">
        <v>159</v>
      </c>
      <c r="U160" s="236">
        <v>7.8</v>
      </c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  <c r="AS160" s="240"/>
      <c r="AT160" s="240"/>
      <c r="AU160" s="240"/>
      <c r="AV160" s="240"/>
      <c r="AW160" s="240"/>
      <c r="AX160" s="240"/>
      <c r="AY160" s="240"/>
      <c r="AZ160" s="240"/>
      <c r="BA160" s="240"/>
      <c r="BB160" s="240"/>
      <c r="BC160" s="240"/>
      <c r="BD160" s="240"/>
      <c r="BE160" s="240"/>
      <c r="BF160" s="240"/>
      <c r="BG160" s="240"/>
      <c r="BH160" s="240"/>
      <c r="BI160" s="240"/>
      <c r="BJ160" s="240"/>
      <c r="BK160" s="240"/>
      <c r="BL160" s="240"/>
      <c r="BM160" s="240"/>
      <c r="BN160" s="240"/>
      <c r="BO160" s="240"/>
    </row>
    <row r="161" spans="1:67" s="241" customFormat="1" ht="18" customHeight="1">
      <c r="A161" s="324" t="s">
        <v>591</v>
      </c>
      <c r="B161" s="199" t="s">
        <v>348</v>
      </c>
      <c r="C161" s="199">
        <v>1</v>
      </c>
      <c r="D161" s="171">
        <v>3625</v>
      </c>
      <c r="E161" s="171">
        <v>3628.375</v>
      </c>
      <c r="F161" s="236">
        <v>3.375</v>
      </c>
      <c r="G161" s="236">
        <v>33.519173703703707</v>
      </c>
      <c r="H161" s="236">
        <v>219.16228148148147</v>
      </c>
      <c r="I161" s="237">
        <v>7.2269932692307695</v>
      </c>
      <c r="J161" s="238">
        <v>0.33144786153846156</v>
      </c>
      <c r="K161" s="236">
        <v>59.115583846153847</v>
      </c>
      <c r="L161" s="239" t="s">
        <v>579</v>
      </c>
      <c r="M161" s="199"/>
      <c r="N161" s="171"/>
      <c r="O161" s="236" t="s">
        <v>579</v>
      </c>
      <c r="P161" s="171">
        <v>3625</v>
      </c>
      <c r="Q161" s="171">
        <v>3628.375</v>
      </c>
      <c r="R161" s="236">
        <v>3.375</v>
      </c>
      <c r="S161" s="171"/>
      <c r="T161" s="236" t="s">
        <v>159</v>
      </c>
      <c r="U161" s="236">
        <v>3.375</v>
      </c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  <c r="AI161" s="240"/>
      <c r="AJ161" s="240"/>
      <c r="AK161" s="240"/>
      <c r="AL161" s="240"/>
      <c r="AM161" s="240"/>
      <c r="AN161" s="240"/>
      <c r="AO161" s="240"/>
      <c r="AP161" s="240"/>
      <c r="AQ161" s="240"/>
      <c r="AR161" s="240"/>
      <c r="AS161" s="240"/>
      <c r="AT161" s="240"/>
      <c r="AU161" s="240"/>
      <c r="AV161" s="240"/>
      <c r="AW161" s="240"/>
      <c r="AX161" s="240"/>
      <c r="AY161" s="240"/>
      <c r="AZ161" s="240"/>
      <c r="BA161" s="240"/>
      <c r="BB161" s="240"/>
      <c r="BC161" s="240"/>
      <c r="BD161" s="240"/>
      <c r="BE161" s="240"/>
      <c r="BF161" s="240"/>
      <c r="BG161" s="240"/>
      <c r="BH161" s="240"/>
      <c r="BI161" s="240"/>
      <c r="BJ161" s="240"/>
      <c r="BK161" s="240"/>
      <c r="BL161" s="240"/>
      <c r="BM161" s="240"/>
      <c r="BN161" s="240"/>
      <c r="BO161" s="240"/>
    </row>
    <row r="162" spans="1:67" s="241" customFormat="1" ht="18" customHeight="1">
      <c r="A162" s="324"/>
      <c r="B162" s="199" t="s">
        <v>348</v>
      </c>
      <c r="C162" s="199">
        <v>2</v>
      </c>
      <c r="D162" s="171">
        <v>3635.875</v>
      </c>
      <c r="E162" s="171">
        <v>3642.625</v>
      </c>
      <c r="F162" s="236">
        <v>6.75</v>
      </c>
      <c r="G162" s="236">
        <v>87.501598148148148</v>
      </c>
      <c r="H162" s="236">
        <v>218.00068333333334</v>
      </c>
      <c r="I162" s="237">
        <v>7.0451838679245284</v>
      </c>
      <c r="J162" s="238">
        <v>0.33225940150943395</v>
      </c>
      <c r="K162" s="236">
        <v>67.101778113207544</v>
      </c>
      <c r="L162" s="239" t="s">
        <v>579</v>
      </c>
      <c r="M162" s="199"/>
      <c r="N162" s="171"/>
      <c r="O162" s="236" t="s">
        <v>579</v>
      </c>
      <c r="P162" s="171">
        <v>3635.875</v>
      </c>
      <c r="Q162" s="171">
        <v>3642.625</v>
      </c>
      <c r="R162" s="236">
        <v>6.75</v>
      </c>
      <c r="S162" s="171"/>
      <c r="T162" s="236" t="s">
        <v>159</v>
      </c>
      <c r="U162" s="236">
        <v>6.75</v>
      </c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  <c r="AS162" s="240"/>
      <c r="AT162" s="240"/>
      <c r="AU162" s="240"/>
      <c r="AV162" s="240"/>
      <c r="AW162" s="240"/>
      <c r="AX162" s="240"/>
      <c r="AY162" s="240"/>
      <c r="AZ162" s="240"/>
      <c r="BA162" s="240"/>
      <c r="BB162" s="240"/>
      <c r="BC162" s="240"/>
      <c r="BD162" s="240"/>
      <c r="BE162" s="240"/>
      <c r="BF162" s="240"/>
      <c r="BG162" s="240"/>
      <c r="BH162" s="240"/>
      <c r="BI162" s="240"/>
      <c r="BJ162" s="240"/>
      <c r="BK162" s="240"/>
      <c r="BL162" s="240"/>
      <c r="BM162" s="240"/>
      <c r="BN162" s="240"/>
      <c r="BO162" s="240"/>
    </row>
    <row r="163" spans="1:67" s="241" customFormat="1" ht="18" customHeight="1">
      <c r="A163" s="324"/>
      <c r="B163" s="199" t="s">
        <v>348</v>
      </c>
      <c r="C163" s="199">
        <v>3</v>
      </c>
      <c r="D163" s="171">
        <v>3648</v>
      </c>
      <c r="E163" s="171">
        <v>3650.25</v>
      </c>
      <c r="F163" s="236">
        <v>2.25</v>
      </c>
      <c r="G163" s="236">
        <v>115.14887055555556</v>
      </c>
      <c r="H163" s="236">
        <v>208.78072222222221</v>
      </c>
      <c r="I163" s="237">
        <v>6.2827741764705882</v>
      </c>
      <c r="J163" s="238">
        <v>0.18750505294117648</v>
      </c>
      <c r="K163" s="236">
        <v>75.42515941176471</v>
      </c>
      <c r="L163" s="239" t="s">
        <v>579</v>
      </c>
      <c r="M163" s="199"/>
      <c r="N163" s="171"/>
      <c r="O163" s="236" t="s">
        <v>579</v>
      </c>
      <c r="P163" s="171">
        <v>3648</v>
      </c>
      <c r="Q163" s="171">
        <v>3650.25</v>
      </c>
      <c r="R163" s="236">
        <v>2.25</v>
      </c>
      <c r="S163" s="171"/>
      <c r="T163" s="236" t="s">
        <v>159</v>
      </c>
      <c r="U163" s="236">
        <v>2.25</v>
      </c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40"/>
      <c r="AI163" s="240"/>
      <c r="AJ163" s="240"/>
      <c r="AK163" s="240"/>
      <c r="AL163" s="240"/>
      <c r="AM163" s="240"/>
      <c r="AN163" s="240"/>
      <c r="AO163" s="240"/>
      <c r="AP163" s="240"/>
      <c r="AQ163" s="240"/>
      <c r="AR163" s="240"/>
      <c r="AS163" s="240"/>
      <c r="AT163" s="240"/>
      <c r="AU163" s="240"/>
      <c r="AV163" s="240"/>
      <c r="AW163" s="240"/>
      <c r="AX163" s="240"/>
      <c r="AY163" s="240"/>
      <c r="AZ163" s="240"/>
      <c r="BA163" s="240"/>
      <c r="BB163" s="240"/>
      <c r="BC163" s="240"/>
      <c r="BD163" s="240"/>
      <c r="BE163" s="240"/>
      <c r="BF163" s="240"/>
      <c r="BG163" s="240"/>
      <c r="BH163" s="240"/>
      <c r="BI163" s="240"/>
      <c r="BJ163" s="240"/>
      <c r="BK163" s="240"/>
      <c r="BL163" s="240"/>
      <c r="BM163" s="240"/>
      <c r="BN163" s="240"/>
      <c r="BO163" s="240"/>
    </row>
    <row r="164" spans="1:67" s="241" customFormat="1" ht="18" customHeight="1">
      <c r="A164" s="324"/>
      <c r="B164" s="199" t="s">
        <v>348</v>
      </c>
      <c r="C164" s="199">
        <v>4</v>
      </c>
      <c r="D164" s="171">
        <v>3650.25</v>
      </c>
      <c r="E164" s="171">
        <v>3660.625</v>
      </c>
      <c r="F164" s="236">
        <v>10.375</v>
      </c>
      <c r="G164" s="236">
        <v>70.15156819277108</v>
      </c>
      <c r="H164" s="236">
        <v>208.94745662650601</v>
      </c>
      <c r="I164" s="237">
        <v>6.3351181097560971</v>
      </c>
      <c r="J164" s="238">
        <v>0.20514863341463416</v>
      </c>
      <c r="K164" s="236">
        <v>67.448389878048772</v>
      </c>
      <c r="L164" s="239" t="s">
        <v>579</v>
      </c>
      <c r="M164" s="199"/>
      <c r="N164" s="171"/>
      <c r="O164" s="236" t="s">
        <v>579</v>
      </c>
      <c r="P164" s="171">
        <v>3650.25</v>
      </c>
      <c r="Q164" s="171">
        <v>3660.625</v>
      </c>
      <c r="R164" s="236">
        <v>10.375</v>
      </c>
      <c r="S164" s="171"/>
      <c r="T164" s="236" t="s">
        <v>159</v>
      </c>
      <c r="U164" s="236">
        <v>10.375</v>
      </c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  <c r="AS164" s="240"/>
      <c r="AT164" s="240"/>
      <c r="AU164" s="240"/>
      <c r="AV164" s="240"/>
      <c r="AW164" s="240"/>
      <c r="AX164" s="240"/>
      <c r="AY164" s="240"/>
      <c r="AZ164" s="240"/>
      <c r="BA164" s="240"/>
      <c r="BB164" s="240"/>
      <c r="BC164" s="240"/>
      <c r="BD164" s="240"/>
      <c r="BE164" s="240"/>
      <c r="BF164" s="240"/>
      <c r="BG164" s="240"/>
      <c r="BH164" s="240"/>
      <c r="BI164" s="240"/>
      <c r="BJ164" s="240"/>
      <c r="BK164" s="240"/>
      <c r="BL164" s="240"/>
      <c r="BM164" s="240"/>
      <c r="BN164" s="240"/>
      <c r="BO164" s="240"/>
    </row>
    <row r="165" spans="1:67" s="241" customFormat="1" ht="18" customHeight="1">
      <c r="A165" s="324"/>
      <c r="B165" s="199" t="s">
        <v>580</v>
      </c>
      <c r="C165" s="199"/>
      <c r="D165" s="171"/>
      <c r="E165" s="171"/>
      <c r="F165" s="236">
        <v>22.8</v>
      </c>
      <c r="G165" s="236"/>
      <c r="H165" s="236"/>
      <c r="I165" s="237">
        <v>6.72</v>
      </c>
      <c r="J165" s="238">
        <v>0.26400000000000001</v>
      </c>
      <c r="K165" s="236">
        <v>67.3</v>
      </c>
      <c r="L165" s="239" t="s">
        <v>579</v>
      </c>
      <c r="M165" s="199"/>
      <c r="N165" s="171"/>
      <c r="O165" s="236" t="s">
        <v>579</v>
      </c>
      <c r="P165" s="171"/>
      <c r="Q165" s="171"/>
      <c r="R165" s="236"/>
      <c r="S165" s="171"/>
      <c r="T165" s="236" t="s">
        <v>159</v>
      </c>
      <c r="U165" s="236">
        <v>22.8</v>
      </c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0"/>
      <c r="AP165" s="240"/>
      <c r="AQ165" s="240"/>
      <c r="AR165" s="240"/>
      <c r="AS165" s="240"/>
      <c r="AT165" s="240"/>
      <c r="AU165" s="240"/>
      <c r="AV165" s="240"/>
      <c r="AW165" s="240"/>
      <c r="AX165" s="240"/>
      <c r="AY165" s="240"/>
      <c r="AZ165" s="240"/>
      <c r="BA165" s="240"/>
      <c r="BB165" s="240"/>
      <c r="BC165" s="240"/>
      <c r="BD165" s="240"/>
      <c r="BE165" s="240"/>
      <c r="BF165" s="240"/>
      <c r="BG165" s="240"/>
      <c r="BH165" s="240"/>
      <c r="BI165" s="240"/>
      <c r="BJ165" s="240"/>
      <c r="BK165" s="240"/>
      <c r="BL165" s="240"/>
      <c r="BM165" s="240"/>
      <c r="BN165" s="240"/>
      <c r="BO165" s="240"/>
    </row>
    <row r="166" spans="1:67" s="241" customFormat="1" ht="18" customHeight="1">
      <c r="A166" s="324" t="s">
        <v>592</v>
      </c>
      <c r="B166" s="199" t="s">
        <v>348</v>
      </c>
      <c r="C166" s="199">
        <v>1</v>
      </c>
      <c r="D166" s="171">
        <v>3552.2</v>
      </c>
      <c r="E166" s="171">
        <v>3555.6</v>
      </c>
      <c r="F166" s="236">
        <v>3.4000000000000901</v>
      </c>
      <c r="G166" s="236">
        <v>48.591400370370373</v>
      </c>
      <c r="H166" s="236">
        <v>238.39494074074074</v>
      </c>
      <c r="I166" s="237">
        <v>10.708862</v>
      </c>
      <c r="J166" s="238">
        <v>0.34676568148148146</v>
      </c>
      <c r="K166" s="236">
        <v>70.279544074074067</v>
      </c>
      <c r="L166" s="239" t="s">
        <v>579</v>
      </c>
      <c r="M166" s="199"/>
      <c r="N166" s="171"/>
      <c r="O166" s="236" t="s">
        <v>579</v>
      </c>
      <c r="P166" s="171">
        <v>3552.2</v>
      </c>
      <c r="Q166" s="171">
        <v>3555.6</v>
      </c>
      <c r="R166" s="236">
        <v>3.4000000000000901</v>
      </c>
      <c r="S166" s="171"/>
      <c r="T166" s="236" t="s">
        <v>159</v>
      </c>
      <c r="U166" s="236">
        <v>3.4000000000000901</v>
      </c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  <c r="AI166" s="240"/>
      <c r="AJ166" s="240"/>
      <c r="AK166" s="240"/>
      <c r="AL166" s="240"/>
      <c r="AM166" s="240"/>
      <c r="AN166" s="240"/>
      <c r="AO166" s="240"/>
      <c r="AP166" s="240"/>
      <c r="AQ166" s="240"/>
      <c r="AR166" s="240"/>
      <c r="AS166" s="240"/>
      <c r="AT166" s="240"/>
      <c r="AU166" s="240"/>
      <c r="AV166" s="240"/>
      <c r="AW166" s="240"/>
      <c r="AX166" s="240"/>
      <c r="AY166" s="240"/>
      <c r="AZ166" s="240"/>
      <c r="BA166" s="240"/>
      <c r="BB166" s="240"/>
      <c r="BC166" s="240"/>
      <c r="BD166" s="240"/>
      <c r="BE166" s="240"/>
      <c r="BF166" s="240"/>
      <c r="BG166" s="240"/>
      <c r="BH166" s="240"/>
      <c r="BI166" s="240"/>
      <c r="BJ166" s="240"/>
      <c r="BK166" s="240"/>
      <c r="BL166" s="240"/>
      <c r="BM166" s="240"/>
      <c r="BN166" s="240"/>
      <c r="BO166" s="240"/>
    </row>
    <row r="167" spans="1:67" s="241" customFormat="1" ht="18" customHeight="1">
      <c r="A167" s="324"/>
      <c r="B167" s="199" t="s">
        <v>348</v>
      </c>
      <c r="C167" s="199">
        <v>2</v>
      </c>
      <c r="D167" s="171">
        <v>3557.9</v>
      </c>
      <c r="E167" s="171">
        <v>3562.1</v>
      </c>
      <c r="F167" s="236">
        <v>4.1999999999998199</v>
      </c>
      <c r="G167" s="236">
        <v>15.342306666666667</v>
      </c>
      <c r="H167" s="236">
        <v>272.25080606060607</v>
      </c>
      <c r="I167" s="237">
        <v>13.613638235294118</v>
      </c>
      <c r="J167" s="238">
        <v>0.95282547941176465</v>
      </c>
      <c r="K167" s="236">
        <v>57.075889117647058</v>
      </c>
      <c r="L167" s="239" t="s">
        <v>579</v>
      </c>
      <c r="M167" s="199"/>
      <c r="N167" s="171"/>
      <c r="O167" s="236" t="s">
        <v>579</v>
      </c>
      <c r="P167" s="171">
        <v>3557.9</v>
      </c>
      <c r="Q167" s="171">
        <v>3562.1</v>
      </c>
      <c r="R167" s="236">
        <v>4.1999999999998199</v>
      </c>
      <c r="S167" s="171"/>
      <c r="T167" s="236" t="s">
        <v>159</v>
      </c>
      <c r="U167" s="236">
        <v>4.1999999999998199</v>
      </c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  <c r="AS167" s="240"/>
      <c r="AT167" s="240"/>
      <c r="AU167" s="240"/>
      <c r="AV167" s="240"/>
      <c r="AW167" s="240"/>
      <c r="AX167" s="240"/>
      <c r="AY167" s="240"/>
      <c r="AZ167" s="240"/>
      <c r="BA167" s="240"/>
      <c r="BB167" s="240"/>
      <c r="BC167" s="240"/>
      <c r="BD167" s="240"/>
      <c r="BE167" s="240"/>
      <c r="BF167" s="240"/>
      <c r="BG167" s="240"/>
      <c r="BH167" s="240"/>
      <c r="BI167" s="240"/>
      <c r="BJ167" s="240"/>
      <c r="BK167" s="240"/>
      <c r="BL167" s="240"/>
      <c r="BM167" s="240"/>
      <c r="BN167" s="240"/>
      <c r="BO167" s="240"/>
    </row>
    <row r="168" spans="1:67" s="241" customFormat="1" ht="18" customHeight="1">
      <c r="A168" s="324"/>
      <c r="B168" s="199" t="s">
        <v>348</v>
      </c>
      <c r="C168" s="199">
        <v>3</v>
      </c>
      <c r="D168" s="171">
        <v>3564.1</v>
      </c>
      <c r="E168" s="171">
        <v>3566.3</v>
      </c>
      <c r="F168" s="236">
        <v>2.2000000000002702</v>
      </c>
      <c r="G168" s="236">
        <v>77.655203333333333</v>
      </c>
      <c r="H168" s="236">
        <v>226.31362222222222</v>
      </c>
      <c r="I168" s="237">
        <v>8.7519171176470589</v>
      </c>
      <c r="J168" s="238">
        <v>0.19297631882352942</v>
      </c>
      <c r="K168" s="236">
        <v>69.735129999999998</v>
      </c>
      <c r="L168" s="239" t="s">
        <v>579</v>
      </c>
      <c r="M168" s="199"/>
      <c r="N168" s="171"/>
      <c r="O168" s="236" t="s">
        <v>579</v>
      </c>
      <c r="P168" s="171">
        <v>3564.1</v>
      </c>
      <c r="Q168" s="171">
        <v>3566.3</v>
      </c>
      <c r="R168" s="236">
        <v>2.2000000000002702</v>
      </c>
      <c r="S168" s="171"/>
      <c r="T168" s="236" t="s">
        <v>159</v>
      </c>
      <c r="U168" s="236">
        <v>2.2000000000002702</v>
      </c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240"/>
      <c r="AI168" s="240"/>
      <c r="AJ168" s="240"/>
      <c r="AK168" s="240"/>
      <c r="AL168" s="240"/>
      <c r="AM168" s="240"/>
      <c r="AN168" s="240"/>
      <c r="AO168" s="240"/>
      <c r="AP168" s="240"/>
      <c r="AQ168" s="240"/>
      <c r="AR168" s="240"/>
      <c r="AS168" s="240"/>
      <c r="AT168" s="240"/>
      <c r="AU168" s="240"/>
      <c r="AV168" s="240"/>
      <c r="AW168" s="240"/>
      <c r="AX168" s="240"/>
      <c r="AY168" s="240"/>
      <c r="AZ168" s="240"/>
      <c r="BA168" s="240"/>
      <c r="BB168" s="240"/>
      <c r="BC168" s="240"/>
      <c r="BD168" s="240"/>
      <c r="BE168" s="240"/>
      <c r="BF168" s="240"/>
      <c r="BG168" s="240"/>
      <c r="BH168" s="240"/>
      <c r="BI168" s="240"/>
      <c r="BJ168" s="240"/>
      <c r="BK168" s="240"/>
      <c r="BL168" s="240"/>
      <c r="BM168" s="240"/>
      <c r="BN168" s="240"/>
      <c r="BO168" s="240"/>
    </row>
    <row r="169" spans="1:67" s="241" customFormat="1" ht="18" customHeight="1">
      <c r="A169" s="324"/>
      <c r="B169" s="199" t="s">
        <v>580</v>
      </c>
      <c r="C169" s="199"/>
      <c r="D169" s="171"/>
      <c r="E169" s="171"/>
      <c r="F169" s="236">
        <v>9.8000000000000007</v>
      </c>
      <c r="G169" s="236"/>
      <c r="H169" s="236"/>
      <c r="I169" s="237">
        <v>11.02</v>
      </c>
      <c r="J169" s="238">
        <v>0.498</v>
      </c>
      <c r="K169" s="236">
        <v>65.7</v>
      </c>
      <c r="L169" s="239" t="s">
        <v>579</v>
      </c>
      <c r="M169" s="199"/>
      <c r="N169" s="171"/>
      <c r="O169" s="236" t="s">
        <v>579</v>
      </c>
      <c r="P169" s="171"/>
      <c r="Q169" s="171"/>
      <c r="R169" s="236"/>
      <c r="S169" s="171"/>
      <c r="T169" s="236" t="s">
        <v>159</v>
      </c>
      <c r="U169" s="236">
        <v>9.8000000000000007</v>
      </c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40"/>
      <c r="AI169" s="240"/>
      <c r="AJ169" s="240"/>
      <c r="AK169" s="240"/>
      <c r="AL169" s="240"/>
      <c r="AM169" s="240"/>
      <c r="AN169" s="240"/>
      <c r="AO169" s="240"/>
      <c r="AP169" s="240"/>
      <c r="AQ169" s="240"/>
      <c r="AR169" s="240"/>
      <c r="AS169" s="240"/>
      <c r="AT169" s="240"/>
      <c r="AU169" s="240"/>
      <c r="AV169" s="240"/>
      <c r="AW169" s="240"/>
      <c r="AX169" s="240"/>
      <c r="AY169" s="240"/>
      <c r="AZ169" s="240"/>
      <c r="BA169" s="240"/>
      <c r="BB169" s="240"/>
      <c r="BC169" s="240"/>
      <c r="BD169" s="240"/>
      <c r="BE169" s="240"/>
      <c r="BF169" s="240"/>
      <c r="BG169" s="240"/>
      <c r="BH169" s="240"/>
      <c r="BI169" s="240"/>
      <c r="BJ169" s="240"/>
      <c r="BK169" s="240"/>
      <c r="BL169" s="240"/>
      <c r="BM169" s="240"/>
      <c r="BN169" s="240"/>
      <c r="BO169" s="240"/>
    </row>
    <row r="170" spans="1:67" s="241" customFormat="1" ht="18" customHeight="1">
      <c r="A170" s="324" t="s">
        <v>593</v>
      </c>
      <c r="B170" s="199" t="s">
        <v>348</v>
      </c>
      <c r="C170" s="199">
        <v>1</v>
      </c>
      <c r="D170" s="171">
        <v>3660.663</v>
      </c>
      <c r="E170" s="171">
        <v>3664.163</v>
      </c>
      <c r="F170" s="236">
        <v>3.5</v>
      </c>
      <c r="G170" s="236">
        <v>113.04254</v>
      </c>
      <c r="H170" s="236">
        <v>208.12992857142856</v>
      </c>
      <c r="I170" s="237">
        <v>6.5134064444444446</v>
      </c>
      <c r="J170" s="238">
        <v>0.35243518888888886</v>
      </c>
      <c r="K170" s="236">
        <v>67.372131481481489</v>
      </c>
      <c r="L170" s="239" t="s">
        <v>159</v>
      </c>
      <c r="M170" s="199"/>
      <c r="N170" s="171"/>
      <c r="O170" s="236" t="s">
        <v>159</v>
      </c>
      <c r="P170" s="171">
        <v>3660.663</v>
      </c>
      <c r="Q170" s="171">
        <v>3664.163</v>
      </c>
      <c r="R170" s="236">
        <v>3.5</v>
      </c>
      <c r="S170" s="171"/>
      <c r="T170" s="236" t="s">
        <v>159</v>
      </c>
      <c r="U170" s="236">
        <v>3.5</v>
      </c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  <c r="AS170" s="240"/>
      <c r="AT170" s="240"/>
      <c r="AU170" s="240"/>
      <c r="AV170" s="240"/>
      <c r="AW170" s="240"/>
      <c r="AX170" s="240"/>
      <c r="AY170" s="240"/>
      <c r="AZ170" s="240"/>
      <c r="BA170" s="240"/>
      <c r="BB170" s="240"/>
      <c r="BC170" s="240"/>
      <c r="BD170" s="240"/>
      <c r="BE170" s="240"/>
      <c r="BF170" s="240"/>
      <c r="BG170" s="240"/>
      <c r="BH170" s="240"/>
      <c r="BI170" s="240"/>
      <c r="BJ170" s="240"/>
      <c r="BK170" s="240"/>
      <c r="BL170" s="240"/>
      <c r="BM170" s="240"/>
      <c r="BN170" s="240"/>
      <c r="BO170" s="240"/>
    </row>
    <row r="171" spans="1:67" s="241" customFormat="1" ht="18" customHeight="1">
      <c r="A171" s="324"/>
      <c r="B171" s="199" t="s">
        <v>348</v>
      </c>
      <c r="C171" s="199">
        <v>2</v>
      </c>
      <c r="D171" s="171">
        <v>3665.538</v>
      </c>
      <c r="E171" s="171">
        <v>3667.788</v>
      </c>
      <c r="F171" s="236">
        <v>2.25</v>
      </c>
      <c r="G171" s="236">
        <v>122.0747261111111</v>
      </c>
      <c r="H171" s="236">
        <v>207.54063888888888</v>
      </c>
      <c r="I171" s="237">
        <v>7.6813639411764703</v>
      </c>
      <c r="J171" s="238">
        <v>0.74485567647058826</v>
      </c>
      <c r="K171" s="236">
        <v>71.329667647058827</v>
      </c>
      <c r="L171" s="239" t="s">
        <v>159</v>
      </c>
      <c r="M171" s="199"/>
      <c r="N171" s="171"/>
      <c r="O171" s="236" t="s">
        <v>159</v>
      </c>
      <c r="P171" s="171">
        <v>3665.538</v>
      </c>
      <c r="Q171" s="171">
        <v>3667.788</v>
      </c>
      <c r="R171" s="236">
        <v>2.25</v>
      </c>
      <c r="S171" s="171"/>
      <c r="T171" s="236" t="s">
        <v>159</v>
      </c>
      <c r="U171" s="236">
        <v>2.25</v>
      </c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40"/>
      <c r="AT171" s="240"/>
      <c r="AU171" s="240"/>
      <c r="AV171" s="240"/>
      <c r="AW171" s="240"/>
      <c r="AX171" s="240"/>
      <c r="AY171" s="240"/>
      <c r="AZ171" s="240"/>
      <c r="BA171" s="240"/>
      <c r="BB171" s="240"/>
      <c r="BC171" s="240"/>
      <c r="BD171" s="240"/>
      <c r="BE171" s="240"/>
      <c r="BF171" s="240"/>
      <c r="BG171" s="240"/>
      <c r="BH171" s="240"/>
      <c r="BI171" s="240"/>
      <c r="BJ171" s="240"/>
      <c r="BK171" s="240"/>
      <c r="BL171" s="240"/>
      <c r="BM171" s="240"/>
      <c r="BN171" s="240"/>
      <c r="BO171" s="240"/>
    </row>
    <row r="172" spans="1:67" s="241" customFormat="1" ht="18" customHeight="1">
      <c r="A172" s="324"/>
      <c r="B172" s="199" t="s">
        <v>95</v>
      </c>
      <c r="C172" s="199">
        <v>3</v>
      </c>
      <c r="D172" s="171">
        <v>3669.538</v>
      </c>
      <c r="E172" s="171">
        <v>3673.7</v>
      </c>
      <c r="F172" s="236">
        <v>4.2</v>
      </c>
      <c r="G172" s="236">
        <v>55.4783574</v>
      </c>
      <c r="H172" s="236">
        <v>212.613618</v>
      </c>
      <c r="I172" s="237">
        <v>8.0613801428571428</v>
      </c>
      <c r="J172" s="238">
        <v>0.88291460408163269</v>
      </c>
      <c r="K172" s="236">
        <v>60.692366122448981</v>
      </c>
      <c r="L172" s="239" t="s">
        <v>159</v>
      </c>
      <c r="M172" s="199"/>
      <c r="N172" s="171"/>
      <c r="O172" s="236" t="s">
        <v>159</v>
      </c>
      <c r="P172" s="171">
        <v>3669.538</v>
      </c>
      <c r="Q172" s="171">
        <v>3673.7</v>
      </c>
      <c r="R172" s="236">
        <v>4.2</v>
      </c>
      <c r="S172" s="171"/>
      <c r="T172" s="236" t="s">
        <v>159</v>
      </c>
      <c r="U172" s="236">
        <v>4.2</v>
      </c>
      <c r="V172" s="240"/>
      <c r="W172" s="240"/>
      <c r="X172" s="240"/>
      <c r="Y172" s="240"/>
      <c r="Z172" s="240"/>
      <c r="AA172" s="240"/>
      <c r="AB172" s="240"/>
      <c r="AC172" s="240"/>
      <c r="AD172" s="240"/>
      <c r="AE172" s="240"/>
      <c r="AF172" s="240"/>
      <c r="AG172" s="240"/>
      <c r="AH172" s="240"/>
      <c r="AI172" s="240"/>
      <c r="AJ172" s="240"/>
      <c r="AK172" s="240"/>
      <c r="AL172" s="240"/>
      <c r="AM172" s="240"/>
      <c r="AN172" s="240"/>
      <c r="AO172" s="240"/>
      <c r="AP172" s="240"/>
      <c r="AQ172" s="240"/>
      <c r="AR172" s="240"/>
      <c r="AS172" s="240"/>
      <c r="AT172" s="240"/>
      <c r="AU172" s="240"/>
      <c r="AV172" s="240"/>
      <c r="AW172" s="240"/>
      <c r="AX172" s="240"/>
      <c r="AY172" s="240"/>
      <c r="AZ172" s="240"/>
      <c r="BA172" s="240"/>
      <c r="BB172" s="240"/>
      <c r="BC172" s="240"/>
      <c r="BD172" s="240"/>
      <c r="BE172" s="240"/>
      <c r="BF172" s="240"/>
      <c r="BG172" s="240"/>
      <c r="BH172" s="240"/>
      <c r="BI172" s="240"/>
      <c r="BJ172" s="240"/>
      <c r="BK172" s="240"/>
      <c r="BL172" s="240"/>
      <c r="BM172" s="240"/>
      <c r="BN172" s="240"/>
      <c r="BO172" s="240"/>
    </row>
    <row r="173" spans="1:67" s="241" customFormat="1" ht="18" customHeight="1">
      <c r="A173" s="324"/>
      <c r="B173" s="199" t="s">
        <v>580</v>
      </c>
      <c r="C173" s="199"/>
      <c r="D173" s="171"/>
      <c r="E173" s="171"/>
      <c r="F173" s="236">
        <v>10</v>
      </c>
      <c r="G173" s="236"/>
      <c r="H173" s="236"/>
      <c r="I173" s="237">
        <v>7.39</v>
      </c>
      <c r="J173" s="238">
        <v>0.66200000000000003</v>
      </c>
      <c r="K173" s="236">
        <v>65.2</v>
      </c>
      <c r="L173" s="239" t="s">
        <v>159</v>
      </c>
      <c r="M173" s="199"/>
      <c r="N173" s="171"/>
      <c r="O173" s="236" t="s">
        <v>159</v>
      </c>
      <c r="P173" s="171"/>
      <c r="Q173" s="171"/>
      <c r="R173" s="236"/>
      <c r="S173" s="171"/>
      <c r="T173" s="236" t="s">
        <v>159</v>
      </c>
      <c r="U173" s="236">
        <v>10</v>
      </c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  <c r="AS173" s="240"/>
      <c r="AT173" s="240"/>
      <c r="AU173" s="240"/>
      <c r="AV173" s="240"/>
      <c r="AW173" s="240"/>
      <c r="AX173" s="240"/>
      <c r="AY173" s="240"/>
      <c r="AZ173" s="240"/>
      <c r="BA173" s="240"/>
      <c r="BB173" s="240"/>
      <c r="BC173" s="240"/>
      <c r="BD173" s="240"/>
      <c r="BE173" s="240"/>
      <c r="BF173" s="240"/>
      <c r="BG173" s="240"/>
      <c r="BH173" s="240"/>
      <c r="BI173" s="240"/>
      <c r="BJ173" s="240"/>
      <c r="BK173" s="240"/>
      <c r="BL173" s="240"/>
      <c r="BM173" s="240"/>
      <c r="BN173" s="240"/>
      <c r="BO173" s="240"/>
    </row>
    <row r="174" spans="1:67" s="248" customFormat="1" ht="20.100000000000001" customHeight="1">
      <c r="A174" s="243"/>
      <c r="B174" s="243"/>
      <c r="C174" s="244"/>
      <c r="D174" s="245"/>
      <c r="E174" s="245"/>
      <c r="F174" s="245"/>
      <c r="G174" s="245"/>
      <c r="H174" s="245"/>
      <c r="I174" s="244"/>
      <c r="J174" s="244"/>
      <c r="K174" s="245"/>
      <c r="L174" s="244"/>
      <c r="M174" s="246" t="s">
        <v>594</v>
      </c>
      <c r="N174" s="247"/>
      <c r="O174" s="247"/>
      <c r="P174" s="331" t="s">
        <v>595</v>
      </c>
      <c r="Q174" s="331"/>
      <c r="R174" s="245"/>
      <c r="S174" s="245"/>
      <c r="T174" s="331" t="s">
        <v>596</v>
      </c>
      <c r="U174" s="331"/>
      <c r="V174" s="331"/>
    </row>
  </sheetData>
  <mergeCells count="131">
    <mergeCell ref="N69:N71"/>
    <mergeCell ref="A114:A115"/>
    <mergeCell ref="N89:N94"/>
    <mergeCell ref="N72:N75"/>
    <mergeCell ref="A33:A34"/>
    <mergeCell ref="N98:N99"/>
    <mergeCell ref="M1:O1"/>
    <mergeCell ref="A122:A123"/>
    <mergeCell ref="A98:A100"/>
    <mergeCell ref="M98:M99"/>
    <mergeCell ref="A101:A103"/>
    <mergeCell ref="N101:N102"/>
    <mergeCell ref="A69:A71"/>
    <mergeCell ref="M116:M117"/>
    <mergeCell ref="A83:A84"/>
    <mergeCell ref="N83:N84"/>
    <mergeCell ref="N85:N87"/>
    <mergeCell ref="M85:M87"/>
    <mergeCell ref="M101:M102"/>
    <mergeCell ref="A85:A88"/>
    <mergeCell ref="A109:A110"/>
    <mergeCell ref="A96:A97"/>
    <mergeCell ref="A104:A108"/>
    <mergeCell ref="A132:A135"/>
    <mergeCell ref="A89:A95"/>
    <mergeCell ref="A119:A121"/>
    <mergeCell ref="A116:A118"/>
    <mergeCell ref="A124:A125"/>
    <mergeCell ref="A170:A173"/>
    <mergeCell ref="M145:M147"/>
    <mergeCell ref="A149:A151"/>
    <mergeCell ref="A152:A154"/>
    <mergeCell ref="A161:A165"/>
    <mergeCell ref="A166:A169"/>
    <mergeCell ref="M158:M159"/>
    <mergeCell ref="A35:A37"/>
    <mergeCell ref="A41:A44"/>
    <mergeCell ref="A126:A127"/>
    <mergeCell ref="N104:N107"/>
    <mergeCell ref="M111:M112"/>
    <mergeCell ref="A64:A65"/>
    <mergeCell ref="A50:A54"/>
    <mergeCell ref="A58:A63"/>
    <mergeCell ref="A38:A40"/>
    <mergeCell ref="A66:A68"/>
    <mergeCell ref="A15:A16"/>
    <mergeCell ref="A12:A14"/>
    <mergeCell ref="A4:A6"/>
    <mergeCell ref="A7:A11"/>
    <mergeCell ref="A1:A3"/>
    <mergeCell ref="B1:B3"/>
    <mergeCell ref="N119:N120"/>
    <mergeCell ref="N79:N81"/>
    <mergeCell ref="N136:N137"/>
    <mergeCell ref="N139:N141"/>
    <mergeCell ref="L2:L3"/>
    <mergeCell ref="C1:L1"/>
    <mergeCell ref="D3:E3"/>
    <mergeCell ref="C2:C3"/>
    <mergeCell ref="M132:M134"/>
    <mergeCell ref="D2:E2"/>
    <mergeCell ref="M136:M137"/>
    <mergeCell ref="A139:A142"/>
    <mergeCell ref="M139:M141"/>
    <mergeCell ref="A143:A144"/>
    <mergeCell ref="M79:M81"/>
    <mergeCell ref="T174:V174"/>
    <mergeCell ref="P174:Q174"/>
    <mergeCell ref="N111:N112"/>
    <mergeCell ref="N132:N134"/>
    <mergeCell ref="N116:N117"/>
    <mergeCell ref="N38:N40"/>
    <mergeCell ref="M7:M10"/>
    <mergeCell ref="N41:N44"/>
    <mergeCell ref="O2:O3"/>
    <mergeCell ref="A128:A129"/>
    <mergeCell ref="A158:A160"/>
    <mergeCell ref="M104:M107"/>
    <mergeCell ref="A130:A131"/>
    <mergeCell ref="M119:M120"/>
    <mergeCell ref="A111:A113"/>
    <mergeCell ref="M45:M49"/>
    <mergeCell ref="N66:N67"/>
    <mergeCell ref="N76:N78"/>
    <mergeCell ref="M55:M57"/>
    <mergeCell ref="P2:Q2"/>
    <mergeCell ref="N50:N54"/>
    <mergeCell ref="M4:M5"/>
    <mergeCell ref="N4:N5"/>
    <mergeCell ref="P3:Q3"/>
    <mergeCell ref="N45:N49"/>
    <mergeCell ref="M12:M13"/>
    <mergeCell ref="M30:M31"/>
    <mergeCell ref="M17:M18"/>
    <mergeCell ref="N35:N37"/>
    <mergeCell ref="M58:M62"/>
    <mergeCell ref="N58:N62"/>
    <mergeCell ref="M50:M54"/>
    <mergeCell ref="N55:N57"/>
    <mergeCell ref="M38:M40"/>
    <mergeCell ref="M41:M44"/>
    <mergeCell ref="A22:A25"/>
    <mergeCell ref="A28:A29"/>
    <mergeCell ref="A26:A27"/>
    <mergeCell ref="N7:N10"/>
    <mergeCell ref="N12:N13"/>
    <mergeCell ref="M35:M37"/>
    <mergeCell ref="N26:N27"/>
    <mergeCell ref="M20:M21"/>
    <mergeCell ref="N20:N21"/>
    <mergeCell ref="N22:N24"/>
    <mergeCell ref="M76:M77"/>
    <mergeCell ref="M72:M74"/>
    <mergeCell ref="A55:A57"/>
    <mergeCell ref="N17:N18"/>
    <mergeCell ref="A30:A32"/>
    <mergeCell ref="M26:M27"/>
    <mergeCell ref="A17:A19"/>
    <mergeCell ref="A20:A21"/>
    <mergeCell ref="M22:M24"/>
    <mergeCell ref="N30:N31"/>
    <mergeCell ref="A136:A138"/>
    <mergeCell ref="A145:A148"/>
    <mergeCell ref="A155:A157"/>
    <mergeCell ref="A45:A49"/>
    <mergeCell ref="M89:M94"/>
    <mergeCell ref="A72:A75"/>
    <mergeCell ref="M66:M67"/>
    <mergeCell ref="A76:A78"/>
    <mergeCell ref="A79:A82"/>
    <mergeCell ref="M69:M70"/>
  </mergeCells>
  <phoneticPr fontId="30" type="noConversion"/>
  <printOptions horizontalCentered="1"/>
  <pageMargins left="1.6929133858267718" right="0.82677165354330717" top="1.0236220472440944" bottom="0.62992125984251968" header="0.62992125984251968" footer="0.51181102362204722"/>
  <pageSetup paperSize="8" scale="92" orientation="landscape" r:id="rId1"/>
  <headerFooter alignWithMargins="0">
    <oddHeader>&amp;C&amp;"黑体,常规"&amp;16附表14-1-&amp;P 苏里格气田西一区新增探明储量区块盒8单井有效厚度测井解释成果表</oddHeader>
  </headerFooter>
  <rowBreaks count="2" manualBreakCount="2">
    <brk id="40" max="16383" man="1"/>
    <brk id="7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59999389629810485"/>
  </sheetPr>
  <dimension ref="A1:U115"/>
  <sheetViews>
    <sheetView zoomScale="115" zoomScaleNormal="100" zoomScaleSheetLayoutView="115" workbookViewId="0">
      <pane xSplit="6" ySplit="4" topLeftCell="M5" activePane="bottomRight" state="frozen"/>
      <selection activeCell="J22" sqref="J22"/>
      <selection pane="topRight" activeCell="J22" sqref="J22"/>
      <selection pane="bottomLeft" activeCell="J22" sqref="J22"/>
      <selection pane="bottomRight" activeCell="J22" sqref="J22"/>
    </sheetView>
  </sheetViews>
  <sheetFormatPr defaultRowHeight="12"/>
  <cols>
    <col min="1" max="1" width="9.125" style="266" customWidth="1"/>
    <col min="2" max="2" width="5.375" style="266" customWidth="1"/>
    <col min="3" max="3" width="4.125" style="266" customWidth="1"/>
    <col min="4" max="5" width="7.5" style="267" customWidth="1"/>
    <col min="6" max="6" width="5.75" style="267" customWidth="1"/>
    <col min="7" max="8" width="10" style="267" customWidth="1"/>
    <col min="9" max="9" width="10" style="268" customWidth="1"/>
    <col min="10" max="10" width="10" style="269" customWidth="1"/>
    <col min="11" max="11" width="10" style="270" customWidth="1"/>
    <col min="12" max="12" width="10" style="266" customWidth="1"/>
    <col min="13" max="13" width="15.875" style="271" customWidth="1"/>
    <col min="14" max="14" width="5" style="270" customWidth="1"/>
    <col min="15" max="15" width="5.5" style="266" customWidth="1"/>
    <col min="16" max="16" width="8.625" style="267" customWidth="1"/>
    <col min="17" max="17" width="8" style="267" customWidth="1"/>
    <col min="18" max="18" width="5.375" style="272" customWidth="1"/>
    <col min="19" max="19" width="5" style="272" customWidth="1"/>
    <col min="20" max="20" width="6.5" style="272" customWidth="1"/>
    <col min="21" max="21" width="6.625" style="267" customWidth="1"/>
    <col min="22" max="16384" width="9" style="266"/>
  </cols>
  <sheetData>
    <row r="1" spans="1:21" s="233" customFormat="1" ht="15.95" customHeight="1">
      <c r="A1" s="330" t="s">
        <v>138</v>
      </c>
      <c r="B1" s="330" t="s">
        <v>99</v>
      </c>
      <c r="C1" s="332" t="s">
        <v>139</v>
      </c>
      <c r="D1" s="333"/>
      <c r="E1" s="333"/>
      <c r="F1" s="333"/>
      <c r="G1" s="333"/>
      <c r="H1" s="333"/>
      <c r="I1" s="333"/>
      <c r="J1" s="333"/>
      <c r="K1" s="333"/>
      <c r="L1" s="334"/>
      <c r="M1" s="330" t="s">
        <v>140</v>
      </c>
      <c r="N1" s="330"/>
      <c r="O1" s="330"/>
      <c r="P1" s="230"/>
      <c r="Q1" s="231"/>
      <c r="R1" s="231"/>
      <c r="S1" s="231"/>
      <c r="T1" s="231"/>
      <c r="U1" s="232"/>
    </row>
    <row r="2" spans="1:21" s="233" customFormat="1" ht="48" customHeight="1">
      <c r="A2" s="330"/>
      <c r="B2" s="330"/>
      <c r="C2" s="332" t="s">
        <v>141</v>
      </c>
      <c r="D2" s="326" t="s">
        <v>142</v>
      </c>
      <c r="E2" s="327"/>
      <c r="F2" s="234" t="s">
        <v>143</v>
      </c>
      <c r="G2" s="234" t="s">
        <v>144</v>
      </c>
      <c r="H2" s="234" t="s">
        <v>145</v>
      </c>
      <c r="I2" s="234" t="s">
        <v>146</v>
      </c>
      <c r="J2" s="234" t="s">
        <v>147</v>
      </c>
      <c r="K2" s="234" t="s">
        <v>148</v>
      </c>
      <c r="L2" s="330" t="s">
        <v>149</v>
      </c>
      <c r="M2" s="234" t="s">
        <v>117</v>
      </c>
      <c r="N2" s="234" t="s">
        <v>118</v>
      </c>
      <c r="O2" s="330" t="s">
        <v>150</v>
      </c>
      <c r="P2" s="326" t="s">
        <v>151</v>
      </c>
      <c r="Q2" s="327"/>
      <c r="R2" s="234" t="s">
        <v>143</v>
      </c>
      <c r="S2" s="234" t="s">
        <v>152</v>
      </c>
      <c r="T2" s="198" t="s">
        <v>153</v>
      </c>
      <c r="U2" s="234" t="s">
        <v>154</v>
      </c>
    </row>
    <row r="3" spans="1:21" s="233" customFormat="1" ht="21" customHeight="1">
      <c r="A3" s="330"/>
      <c r="B3" s="330"/>
      <c r="C3" s="332"/>
      <c r="D3" s="328" t="s">
        <v>124</v>
      </c>
      <c r="E3" s="329"/>
      <c r="F3" s="235" t="s">
        <v>124</v>
      </c>
      <c r="G3" s="235" t="s">
        <v>155</v>
      </c>
      <c r="H3" s="235" t="s">
        <v>156</v>
      </c>
      <c r="I3" s="235" t="s">
        <v>157</v>
      </c>
      <c r="J3" s="235" t="s">
        <v>158</v>
      </c>
      <c r="K3" s="235" t="s">
        <v>157</v>
      </c>
      <c r="L3" s="330"/>
      <c r="M3" s="235" t="s">
        <v>125</v>
      </c>
      <c r="N3" s="235" t="s">
        <v>125</v>
      </c>
      <c r="O3" s="330"/>
      <c r="P3" s="328" t="s">
        <v>124</v>
      </c>
      <c r="Q3" s="329"/>
      <c r="R3" s="235" t="s">
        <v>124</v>
      </c>
      <c r="S3" s="235" t="s">
        <v>124</v>
      </c>
      <c r="T3" s="198"/>
      <c r="U3" s="235" t="s">
        <v>124</v>
      </c>
    </row>
    <row r="4" spans="1:21" s="259" customFormat="1" ht="18" customHeight="1">
      <c r="A4" s="324" t="s">
        <v>548</v>
      </c>
      <c r="B4" s="253" t="s">
        <v>360</v>
      </c>
      <c r="C4" s="253">
        <v>1</v>
      </c>
      <c r="D4" s="254">
        <v>3607</v>
      </c>
      <c r="E4" s="254">
        <v>3610</v>
      </c>
      <c r="F4" s="254">
        <v>3</v>
      </c>
      <c r="G4" s="254">
        <v>31.6</v>
      </c>
      <c r="H4" s="254">
        <v>242.2</v>
      </c>
      <c r="I4" s="255">
        <v>10.27</v>
      </c>
      <c r="J4" s="256">
        <v>0.67700000000000005</v>
      </c>
      <c r="K4" s="254">
        <v>53.6</v>
      </c>
      <c r="L4" s="257" t="s">
        <v>159</v>
      </c>
      <c r="M4" s="253">
        <v>594</v>
      </c>
      <c r="N4" s="254">
        <v>12</v>
      </c>
      <c r="O4" s="257" t="s">
        <v>159</v>
      </c>
      <c r="P4" s="254">
        <v>3607</v>
      </c>
      <c r="Q4" s="254">
        <v>3610</v>
      </c>
      <c r="R4" s="254">
        <v>3</v>
      </c>
      <c r="S4" s="254"/>
      <c r="T4" s="258" t="s">
        <v>159</v>
      </c>
      <c r="U4" s="254">
        <v>3</v>
      </c>
    </row>
    <row r="5" spans="1:21" s="259" customFormat="1" ht="18" customHeight="1">
      <c r="A5" s="324"/>
      <c r="B5" s="253" t="s">
        <v>580</v>
      </c>
      <c r="C5" s="253"/>
      <c r="D5" s="254"/>
      <c r="E5" s="254"/>
      <c r="F5" s="254">
        <v>3</v>
      </c>
      <c r="G5" s="254"/>
      <c r="H5" s="254"/>
      <c r="I5" s="255">
        <v>10.27</v>
      </c>
      <c r="J5" s="256">
        <v>0.67700000000000005</v>
      </c>
      <c r="K5" s="254">
        <v>53.6</v>
      </c>
      <c r="L5" s="257" t="s">
        <v>159</v>
      </c>
      <c r="M5" s="253"/>
      <c r="N5" s="254"/>
      <c r="O5" s="257" t="s">
        <v>159</v>
      </c>
      <c r="P5" s="254"/>
      <c r="Q5" s="254"/>
      <c r="R5" s="254"/>
      <c r="S5" s="254"/>
      <c r="T5" s="258" t="s">
        <v>159</v>
      </c>
      <c r="U5" s="254">
        <v>3</v>
      </c>
    </row>
    <row r="6" spans="1:21" s="259" customFormat="1" ht="18" customHeight="1">
      <c r="A6" s="324" t="s">
        <v>372</v>
      </c>
      <c r="B6" s="253" t="s">
        <v>360</v>
      </c>
      <c r="C6" s="253">
        <v>1</v>
      </c>
      <c r="D6" s="254">
        <v>3618.8</v>
      </c>
      <c r="E6" s="254">
        <v>3620.8</v>
      </c>
      <c r="F6" s="254">
        <v>2</v>
      </c>
      <c r="G6" s="254">
        <v>87.24</v>
      </c>
      <c r="H6" s="254">
        <v>217.14</v>
      </c>
      <c r="I6" s="255">
        <v>6.99</v>
      </c>
      <c r="J6" s="256">
        <v>0.50800000000000001</v>
      </c>
      <c r="K6" s="254">
        <v>65.099999999999994</v>
      </c>
      <c r="L6" s="257" t="s">
        <v>159</v>
      </c>
      <c r="M6" s="324">
        <v>62541</v>
      </c>
      <c r="N6" s="325"/>
      <c r="O6" s="257" t="s">
        <v>159</v>
      </c>
      <c r="P6" s="254">
        <v>3618.8</v>
      </c>
      <c r="Q6" s="254">
        <v>3620.8</v>
      </c>
      <c r="R6" s="254">
        <v>2</v>
      </c>
      <c r="S6" s="254"/>
      <c r="T6" s="258" t="s">
        <v>159</v>
      </c>
      <c r="U6" s="254">
        <v>2</v>
      </c>
    </row>
    <row r="7" spans="1:21" s="259" customFormat="1" ht="18" customHeight="1">
      <c r="A7" s="324"/>
      <c r="B7" s="253" t="s">
        <v>360</v>
      </c>
      <c r="C7" s="253">
        <v>2</v>
      </c>
      <c r="D7" s="254">
        <v>3622.5</v>
      </c>
      <c r="E7" s="254">
        <v>3627</v>
      </c>
      <c r="F7" s="254">
        <v>4.5</v>
      </c>
      <c r="G7" s="254">
        <v>165.93</v>
      </c>
      <c r="H7" s="254">
        <v>212.48</v>
      </c>
      <c r="I7" s="255">
        <v>6.64</v>
      </c>
      <c r="J7" s="256">
        <v>0.59199999999999997</v>
      </c>
      <c r="K7" s="254">
        <v>69.98</v>
      </c>
      <c r="L7" s="257" t="s">
        <v>159</v>
      </c>
      <c r="M7" s="324"/>
      <c r="N7" s="325"/>
      <c r="O7" s="257" t="s">
        <v>159</v>
      </c>
      <c r="P7" s="254">
        <v>3622.5</v>
      </c>
      <c r="Q7" s="254">
        <v>3627</v>
      </c>
      <c r="R7" s="254">
        <v>4.5</v>
      </c>
      <c r="S7" s="254"/>
      <c r="T7" s="258" t="s">
        <v>159</v>
      </c>
      <c r="U7" s="254">
        <v>4.5</v>
      </c>
    </row>
    <row r="8" spans="1:21" s="259" customFormat="1" ht="18" customHeight="1">
      <c r="A8" s="324"/>
      <c r="B8" s="253" t="s">
        <v>580</v>
      </c>
      <c r="C8" s="253"/>
      <c r="D8" s="254"/>
      <c r="E8" s="254"/>
      <c r="F8" s="254">
        <v>6.5</v>
      </c>
      <c r="G8" s="254"/>
      <c r="H8" s="254"/>
      <c r="I8" s="255">
        <v>6.82</v>
      </c>
      <c r="J8" s="256">
        <v>0.55000000000000004</v>
      </c>
      <c r="K8" s="254">
        <v>67.5</v>
      </c>
      <c r="L8" s="257" t="s">
        <v>159</v>
      </c>
      <c r="M8" s="253"/>
      <c r="N8" s="254"/>
      <c r="O8" s="257" t="s">
        <v>159</v>
      </c>
      <c r="P8" s="254"/>
      <c r="Q8" s="254"/>
      <c r="R8" s="254"/>
      <c r="S8" s="254"/>
      <c r="T8" s="258" t="s">
        <v>159</v>
      </c>
      <c r="U8" s="254">
        <v>6.5</v>
      </c>
    </row>
    <row r="9" spans="1:21" s="259" customFormat="1" ht="18" customHeight="1">
      <c r="A9" s="324" t="s">
        <v>399</v>
      </c>
      <c r="B9" s="253" t="s">
        <v>360</v>
      </c>
      <c r="C9" s="253">
        <v>1</v>
      </c>
      <c r="D9" s="254">
        <v>3636.13</v>
      </c>
      <c r="E9" s="254">
        <v>3638.5</v>
      </c>
      <c r="F9" s="254">
        <v>2.4</v>
      </c>
      <c r="G9" s="254">
        <v>39.56</v>
      </c>
      <c r="H9" s="254">
        <v>221.53</v>
      </c>
      <c r="I9" s="255">
        <v>6.8</v>
      </c>
      <c r="J9" s="256">
        <v>0.248</v>
      </c>
      <c r="K9" s="254">
        <v>50</v>
      </c>
      <c r="L9" s="257" t="s">
        <v>159</v>
      </c>
      <c r="M9" s="324">
        <v>17064</v>
      </c>
      <c r="N9" s="325">
        <v>21</v>
      </c>
      <c r="O9" s="257" t="s">
        <v>159</v>
      </c>
      <c r="P9" s="254">
        <v>3636.13</v>
      </c>
      <c r="Q9" s="254">
        <v>3638.5</v>
      </c>
      <c r="R9" s="254">
        <v>2.4</v>
      </c>
      <c r="S9" s="254"/>
      <c r="T9" s="258" t="s">
        <v>159</v>
      </c>
      <c r="U9" s="254">
        <v>2.4</v>
      </c>
    </row>
    <row r="10" spans="1:21" s="259" customFormat="1" ht="18" customHeight="1">
      <c r="A10" s="324"/>
      <c r="B10" s="253" t="s">
        <v>360</v>
      </c>
      <c r="C10" s="253">
        <v>2</v>
      </c>
      <c r="D10" s="254">
        <v>3640.63</v>
      </c>
      <c r="E10" s="254">
        <v>3642.5</v>
      </c>
      <c r="F10" s="254">
        <v>1.9</v>
      </c>
      <c r="G10" s="254">
        <v>62.79</v>
      </c>
      <c r="H10" s="254">
        <v>224.97</v>
      </c>
      <c r="I10" s="255">
        <v>7.38</v>
      </c>
      <c r="J10" s="256">
        <v>0.35599999999999998</v>
      </c>
      <c r="K10" s="254">
        <v>56.31</v>
      </c>
      <c r="L10" s="257" t="s">
        <v>159</v>
      </c>
      <c r="M10" s="324"/>
      <c r="N10" s="325"/>
      <c r="O10" s="257" t="s">
        <v>159</v>
      </c>
      <c r="P10" s="254">
        <v>3640.63</v>
      </c>
      <c r="Q10" s="254">
        <v>3642.5</v>
      </c>
      <c r="R10" s="254">
        <v>1.9</v>
      </c>
      <c r="S10" s="254"/>
      <c r="T10" s="258" t="s">
        <v>159</v>
      </c>
      <c r="U10" s="254">
        <v>1.9</v>
      </c>
    </row>
    <row r="11" spans="1:21" s="259" customFormat="1" ht="18" customHeight="1">
      <c r="A11" s="324"/>
      <c r="B11" s="253" t="s">
        <v>580</v>
      </c>
      <c r="C11" s="253"/>
      <c r="D11" s="254"/>
      <c r="E11" s="254"/>
      <c r="F11" s="254">
        <v>4.3</v>
      </c>
      <c r="G11" s="254"/>
      <c r="H11" s="254"/>
      <c r="I11" s="255">
        <v>7.09</v>
      </c>
      <c r="J11" s="256">
        <v>0.30199999999999999</v>
      </c>
      <c r="K11" s="254">
        <v>53.2</v>
      </c>
      <c r="L11" s="257" t="s">
        <v>159</v>
      </c>
      <c r="M11" s="253"/>
      <c r="N11" s="254"/>
      <c r="O11" s="257" t="s">
        <v>159</v>
      </c>
      <c r="P11" s="254"/>
      <c r="Q11" s="254"/>
      <c r="R11" s="254"/>
      <c r="S11" s="254"/>
      <c r="T11" s="258" t="s">
        <v>159</v>
      </c>
      <c r="U11" s="254">
        <v>4.3</v>
      </c>
    </row>
    <row r="12" spans="1:21" s="259" customFormat="1" ht="18" customHeight="1">
      <c r="A12" s="324" t="s">
        <v>412</v>
      </c>
      <c r="B12" s="253" t="s">
        <v>360</v>
      </c>
      <c r="C12" s="253">
        <v>1</v>
      </c>
      <c r="D12" s="254">
        <v>3594.88</v>
      </c>
      <c r="E12" s="254">
        <v>3599</v>
      </c>
      <c r="F12" s="254">
        <v>4.0999999999999996</v>
      </c>
      <c r="G12" s="254">
        <v>128.53</v>
      </c>
      <c r="H12" s="254">
        <v>223.86</v>
      </c>
      <c r="I12" s="255">
        <v>7.19</v>
      </c>
      <c r="J12" s="256">
        <v>0.52900000000000003</v>
      </c>
      <c r="K12" s="254">
        <v>63.8</v>
      </c>
      <c r="L12" s="257" t="s">
        <v>159</v>
      </c>
      <c r="M12" s="253">
        <v>60815</v>
      </c>
      <c r="N12" s="254"/>
      <c r="O12" s="257" t="s">
        <v>159</v>
      </c>
      <c r="P12" s="254">
        <v>3594.88</v>
      </c>
      <c r="Q12" s="254">
        <v>3599</v>
      </c>
      <c r="R12" s="254">
        <v>4.0999999999999996</v>
      </c>
      <c r="S12" s="254"/>
      <c r="T12" s="258" t="s">
        <v>159</v>
      </c>
      <c r="U12" s="254">
        <v>4.0999999999999996</v>
      </c>
    </row>
    <row r="13" spans="1:21" s="259" customFormat="1" ht="18" customHeight="1">
      <c r="A13" s="324"/>
      <c r="B13" s="253" t="s">
        <v>580</v>
      </c>
      <c r="C13" s="253"/>
      <c r="D13" s="254"/>
      <c r="E13" s="254"/>
      <c r="F13" s="254">
        <v>4.0999999999999996</v>
      </c>
      <c r="G13" s="254"/>
      <c r="H13" s="254"/>
      <c r="I13" s="255">
        <v>7.19</v>
      </c>
      <c r="J13" s="256">
        <v>0.52900000000000003</v>
      </c>
      <c r="K13" s="254">
        <v>63.8</v>
      </c>
      <c r="L13" s="257" t="s">
        <v>159</v>
      </c>
      <c r="M13" s="253"/>
      <c r="N13" s="254"/>
      <c r="O13" s="257" t="s">
        <v>159</v>
      </c>
      <c r="P13" s="254"/>
      <c r="Q13" s="254"/>
      <c r="R13" s="254"/>
      <c r="S13" s="254"/>
      <c r="T13" s="258" t="s">
        <v>159</v>
      </c>
      <c r="U13" s="254">
        <v>4.0999999999999996</v>
      </c>
    </row>
    <row r="14" spans="1:21" s="259" customFormat="1" ht="18" customHeight="1">
      <c r="A14" s="324" t="s">
        <v>553</v>
      </c>
      <c r="B14" s="253" t="s">
        <v>360</v>
      </c>
      <c r="C14" s="253">
        <v>1</v>
      </c>
      <c r="D14" s="254">
        <v>3570.13</v>
      </c>
      <c r="E14" s="254">
        <v>3574.25</v>
      </c>
      <c r="F14" s="254">
        <v>4.2</v>
      </c>
      <c r="G14" s="254">
        <v>93.47</v>
      </c>
      <c r="H14" s="254">
        <v>236.02</v>
      </c>
      <c r="I14" s="255">
        <v>9.1199999999999992</v>
      </c>
      <c r="J14" s="256">
        <v>0.51200000000000001</v>
      </c>
      <c r="K14" s="254">
        <v>54.5</v>
      </c>
      <c r="L14" s="257" t="s">
        <v>159</v>
      </c>
      <c r="M14" s="253">
        <v>61753</v>
      </c>
      <c r="N14" s="254"/>
      <c r="O14" s="257" t="s">
        <v>159</v>
      </c>
      <c r="P14" s="254">
        <v>3570.13</v>
      </c>
      <c r="Q14" s="254">
        <v>3574.25</v>
      </c>
      <c r="R14" s="254">
        <v>4.2</v>
      </c>
      <c r="S14" s="254"/>
      <c r="T14" s="258" t="s">
        <v>159</v>
      </c>
      <c r="U14" s="254">
        <v>4.2</v>
      </c>
    </row>
    <row r="15" spans="1:21" s="259" customFormat="1" ht="18" customHeight="1">
      <c r="A15" s="324"/>
      <c r="B15" s="253" t="s">
        <v>580</v>
      </c>
      <c r="C15" s="253"/>
      <c r="D15" s="254"/>
      <c r="E15" s="254"/>
      <c r="F15" s="254">
        <v>4.2</v>
      </c>
      <c r="G15" s="254"/>
      <c r="H15" s="254"/>
      <c r="I15" s="255">
        <v>9.1199999999999992</v>
      </c>
      <c r="J15" s="256">
        <v>0.51200000000000001</v>
      </c>
      <c r="K15" s="254">
        <v>54.5</v>
      </c>
      <c r="L15" s="257" t="s">
        <v>159</v>
      </c>
      <c r="M15" s="253"/>
      <c r="N15" s="254"/>
      <c r="O15" s="257" t="s">
        <v>159</v>
      </c>
      <c r="P15" s="254"/>
      <c r="Q15" s="254"/>
      <c r="R15" s="254"/>
      <c r="S15" s="254"/>
      <c r="T15" s="258" t="s">
        <v>159</v>
      </c>
      <c r="U15" s="254">
        <v>4.2</v>
      </c>
    </row>
    <row r="16" spans="1:21" s="259" customFormat="1" ht="18" customHeight="1">
      <c r="A16" s="324" t="s">
        <v>390</v>
      </c>
      <c r="B16" s="253" t="s">
        <v>360</v>
      </c>
      <c r="C16" s="253">
        <v>1</v>
      </c>
      <c r="D16" s="254">
        <v>3564.8</v>
      </c>
      <c r="E16" s="254">
        <v>3567</v>
      </c>
      <c r="F16" s="254">
        <v>2.2000000000000002</v>
      </c>
      <c r="G16" s="254">
        <v>36.32</v>
      </c>
      <c r="H16" s="254">
        <v>228.68</v>
      </c>
      <c r="I16" s="255">
        <v>8.75</v>
      </c>
      <c r="J16" s="256">
        <v>0.79200000000000004</v>
      </c>
      <c r="K16" s="254">
        <v>50.1</v>
      </c>
      <c r="L16" s="257" t="s">
        <v>159</v>
      </c>
      <c r="M16" s="324">
        <v>56116</v>
      </c>
      <c r="N16" s="325"/>
      <c r="O16" s="257" t="s">
        <v>159</v>
      </c>
      <c r="P16" s="254">
        <v>3564.8</v>
      </c>
      <c r="Q16" s="254">
        <v>3567</v>
      </c>
      <c r="R16" s="254">
        <v>2.2000000000000002</v>
      </c>
      <c r="S16" s="254"/>
      <c r="T16" s="258" t="s">
        <v>159</v>
      </c>
      <c r="U16" s="254">
        <v>2.2000000000000002</v>
      </c>
    </row>
    <row r="17" spans="1:21" s="259" customFormat="1" ht="18" customHeight="1">
      <c r="A17" s="324"/>
      <c r="B17" s="253" t="s">
        <v>360</v>
      </c>
      <c r="C17" s="253">
        <v>2</v>
      </c>
      <c r="D17" s="254">
        <v>3567</v>
      </c>
      <c r="E17" s="254">
        <v>3571.6</v>
      </c>
      <c r="F17" s="254">
        <v>4.5999999999999996</v>
      </c>
      <c r="G17" s="254">
        <v>77.459999999999994</v>
      </c>
      <c r="H17" s="254">
        <v>228.68</v>
      </c>
      <c r="I17" s="255">
        <v>8.75</v>
      </c>
      <c r="J17" s="256">
        <v>0.80400000000000005</v>
      </c>
      <c r="K17" s="254">
        <v>61.72</v>
      </c>
      <c r="L17" s="257" t="s">
        <v>159</v>
      </c>
      <c r="M17" s="324"/>
      <c r="N17" s="325"/>
      <c r="O17" s="257" t="s">
        <v>159</v>
      </c>
      <c r="P17" s="254">
        <v>3567</v>
      </c>
      <c r="Q17" s="254">
        <v>3571.6</v>
      </c>
      <c r="R17" s="254">
        <v>4.5999999999999996</v>
      </c>
      <c r="S17" s="254"/>
      <c r="T17" s="258" t="s">
        <v>159</v>
      </c>
      <c r="U17" s="254">
        <v>4.5999999999999996</v>
      </c>
    </row>
    <row r="18" spans="1:21" s="259" customFormat="1" ht="18" customHeight="1">
      <c r="A18" s="324"/>
      <c r="B18" s="253" t="s">
        <v>360</v>
      </c>
      <c r="C18" s="253">
        <v>3</v>
      </c>
      <c r="D18" s="254">
        <v>3573.4</v>
      </c>
      <c r="E18" s="254">
        <v>3575.3</v>
      </c>
      <c r="F18" s="254">
        <v>1.9</v>
      </c>
      <c r="G18" s="254">
        <v>40.81</v>
      </c>
      <c r="H18" s="254">
        <v>225.13</v>
      </c>
      <c r="I18" s="255">
        <v>8.17</v>
      </c>
      <c r="J18" s="256">
        <v>0.57699999999999996</v>
      </c>
      <c r="K18" s="254">
        <v>51.2</v>
      </c>
      <c r="L18" s="257" t="s">
        <v>159</v>
      </c>
      <c r="M18" s="324"/>
      <c r="N18" s="325"/>
      <c r="O18" s="257" t="s">
        <v>159</v>
      </c>
      <c r="P18" s="254">
        <v>3573.4</v>
      </c>
      <c r="Q18" s="254">
        <v>3575.3</v>
      </c>
      <c r="R18" s="254">
        <v>1.9</v>
      </c>
      <c r="S18" s="254"/>
      <c r="T18" s="258" t="s">
        <v>159</v>
      </c>
      <c r="U18" s="254">
        <v>1.9</v>
      </c>
    </row>
    <row r="19" spans="1:21" s="259" customFormat="1" ht="18" customHeight="1">
      <c r="A19" s="324"/>
      <c r="B19" s="253" t="s">
        <v>360</v>
      </c>
      <c r="C19" s="253">
        <v>4</v>
      </c>
      <c r="D19" s="254">
        <v>3575.3</v>
      </c>
      <c r="E19" s="254">
        <v>3585.7</v>
      </c>
      <c r="F19" s="254">
        <v>10.4</v>
      </c>
      <c r="G19" s="254">
        <v>81.56</v>
      </c>
      <c r="H19" s="254">
        <v>230.63</v>
      </c>
      <c r="I19" s="255">
        <v>8.99</v>
      </c>
      <c r="J19" s="256">
        <v>1.0920000000000001</v>
      </c>
      <c r="K19" s="254">
        <v>62.51</v>
      </c>
      <c r="L19" s="257" t="s">
        <v>159</v>
      </c>
      <c r="M19" s="324"/>
      <c r="N19" s="325"/>
      <c r="O19" s="257" t="s">
        <v>159</v>
      </c>
      <c r="P19" s="254">
        <v>3575.3</v>
      </c>
      <c r="Q19" s="254">
        <v>3585.7</v>
      </c>
      <c r="R19" s="254">
        <v>10.4</v>
      </c>
      <c r="S19" s="254"/>
      <c r="T19" s="258" t="s">
        <v>159</v>
      </c>
      <c r="U19" s="254">
        <v>10.4</v>
      </c>
    </row>
    <row r="20" spans="1:21" s="259" customFormat="1" ht="18" customHeight="1">
      <c r="A20" s="324"/>
      <c r="B20" s="253" t="s">
        <v>580</v>
      </c>
      <c r="C20" s="253"/>
      <c r="D20" s="254"/>
      <c r="E20" s="254"/>
      <c r="F20" s="254">
        <v>19.100000000000001</v>
      </c>
      <c r="G20" s="254"/>
      <c r="H20" s="254"/>
      <c r="I20" s="255">
        <v>8.67</v>
      </c>
      <c r="J20" s="256">
        <v>0.81599999999999995</v>
      </c>
      <c r="K20" s="254">
        <v>56.4</v>
      </c>
      <c r="L20" s="257" t="s">
        <v>159</v>
      </c>
      <c r="M20" s="253"/>
      <c r="N20" s="254"/>
      <c r="O20" s="257" t="s">
        <v>159</v>
      </c>
      <c r="P20" s="254"/>
      <c r="Q20" s="254"/>
      <c r="R20" s="254"/>
      <c r="S20" s="254"/>
      <c r="T20" s="258" t="s">
        <v>159</v>
      </c>
      <c r="U20" s="254">
        <v>19.100000000000001</v>
      </c>
    </row>
    <row r="21" spans="1:21" s="259" customFormat="1" ht="18" customHeight="1">
      <c r="A21" s="324" t="s">
        <v>359</v>
      </c>
      <c r="B21" s="253" t="s">
        <v>360</v>
      </c>
      <c r="C21" s="253">
        <v>1</v>
      </c>
      <c r="D21" s="254">
        <v>3618.75</v>
      </c>
      <c r="E21" s="254">
        <v>3620.75</v>
      </c>
      <c r="F21" s="254">
        <v>2</v>
      </c>
      <c r="G21" s="254">
        <v>168.76494666666667</v>
      </c>
      <c r="H21" s="254">
        <v>215.27014666666668</v>
      </c>
      <c r="I21" s="255">
        <v>6.063082333333333</v>
      </c>
      <c r="J21" s="256">
        <v>0.27401933866666667</v>
      </c>
      <c r="K21" s="254">
        <v>59.08765866666667</v>
      </c>
      <c r="L21" s="257" t="s">
        <v>159</v>
      </c>
      <c r="M21" s="324">
        <v>22384</v>
      </c>
      <c r="N21" s="325">
        <v>7.5</v>
      </c>
      <c r="O21" s="257" t="s">
        <v>159</v>
      </c>
      <c r="P21" s="254">
        <v>3618.75</v>
      </c>
      <c r="Q21" s="254">
        <v>3620.75</v>
      </c>
      <c r="R21" s="254">
        <v>2</v>
      </c>
      <c r="S21" s="254"/>
      <c r="T21" s="258" t="s">
        <v>159</v>
      </c>
      <c r="U21" s="254">
        <v>2</v>
      </c>
    </row>
    <row r="22" spans="1:21" s="259" customFormat="1" ht="18" customHeight="1">
      <c r="A22" s="324"/>
      <c r="B22" s="253" t="s">
        <v>360</v>
      </c>
      <c r="C22" s="253">
        <v>2</v>
      </c>
      <c r="D22" s="254">
        <v>3632.625</v>
      </c>
      <c r="E22" s="254">
        <v>3636.25</v>
      </c>
      <c r="F22" s="254">
        <v>3.625</v>
      </c>
      <c r="G22" s="254">
        <v>202.55034285714285</v>
      </c>
      <c r="H22" s="254">
        <v>219.14847142857144</v>
      </c>
      <c r="I22" s="255">
        <v>6.827286428571429</v>
      </c>
      <c r="J22" s="256">
        <v>1.8456825357142856</v>
      </c>
      <c r="K22" s="254">
        <v>67.256999285714286</v>
      </c>
      <c r="L22" s="257" t="s">
        <v>159</v>
      </c>
      <c r="M22" s="324"/>
      <c r="N22" s="325"/>
      <c r="O22" s="257" t="s">
        <v>159</v>
      </c>
      <c r="P22" s="254">
        <v>3632.625</v>
      </c>
      <c r="Q22" s="254">
        <v>3636.25</v>
      </c>
      <c r="R22" s="254">
        <v>3.625</v>
      </c>
      <c r="S22" s="254"/>
      <c r="T22" s="258" t="s">
        <v>159</v>
      </c>
      <c r="U22" s="254">
        <v>3.625</v>
      </c>
    </row>
    <row r="23" spans="1:21" s="259" customFormat="1" ht="18" customHeight="1">
      <c r="A23" s="324"/>
      <c r="B23" s="253" t="s">
        <v>580</v>
      </c>
      <c r="C23" s="253"/>
      <c r="D23" s="254"/>
      <c r="E23" s="254"/>
      <c r="F23" s="254">
        <v>5.6</v>
      </c>
      <c r="G23" s="254"/>
      <c r="H23" s="254"/>
      <c r="I23" s="255">
        <v>6.45</v>
      </c>
      <c r="J23" s="256">
        <v>1.06</v>
      </c>
      <c r="K23" s="254">
        <v>63.2</v>
      </c>
      <c r="L23" s="257" t="s">
        <v>159</v>
      </c>
      <c r="M23" s="253"/>
      <c r="N23" s="254"/>
      <c r="O23" s="257" t="s">
        <v>159</v>
      </c>
      <c r="P23" s="254"/>
      <c r="Q23" s="254"/>
      <c r="R23" s="254"/>
      <c r="S23" s="254"/>
      <c r="T23" s="258" t="s">
        <v>159</v>
      </c>
      <c r="U23" s="254">
        <v>5.6</v>
      </c>
    </row>
    <row r="24" spans="1:21" s="259" customFormat="1" ht="18" customHeight="1">
      <c r="A24" s="324" t="s">
        <v>420</v>
      </c>
      <c r="B24" s="253" t="s">
        <v>360</v>
      </c>
      <c r="C24" s="253">
        <v>1</v>
      </c>
      <c r="D24" s="254">
        <v>3659.8</v>
      </c>
      <c r="E24" s="254">
        <v>3662.8</v>
      </c>
      <c r="F24" s="254">
        <v>3</v>
      </c>
      <c r="G24" s="254">
        <v>43.552900000000001</v>
      </c>
      <c r="H24" s="254">
        <v>234.7</v>
      </c>
      <c r="I24" s="255">
        <v>9.1999999999999993</v>
      </c>
      <c r="J24" s="256">
        <v>0.44900000000000001</v>
      </c>
      <c r="K24" s="254">
        <v>63.5</v>
      </c>
      <c r="L24" s="257" t="s">
        <v>159</v>
      </c>
      <c r="M24" s="253">
        <v>789</v>
      </c>
      <c r="N24" s="254"/>
      <c r="O24" s="257" t="s">
        <v>159</v>
      </c>
      <c r="P24" s="254">
        <v>3659.8</v>
      </c>
      <c r="Q24" s="254">
        <v>3662.8</v>
      </c>
      <c r="R24" s="254">
        <v>3</v>
      </c>
      <c r="S24" s="254"/>
      <c r="T24" s="258" t="s">
        <v>159</v>
      </c>
      <c r="U24" s="254">
        <v>3</v>
      </c>
    </row>
    <row r="25" spans="1:21" s="259" customFormat="1" ht="18" customHeight="1">
      <c r="A25" s="324"/>
      <c r="B25" s="253" t="s">
        <v>580</v>
      </c>
      <c r="C25" s="253"/>
      <c r="D25" s="254"/>
      <c r="E25" s="254"/>
      <c r="F25" s="254">
        <v>3</v>
      </c>
      <c r="G25" s="254"/>
      <c r="H25" s="254"/>
      <c r="I25" s="255">
        <v>9.1999999999999993</v>
      </c>
      <c r="J25" s="256">
        <v>0.44900000000000001</v>
      </c>
      <c r="K25" s="254">
        <v>63.5</v>
      </c>
      <c r="L25" s="257" t="s">
        <v>159</v>
      </c>
      <c r="M25" s="253"/>
      <c r="N25" s="254"/>
      <c r="O25" s="257" t="s">
        <v>159</v>
      </c>
      <c r="P25" s="254"/>
      <c r="Q25" s="254"/>
      <c r="R25" s="254"/>
      <c r="S25" s="254"/>
      <c r="T25" s="258" t="s">
        <v>159</v>
      </c>
      <c r="U25" s="254">
        <v>3</v>
      </c>
    </row>
    <row r="26" spans="1:21" s="259" customFormat="1" ht="18" customHeight="1">
      <c r="A26" s="324" t="s">
        <v>558</v>
      </c>
      <c r="B26" s="253" t="s">
        <v>360</v>
      </c>
      <c r="C26" s="253">
        <v>1</v>
      </c>
      <c r="D26" s="254">
        <v>3711.7</v>
      </c>
      <c r="E26" s="254">
        <v>3716</v>
      </c>
      <c r="F26" s="254">
        <v>4.3000000000001819</v>
      </c>
      <c r="G26" s="254">
        <v>92.698466666666661</v>
      </c>
      <c r="H26" s="254">
        <v>220.9</v>
      </c>
      <c r="I26" s="255">
        <v>8.3000000000000007</v>
      </c>
      <c r="J26" s="256">
        <v>1.216</v>
      </c>
      <c r="K26" s="254">
        <v>57.1</v>
      </c>
      <c r="L26" s="257" t="s">
        <v>159</v>
      </c>
      <c r="M26" s="253">
        <v>41194</v>
      </c>
      <c r="N26" s="254"/>
      <c r="O26" s="257" t="s">
        <v>159</v>
      </c>
      <c r="P26" s="254">
        <v>3711.7</v>
      </c>
      <c r="Q26" s="254">
        <v>3716</v>
      </c>
      <c r="R26" s="254">
        <v>4.3</v>
      </c>
      <c r="S26" s="254"/>
      <c r="T26" s="258" t="s">
        <v>159</v>
      </c>
      <c r="U26" s="254">
        <v>4.3000000000001819</v>
      </c>
    </row>
    <row r="27" spans="1:21" s="259" customFormat="1" ht="18" customHeight="1">
      <c r="A27" s="324"/>
      <c r="B27" s="253" t="s">
        <v>580</v>
      </c>
      <c r="C27" s="253"/>
      <c r="D27" s="254"/>
      <c r="E27" s="254"/>
      <c r="F27" s="254">
        <v>4.3</v>
      </c>
      <c r="G27" s="254"/>
      <c r="H27" s="254"/>
      <c r="I27" s="255">
        <v>8.3000000000000007</v>
      </c>
      <c r="J27" s="256">
        <v>1.216</v>
      </c>
      <c r="K27" s="254">
        <v>57.1</v>
      </c>
      <c r="L27" s="257" t="s">
        <v>159</v>
      </c>
      <c r="M27" s="253"/>
      <c r="N27" s="254"/>
      <c r="O27" s="257" t="s">
        <v>159</v>
      </c>
      <c r="P27" s="254"/>
      <c r="Q27" s="254"/>
      <c r="R27" s="254"/>
      <c r="S27" s="254"/>
      <c r="T27" s="258" t="s">
        <v>159</v>
      </c>
      <c r="U27" s="254">
        <v>4.3</v>
      </c>
    </row>
    <row r="28" spans="1:21" s="259" customFormat="1" ht="18" customHeight="1">
      <c r="A28" s="324" t="s">
        <v>581</v>
      </c>
      <c r="B28" s="253" t="s">
        <v>360</v>
      </c>
      <c r="C28" s="253">
        <v>1</v>
      </c>
      <c r="D28" s="254">
        <v>3675.8</v>
      </c>
      <c r="E28" s="254">
        <v>3680.6</v>
      </c>
      <c r="F28" s="254">
        <v>4.8</v>
      </c>
      <c r="G28" s="254">
        <v>42.43</v>
      </c>
      <c r="H28" s="254">
        <v>255.25</v>
      </c>
      <c r="I28" s="255">
        <v>12.27</v>
      </c>
      <c r="J28" s="256">
        <v>1.0049999999999999</v>
      </c>
      <c r="K28" s="254">
        <v>61.16</v>
      </c>
      <c r="L28" s="257" t="s">
        <v>159</v>
      </c>
      <c r="M28" s="253">
        <v>41795</v>
      </c>
      <c r="N28" s="254"/>
      <c r="O28" s="257" t="s">
        <v>159</v>
      </c>
      <c r="P28" s="254">
        <v>3675.8</v>
      </c>
      <c r="Q28" s="254">
        <v>3680.6</v>
      </c>
      <c r="R28" s="254">
        <v>4.8</v>
      </c>
      <c r="S28" s="254"/>
      <c r="T28" s="258" t="s">
        <v>159</v>
      </c>
      <c r="U28" s="254">
        <v>4.8</v>
      </c>
    </row>
    <row r="29" spans="1:21" s="259" customFormat="1" ht="18" customHeight="1">
      <c r="A29" s="324"/>
      <c r="B29" s="253" t="s">
        <v>580</v>
      </c>
      <c r="C29" s="253"/>
      <c r="D29" s="254"/>
      <c r="E29" s="254"/>
      <c r="F29" s="254">
        <v>4.8</v>
      </c>
      <c r="G29" s="254"/>
      <c r="H29" s="254"/>
      <c r="I29" s="255">
        <v>12.27</v>
      </c>
      <c r="J29" s="256">
        <v>1.0049999999999999</v>
      </c>
      <c r="K29" s="254">
        <v>61.16</v>
      </c>
      <c r="L29" s="257" t="s">
        <v>159</v>
      </c>
      <c r="M29" s="253"/>
      <c r="N29" s="254"/>
      <c r="O29" s="257" t="s">
        <v>159</v>
      </c>
      <c r="P29" s="254"/>
      <c r="Q29" s="254"/>
      <c r="R29" s="254"/>
      <c r="S29" s="254"/>
      <c r="T29" s="258" t="s">
        <v>159</v>
      </c>
      <c r="U29" s="254">
        <v>4.8</v>
      </c>
    </row>
    <row r="30" spans="1:21" s="259" customFormat="1" ht="18" customHeight="1">
      <c r="A30" s="324" t="s">
        <v>384</v>
      </c>
      <c r="B30" s="253" t="s">
        <v>360</v>
      </c>
      <c r="C30" s="253">
        <v>1</v>
      </c>
      <c r="D30" s="254">
        <v>3673</v>
      </c>
      <c r="E30" s="254">
        <v>3674.4</v>
      </c>
      <c r="F30" s="254">
        <v>1.4</v>
      </c>
      <c r="G30" s="254">
        <v>89.857411764705887</v>
      </c>
      <c r="H30" s="254">
        <v>230.10005882352942</v>
      </c>
      <c r="I30" s="255">
        <v>7.6806414117647055</v>
      </c>
      <c r="J30" s="256">
        <v>0.56810617058823532</v>
      </c>
      <c r="K30" s="254">
        <v>62.953130000000002</v>
      </c>
      <c r="L30" s="257" t="s">
        <v>159</v>
      </c>
      <c r="M30" s="324">
        <v>4476</v>
      </c>
      <c r="N30" s="325"/>
      <c r="O30" s="257" t="s">
        <v>159</v>
      </c>
      <c r="P30" s="254">
        <v>3673</v>
      </c>
      <c r="Q30" s="254">
        <v>3674.4</v>
      </c>
      <c r="R30" s="254">
        <v>1.4</v>
      </c>
      <c r="S30" s="254"/>
      <c r="T30" s="258" t="s">
        <v>159</v>
      </c>
      <c r="U30" s="254">
        <v>1.4</v>
      </c>
    </row>
    <row r="31" spans="1:21" s="259" customFormat="1" ht="18" customHeight="1">
      <c r="A31" s="324"/>
      <c r="B31" s="253" t="s">
        <v>360</v>
      </c>
      <c r="C31" s="253">
        <v>2</v>
      </c>
      <c r="D31" s="254">
        <v>3693.5</v>
      </c>
      <c r="E31" s="254">
        <v>3695.4</v>
      </c>
      <c r="F31" s="254">
        <v>1.9</v>
      </c>
      <c r="G31" s="254">
        <v>115.4019375</v>
      </c>
      <c r="H31" s="254">
        <v>232.50756250000001</v>
      </c>
      <c r="I31" s="255">
        <v>8.8579205625000004</v>
      </c>
      <c r="J31" s="256">
        <v>0.40213270000000001</v>
      </c>
      <c r="K31" s="254">
        <v>69.973739374999994</v>
      </c>
      <c r="L31" s="257" t="s">
        <v>159</v>
      </c>
      <c r="M31" s="324"/>
      <c r="N31" s="325"/>
      <c r="O31" s="257" t="s">
        <v>159</v>
      </c>
      <c r="P31" s="254">
        <v>3693.5</v>
      </c>
      <c r="Q31" s="254">
        <v>3695.4</v>
      </c>
      <c r="R31" s="254">
        <v>1.9</v>
      </c>
      <c r="S31" s="254"/>
      <c r="T31" s="258" t="s">
        <v>159</v>
      </c>
      <c r="U31" s="254">
        <v>1.9</v>
      </c>
    </row>
    <row r="32" spans="1:21" s="259" customFormat="1" ht="18" customHeight="1">
      <c r="A32" s="324"/>
      <c r="B32" s="253" t="s">
        <v>580</v>
      </c>
      <c r="C32" s="253"/>
      <c r="D32" s="254"/>
      <c r="E32" s="254"/>
      <c r="F32" s="254">
        <v>3.3</v>
      </c>
      <c r="G32" s="254"/>
      <c r="H32" s="254"/>
      <c r="I32" s="255">
        <v>8.27</v>
      </c>
      <c r="J32" s="256">
        <v>0.48499999999999999</v>
      </c>
      <c r="K32" s="254">
        <v>66.5</v>
      </c>
      <c r="L32" s="257" t="s">
        <v>159</v>
      </c>
      <c r="M32" s="253"/>
      <c r="N32" s="254"/>
      <c r="O32" s="257" t="s">
        <v>159</v>
      </c>
      <c r="P32" s="254"/>
      <c r="Q32" s="254"/>
      <c r="R32" s="254"/>
      <c r="S32" s="254"/>
      <c r="T32" s="258" t="s">
        <v>159</v>
      </c>
      <c r="U32" s="254">
        <v>3.3</v>
      </c>
    </row>
    <row r="33" spans="1:21" s="259" customFormat="1" ht="18" customHeight="1">
      <c r="A33" s="324" t="s">
        <v>490</v>
      </c>
      <c r="B33" s="253" t="s">
        <v>360</v>
      </c>
      <c r="C33" s="253">
        <v>1</v>
      </c>
      <c r="D33" s="254">
        <v>3688.25</v>
      </c>
      <c r="E33" s="254">
        <v>3692.75</v>
      </c>
      <c r="F33" s="254">
        <v>4.5</v>
      </c>
      <c r="G33" s="254">
        <v>65.790000000000006</v>
      </c>
      <c r="H33" s="254">
        <v>234.04</v>
      </c>
      <c r="I33" s="255">
        <v>11.25</v>
      </c>
      <c r="J33" s="256">
        <v>1.28</v>
      </c>
      <c r="K33" s="254">
        <v>61.04</v>
      </c>
      <c r="L33" s="257" t="s">
        <v>159</v>
      </c>
      <c r="M33" s="324">
        <v>41050</v>
      </c>
      <c r="N33" s="325"/>
      <c r="O33" s="257" t="s">
        <v>159</v>
      </c>
      <c r="P33" s="254">
        <v>3688.25</v>
      </c>
      <c r="Q33" s="254">
        <v>3692.75</v>
      </c>
      <c r="R33" s="254">
        <v>4.5</v>
      </c>
      <c r="S33" s="254"/>
      <c r="T33" s="258" t="s">
        <v>159</v>
      </c>
      <c r="U33" s="254">
        <v>4.5</v>
      </c>
    </row>
    <row r="34" spans="1:21" s="259" customFormat="1" ht="18" customHeight="1">
      <c r="A34" s="324"/>
      <c r="B34" s="253" t="s">
        <v>360</v>
      </c>
      <c r="C34" s="253">
        <v>2</v>
      </c>
      <c r="D34" s="254">
        <v>3706.5</v>
      </c>
      <c r="E34" s="254">
        <v>3708.5</v>
      </c>
      <c r="F34" s="254">
        <v>2</v>
      </c>
      <c r="G34" s="254">
        <v>29.9</v>
      </c>
      <c r="H34" s="254">
        <v>235.23</v>
      </c>
      <c r="I34" s="255">
        <v>11.45</v>
      </c>
      <c r="J34" s="256">
        <v>1.286</v>
      </c>
      <c r="K34" s="254">
        <v>52.03</v>
      </c>
      <c r="L34" s="257" t="s">
        <v>159</v>
      </c>
      <c r="M34" s="324"/>
      <c r="N34" s="325"/>
      <c r="O34" s="257" t="s">
        <v>159</v>
      </c>
      <c r="P34" s="254">
        <v>3706.5</v>
      </c>
      <c r="Q34" s="254">
        <v>3708.5</v>
      </c>
      <c r="R34" s="254">
        <v>2</v>
      </c>
      <c r="S34" s="254"/>
      <c r="T34" s="258" t="s">
        <v>159</v>
      </c>
      <c r="U34" s="254">
        <v>2</v>
      </c>
    </row>
    <row r="35" spans="1:21" s="259" customFormat="1" ht="18" customHeight="1">
      <c r="A35" s="324"/>
      <c r="B35" s="253" t="s">
        <v>360</v>
      </c>
      <c r="C35" s="253">
        <v>3</v>
      </c>
      <c r="D35" s="254">
        <v>3711</v>
      </c>
      <c r="E35" s="254">
        <v>3713</v>
      </c>
      <c r="F35" s="254">
        <v>2</v>
      </c>
      <c r="G35" s="254">
        <v>26.88</v>
      </c>
      <c r="H35" s="254">
        <v>235.43</v>
      </c>
      <c r="I35" s="255">
        <v>11.48</v>
      </c>
      <c r="J35" s="256">
        <v>1.2889999999999999</v>
      </c>
      <c r="K35" s="254">
        <v>54.6</v>
      </c>
      <c r="L35" s="257" t="s">
        <v>159</v>
      </c>
      <c r="M35" s="324"/>
      <c r="N35" s="325"/>
      <c r="O35" s="257" t="s">
        <v>159</v>
      </c>
      <c r="P35" s="254">
        <v>3711</v>
      </c>
      <c r="Q35" s="254">
        <v>3713</v>
      </c>
      <c r="R35" s="254">
        <v>2</v>
      </c>
      <c r="S35" s="254"/>
      <c r="T35" s="258" t="s">
        <v>159</v>
      </c>
      <c r="U35" s="254">
        <v>2</v>
      </c>
    </row>
    <row r="36" spans="1:21" s="259" customFormat="1" ht="18" customHeight="1">
      <c r="A36" s="324"/>
      <c r="B36" s="253" t="s">
        <v>360</v>
      </c>
      <c r="C36" s="253">
        <v>4</v>
      </c>
      <c r="D36" s="254">
        <v>3716.63</v>
      </c>
      <c r="E36" s="254">
        <v>3718.75</v>
      </c>
      <c r="F36" s="254">
        <v>2.2000000000000002</v>
      </c>
      <c r="G36" s="254">
        <v>57.93</v>
      </c>
      <c r="H36" s="254">
        <v>239.23</v>
      </c>
      <c r="I36" s="255">
        <v>11.49</v>
      </c>
      <c r="J36" s="256">
        <v>1.64</v>
      </c>
      <c r="K36" s="254">
        <v>60.56</v>
      </c>
      <c r="L36" s="257" t="s">
        <v>159</v>
      </c>
      <c r="M36" s="324"/>
      <c r="N36" s="325"/>
      <c r="O36" s="257" t="s">
        <v>159</v>
      </c>
      <c r="P36" s="254">
        <v>3716.63</v>
      </c>
      <c r="Q36" s="254">
        <v>3718.75</v>
      </c>
      <c r="R36" s="254">
        <v>2.2000000000000002</v>
      </c>
      <c r="S36" s="254"/>
      <c r="T36" s="258" t="s">
        <v>159</v>
      </c>
      <c r="U36" s="254">
        <v>2.2000000000000002</v>
      </c>
    </row>
    <row r="37" spans="1:21" s="259" customFormat="1" ht="18" customHeight="1">
      <c r="A37" s="324"/>
      <c r="B37" s="253" t="s">
        <v>580</v>
      </c>
      <c r="C37" s="253"/>
      <c r="D37" s="254"/>
      <c r="E37" s="254"/>
      <c r="F37" s="254">
        <v>10.7</v>
      </c>
      <c r="G37" s="254"/>
      <c r="H37" s="254"/>
      <c r="I37" s="255">
        <v>11.42</v>
      </c>
      <c r="J37" s="256">
        <v>1.3740000000000001</v>
      </c>
      <c r="K37" s="254">
        <v>57.1</v>
      </c>
      <c r="L37" s="257" t="s">
        <v>159</v>
      </c>
      <c r="M37" s="253"/>
      <c r="N37" s="254"/>
      <c r="O37" s="257" t="s">
        <v>159</v>
      </c>
      <c r="P37" s="254"/>
      <c r="Q37" s="254"/>
      <c r="R37" s="254"/>
      <c r="S37" s="254"/>
      <c r="T37" s="258" t="s">
        <v>159</v>
      </c>
      <c r="U37" s="254">
        <v>10.7</v>
      </c>
    </row>
    <row r="38" spans="1:21" s="259" customFormat="1" ht="18" customHeight="1">
      <c r="A38" s="324" t="s">
        <v>426</v>
      </c>
      <c r="B38" s="253" t="s">
        <v>360</v>
      </c>
      <c r="C38" s="253">
        <v>1</v>
      </c>
      <c r="D38" s="254">
        <v>3695.875</v>
      </c>
      <c r="E38" s="254">
        <v>3698.5</v>
      </c>
      <c r="F38" s="254">
        <v>2.625</v>
      </c>
      <c r="G38" s="254">
        <v>32.063800000000001</v>
      </c>
      <c r="H38" s="254">
        <v>238.80064999999999</v>
      </c>
      <c r="I38" s="255">
        <v>8.5735126499999996</v>
      </c>
      <c r="J38" s="256">
        <v>0.64039025500000002</v>
      </c>
      <c r="K38" s="254">
        <v>53.6</v>
      </c>
      <c r="L38" s="257" t="s">
        <v>159</v>
      </c>
      <c r="M38" s="324">
        <v>22538</v>
      </c>
      <c r="N38" s="325"/>
      <c r="O38" s="257" t="s">
        <v>159</v>
      </c>
      <c r="P38" s="254">
        <v>3695.875</v>
      </c>
      <c r="Q38" s="254">
        <v>3698.5</v>
      </c>
      <c r="R38" s="254">
        <v>2.625</v>
      </c>
      <c r="S38" s="254"/>
      <c r="T38" s="258" t="s">
        <v>159</v>
      </c>
      <c r="U38" s="254">
        <v>2.625</v>
      </c>
    </row>
    <row r="39" spans="1:21" s="259" customFormat="1" ht="18" customHeight="1">
      <c r="A39" s="324"/>
      <c r="B39" s="253" t="s">
        <v>360</v>
      </c>
      <c r="C39" s="253">
        <v>2</v>
      </c>
      <c r="D39" s="254">
        <v>3700.625</v>
      </c>
      <c r="E39" s="254">
        <v>3702.125</v>
      </c>
      <c r="F39" s="254">
        <v>1.5</v>
      </c>
      <c r="G39" s="254">
        <v>42.12136363636364</v>
      </c>
      <c r="H39" s="254">
        <v>223.21318181818182</v>
      </c>
      <c r="I39" s="255">
        <v>6.2287174545454542</v>
      </c>
      <c r="J39" s="256">
        <v>0.20487026181818183</v>
      </c>
      <c r="K39" s="254">
        <v>50</v>
      </c>
      <c r="L39" s="257" t="s">
        <v>159</v>
      </c>
      <c r="M39" s="324"/>
      <c r="N39" s="325"/>
      <c r="O39" s="257" t="s">
        <v>159</v>
      </c>
      <c r="P39" s="254">
        <v>3700.625</v>
      </c>
      <c r="Q39" s="254">
        <v>3702.125</v>
      </c>
      <c r="R39" s="254">
        <v>1.5</v>
      </c>
      <c r="S39" s="254"/>
      <c r="T39" s="258" t="s">
        <v>159</v>
      </c>
      <c r="U39" s="254">
        <v>1.5</v>
      </c>
    </row>
    <row r="40" spans="1:21" s="259" customFormat="1" ht="18" customHeight="1">
      <c r="A40" s="324"/>
      <c r="B40" s="253" t="s">
        <v>580</v>
      </c>
      <c r="C40" s="253"/>
      <c r="D40" s="254"/>
      <c r="E40" s="254"/>
      <c r="F40" s="254">
        <v>4.0999999999999996</v>
      </c>
      <c r="G40" s="254"/>
      <c r="H40" s="254"/>
      <c r="I40" s="255">
        <v>7.4</v>
      </c>
      <c r="J40" s="256">
        <v>0.42299999999999999</v>
      </c>
      <c r="K40" s="254">
        <v>51.8</v>
      </c>
      <c r="L40" s="257" t="s">
        <v>159</v>
      </c>
      <c r="M40" s="253"/>
      <c r="N40" s="254"/>
      <c r="O40" s="257" t="s">
        <v>159</v>
      </c>
      <c r="P40" s="254"/>
      <c r="Q40" s="254"/>
      <c r="R40" s="254"/>
      <c r="S40" s="254"/>
      <c r="T40" s="258" t="s">
        <v>159</v>
      </c>
      <c r="U40" s="254">
        <v>4.0999999999999996</v>
      </c>
    </row>
    <row r="41" spans="1:21" s="259" customFormat="1" ht="18" customHeight="1">
      <c r="A41" s="324" t="s">
        <v>433</v>
      </c>
      <c r="B41" s="253" t="s">
        <v>360</v>
      </c>
      <c r="C41" s="253">
        <v>1</v>
      </c>
      <c r="D41" s="254">
        <v>3652.75</v>
      </c>
      <c r="E41" s="254">
        <v>3656.88</v>
      </c>
      <c r="F41" s="254">
        <v>4.0999999999999996</v>
      </c>
      <c r="G41" s="254">
        <v>93.1</v>
      </c>
      <c r="H41" s="254">
        <v>231.79</v>
      </c>
      <c r="I41" s="255">
        <v>8.4499999999999993</v>
      </c>
      <c r="J41" s="256">
        <v>0.56999999999999995</v>
      </c>
      <c r="K41" s="254">
        <v>68.3</v>
      </c>
      <c r="L41" s="257" t="s">
        <v>159</v>
      </c>
      <c r="M41" s="253">
        <v>25832</v>
      </c>
      <c r="N41" s="254"/>
      <c r="O41" s="257" t="s">
        <v>159</v>
      </c>
      <c r="P41" s="254">
        <v>3652.75</v>
      </c>
      <c r="Q41" s="254">
        <v>3656.88</v>
      </c>
      <c r="R41" s="254">
        <v>4.0999999999999996</v>
      </c>
      <c r="S41" s="254"/>
      <c r="T41" s="258" t="s">
        <v>159</v>
      </c>
      <c r="U41" s="254">
        <v>4.0999999999999996</v>
      </c>
    </row>
    <row r="42" spans="1:21" s="259" customFormat="1" ht="18" customHeight="1">
      <c r="A42" s="324"/>
      <c r="B42" s="253" t="s">
        <v>580</v>
      </c>
      <c r="C42" s="253"/>
      <c r="D42" s="254"/>
      <c r="E42" s="254"/>
      <c r="F42" s="254">
        <v>4.0999999999999996</v>
      </c>
      <c r="G42" s="254"/>
      <c r="H42" s="254"/>
      <c r="I42" s="255">
        <v>8.4499999999999993</v>
      </c>
      <c r="J42" s="256">
        <v>0.56999999999999995</v>
      </c>
      <c r="K42" s="254">
        <v>68.3</v>
      </c>
      <c r="L42" s="257" t="s">
        <v>159</v>
      </c>
      <c r="M42" s="253"/>
      <c r="N42" s="254"/>
      <c r="O42" s="257" t="s">
        <v>159</v>
      </c>
      <c r="P42" s="254"/>
      <c r="Q42" s="254"/>
      <c r="R42" s="254"/>
      <c r="S42" s="254"/>
      <c r="T42" s="258" t="s">
        <v>159</v>
      </c>
      <c r="U42" s="254">
        <v>4.0999999999999996</v>
      </c>
    </row>
    <row r="43" spans="1:21" s="259" customFormat="1" ht="18" customHeight="1">
      <c r="A43" s="324" t="s">
        <v>457</v>
      </c>
      <c r="B43" s="253" t="s">
        <v>360</v>
      </c>
      <c r="C43" s="253">
        <v>1</v>
      </c>
      <c r="D43" s="254">
        <v>3622.6</v>
      </c>
      <c r="E43" s="254">
        <v>3627.5</v>
      </c>
      <c r="F43" s="254">
        <v>4.9000000000000909</v>
      </c>
      <c r="G43" s="254">
        <v>259.87</v>
      </c>
      <c r="H43" s="254">
        <v>218.7</v>
      </c>
      <c r="I43" s="255">
        <v>7</v>
      </c>
      <c r="J43" s="256">
        <v>0.43</v>
      </c>
      <c r="K43" s="254">
        <v>62.6</v>
      </c>
      <c r="L43" s="257" t="s">
        <v>159</v>
      </c>
      <c r="M43" s="253">
        <v>19410</v>
      </c>
      <c r="N43" s="254"/>
      <c r="O43" s="257" t="s">
        <v>159</v>
      </c>
      <c r="P43" s="254">
        <v>3622.6</v>
      </c>
      <c r="Q43" s="254">
        <v>3627.5</v>
      </c>
      <c r="R43" s="254">
        <v>4.9000000000000004</v>
      </c>
      <c r="S43" s="254"/>
      <c r="T43" s="258" t="s">
        <v>159</v>
      </c>
      <c r="U43" s="254">
        <v>4.9000000000000909</v>
      </c>
    </row>
    <row r="44" spans="1:21" s="259" customFormat="1" ht="18" customHeight="1">
      <c r="A44" s="324"/>
      <c r="B44" s="253" t="s">
        <v>580</v>
      </c>
      <c r="C44" s="253"/>
      <c r="D44" s="254"/>
      <c r="E44" s="254"/>
      <c r="F44" s="254">
        <v>4.9000000000000004</v>
      </c>
      <c r="G44" s="254"/>
      <c r="H44" s="254"/>
      <c r="I44" s="255">
        <v>7</v>
      </c>
      <c r="J44" s="256">
        <v>0.43</v>
      </c>
      <c r="K44" s="254">
        <v>62.6</v>
      </c>
      <c r="L44" s="257" t="s">
        <v>159</v>
      </c>
      <c r="M44" s="253"/>
      <c r="N44" s="254"/>
      <c r="O44" s="257" t="s">
        <v>159</v>
      </c>
      <c r="P44" s="254"/>
      <c r="Q44" s="254"/>
      <c r="R44" s="254"/>
      <c r="S44" s="254"/>
      <c r="T44" s="258" t="s">
        <v>159</v>
      </c>
      <c r="U44" s="254">
        <v>4.9000000000000004</v>
      </c>
    </row>
    <row r="45" spans="1:21" s="259" customFormat="1" ht="18" customHeight="1">
      <c r="A45" s="324" t="s">
        <v>443</v>
      </c>
      <c r="B45" s="253" t="s">
        <v>360</v>
      </c>
      <c r="C45" s="253">
        <v>1</v>
      </c>
      <c r="D45" s="254">
        <v>3686.88</v>
      </c>
      <c r="E45" s="254">
        <v>3689</v>
      </c>
      <c r="F45" s="254">
        <v>2.1</v>
      </c>
      <c r="G45" s="254">
        <v>71.319999999999993</v>
      </c>
      <c r="H45" s="254">
        <v>223.13</v>
      </c>
      <c r="I45" s="255">
        <v>6.98</v>
      </c>
      <c r="J45" s="256">
        <v>0.4</v>
      </c>
      <c r="K45" s="254">
        <v>56.08</v>
      </c>
      <c r="L45" s="257" t="s">
        <v>159</v>
      </c>
      <c r="M45" s="324">
        <v>40868</v>
      </c>
      <c r="N45" s="325"/>
      <c r="O45" s="257" t="s">
        <v>159</v>
      </c>
      <c r="P45" s="254">
        <v>3686.88</v>
      </c>
      <c r="Q45" s="254">
        <v>3689</v>
      </c>
      <c r="R45" s="254">
        <v>2.1</v>
      </c>
      <c r="S45" s="254"/>
      <c r="T45" s="258" t="s">
        <v>159</v>
      </c>
      <c r="U45" s="254">
        <v>2.1</v>
      </c>
    </row>
    <row r="46" spans="1:21" s="259" customFormat="1" ht="18" customHeight="1">
      <c r="A46" s="324"/>
      <c r="B46" s="253" t="s">
        <v>360</v>
      </c>
      <c r="C46" s="253">
        <v>2</v>
      </c>
      <c r="D46" s="254">
        <v>3716.13</v>
      </c>
      <c r="E46" s="254">
        <v>3722.75</v>
      </c>
      <c r="F46" s="254">
        <v>6.7</v>
      </c>
      <c r="G46" s="254">
        <v>74.16</v>
      </c>
      <c r="H46" s="254">
        <v>243.01</v>
      </c>
      <c r="I46" s="255">
        <v>10.18</v>
      </c>
      <c r="J46" s="256">
        <v>0.82</v>
      </c>
      <c r="K46" s="254">
        <v>70.72</v>
      </c>
      <c r="L46" s="257" t="s">
        <v>159</v>
      </c>
      <c r="M46" s="324"/>
      <c r="N46" s="325"/>
      <c r="O46" s="257" t="s">
        <v>159</v>
      </c>
      <c r="P46" s="254">
        <v>3716.13</v>
      </c>
      <c r="Q46" s="254">
        <v>3722.75</v>
      </c>
      <c r="R46" s="254">
        <v>6.7</v>
      </c>
      <c r="S46" s="254"/>
      <c r="T46" s="258" t="s">
        <v>159</v>
      </c>
      <c r="U46" s="254">
        <v>6.7</v>
      </c>
    </row>
    <row r="47" spans="1:21" s="259" customFormat="1" ht="18" customHeight="1">
      <c r="A47" s="324"/>
      <c r="B47" s="253" t="s">
        <v>580</v>
      </c>
      <c r="C47" s="253"/>
      <c r="D47" s="254"/>
      <c r="E47" s="254"/>
      <c r="F47" s="254">
        <v>8.8000000000000007</v>
      </c>
      <c r="G47" s="254"/>
      <c r="H47" s="254"/>
      <c r="I47" s="255">
        <v>8.58</v>
      </c>
      <c r="J47" s="256">
        <v>0.61</v>
      </c>
      <c r="K47" s="254">
        <v>63.4</v>
      </c>
      <c r="L47" s="257" t="s">
        <v>159</v>
      </c>
      <c r="M47" s="253"/>
      <c r="N47" s="254"/>
      <c r="O47" s="257" t="s">
        <v>159</v>
      </c>
      <c r="P47" s="254"/>
      <c r="Q47" s="254"/>
      <c r="R47" s="254"/>
      <c r="S47" s="254"/>
      <c r="T47" s="258" t="s">
        <v>159</v>
      </c>
      <c r="U47" s="254">
        <v>8.8000000000000007</v>
      </c>
    </row>
    <row r="48" spans="1:21" s="259" customFormat="1" ht="18" customHeight="1">
      <c r="A48" s="324" t="s">
        <v>582</v>
      </c>
      <c r="B48" s="253" t="s">
        <v>360</v>
      </c>
      <c r="C48" s="253">
        <v>1</v>
      </c>
      <c r="D48" s="254">
        <v>3711.3</v>
      </c>
      <c r="E48" s="254">
        <v>3715</v>
      </c>
      <c r="F48" s="254">
        <v>3.6999999999998181</v>
      </c>
      <c r="G48" s="254">
        <v>56.88</v>
      </c>
      <c r="H48" s="254">
        <v>214.76</v>
      </c>
      <c r="I48" s="255">
        <v>5.78</v>
      </c>
      <c r="J48" s="256">
        <v>0.11899999999999999</v>
      </c>
      <c r="K48" s="254">
        <v>52.9</v>
      </c>
      <c r="L48" s="257" t="s">
        <v>159</v>
      </c>
      <c r="M48" s="324">
        <v>10030</v>
      </c>
      <c r="N48" s="325"/>
      <c r="O48" s="257" t="s">
        <v>159</v>
      </c>
      <c r="P48" s="254">
        <v>3711.3</v>
      </c>
      <c r="Q48" s="254">
        <v>3715</v>
      </c>
      <c r="R48" s="254">
        <v>3.6999999999998181</v>
      </c>
      <c r="S48" s="254"/>
      <c r="T48" s="258" t="s">
        <v>159</v>
      </c>
      <c r="U48" s="254">
        <v>3.6999999999998181</v>
      </c>
    </row>
    <row r="49" spans="1:21" s="259" customFormat="1" ht="18" customHeight="1">
      <c r="A49" s="324"/>
      <c r="B49" s="253" t="s">
        <v>360</v>
      </c>
      <c r="C49" s="253">
        <v>2</v>
      </c>
      <c r="D49" s="254">
        <v>3715.75</v>
      </c>
      <c r="E49" s="254">
        <v>3716.75</v>
      </c>
      <c r="F49" s="254">
        <v>1</v>
      </c>
      <c r="G49" s="254">
        <v>169.17</v>
      </c>
      <c r="H49" s="254">
        <v>216.93</v>
      </c>
      <c r="I49" s="255">
        <v>6.15</v>
      </c>
      <c r="J49" s="256">
        <v>0.123</v>
      </c>
      <c r="K49" s="254">
        <v>50.6</v>
      </c>
      <c r="L49" s="257" t="s">
        <v>159</v>
      </c>
      <c r="M49" s="324"/>
      <c r="N49" s="325"/>
      <c r="O49" s="257" t="s">
        <v>159</v>
      </c>
      <c r="P49" s="254">
        <v>3715.75</v>
      </c>
      <c r="Q49" s="254">
        <v>3716.75</v>
      </c>
      <c r="R49" s="254">
        <v>1</v>
      </c>
      <c r="S49" s="254"/>
      <c r="T49" s="258" t="s">
        <v>159</v>
      </c>
      <c r="U49" s="254">
        <v>1</v>
      </c>
    </row>
    <row r="50" spans="1:21" s="259" customFormat="1" ht="18" customHeight="1">
      <c r="A50" s="324"/>
      <c r="B50" s="253" t="s">
        <v>580</v>
      </c>
      <c r="C50" s="253"/>
      <c r="D50" s="254"/>
      <c r="E50" s="254"/>
      <c r="F50" s="254">
        <v>4.7</v>
      </c>
      <c r="G50" s="254"/>
      <c r="H50" s="254"/>
      <c r="I50" s="255">
        <v>5.97</v>
      </c>
      <c r="J50" s="256">
        <v>0.121</v>
      </c>
      <c r="K50" s="254">
        <v>51.8</v>
      </c>
      <c r="L50" s="257" t="s">
        <v>159</v>
      </c>
      <c r="M50" s="253"/>
      <c r="N50" s="254"/>
      <c r="O50" s="257" t="s">
        <v>159</v>
      </c>
      <c r="P50" s="254"/>
      <c r="Q50" s="254"/>
      <c r="R50" s="254"/>
      <c r="S50" s="254"/>
      <c r="T50" s="258" t="s">
        <v>159</v>
      </c>
      <c r="U50" s="254">
        <v>4.7</v>
      </c>
    </row>
    <row r="51" spans="1:21" s="259" customFormat="1" ht="18" customHeight="1">
      <c r="A51" s="324" t="s">
        <v>463</v>
      </c>
      <c r="B51" s="253" t="s">
        <v>360</v>
      </c>
      <c r="C51" s="253">
        <v>1</v>
      </c>
      <c r="D51" s="254">
        <v>3643.75</v>
      </c>
      <c r="E51" s="254">
        <v>3646.375</v>
      </c>
      <c r="F51" s="254">
        <v>2.625</v>
      </c>
      <c r="G51" s="254">
        <v>106.12298714285714</v>
      </c>
      <c r="H51" s="254">
        <v>212.78778095238096</v>
      </c>
      <c r="I51" s="255">
        <v>5.3888112000000001</v>
      </c>
      <c r="J51" s="256">
        <v>0.17848937649999999</v>
      </c>
      <c r="K51" s="254">
        <v>60.733252999999998</v>
      </c>
      <c r="L51" s="257" t="s">
        <v>159</v>
      </c>
      <c r="M51" s="324">
        <v>43716</v>
      </c>
      <c r="N51" s="325"/>
      <c r="O51" s="257" t="s">
        <v>159</v>
      </c>
      <c r="P51" s="254">
        <v>3643.75</v>
      </c>
      <c r="Q51" s="254">
        <v>3646.375</v>
      </c>
      <c r="R51" s="254">
        <v>2.625</v>
      </c>
      <c r="S51" s="254"/>
      <c r="T51" s="258" t="s">
        <v>159</v>
      </c>
      <c r="U51" s="254">
        <v>2.625</v>
      </c>
    </row>
    <row r="52" spans="1:21" s="259" customFormat="1" ht="18" customHeight="1">
      <c r="A52" s="324"/>
      <c r="B52" s="253" t="s">
        <v>360</v>
      </c>
      <c r="C52" s="253">
        <v>2</v>
      </c>
      <c r="D52" s="254">
        <v>3649.75</v>
      </c>
      <c r="E52" s="254">
        <v>3652.125</v>
      </c>
      <c r="F52" s="254">
        <v>2.375</v>
      </c>
      <c r="G52" s="254">
        <v>87.165672631578943</v>
      </c>
      <c r="H52" s="254">
        <v>222.9857842105263</v>
      </c>
      <c r="I52" s="255">
        <v>7.1710323333333337</v>
      </c>
      <c r="J52" s="256">
        <v>0.3195003938888889</v>
      </c>
      <c r="K52" s="254">
        <v>66.336376666666666</v>
      </c>
      <c r="L52" s="257" t="s">
        <v>159</v>
      </c>
      <c r="M52" s="324"/>
      <c r="N52" s="325"/>
      <c r="O52" s="257" t="s">
        <v>159</v>
      </c>
      <c r="P52" s="254">
        <v>3649.75</v>
      </c>
      <c r="Q52" s="254">
        <v>3652.125</v>
      </c>
      <c r="R52" s="254">
        <v>2.375</v>
      </c>
      <c r="S52" s="254"/>
      <c r="T52" s="258" t="s">
        <v>159</v>
      </c>
      <c r="U52" s="254">
        <v>2.375</v>
      </c>
    </row>
    <row r="53" spans="1:21" s="259" customFormat="1" ht="18" customHeight="1">
      <c r="A53" s="324"/>
      <c r="B53" s="253" t="s">
        <v>580</v>
      </c>
      <c r="C53" s="253"/>
      <c r="D53" s="254"/>
      <c r="E53" s="254"/>
      <c r="F53" s="254">
        <v>5</v>
      </c>
      <c r="G53" s="254"/>
      <c r="H53" s="254"/>
      <c r="I53" s="255">
        <v>6.28</v>
      </c>
      <c r="J53" s="256">
        <v>0.249</v>
      </c>
      <c r="K53" s="254">
        <v>63.5</v>
      </c>
      <c r="L53" s="257" t="s">
        <v>159</v>
      </c>
      <c r="M53" s="253"/>
      <c r="N53" s="254"/>
      <c r="O53" s="257" t="s">
        <v>159</v>
      </c>
      <c r="P53" s="254"/>
      <c r="Q53" s="254"/>
      <c r="R53" s="254"/>
      <c r="S53" s="254"/>
      <c r="T53" s="258" t="s">
        <v>159</v>
      </c>
      <c r="U53" s="254">
        <v>5</v>
      </c>
    </row>
    <row r="54" spans="1:21" s="259" customFormat="1" ht="18" customHeight="1">
      <c r="A54" s="324" t="s">
        <v>496</v>
      </c>
      <c r="B54" s="253" t="s">
        <v>360</v>
      </c>
      <c r="C54" s="253">
        <v>1</v>
      </c>
      <c r="D54" s="254">
        <v>3668.63</v>
      </c>
      <c r="E54" s="254">
        <v>3677.5</v>
      </c>
      <c r="F54" s="254">
        <v>8.9</v>
      </c>
      <c r="G54" s="254">
        <v>72.239999999999995</v>
      </c>
      <c r="H54" s="254">
        <v>233.2</v>
      </c>
      <c r="I54" s="255">
        <v>8.68</v>
      </c>
      <c r="J54" s="256">
        <v>0.42599999999999999</v>
      </c>
      <c r="K54" s="254">
        <v>63</v>
      </c>
      <c r="L54" s="257" t="s">
        <v>159</v>
      </c>
      <c r="M54" s="253">
        <v>47352</v>
      </c>
      <c r="N54" s="254"/>
      <c r="O54" s="257" t="s">
        <v>159</v>
      </c>
      <c r="P54" s="254">
        <v>3668.63</v>
      </c>
      <c r="Q54" s="254">
        <v>3677.5</v>
      </c>
      <c r="R54" s="254">
        <v>8.9</v>
      </c>
      <c r="S54" s="254"/>
      <c r="T54" s="258" t="s">
        <v>159</v>
      </c>
      <c r="U54" s="254">
        <v>8.9</v>
      </c>
    </row>
    <row r="55" spans="1:21" s="259" customFormat="1" ht="18" customHeight="1">
      <c r="A55" s="324"/>
      <c r="B55" s="253" t="s">
        <v>580</v>
      </c>
      <c r="C55" s="253"/>
      <c r="D55" s="254"/>
      <c r="E55" s="254"/>
      <c r="F55" s="254">
        <v>8.9</v>
      </c>
      <c r="G55" s="254"/>
      <c r="H55" s="254"/>
      <c r="I55" s="255">
        <v>8.68</v>
      </c>
      <c r="J55" s="256">
        <v>0.42599999999999999</v>
      </c>
      <c r="K55" s="254">
        <v>63</v>
      </c>
      <c r="L55" s="257" t="s">
        <v>159</v>
      </c>
      <c r="M55" s="253"/>
      <c r="N55" s="254"/>
      <c r="O55" s="257" t="s">
        <v>159</v>
      </c>
      <c r="P55" s="254"/>
      <c r="Q55" s="254"/>
      <c r="R55" s="254"/>
      <c r="S55" s="254"/>
      <c r="T55" s="258" t="s">
        <v>159</v>
      </c>
      <c r="U55" s="254">
        <v>8.9</v>
      </c>
    </row>
    <row r="56" spans="1:21" s="259" customFormat="1" ht="18" customHeight="1">
      <c r="A56" s="324" t="s">
        <v>438</v>
      </c>
      <c r="B56" s="253" t="s">
        <v>360</v>
      </c>
      <c r="C56" s="253">
        <v>1</v>
      </c>
      <c r="D56" s="254">
        <v>3708.38</v>
      </c>
      <c r="E56" s="254">
        <v>3710.38</v>
      </c>
      <c r="F56" s="254">
        <v>2</v>
      </c>
      <c r="G56" s="254">
        <v>91.21</v>
      </c>
      <c r="H56" s="254">
        <v>227.54</v>
      </c>
      <c r="I56" s="255">
        <v>7.28</v>
      </c>
      <c r="J56" s="256">
        <v>0.33300000000000002</v>
      </c>
      <c r="K56" s="254">
        <v>57.67</v>
      </c>
      <c r="L56" s="257" t="s">
        <v>159</v>
      </c>
      <c r="M56" s="324">
        <v>22473</v>
      </c>
      <c r="N56" s="254"/>
      <c r="O56" s="257" t="s">
        <v>159</v>
      </c>
      <c r="P56" s="254">
        <v>3708.38</v>
      </c>
      <c r="Q56" s="254">
        <v>3710.38</v>
      </c>
      <c r="R56" s="254">
        <v>2</v>
      </c>
      <c r="S56" s="254"/>
      <c r="T56" s="258" t="s">
        <v>159</v>
      </c>
      <c r="U56" s="254">
        <v>2</v>
      </c>
    </row>
    <row r="57" spans="1:21" s="259" customFormat="1" ht="18" customHeight="1">
      <c r="A57" s="324"/>
      <c r="B57" s="253" t="s">
        <v>360</v>
      </c>
      <c r="C57" s="253">
        <v>2</v>
      </c>
      <c r="D57" s="254">
        <v>3713.13</v>
      </c>
      <c r="E57" s="254">
        <v>3715</v>
      </c>
      <c r="F57" s="254">
        <v>1.9</v>
      </c>
      <c r="G57" s="254">
        <v>93.96</v>
      </c>
      <c r="H57" s="254">
        <v>219.53</v>
      </c>
      <c r="I57" s="255">
        <v>5.69</v>
      </c>
      <c r="J57" s="256">
        <v>0.193</v>
      </c>
      <c r="K57" s="254">
        <v>53</v>
      </c>
      <c r="L57" s="257" t="s">
        <v>159</v>
      </c>
      <c r="M57" s="324"/>
      <c r="N57" s="254"/>
      <c r="O57" s="257" t="s">
        <v>159</v>
      </c>
      <c r="P57" s="254">
        <v>3713.13</v>
      </c>
      <c r="Q57" s="254">
        <v>3715</v>
      </c>
      <c r="R57" s="254">
        <v>1.9</v>
      </c>
      <c r="S57" s="254"/>
      <c r="T57" s="258" t="s">
        <v>159</v>
      </c>
      <c r="U57" s="254">
        <v>1.9</v>
      </c>
    </row>
    <row r="58" spans="1:21" s="259" customFormat="1" ht="18" customHeight="1">
      <c r="A58" s="324"/>
      <c r="B58" s="253" t="s">
        <v>360</v>
      </c>
      <c r="C58" s="253">
        <v>3</v>
      </c>
      <c r="D58" s="254">
        <v>3718</v>
      </c>
      <c r="E58" s="254">
        <v>3722.13</v>
      </c>
      <c r="F58" s="254">
        <v>4.0999999999999996</v>
      </c>
      <c r="G58" s="254">
        <v>147.71</v>
      </c>
      <c r="H58" s="254">
        <v>233.6</v>
      </c>
      <c r="I58" s="255">
        <v>8.1300000000000008</v>
      </c>
      <c r="J58" s="256">
        <v>0.54200000000000004</v>
      </c>
      <c r="K58" s="254">
        <v>61.44</v>
      </c>
      <c r="L58" s="257" t="s">
        <v>159</v>
      </c>
      <c r="M58" s="324"/>
      <c r="N58" s="254"/>
      <c r="O58" s="257" t="s">
        <v>159</v>
      </c>
      <c r="P58" s="254">
        <v>3718</v>
      </c>
      <c r="Q58" s="254">
        <v>3722.13</v>
      </c>
      <c r="R58" s="254">
        <v>4.0999999999999996</v>
      </c>
      <c r="S58" s="254"/>
      <c r="T58" s="258" t="s">
        <v>159</v>
      </c>
      <c r="U58" s="254">
        <v>4.0999999999999996</v>
      </c>
    </row>
    <row r="59" spans="1:21" s="259" customFormat="1" ht="18" customHeight="1">
      <c r="A59" s="324"/>
      <c r="B59" s="253" t="s">
        <v>580</v>
      </c>
      <c r="C59" s="253"/>
      <c r="D59" s="254"/>
      <c r="E59" s="254"/>
      <c r="F59" s="254">
        <v>8</v>
      </c>
      <c r="G59" s="254"/>
      <c r="H59" s="254"/>
      <c r="I59" s="255">
        <v>7.03</v>
      </c>
      <c r="J59" s="256">
        <v>0.35599999999999998</v>
      </c>
      <c r="K59" s="254">
        <v>57.4</v>
      </c>
      <c r="L59" s="257" t="s">
        <v>159</v>
      </c>
      <c r="M59" s="253"/>
      <c r="N59" s="254"/>
      <c r="O59" s="257" t="s">
        <v>159</v>
      </c>
      <c r="P59" s="254"/>
      <c r="Q59" s="254"/>
      <c r="R59" s="254"/>
      <c r="S59" s="254"/>
      <c r="T59" s="258"/>
      <c r="U59" s="254">
        <v>8</v>
      </c>
    </row>
    <row r="60" spans="1:21" s="259" customFormat="1" ht="18" customHeight="1">
      <c r="A60" s="324" t="s">
        <v>466</v>
      </c>
      <c r="B60" s="253" t="s">
        <v>360</v>
      </c>
      <c r="C60" s="253">
        <v>1</v>
      </c>
      <c r="D60" s="254">
        <v>3630.3</v>
      </c>
      <c r="E60" s="254">
        <v>3634.1</v>
      </c>
      <c r="F60" s="254">
        <v>3.7999999999997272</v>
      </c>
      <c r="G60" s="254">
        <v>52.52</v>
      </c>
      <c r="H60" s="254">
        <v>223</v>
      </c>
      <c r="I60" s="255">
        <v>8.1</v>
      </c>
      <c r="J60" s="256">
        <v>0.38900000000000001</v>
      </c>
      <c r="K60" s="254">
        <v>56</v>
      </c>
      <c r="L60" s="257" t="s">
        <v>159</v>
      </c>
      <c r="M60" s="253">
        <v>41849</v>
      </c>
      <c r="N60" s="254"/>
      <c r="O60" s="257" t="s">
        <v>159</v>
      </c>
      <c r="P60" s="254">
        <v>3630.3</v>
      </c>
      <c r="Q60" s="254">
        <v>3634.1</v>
      </c>
      <c r="R60" s="254">
        <v>3.8</v>
      </c>
      <c r="S60" s="254"/>
      <c r="T60" s="258" t="s">
        <v>159</v>
      </c>
      <c r="U60" s="254">
        <v>3.7999999999997272</v>
      </c>
    </row>
    <row r="61" spans="1:21" s="259" customFormat="1" ht="18" customHeight="1">
      <c r="A61" s="324"/>
      <c r="B61" s="253" t="s">
        <v>580</v>
      </c>
      <c r="C61" s="253"/>
      <c r="D61" s="254"/>
      <c r="E61" s="254"/>
      <c r="F61" s="254">
        <v>3.8</v>
      </c>
      <c r="G61" s="254"/>
      <c r="H61" s="254"/>
      <c r="I61" s="255">
        <v>8.1</v>
      </c>
      <c r="J61" s="256">
        <v>0.38900000000000001</v>
      </c>
      <c r="K61" s="254">
        <v>56</v>
      </c>
      <c r="L61" s="257" t="s">
        <v>159</v>
      </c>
      <c r="M61" s="253"/>
      <c r="N61" s="254"/>
      <c r="O61" s="257" t="s">
        <v>159</v>
      </c>
      <c r="P61" s="254"/>
      <c r="Q61" s="254"/>
      <c r="R61" s="254"/>
      <c r="S61" s="254"/>
      <c r="T61" s="258" t="s">
        <v>159</v>
      </c>
      <c r="U61" s="254">
        <v>3.8</v>
      </c>
    </row>
    <row r="62" spans="1:21" s="259" customFormat="1" ht="18" customHeight="1">
      <c r="A62" s="324" t="s">
        <v>583</v>
      </c>
      <c r="B62" s="253" t="s">
        <v>360</v>
      </c>
      <c r="C62" s="253">
        <v>1</v>
      </c>
      <c r="D62" s="254">
        <v>3643.1</v>
      </c>
      <c r="E62" s="254">
        <v>3646.4</v>
      </c>
      <c r="F62" s="254">
        <v>3.3000000000001819</v>
      </c>
      <c r="G62" s="254">
        <v>86.69</v>
      </c>
      <c r="H62" s="254">
        <v>239.3</v>
      </c>
      <c r="I62" s="255">
        <v>9.65</v>
      </c>
      <c r="J62" s="256">
        <v>0.46800000000000003</v>
      </c>
      <c r="K62" s="254">
        <v>73</v>
      </c>
      <c r="L62" s="257" t="s">
        <v>159</v>
      </c>
      <c r="M62" s="253">
        <v>11682</v>
      </c>
      <c r="N62" s="254"/>
      <c r="O62" s="257" t="s">
        <v>159</v>
      </c>
      <c r="P62" s="254">
        <v>3643.1</v>
      </c>
      <c r="Q62" s="254">
        <v>3646.4</v>
      </c>
      <c r="R62" s="254">
        <v>3.3</v>
      </c>
      <c r="S62" s="254"/>
      <c r="T62" s="258" t="s">
        <v>159</v>
      </c>
      <c r="U62" s="254">
        <v>3.3000000000001819</v>
      </c>
    </row>
    <row r="63" spans="1:21" s="259" customFormat="1" ht="18" customHeight="1">
      <c r="A63" s="324"/>
      <c r="B63" s="253" t="s">
        <v>580</v>
      </c>
      <c r="C63" s="253"/>
      <c r="D63" s="254"/>
      <c r="E63" s="254"/>
      <c r="F63" s="254">
        <v>3.3</v>
      </c>
      <c r="G63" s="254"/>
      <c r="H63" s="254"/>
      <c r="I63" s="255">
        <v>9.65</v>
      </c>
      <c r="J63" s="256">
        <v>0.46800000000000003</v>
      </c>
      <c r="K63" s="254">
        <v>73</v>
      </c>
      <c r="L63" s="257" t="s">
        <v>159</v>
      </c>
      <c r="M63" s="253"/>
      <c r="N63" s="254"/>
      <c r="O63" s="257" t="s">
        <v>159</v>
      </c>
      <c r="P63" s="254"/>
      <c r="Q63" s="254"/>
      <c r="R63" s="254"/>
      <c r="S63" s="254"/>
      <c r="T63" s="258" t="s">
        <v>159</v>
      </c>
      <c r="U63" s="254">
        <v>3.3</v>
      </c>
    </row>
    <row r="64" spans="1:21" s="259" customFormat="1" ht="18" customHeight="1">
      <c r="A64" s="324" t="s">
        <v>469</v>
      </c>
      <c r="B64" s="253" t="s">
        <v>360</v>
      </c>
      <c r="C64" s="253">
        <v>1</v>
      </c>
      <c r="D64" s="254">
        <v>3683.2</v>
      </c>
      <c r="E64" s="254">
        <v>3688</v>
      </c>
      <c r="F64" s="254">
        <v>4.8000000000001819</v>
      </c>
      <c r="G64" s="254">
        <v>70.53</v>
      </c>
      <c r="H64" s="254">
        <v>222.8</v>
      </c>
      <c r="I64" s="255">
        <v>6.29</v>
      </c>
      <c r="J64" s="256">
        <v>0.36599999999999999</v>
      </c>
      <c r="K64" s="254">
        <v>53.5</v>
      </c>
      <c r="L64" s="257" t="s">
        <v>159</v>
      </c>
      <c r="M64" s="253">
        <v>22839</v>
      </c>
      <c r="N64" s="254"/>
      <c r="O64" s="257" t="s">
        <v>159</v>
      </c>
      <c r="P64" s="254">
        <v>3683.2</v>
      </c>
      <c r="Q64" s="254">
        <v>3688</v>
      </c>
      <c r="R64" s="254">
        <v>4.8000000000001819</v>
      </c>
      <c r="S64" s="254"/>
      <c r="T64" s="258" t="s">
        <v>159</v>
      </c>
      <c r="U64" s="254">
        <v>4.8000000000001819</v>
      </c>
    </row>
    <row r="65" spans="1:21" s="259" customFormat="1" ht="18" customHeight="1">
      <c r="A65" s="324"/>
      <c r="B65" s="253" t="s">
        <v>580</v>
      </c>
      <c r="C65" s="253"/>
      <c r="D65" s="254"/>
      <c r="E65" s="254"/>
      <c r="F65" s="254">
        <v>4.8</v>
      </c>
      <c r="G65" s="254"/>
      <c r="H65" s="254"/>
      <c r="I65" s="255">
        <v>6.29</v>
      </c>
      <c r="J65" s="256">
        <v>0.36599999999999999</v>
      </c>
      <c r="K65" s="254">
        <v>53.5</v>
      </c>
      <c r="L65" s="257" t="s">
        <v>159</v>
      </c>
      <c r="M65" s="253"/>
      <c r="N65" s="254"/>
      <c r="O65" s="257" t="s">
        <v>159</v>
      </c>
      <c r="P65" s="254"/>
      <c r="Q65" s="254"/>
      <c r="R65" s="254"/>
      <c r="S65" s="254"/>
      <c r="T65" s="258" t="s">
        <v>159</v>
      </c>
      <c r="U65" s="254">
        <v>4.8</v>
      </c>
    </row>
    <row r="66" spans="1:21" s="259" customFormat="1" ht="18" customHeight="1">
      <c r="A66" s="324" t="s">
        <v>584</v>
      </c>
      <c r="B66" s="253" t="s">
        <v>360</v>
      </c>
      <c r="C66" s="253">
        <v>1</v>
      </c>
      <c r="D66" s="254">
        <v>3622.5</v>
      </c>
      <c r="E66" s="254">
        <v>3624.5</v>
      </c>
      <c r="F66" s="254">
        <v>2</v>
      </c>
      <c r="G66" s="254">
        <v>55.1</v>
      </c>
      <c r="H66" s="254">
        <v>223.6</v>
      </c>
      <c r="I66" s="255">
        <v>7.15</v>
      </c>
      <c r="J66" s="256">
        <v>0.187</v>
      </c>
      <c r="K66" s="254">
        <v>49.33</v>
      </c>
      <c r="L66" s="257" t="s">
        <v>159</v>
      </c>
      <c r="M66" s="324">
        <v>40569</v>
      </c>
      <c r="N66" s="325"/>
      <c r="O66" s="257" t="s">
        <v>159</v>
      </c>
      <c r="P66" s="254">
        <v>3622.5</v>
      </c>
      <c r="Q66" s="254">
        <v>3624.5</v>
      </c>
      <c r="R66" s="254">
        <v>2</v>
      </c>
      <c r="S66" s="254"/>
      <c r="T66" s="258" t="s">
        <v>159</v>
      </c>
      <c r="U66" s="254">
        <v>2</v>
      </c>
    </row>
    <row r="67" spans="1:21" s="259" customFormat="1" ht="18" customHeight="1">
      <c r="A67" s="324"/>
      <c r="B67" s="253" t="s">
        <v>360</v>
      </c>
      <c r="C67" s="253">
        <v>2</v>
      </c>
      <c r="D67" s="254">
        <v>3624.5</v>
      </c>
      <c r="E67" s="254">
        <v>3629.38</v>
      </c>
      <c r="F67" s="254">
        <v>4.9000000000000004</v>
      </c>
      <c r="G67" s="254">
        <v>75.62</v>
      </c>
      <c r="H67" s="254">
        <v>228.68</v>
      </c>
      <c r="I67" s="255">
        <v>8</v>
      </c>
      <c r="J67" s="256">
        <v>0.35199999999999998</v>
      </c>
      <c r="K67" s="254">
        <v>61.53</v>
      </c>
      <c r="L67" s="257" t="s">
        <v>159</v>
      </c>
      <c r="M67" s="324"/>
      <c r="N67" s="325"/>
      <c r="O67" s="257" t="s">
        <v>159</v>
      </c>
      <c r="P67" s="254">
        <v>3624.5</v>
      </c>
      <c r="Q67" s="254">
        <v>3629.38</v>
      </c>
      <c r="R67" s="254">
        <v>4.9000000000000004</v>
      </c>
      <c r="S67" s="254"/>
      <c r="T67" s="258" t="s">
        <v>159</v>
      </c>
      <c r="U67" s="254">
        <v>4.9000000000000004</v>
      </c>
    </row>
    <row r="68" spans="1:21" s="259" customFormat="1" ht="18" customHeight="1">
      <c r="A68" s="324"/>
      <c r="B68" s="253" t="s">
        <v>580</v>
      </c>
      <c r="C68" s="253"/>
      <c r="D68" s="254"/>
      <c r="E68" s="254"/>
      <c r="F68" s="254">
        <v>6.9</v>
      </c>
      <c r="G68" s="254"/>
      <c r="H68" s="254"/>
      <c r="I68" s="255">
        <v>7.57</v>
      </c>
      <c r="J68" s="256">
        <v>0.27</v>
      </c>
      <c r="K68" s="254">
        <v>55.4</v>
      </c>
      <c r="L68" s="257" t="s">
        <v>159</v>
      </c>
      <c r="M68" s="253"/>
      <c r="N68" s="254"/>
      <c r="O68" s="257" t="s">
        <v>159</v>
      </c>
      <c r="P68" s="254"/>
      <c r="Q68" s="254"/>
      <c r="R68" s="254"/>
      <c r="S68" s="254"/>
      <c r="T68" s="258" t="s">
        <v>159</v>
      </c>
      <c r="U68" s="254">
        <v>6.9</v>
      </c>
    </row>
    <row r="69" spans="1:21" s="259" customFormat="1" ht="18" customHeight="1">
      <c r="A69" s="324" t="s">
        <v>477</v>
      </c>
      <c r="B69" s="253" t="s">
        <v>360</v>
      </c>
      <c r="C69" s="253">
        <v>1</v>
      </c>
      <c r="D69" s="254">
        <v>3631.63</v>
      </c>
      <c r="E69" s="254">
        <v>3633.75</v>
      </c>
      <c r="F69" s="254">
        <v>2.2000000000000002</v>
      </c>
      <c r="G69" s="254">
        <v>380.34</v>
      </c>
      <c r="H69" s="254">
        <v>209.21</v>
      </c>
      <c r="I69" s="255">
        <v>7.21</v>
      </c>
      <c r="J69" s="256">
        <v>0.31</v>
      </c>
      <c r="K69" s="254">
        <v>78.900000000000006</v>
      </c>
      <c r="L69" s="257" t="s">
        <v>159</v>
      </c>
      <c r="M69" s="324">
        <v>24436</v>
      </c>
      <c r="N69" s="254"/>
      <c r="O69" s="257" t="s">
        <v>159</v>
      </c>
      <c r="P69" s="254">
        <v>3631.63</v>
      </c>
      <c r="Q69" s="254">
        <v>3633.75</v>
      </c>
      <c r="R69" s="254">
        <v>2.2000000000000002</v>
      </c>
      <c r="S69" s="254"/>
      <c r="T69" s="258" t="s">
        <v>159</v>
      </c>
      <c r="U69" s="254">
        <v>2.2000000000000002</v>
      </c>
    </row>
    <row r="70" spans="1:21" s="259" customFormat="1" ht="18" customHeight="1">
      <c r="A70" s="324"/>
      <c r="B70" s="253" t="s">
        <v>360</v>
      </c>
      <c r="C70" s="253">
        <v>2</v>
      </c>
      <c r="D70" s="254">
        <v>3634.5</v>
      </c>
      <c r="E70" s="254">
        <v>3638</v>
      </c>
      <c r="F70" s="254">
        <v>3.5</v>
      </c>
      <c r="G70" s="254">
        <v>47.58</v>
      </c>
      <c r="H70" s="254">
        <v>224.4</v>
      </c>
      <c r="I70" s="255">
        <v>9.68</v>
      </c>
      <c r="J70" s="256">
        <v>0.64</v>
      </c>
      <c r="K70" s="254">
        <v>61.62</v>
      </c>
      <c r="L70" s="257" t="s">
        <v>159</v>
      </c>
      <c r="M70" s="324"/>
      <c r="N70" s="254"/>
      <c r="O70" s="257" t="s">
        <v>159</v>
      </c>
      <c r="P70" s="254">
        <v>3634.5</v>
      </c>
      <c r="Q70" s="254">
        <v>3638</v>
      </c>
      <c r="R70" s="254">
        <v>3.5</v>
      </c>
      <c r="S70" s="254"/>
      <c r="T70" s="258" t="s">
        <v>159</v>
      </c>
      <c r="U70" s="254">
        <v>3.5</v>
      </c>
    </row>
    <row r="71" spans="1:21" s="259" customFormat="1" ht="18" customHeight="1">
      <c r="A71" s="324"/>
      <c r="B71" s="253" t="s">
        <v>160</v>
      </c>
      <c r="C71" s="253">
        <v>3</v>
      </c>
      <c r="D71" s="254">
        <v>3638</v>
      </c>
      <c r="E71" s="254">
        <v>3641.88</v>
      </c>
      <c r="F71" s="254">
        <v>3.9</v>
      </c>
      <c r="G71" s="254">
        <v>69.95</v>
      </c>
      <c r="H71" s="254">
        <v>212.03</v>
      </c>
      <c r="I71" s="255">
        <v>7.67</v>
      </c>
      <c r="J71" s="256">
        <v>0.22</v>
      </c>
      <c r="K71" s="254">
        <v>59.92</v>
      </c>
      <c r="L71" s="257" t="s">
        <v>159</v>
      </c>
      <c r="M71" s="253"/>
      <c r="N71" s="254"/>
      <c r="O71" s="257" t="s">
        <v>159</v>
      </c>
      <c r="P71" s="254">
        <v>3638</v>
      </c>
      <c r="Q71" s="254">
        <v>3641.88</v>
      </c>
      <c r="R71" s="254">
        <v>3.9</v>
      </c>
      <c r="S71" s="254"/>
      <c r="T71" s="258" t="s">
        <v>159</v>
      </c>
      <c r="U71" s="254">
        <v>3.9</v>
      </c>
    </row>
    <row r="72" spans="1:21" s="259" customFormat="1" ht="18" customHeight="1">
      <c r="A72" s="324"/>
      <c r="B72" s="253" t="s">
        <v>580</v>
      </c>
      <c r="C72" s="253"/>
      <c r="D72" s="254"/>
      <c r="E72" s="254"/>
      <c r="F72" s="254">
        <v>9.6</v>
      </c>
      <c r="G72" s="254"/>
      <c r="H72" s="254"/>
      <c r="I72" s="255">
        <v>8.1869999999999994</v>
      </c>
      <c r="J72" s="256">
        <v>0.39</v>
      </c>
      <c r="K72" s="254">
        <v>66.8</v>
      </c>
      <c r="L72" s="257" t="s">
        <v>159</v>
      </c>
      <c r="M72" s="253"/>
      <c r="N72" s="254"/>
      <c r="O72" s="257" t="s">
        <v>159</v>
      </c>
      <c r="P72" s="254"/>
      <c r="Q72" s="254"/>
      <c r="R72" s="254"/>
      <c r="S72" s="254"/>
      <c r="T72" s="258" t="s">
        <v>159</v>
      </c>
      <c r="U72" s="254">
        <v>9.6</v>
      </c>
    </row>
    <row r="73" spans="1:21" s="259" customFormat="1" ht="18" customHeight="1">
      <c r="A73" s="324" t="s">
        <v>451</v>
      </c>
      <c r="B73" s="253" t="s">
        <v>360</v>
      </c>
      <c r="C73" s="253">
        <v>1</v>
      </c>
      <c r="D73" s="254">
        <v>3692.5</v>
      </c>
      <c r="E73" s="254">
        <v>3697.75</v>
      </c>
      <c r="F73" s="254">
        <v>5.3</v>
      </c>
      <c r="G73" s="254">
        <v>45.61</v>
      </c>
      <c r="H73" s="254">
        <v>222.33</v>
      </c>
      <c r="I73" s="255">
        <v>5.27</v>
      </c>
      <c r="J73" s="256">
        <v>8.5000000000000006E-2</v>
      </c>
      <c r="K73" s="254">
        <v>50.3</v>
      </c>
      <c r="L73" s="257" t="s">
        <v>159</v>
      </c>
      <c r="M73" s="324">
        <v>15430</v>
      </c>
      <c r="N73" s="325"/>
      <c r="O73" s="257" t="s">
        <v>159</v>
      </c>
      <c r="P73" s="254">
        <v>3692.5</v>
      </c>
      <c r="Q73" s="254">
        <v>3697.75</v>
      </c>
      <c r="R73" s="254">
        <v>5.3</v>
      </c>
      <c r="S73" s="254"/>
      <c r="T73" s="258" t="s">
        <v>159</v>
      </c>
      <c r="U73" s="254">
        <v>5.3</v>
      </c>
    </row>
    <row r="74" spans="1:21" s="259" customFormat="1" ht="18" customHeight="1">
      <c r="A74" s="324"/>
      <c r="B74" s="253" t="s">
        <v>360</v>
      </c>
      <c r="C74" s="253">
        <v>2</v>
      </c>
      <c r="D74" s="254">
        <v>3710.13</v>
      </c>
      <c r="E74" s="254">
        <v>3712.25</v>
      </c>
      <c r="F74" s="254">
        <v>2.2000000000000002</v>
      </c>
      <c r="G74" s="254">
        <v>55.98</v>
      </c>
      <c r="H74" s="254">
        <v>233.24</v>
      </c>
      <c r="I74" s="255">
        <v>8.68</v>
      </c>
      <c r="J74" s="256">
        <v>0.502</v>
      </c>
      <c r="K74" s="254">
        <v>53.19</v>
      </c>
      <c r="L74" s="257" t="s">
        <v>159</v>
      </c>
      <c r="M74" s="324"/>
      <c r="N74" s="325"/>
      <c r="O74" s="257" t="s">
        <v>159</v>
      </c>
      <c r="P74" s="254">
        <v>3710.13</v>
      </c>
      <c r="Q74" s="254">
        <v>3712.25</v>
      </c>
      <c r="R74" s="254">
        <v>2.2000000000000002</v>
      </c>
      <c r="S74" s="254"/>
      <c r="T74" s="258" t="s">
        <v>159</v>
      </c>
      <c r="U74" s="254">
        <v>2.2000000000000002</v>
      </c>
    </row>
    <row r="75" spans="1:21" s="259" customFormat="1" ht="18" customHeight="1">
      <c r="A75" s="324"/>
      <c r="B75" s="253" t="s">
        <v>160</v>
      </c>
      <c r="C75" s="253">
        <v>3</v>
      </c>
      <c r="D75" s="254">
        <v>3714.63</v>
      </c>
      <c r="E75" s="254">
        <v>3717.25</v>
      </c>
      <c r="F75" s="254">
        <v>2.7</v>
      </c>
      <c r="G75" s="254">
        <v>46.01</v>
      </c>
      <c r="H75" s="254">
        <v>241</v>
      </c>
      <c r="I75" s="255">
        <v>9.94</v>
      </c>
      <c r="J75" s="256">
        <v>0.90700000000000003</v>
      </c>
      <c r="K75" s="254">
        <v>56</v>
      </c>
      <c r="L75" s="257" t="s">
        <v>159</v>
      </c>
      <c r="M75" s="324"/>
      <c r="N75" s="325"/>
      <c r="O75" s="257" t="s">
        <v>159</v>
      </c>
      <c r="P75" s="254">
        <v>3714.63</v>
      </c>
      <c r="Q75" s="254">
        <v>3717.25</v>
      </c>
      <c r="R75" s="254">
        <v>2.7</v>
      </c>
      <c r="S75" s="254"/>
      <c r="T75" s="258" t="s">
        <v>159</v>
      </c>
      <c r="U75" s="254">
        <v>2.7</v>
      </c>
    </row>
    <row r="76" spans="1:21" s="259" customFormat="1" ht="18" customHeight="1">
      <c r="A76" s="324"/>
      <c r="B76" s="253" t="s">
        <v>580</v>
      </c>
      <c r="C76" s="253"/>
      <c r="D76" s="254"/>
      <c r="E76" s="254"/>
      <c r="F76" s="254">
        <v>10.199999999999999</v>
      </c>
      <c r="G76" s="254"/>
      <c r="H76" s="254"/>
      <c r="I76" s="255">
        <v>7.96</v>
      </c>
      <c r="J76" s="256">
        <v>0.498</v>
      </c>
      <c r="K76" s="254">
        <v>53.2</v>
      </c>
      <c r="L76" s="257" t="s">
        <v>159</v>
      </c>
      <c r="M76" s="253"/>
      <c r="N76" s="254"/>
      <c r="O76" s="257" t="s">
        <v>159</v>
      </c>
      <c r="P76" s="254"/>
      <c r="Q76" s="254"/>
      <c r="R76" s="254"/>
      <c r="S76" s="254"/>
      <c r="T76" s="258" t="s">
        <v>159</v>
      </c>
      <c r="U76" s="254">
        <v>10.199999999999999</v>
      </c>
    </row>
    <row r="77" spans="1:21" s="259" customFormat="1" ht="18" customHeight="1">
      <c r="A77" s="324" t="s">
        <v>516</v>
      </c>
      <c r="B77" s="253" t="s">
        <v>360</v>
      </c>
      <c r="C77" s="253">
        <v>1</v>
      </c>
      <c r="D77" s="254">
        <v>3676.13</v>
      </c>
      <c r="E77" s="254">
        <v>3677.75</v>
      </c>
      <c r="F77" s="254">
        <v>1.7</v>
      </c>
      <c r="G77" s="254">
        <v>82.8</v>
      </c>
      <c r="H77" s="254">
        <v>223.9</v>
      </c>
      <c r="I77" s="255">
        <v>7.21</v>
      </c>
      <c r="J77" s="256">
        <v>0.107</v>
      </c>
      <c r="K77" s="254">
        <v>50.9</v>
      </c>
      <c r="L77" s="257" t="s">
        <v>159</v>
      </c>
      <c r="M77" s="324">
        <v>1187</v>
      </c>
      <c r="N77" s="325">
        <v>13</v>
      </c>
      <c r="O77" s="257" t="s">
        <v>159</v>
      </c>
      <c r="P77" s="254">
        <v>3676.13</v>
      </c>
      <c r="Q77" s="254">
        <v>3677.75</v>
      </c>
      <c r="R77" s="254">
        <v>1.7</v>
      </c>
      <c r="S77" s="254"/>
      <c r="T77" s="258" t="s">
        <v>159</v>
      </c>
      <c r="U77" s="254">
        <v>1.7</v>
      </c>
    </row>
    <row r="78" spans="1:21" s="259" customFormat="1" ht="18" customHeight="1">
      <c r="A78" s="324"/>
      <c r="B78" s="253" t="s">
        <v>360</v>
      </c>
      <c r="C78" s="253">
        <v>2</v>
      </c>
      <c r="D78" s="254">
        <v>3686.6</v>
      </c>
      <c r="E78" s="254">
        <v>3687.88</v>
      </c>
      <c r="F78" s="254">
        <v>1.3</v>
      </c>
      <c r="G78" s="254">
        <v>118.19</v>
      </c>
      <c r="H78" s="254">
        <v>209.5</v>
      </c>
      <c r="I78" s="255">
        <v>5.36</v>
      </c>
      <c r="J78" s="256">
        <v>0.191</v>
      </c>
      <c r="K78" s="254">
        <v>55.8</v>
      </c>
      <c r="L78" s="257" t="s">
        <v>159</v>
      </c>
      <c r="M78" s="324"/>
      <c r="N78" s="325"/>
      <c r="O78" s="257" t="s">
        <v>159</v>
      </c>
      <c r="P78" s="254">
        <v>3686.6</v>
      </c>
      <c r="Q78" s="254">
        <v>3687.88</v>
      </c>
      <c r="R78" s="254">
        <v>1.3</v>
      </c>
      <c r="S78" s="254"/>
      <c r="T78" s="258" t="s">
        <v>159</v>
      </c>
      <c r="U78" s="254">
        <v>1.3</v>
      </c>
    </row>
    <row r="79" spans="1:21" s="259" customFormat="1" ht="18" customHeight="1">
      <c r="A79" s="324"/>
      <c r="B79" s="253" t="s">
        <v>580</v>
      </c>
      <c r="C79" s="253"/>
      <c r="D79" s="254"/>
      <c r="E79" s="254"/>
      <c r="F79" s="254">
        <v>3</v>
      </c>
      <c r="G79" s="254"/>
      <c r="H79" s="254"/>
      <c r="I79" s="255">
        <v>6.29</v>
      </c>
      <c r="J79" s="256">
        <v>0.14899999999999999</v>
      </c>
      <c r="K79" s="254">
        <v>53.4</v>
      </c>
      <c r="L79" s="257" t="s">
        <v>159</v>
      </c>
      <c r="M79" s="253"/>
      <c r="N79" s="254"/>
      <c r="O79" s="257" t="s">
        <v>159</v>
      </c>
      <c r="P79" s="254"/>
      <c r="Q79" s="254"/>
      <c r="R79" s="254"/>
      <c r="S79" s="254"/>
      <c r="T79" s="258" t="s">
        <v>159</v>
      </c>
      <c r="U79" s="254">
        <v>3</v>
      </c>
    </row>
    <row r="80" spans="1:21" s="259" customFormat="1" ht="18" customHeight="1">
      <c r="A80" s="324" t="s">
        <v>404</v>
      </c>
      <c r="B80" s="253" t="s">
        <v>360</v>
      </c>
      <c r="C80" s="253">
        <v>1</v>
      </c>
      <c r="D80" s="254">
        <v>3679.4</v>
      </c>
      <c r="E80" s="254">
        <v>3682.4</v>
      </c>
      <c r="F80" s="254">
        <v>3</v>
      </c>
      <c r="G80" s="254">
        <v>145.07</v>
      </c>
      <c r="H80" s="254">
        <v>220</v>
      </c>
      <c r="I80" s="255">
        <v>6.52</v>
      </c>
      <c r="J80" s="256">
        <v>0.27500000000000002</v>
      </c>
      <c r="K80" s="254">
        <v>53.6</v>
      </c>
      <c r="L80" s="257" t="s">
        <v>159</v>
      </c>
      <c r="M80" s="253">
        <v>1505</v>
      </c>
      <c r="N80" s="254"/>
      <c r="O80" s="257" t="s">
        <v>159</v>
      </c>
      <c r="P80" s="254">
        <v>3679.4</v>
      </c>
      <c r="Q80" s="254">
        <v>3682.4</v>
      </c>
      <c r="R80" s="254">
        <v>3</v>
      </c>
      <c r="S80" s="254"/>
      <c r="T80" s="258" t="s">
        <v>159</v>
      </c>
      <c r="U80" s="254">
        <v>3</v>
      </c>
    </row>
    <row r="81" spans="1:21" s="259" customFormat="1" ht="18" customHeight="1">
      <c r="A81" s="324"/>
      <c r="B81" s="253" t="s">
        <v>580</v>
      </c>
      <c r="C81" s="253"/>
      <c r="D81" s="254"/>
      <c r="E81" s="254"/>
      <c r="F81" s="254">
        <v>3</v>
      </c>
      <c r="G81" s="254"/>
      <c r="H81" s="254"/>
      <c r="I81" s="255">
        <v>6.52</v>
      </c>
      <c r="J81" s="256">
        <v>0.27500000000000002</v>
      </c>
      <c r="K81" s="254">
        <v>53.6</v>
      </c>
      <c r="L81" s="257" t="s">
        <v>159</v>
      </c>
      <c r="M81" s="253"/>
      <c r="N81" s="254"/>
      <c r="O81" s="257" t="s">
        <v>159</v>
      </c>
      <c r="P81" s="254"/>
      <c r="Q81" s="254"/>
      <c r="R81" s="254"/>
      <c r="S81" s="254"/>
      <c r="T81" s="258" t="s">
        <v>159</v>
      </c>
      <c r="U81" s="254">
        <v>3</v>
      </c>
    </row>
    <row r="82" spans="1:21" s="259" customFormat="1" ht="18" customHeight="1">
      <c r="A82" s="324" t="s">
        <v>522</v>
      </c>
      <c r="B82" s="253" t="s">
        <v>360</v>
      </c>
      <c r="C82" s="253">
        <v>1</v>
      </c>
      <c r="D82" s="254">
        <v>3697.75</v>
      </c>
      <c r="E82" s="254">
        <v>3701.38</v>
      </c>
      <c r="F82" s="254">
        <v>3.6</v>
      </c>
      <c r="G82" s="254">
        <v>132.94</v>
      </c>
      <c r="H82" s="254">
        <v>217.5</v>
      </c>
      <c r="I82" s="255">
        <v>6.58</v>
      </c>
      <c r="J82" s="256">
        <v>0.32900000000000001</v>
      </c>
      <c r="K82" s="254">
        <v>65.3</v>
      </c>
      <c r="L82" s="257" t="s">
        <v>159</v>
      </c>
      <c r="M82" s="324">
        <v>30407</v>
      </c>
      <c r="N82" s="325"/>
      <c r="O82" s="257" t="s">
        <v>159</v>
      </c>
      <c r="P82" s="254">
        <v>3697.75</v>
      </c>
      <c r="Q82" s="254">
        <v>3701.38</v>
      </c>
      <c r="R82" s="254">
        <v>3.6</v>
      </c>
      <c r="S82" s="254"/>
      <c r="T82" s="258" t="s">
        <v>159</v>
      </c>
      <c r="U82" s="254">
        <v>3.6</v>
      </c>
    </row>
    <row r="83" spans="1:21" s="259" customFormat="1" ht="18" customHeight="1">
      <c r="A83" s="324"/>
      <c r="B83" s="253" t="s">
        <v>360</v>
      </c>
      <c r="C83" s="253">
        <v>2</v>
      </c>
      <c r="D83" s="254">
        <v>3721.5</v>
      </c>
      <c r="E83" s="254">
        <v>3724</v>
      </c>
      <c r="F83" s="254">
        <v>2.5</v>
      </c>
      <c r="G83" s="254">
        <v>126.03</v>
      </c>
      <c r="H83" s="254">
        <v>208.64</v>
      </c>
      <c r="I83" s="255">
        <v>5</v>
      </c>
      <c r="J83" s="256">
        <v>0.13700000000000001</v>
      </c>
      <c r="K83" s="254">
        <v>50.9</v>
      </c>
      <c r="L83" s="257" t="s">
        <v>159</v>
      </c>
      <c r="M83" s="324"/>
      <c r="N83" s="325"/>
      <c r="O83" s="257" t="s">
        <v>159</v>
      </c>
      <c r="P83" s="254">
        <v>3721.5</v>
      </c>
      <c r="Q83" s="254">
        <v>3724</v>
      </c>
      <c r="R83" s="254">
        <v>2.5</v>
      </c>
      <c r="S83" s="254"/>
      <c r="T83" s="258" t="s">
        <v>159</v>
      </c>
      <c r="U83" s="254">
        <v>2.5</v>
      </c>
    </row>
    <row r="84" spans="1:21" s="259" customFormat="1" ht="18" customHeight="1">
      <c r="A84" s="324"/>
      <c r="B84" s="253" t="s">
        <v>580</v>
      </c>
      <c r="C84" s="253"/>
      <c r="D84" s="254"/>
      <c r="E84" s="254"/>
      <c r="F84" s="254">
        <v>6.1</v>
      </c>
      <c r="G84" s="254"/>
      <c r="H84" s="254"/>
      <c r="I84" s="255">
        <v>5.79</v>
      </c>
      <c r="J84" s="256">
        <v>0.23300000000000001</v>
      </c>
      <c r="K84" s="254">
        <v>58.1</v>
      </c>
      <c r="L84" s="257" t="s">
        <v>159</v>
      </c>
      <c r="M84" s="253"/>
      <c r="N84" s="254"/>
      <c r="O84" s="257" t="s">
        <v>159</v>
      </c>
      <c r="P84" s="254"/>
      <c r="Q84" s="254"/>
      <c r="R84" s="254"/>
      <c r="S84" s="254"/>
      <c r="T84" s="258" t="s">
        <v>159</v>
      </c>
      <c r="U84" s="254">
        <v>6.1</v>
      </c>
    </row>
    <row r="85" spans="1:21" s="259" customFormat="1" ht="18" customHeight="1">
      <c r="A85" s="324" t="s">
        <v>597</v>
      </c>
      <c r="B85" s="253" t="s">
        <v>360</v>
      </c>
      <c r="C85" s="253">
        <v>1</v>
      </c>
      <c r="D85" s="254">
        <v>3638.25</v>
      </c>
      <c r="E85" s="254">
        <v>3642.875</v>
      </c>
      <c r="F85" s="254">
        <v>4.625</v>
      </c>
      <c r="G85" s="254">
        <v>53.04</v>
      </c>
      <c r="H85" s="254">
        <v>231.4</v>
      </c>
      <c r="I85" s="255">
        <v>6.3</v>
      </c>
      <c r="J85" s="256">
        <v>0.39800000000000002</v>
      </c>
      <c r="K85" s="254">
        <v>50.6</v>
      </c>
      <c r="L85" s="257" t="s">
        <v>159</v>
      </c>
      <c r="M85" s="253">
        <v>145239</v>
      </c>
      <c r="N85" s="254"/>
      <c r="O85" s="257" t="s">
        <v>159</v>
      </c>
      <c r="P85" s="254">
        <v>3638.25</v>
      </c>
      <c r="Q85" s="254">
        <v>3642.875</v>
      </c>
      <c r="R85" s="254">
        <v>4.625</v>
      </c>
      <c r="S85" s="254"/>
      <c r="T85" s="258" t="s">
        <v>159</v>
      </c>
      <c r="U85" s="254">
        <v>4.625</v>
      </c>
    </row>
    <row r="86" spans="1:21" s="259" customFormat="1" ht="18" customHeight="1">
      <c r="A86" s="324"/>
      <c r="B86" s="253" t="s">
        <v>580</v>
      </c>
      <c r="C86" s="253"/>
      <c r="D86" s="254"/>
      <c r="E86" s="254"/>
      <c r="F86" s="254">
        <v>4.5999999999999996</v>
      </c>
      <c r="G86" s="254"/>
      <c r="H86" s="254"/>
      <c r="I86" s="255">
        <v>6.3</v>
      </c>
      <c r="J86" s="256">
        <v>0.39800000000000002</v>
      </c>
      <c r="K86" s="254">
        <v>50.6</v>
      </c>
      <c r="L86" s="257" t="s">
        <v>159</v>
      </c>
      <c r="M86" s="253"/>
      <c r="N86" s="254"/>
      <c r="O86" s="257" t="s">
        <v>159</v>
      </c>
      <c r="P86" s="254"/>
      <c r="Q86" s="254"/>
      <c r="R86" s="254"/>
      <c r="S86" s="254"/>
      <c r="T86" s="258" t="s">
        <v>159</v>
      </c>
      <c r="U86" s="254">
        <v>4.5999999999999996</v>
      </c>
    </row>
    <row r="87" spans="1:21" s="259" customFormat="1" ht="18" customHeight="1">
      <c r="A87" s="324" t="s">
        <v>572</v>
      </c>
      <c r="B87" s="253" t="s">
        <v>360</v>
      </c>
      <c r="C87" s="253">
        <v>1</v>
      </c>
      <c r="D87" s="254">
        <v>3610</v>
      </c>
      <c r="E87" s="254">
        <v>3613.5</v>
      </c>
      <c r="F87" s="254">
        <v>3.5</v>
      </c>
      <c r="G87" s="254">
        <v>41.25</v>
      </c>
      <c r="H87" s="254">
        <v>217.46</v>
      </c>
      <c r="I87" s="255">
        <v>6.12</v>
      </c>
      <c r="J87" s="256">
        <v>0.19400000000000001</v>
      </c>
      <c r="K87" s="254">
        <v>46.92</v>
      </c>
      <c r="L87" s="257" t="s">
        <v>159</v>
      </c>
      <c r="M87" s="324">
        <v>54458</v>
      </c>
      <c r="N87" s="325"/>
      <c r="O87" s="257" t="s">
        <v>159</v>
      </c>
      <c r="P87" s="254">
        <v>3610</v>
      </c>
      <c r="Q87" s="254">
        <v>3613.5</v>
      </c>
      <c r="R87" s="254">
        <v>3.5</v>
      </c>
      <c r="S87" s="254"/>
      <c r="T87" s="258" t="s">
        <v>159</v>
      </c>
      <c r="U87" s="254">
        <v>3.5</v>
      </c>
    </row>
    <row r="88" spans="1:21" s="259" customFormat="1" ht="18" customHeight="1">
      <c r="A88" s="324"/>
      <c r="B88" s="253" t="s">
        <v>360</v>
      </c>
      <c r="C88" s="253">
        <v>2</v>
      </c>
      <c r="D88" s="254">
        <v>3616.63</v>
      </c>
      <c r="E88" s="254">
        <v>3619.25</v>
      </c>
      <c r="F88" s="254">
        <v>2.7</v>
      </c>
      <c r="G88" s="254">
        <v>90.63</v>
      </c>
      <c r="H88" s="254">
        <v>213.82</v>
      </c>
      <c r="I88" s="255">
        <v>5.5</v>
      </c>
      <c r="J88" s="256">
        <v>0.24199999999999999</v>
      </c>
      <c r="K88" s="254">
        <v>60.67</v>
      </c>
      <c r="L88" s="257" t="s">
        <v>159</v>
      </c>
      <c r="M88" s="324"/>
      <c r="N88" s="325"/>
      <c r="O88" s="257" t="s">
        <v>159</v>
      </c>
      <c r="P88" s="254">
        <v>3616.63</v>
      </c>
      <c r="Q88" s="254">
        <v>3619.25</v>
      </c>
      <c r="R88" s="254">
        <v>2.7</v>
      </c>
      <c r="S88" s="254"/>
      <c r="T88" s="258" t="s">
        <v>159</v>
      </c>
      <c r="U88" s="254">
        <v>2.7</v>
      </c>
    </row>
    <row r="89" spans="1:21" s="259" customFormat="1" ht="18" customHeight="1">
      <c r="A89" s="324"/>
      <c r="B89" s="253" t="s">
        <v>360</v>
      </c>
      <c r="C89" s="253">
        <v>3</v>
      </c>
      <c r="D89" s="254">
        <v>3622</v>
      </c>
      <c r="E89" s="254">
        <v>3623.63</v>
      </c>
      <c r="F89" s="254">
        <v>1.6</v>
      </c>
      <c r="G89" s="254">
        <v>53.14</v>
      </c>
      <c r="H89" s="254">
        <v>219.06</v>
      </c>
      <c r="I89" s="255">
        <v>6.38</v>
      </c>
      <c r="J89" s="256">
        <v>0.218</v>
      </c>
      <c r="K89" s="254">
        <v>55.23</v>
      </c>
      <c r="L89" s="257" t="s">
        <v>159</v>
      </c>
      <c r="M89" s="324"/>
      <c r="N89" s="325"/>
      <c r="O89" s="257" t="s">
        <v>159</v>
      </c>
      <c r="P89" s="254">
        <v>3622</v>
      </c>
      <c r="Q89" s="254">
        <v>3623.63</v>
      </c>
      <c r="R89" s="254">
        <v>1.6</v>
      </c>
      <c r="S89" s="254"/>
      <c r="T89" s="258" t="s">
        <v>159</v>
      </c>
      <c r="U89" s="254">
        <v>1.6</v>
      </c>
    </row>
    <row r="90" spans="1:21" s="259" customFormat="1" ht="18" customHeight="1">
      <c r="A90" s="324"/>
      <c r="B90" s="253" t="s">
        <v>360</v>
      </c>
      <c r="C90" s="253">
        <v>4</v>
      </c>
      <c r="D90" s="254">
        <v>3624.13</v>
      </c>
      <c r="E90" s="254">
        <v>3627</v>
      </c>
      <c r="F90" s="254">
        <v>2.9</v>
      </c>
      <c r="G90" s="254">
        <v>57.87</v>
      </c>
      <c r="H90" s="254">
        <v>233.62</v>
      </c>
      <c r="I90" s="255">
        <v>8.41</v>
      </c>
      <c r="J90" s="256">
        <v>0.55300000000000005</v>
      </c>
      <c r="K90" s="254">
        <v>67.42</v>
      </c>
      <c r="L90" s="257" t="s">
        <v>159</v>
      </c>
      <c r="M90" s="324"/>
      <c r="N90" s="325"/>
      <c r="O90" s="257" t="s">
        <v>159</v>
      </c>
      <c r="P90" s="254">
        <v>3624.13</v>
      </c>
      <c r="Q90" s="254">
        <v>3627</v>
      </c>
      <c r="R90" s="254">
        <v>2.9</v>
      </c>
      <c r="S90" s="254"/>
      <c r="T90" s="258" t="s">
        <v>159</v>
      </c>
      <c r="U90" s="254">
        <v>2.9</v>
      </c>
    </row>
    <row r="91" spans="1:21" s="259" customFormat="1" ht="18" customHeight="1">
      <c r="A91" s="324"/>
      <c r="B91" s="253" t="s">
        <v>580</v>
      </c>
      <c r="C91" s="253"/>
      <c r="D91" s="254"/>
      <c r="E91" s="254"/>
      <c r="F91" s="254">
        <v>12.2</v>
      </c>
      <c r="G91" s="254"/>
      <c r="H91" s="254"/>
      <c r="I91" s="255">
        <v>6.6</v>
      </c>
      <c r="J91" s="256">
        <v>0.30199999999999999</v>
      </c>
      <c r="K91" s="254">
        <v>57.6</v>
      </c>
      <c r="L91" s="257" t="s">
        <v>159</v>
      </c>
      <c r="M91" s="253"/>
      <c r="N91" s="254"/>
      <c r="O91" s="257" t="s">
        <v>159</v>
      </c>
      <c r="P91" s="254"/>
      <c r="Q91" s="254"/>
      <c r="R91" s="254"/>
      <c r="S91" s="254"/>
      <c r="T91" s="258" t="s">
        <v>159</v>
      </c>
      <c r="U91" s="254">
        <v>12.2</v>
      </c>
    </row>
    <row r="92" spans="1:21" s="259" customFormat="1" ht="18" customHeight="1">
      <c r="A92" s="324" t="s">
        <v>482</v>
      </c>
      <c r="B92" s="253" t="s">
        <v>360</v>
      </c>
      <c r="C92" s="253">
        <v>1</v>
      </c>
      <c r="D92" s="254">
        <v>3682.5</v>
      </c>
      <c r="E92" s="254">
        <v>3687.9</v>
      </c>
      <c r="F92" s="254">
        <v>5.4</v>
      </c>
      <c r="G92" s="254">
        <v>168.93</v>
      </c>
      <c r="H92" s="254">
        <v>236</v>
      </c>
      <c r="I92" s="255">
        <v>9.5299999999999994</v>
      </c>
      <c r="J92" s="256">
        <v>0.42</v>
      </c>
      <c r="K92" s="254">
        <v>63.9</v>
      </c>
      <c r="L92" s="257" t="s">
        <v>159</v>
      </c>
      <c r="M92" s="253">
        <v>43992</v>
      </c>
      <c r="N92" s="254"/>
      <c r="O92" s="257" t="s">
        <v>159</v>
      </c>
      <c r="P92" s="254">
        <v>3682.5</v>
      </c>
      <c r="Q92" s="254">
        <v>3687.9</v>
      </c>
      <c r="R92" s="254">
        <v>5.4</v>
      </c>
      <c r="S92" s="254"/>
      <c r="T92" s="258" t="s">
        <v>159</v>
      </c>
      <c r="U92" s="254">
        <v>5.4</v>
      </c>
    </row>
    <row r="93" spans="1:21" s="259" customFormat="1" ht="18" customHeight="1">
      <c r="A93" s="324"/>
      <c r="B93" s="253" t="s">
        <v>580</v>
      </c>
      <c r="C93" s="253"/>
      <c r="D93" s="254"/>
      <c r="E93" s="254"/>
      <c r="F93" s="254">
        <v>5.4</v>
      </c>
      <c r="G93" s="254"/>
      <c r="H93" s="254"/>
      <c r="I93" s="255">
        <v>9.5299999999999994</v>
      </c>
      <c r="J93" s="256">
        <v>0.42</v>
      </c>
      <c r="K93" s="254">
        <v>63.9</v>
      </c>
      <c r="L93" s="257" t="s">
        <v>159</v>
      </c>
      <c r="M93" s="253"/>
      <c r="N93" s="254"/>
      <c r="O93" s="257" t="s">
        <v>159</v>
      </c>
      <c r="P93" s="254"/>
      <c r="Q93" s="254"/>
      <c r="R93" s="254"/>
      <c r="S93" s="254"/>
      <c r="T93" s="258" t="s">
        <v>159</v>
      </c>
      <c r="U93" s="254">
        <v>5.4</v>
      </c>
    </row>
    <row r="94" spans="1:21" s="259" customFormat="1" ht="18" customHeight="1">
      <c r="A94" s="324" t="s">
        <v>544</v>
      </c>
      <c r="B94" s="253" t="s">
        <v>360</v>
      </c>
      <c r="C94" s="253">
        <v>1</v>
      </c>
      <c r="D94" s="254">
        <v>3646.75</v>
      </c>
      <c r="E94" s="254">
        <v>3647.88</v>
      </c>
      <c r="F94" s="254">
        <v>1.1000000000000001</v>
      </c>
      <c r="G94" s="254">
        <v>130.27000000000001</v>
      </c>
      <c r="H94" s="254">
        <v>212.99</v>
      </c>
      <c r="I94" s="255">
        <v>5.36</v>
      </c>
      <c r="J94" s="256">
        <v>0.10199999999999999</v>
      </c>
      <c r="K94" s="254">
        <v>51.5</v>
      </c>
      <c r="L94" s="257" t="s">
        <v>159</v>
      </c>
      <c r="M94" s="324">
        <v>10364</v>
      </c>
      <c r="N94" s="325"/>
      <c r="O94" s="257" t="s">
        <v>159</v>
      </c>
      <c r="P94" s="254">
        <v>3646.75</v>
      </c>
      <c r="Q94" s="254">
        <v>3647.88</v>
      </c>
      <c r="R94" s="254">
        <v>1.1000000000000001</v>
      </c>
      <c r="S94" s="254"/>
      <c r="T94" s="258" t="s">
        <v>159</v>
      </c>
      <c r="U94" s="254">
        <v>1.1000000000000001</v>
      </c>
    </row>
    <row r="95" spans="1:21" s="259" customFormat="1" ht="18" customHeight="1">
      <c r="A95" s="324"/>
      <c r="B95" s="253" t="s">
        <v>360</v>
      </c>
      <c r="C95" s="253">
        <v>2</v>
      </c>
      <c r="D95" s="254">
        <v>3651.5</v>
      </c>
      <c r="E95" s="254">
        <v>3655.13</v>
      </c>
      <c r="F95" s="254">
        <v>3.6</v>
      </c>
      <c r="G95" s="254">
        <v>96</v>
      </c>
      <c r="H95" s="254">
        <v>217.32</v>
      </c>
      <c r="I95" s="255">
        <v>6.07</v>
      </c>
      <c r="J95" s="256">
        <v>0.183</v>
      </c>
      <c r="K95" s="254">
        <v>51.9</v>
      </c>
      <c r="L95" s="257" t="s">
        <v>159</v>
      </c>
      <c r="M95" s="324"/>
      <c r="N95" s="325"/>
      <c r="O95" s="257" t="s">
        <v>159</v>
      </c>
      <c r="P95" s="254">
        <v>3651.5</v>
      </c>
      <c r="Q95" s="254">
        <v>3655.13</v>
      </c>
      <c r="R95" s="254">
        <v>3.6</v>
      </c>
      <c r="S95" s="254"/>
      <c r="T95" s="258" t="s">
        <v>159</v>
      </c>
      <c r="U95" s="254">
        <v>3.6</v>
      </c>
    </row>
    <row r="96" spans="1:21" s="259" customFormat="1" ht="18" customHeight="1">
      <c r="A96" s="324"/>
      <c r="B96" s="253" t="s">
        <v>580</v>
      </c>
      <c r="C96" s="253"/>
      <c r="D96" s="254"/>
      <c r="E96" s="254"/>
      <c r="F96" s="254">
        <v>4.7</v>
      </c>
      <c r="G96" s="254"/>
      <c r="H96" s="254"/>
      <c r="I96" s="255">
        <v>5.72</v>
      </c>
      <c r="J96" s="256">
        <v>0.14299999999999999</v>
      </c>
      <c r="K96" s="254">
        <v>51.7</v>
      </c>
      <c r="L96" s="257" t="s">
        <v>159</v>
      </c>
      <c r="M96" s="253"/>
      <c r="N96" s="254"/>
      <c r="O96" s="257" t="s">
        <v>159</v>
      </c>
      <c r="P96" s="254"/>
      <c r="Q96" s="254"/>
      <c r="R96" s="254"/>
      <c r="S96" s="254"/>
      <c r="T96" s="258" t="s">
        <v>159</v>
      </c>
      <c r="U96" s="254">
        <v>4.7</v>
      </c>
    </row>
    <row r="97" spans="1:21" s="259" customFormat="1" ht="18" customHeight="1">
      <c r="A97" s="324" t="s">
        <v>586</v>
      </c>
      <c r="B97" s="253" t="s">
        <v>360</v>
      </c>
      <c r="C97" s="253">
        <v>1</v>
      </c>
      <c r="D97" s="254">
        <v>3647</v>
      </c>
      <c r="E97" s="254">
        <v>3649.75</v>
      </c>
      <c r="F97" s="254">
        <v>2.75</v>
      </c>
      <c r="G97" s="254">
        <v>141.69</v>
      </c>
      <c r="H97" s="254">
        <v>210.8</v>
      </c>
      <c r="I97" s="255">
        <v>5.78479999999999</v>
      </c>
      <c r="J97" s="256">
        <v>0.33842748319250626</v>
      </c>
      <c r="K97" s="254">
        <v>62.17493450811132</v>
      </c>
      <c r="L97" s="257" t="s">
        <v>159</v>
      </c>
      <c r="M97" s="324">
        <v>62391</v>
      </c>
      <c r="N97" s="325"/>
      <c r="O97" s="257" t="s">
        <v>159</v>
      </c>
      <c r="P97" s="254">
        <v>3647</v>
      </c>
      <c r="Q97" s="254">
        <v>3649.75</v>
      </c>
      <c r="R97" s="254">
        <v>2.75</v>
      </c>
      <c r="S97" s="254"/>
      <c r="T97" s="258" t="s">
        <v>159</v>
      </c>
      <c r="U97" s="254">
        <v>2.75</v>
      </c>
    </row>
    <row r="98" spans="1:21" s="259" customFormat="1" ht="18" customHeight="1">
      <c r="A98" s="324"/>
      <c r="B98" s="253" t="s">
        <v>360</v>
      </c>
      <c r="C98" s="253">
        <v>2</v>
      </c>
      <c r="D98" s="254">
        <v>3651.63</v>
      </c>
      <c r="E98" s="254">
        <v>3655.75</v>
      </c>
      <c r="F98" s="254">
        <v>4.1199999999998909</v>
      </c>
      <c r="G98" s="254">
        <v>94.97</v>
      </c>
      <c r="H98" s="254">
        <v>218.43</v>
      </c>
      <c r="I98" s="255">
        <v>6.308400000000006</v>
      </c>
      <c r="J98" s="256">
        <v>0.3724672735765</v>
      </c>
      <c r="K98" s="254">
        <v>59.950565274906502</v>
      </c>
      <c r="L98" s="257" t="s">
        <v>159</v>
      </c>
      <c r="M98" s="324"/>
      <c r="N98" s="325"/>
      <c r="O98" s="257" t="s">
        <v>159</v>
      </c>
      <c r="P98" s="254">
        <v>3651.63</v>
      </c>
      <c r="Q98" s="254">
        <v>3655.75</v>
      </c>
      <c r="R98" s="254">
        <v>4.1199999999998909</v>
      </c>
      <c r="S98" s="254"/>
      <c r="T98" s="258" t="s">
        <v>159</v>
      </c>
      <c r="U98" s="254">
        <v>4.1199999999998909</v>
      </c>
    </row>
    <row r="99" spans="1:21" s="259" customFormat="1" ht="18" customHeight="1">
      <c r="A99" s="324"/>
      <c r="B99" s="253" t="s">
        <v>580</v>
      </c>
      <c r="C99" s="253"/>
      <c r="D99" s="254"/>
      <c r="E99" s="254"/>
      <c r="F99" s="254">
        <v>3.6</v>
      </c>
      <c r="G99" s="254"/>
      <c r="H99" s="254"/>
      <c r="I99" s="255">
        <v>6.05</v>
      </c>
      <c r="J99" s="256">
        <v>0.35499999999999998</v>
      </c>
      <c r="K99" s="254">
        <v>61.1</v>
      </c>
      <c r="L99" s="257" t="s">
        <v>159</v>
      </c>
      <c r="M99" s="253"/>
      <c r="N99" s="254"/>
      <c r="O99" s="257" t="s">
        <v>159</v>
      </c>
      <c r="P99" s="254"/>
      <c r="Q99" s="254"/>
      <c r="R99" s="254"/>
      <c r="S99" s="254"/>
      <c r="T99" s="258" t="s">
        <v>159</v>
      </c>
      <c r="U99" s="254">
        <v>3.6</v>
      </c>
    </row>
    <row r="100" spans="1:21" s="259" customFormat="1" ht="18" customHeight="1">
      <c r="A100" s="324" t="s">
        <v>598</v>
      </c>
      <c r="B100" s="253" t="s">
        <v>360</v>
      </c>
      <c r="C100" s="253">
        <v>1</v>
      </c>
      <c r="D100" s="254">
        <v>3713.3</v>
      </c>
      <c r="E100" s="254">
        <v>3715.6</v>
      </c>
      <c r="F100" s="254">
        <v>2.2999999999999998</v>
      </c>
      <c r="G100" s="254">
        <v>134.75</v>
      </c>
      <c r="H100" s="254">
        <v>229.82</v>
      </c>
      <c r="I100" s="255">
        <v>8.1199999999999992</v>
      </c>
      <c r="J100" s="256">
        <v>1.1259999999999999</v>
      </c>
      <c r="K100" s="254">
        <v>53.9</v>
      </c>
      <c r="L100" s="257" t="s">
        <v>159</v>
      </c>
      <c r="M100" s="324"/>
      <c r="N100" s="325"/>
      <c r="O100" s="257" t="s">
        <v>159</v>
      </c>
      <c r="P100" s="254">
        <v>3713.3</v>
      </c>
      <c r="Q100" s="254">
        <v>3715.6</v>
      </c>
      <c r="R100" s="254">
        <v>2.2999999999999998</v>
      </c>
      <c r="S100" s="254"/>
      <c r="T100" s="258" t="s">
        <v>159</v>
      </c>
      <c r="U100" s="254">
        <v>2.2999999999999998</v>
      </c>
    </row>
    <row r="101" spans="1:21" s="259" customFormat="1" ht="18" customHeight="1">
      <c r="A101" s="324"/>
      <c r="B101" s="253" t="s">
        <v>360</v>
      </c>
      <c r="C101" s="253">
        <v>2</v>
      </c>
      <c r="D101" s="254">
        <v>3726.7</v>
      </c>
      <c r="E101" s="254">
        <v>3728.4</v>
      </c>
      <c r="F101" s="254">
        <v>1.7</v>
      </c>
      <c r="G101" s="254">
        <v>47.31</v>
      </c>
      <c r="H101" s="254">
        <v>220.92</v>
      </c>
      <c r="I101" s="255">
        <v>6.65</v>
      </c>
      <c r="J101" s="256">
        <v>0.37</v>
      </c>
      <c r="K101" s="254">
        <v>50</v>
      </c>
      <c r="L101" s="257" t="s">
        <v>159</v>
      </c>
      <c r="M101" s="324"/>
      <c r="N101" s="325"/>
      <c r="O101" s="257" t="s">
        <v>159</v>
      </c>
      <c r="P101" s="254">
        <v>3726.7</v>
      </c>
      <c r="Q101" s="254">
        <v>3728.4</v>
      </c>
      <c r="R101" s="254">
        <v>1.7</v>
      </c>
      <c r="S101" s="254"/>
      <c r="T101" s="258" t="s">
        <v>159</v>
      </c>
      <c r="U101" s="254">
        <v>1.7</v>
      </c>
    </row>
    <row r="102" spans="1:21" s="259" customFormat="1" ht="18" customHeight="1">
      <c r="A102" s="324"/>
      <c r="B102" s="253" t="s">
        <v>580</v>
      </c>
      <c r="C102" s="253"/>
      <c r="D102" s="254"/>
      <c r="E102" s="254"/>
      <c r="F102" s="254">
        <v>4</v>
      </c>
      <c r="G102" s="254"/>
      <c r="H102" s="254"/>
      <c r="I102" s="255">
        <v>7.39</v>
      </c>
      <c r="J102" s="256">
        <v>0.748</v>
      </c>
      <c r="K102" s="254">
        <v>52</v>
      </c>
      <c r="L102" s="257" t="s">
        <v>159</v>
      </c>
      <c r="M102" s="253"/>
      <c r="N102" s="254"/>
      <c r="O102" s="257" t="s">
        <v>159</v>
      </c>
      <c r="P102" s="254"/>
      <c r="Q102" s="254"/>
      <c r="R102" s="254"/>
      <c r="S102" s="254"/>
      <c r="T102" s="258" t="s">
        <v>159</v>
      </c>
      <c r="U102" s="254">
        <v>4</v>
      </c>
    </row>
    <row r="103" spans="1:21" s="259" customFormat="1" ht="18" customHeight="1">
      <c r="A103" s="324" t="s">
        <v>530</v>
      </c>
      <c r="B103" s="253" t="s">
        <v>360</v>
      </c>
      <c r="C103" s="253">
        <v>1</v>
      </c>
      <c r="D103" s="254">
        <v>3675.75</v>
      </c>
      <c r="E103" s="254">
        <v>3677</v>
      </c>
      <c r="F103" s="254">
        <v>1.2</v>
      </c>
      <c r="G103" s="254">
        <v>191.15</v>
      </c>
      <c r="H103" s="254">
        <v>208.1</v>
      </c>
      <c r="I103" s="255">
        <v>5.44</v>
      </c>
      <c r="J103" s="256">
        <v>0.35199999999999998</v>
      </c>
      <c r="K103" s="254">
        <v>54.5</v>
      </c>
      <c r="L103" s="257" t="s">
        <v>159</v>
      </c>
      <c r="M103" s="324"/>
      <c r="N103" s="325"/>
      <c r="O103" s="257" t="s">
        <v>159</v>
      </c>
      <c r="P103" s="254">
        <v>3675.75</v>
      </c>
      <c r="Q103" s="254">
        <v>3677</v>
      </c>
      <c r="R103" s="254">
        <v>1.2</v>
      </c>
      <c r="S103" s="254"/>
      <c r="T103" s="258" t="s">
        <v>159</v>
      </c>
      <c r="U103" s="254">
        <v>1.2</v>
      </c>
    </row>
    <row r="104" spans="1:21" s="259" customFormat="1" ht="18" customHeight="1">
      <c r="A104" s="324"/>
      <c r="B104" s="253" t="s">
        <v>360</v>
      </c>
      <c r="C104" s="253">
        <v>2</v>
      </c>
      <c r="D104" s="254">
        <v>3677.75</v>
      </c>
      <c r="E104" s="254">
        <v>3680</v>
      </c>
      <c r="F104" s="254">
        <v>2.2000000000000002</v>
      </c>
      <c r="G104" s="254">
        <v>176.93</v>
      </c>
      <c r="H104" s="254">
        <v>211.47</v>
      </c>
      <c r="I104" s="255">
        <v>5.13</v>
      </c>
      <c r="J104" s="256">
        <v>0.223</v>
      </c>
      <c r="K104" s="254">
        <v>56.6</v>
      </c>
      <c r="L104" s="257" t="s">
        <v>159</v>
      </c>
      <c r="M104" s="324"/>
      <c r="N104" s="325"/>
      <c r="O104" s="257" t="s">
        <v>159</v>
      </c>
      <c r="P104" s="254">
        <v>3677.75</v>
      </c>
      <c r="Q104" s="254">
        <v>3680</v>
      </c>
      <c r="R104" s="254">
        <v>2.2000000000000002</v>
      </c>
      <c r="S104" s="254"/>
      <c r="T104" s="258" t="s">
        <v>159</v>
      </c>
      <c r="U104" s="254">
        <v>2.2000000000000002</v>
      </c>
    </row>
    <row r="105" spans="1:21" s="259" customFormat="1" ht="18" customHeight="1">
      <c r="A105" s="324"/>
      <c r="B105" s="253" t="s">
        <v>580</v>
      </c>
      <c r="C105" s="253"/>
      <c r="D105" s="254"/>
      <c r="E105" s="254"/>
      <c r="F105" s="254">
        <v>3.4</v>
      </c>
      <c r="G105" s="254"/>
      <c r="H105" s="254"/>
      <c r="I105" s="255">
        <v>5.29</v>
      </c>
      <c r="J105" s="256">
        <v>0.28799999999999998</v>
      </c>
      <c r="K105" s="254">
        <v>55.6</v>
      </c>
      <c r="L105" s="257" t="s">
        <v>159</v>
      </c>
      <c r="M105" s="253"/>
      <c r="N105" s="254"/>
      <c r="O105" s="257" t="s">
        <v>159</v>
      </c>
      <c r="P105" s="254"/>
      <c r="Q105" s="254"/>
      <c r="R105" s="254"/>
      <c r="S105" s="254"/>
      <c r="T105" s="258" t="s">
        <v>159</v>
      </c>
      <c r="U105" s="254">
        <v>3.4</v>
      </c>
    </row>
    <row r="106" spans="1:21" s="259" customFormat="1" ht="18" customHeight="1">
      <c r="A106" s="324" t="s">
        <v>589</v>
      </c>
      <c r="B106" s="253" t="s">
        <v>360</v>
      </c>
      <c r="C106" s="253">
        <v>1</v>
      </c>
      <c r="D106" s="254">
        <v>3673.2</v>
      </c>
      <c r="E106" s="254">
        <v>3675.125</v>
      </c>
      <c r="F106" s="254">
        <v>1.9250000000001819</v>
      </c>
      <c r="G106" s="254">
        <v>261.78116384615385</v>
      </c>
      <c r="H106" s="254">
        <v>214.21412000000001</v>
      </c>
      <c r="I106" s="255">
        <v>5.5798153199999998</v>
      </c>
      <c r="J106" s="256">
        <v>0.29930859599999998</v>
      </c>
      <c r="K106" s="254">
        <v>65.535634799999997</v>
      </c>
      <c r="L106" s="257" t="s">
        <v>159</v>
      </c>
      <c r="M106" s="324"/>
      <c r="N106" s="325"/>
      <c r="O106" s="257" t="s">
        <v>159</v>
      </c>
      <c r="P106" s="254">
        <v>3673.2</v>
      </c>
      <c r="Q106" s="254">
        <v>3675.125</v>
      </c>
      <c r="R106" s="254">
        <v>1.9250000000001819</v>
      </c>
      <c r="S106" s="254"/>
      <c r="T106" s="258" t="s">
        <v>159</v>
      </c>
      <c r="U106" s="254">
        <v>1.9250000000001819</v>
      </c>
    </row>
    <row r="107" spans="1:21" s="259" customFormat="1" ht="18" customHeight="1">
      <c r="A107" s="324"/>
      <c r="B107" s="253" t="s">
        <v>360</v>
      </c>
      <c r="C107" s="253">
        <v>2</v>
      </c>
      <c r="D107" s="254">
        <v>3680</v>
      </c>
      <c r="E107" s="254">
        <v>3681.7</v>
      </c>
      <c r="F107" s="254">
        <v>1.6999999999998181</v>
      </c>
      <c r="G107" s="254">
        <v>68.328486666666663</v>
      </c>
      <c r="H107" s="254">
        <v>221.59948846153847</v>
      </c>
      <c r="I107" s="255">
        <v>6.8231463076923076</v>
      </c>
      <c r="J107" s="256">
        <v>0.14735930999999999</v>
      </c>
      <c r="K107" s="254">
        <v>52.461461153846152</v>
      </c>
      <c r="L107" s="257" t="s">
        <v>159</v>
      </c>
      <c r="M107" s="324"/>
      <c r="N107" s="325"/>
      <c r="O107" s="257" t="s">
        <v>159</v>
      </c>
      <c r="P107" s="254">
        <v>3680</v>
      </c>
      <c r="Q107" s="254">
        <v>3681.7</v>
      </c>
      <c r="R107" s="254">
        <v>1.6999999999998181</v>
      </c>
      <c r="S107" s="254"/>
      <c r="T107" s="258" t="s">
        <v>159</v>
      </c>
      <c r="U107" s="254">
        <v>1.6999999999998181</v>
      </c>
    </row>
    <row r="108" spans="1:21" s="259" customFormat="1" ht="18" customHeight="1">
      <c r="A108" s="324"/>
      <c r="B108" s="253" t="s">
        <v>580</v>
      </c>
      <c r="C108" s="253"/>
      <c r="D108" s="254"/>
      <c r="E108" s="254"/>
      <c r="F108" s="254">
        <v>3.6</v>
      </c>
      <c r="G108" s="254"/>
      <c r="H108" s="254"/>
      <c r="I108" s="255">
        <v>6.2</v>
      </c>
      <c r="J108" s="256">
        <v>0.223</v>
      </c>
      <c r="K108" s="254">
        <v>59</v>
      </c>
      <c r="L108" s="257" t="s">
        <v>159</v>
      </c>
      <c r="M108" s="253"/>
      <c r="N108" s="254"/>
      <c r="O108" s="257" t="s">
        <v>159</v>
      </c>
      <c r="P108" s="254"/>
      <c r="Q108" s="254"/>
      <c r="R108" s="254"/>
      <c r="S108" s="254"/>
      <c r="T108" s="258" t="s">
        <v>159</v>
      </c>
      <c r="U108" s="254">
        <v>3.6</v>
      </c>
    </row>
    <row r="109" spans="1:21" s="259" customFormat="1" ht="18" customHeight="1">
      <c r="A109" s="324" t="s">
        <v>599</v>
      </c>
      <c r="B109" s="253" t="s">
        <v>360</v>
      </c>
      <c r="C109" s="253">
        <v>1</v>
      </c>
      <c r="D109" s="254">
        <v>3677.5</v>
      </c>
      <c r="E109" s="254">
        <v>3680.5</v>
      </c>
      <c r="F109" s="254">
        <v>3</v>
      </c>
      <c r="G109" s="254">
        <v>168.27724375</v>
      </c>
      <c r="H109" s="254">
        <v>225.6</v>
      </c>
      <c r="I109" s="255">
        <v>8.1</v>
      </c>
      <c r="J109" s="256">
        <v>0.39200000000000002</v>
      </c>
      <c r="K109" s="254">
        <v>77.8</v>
      </c>
      <c r="L109" s="257" t="s">
        <v>159</v>
      </c>
      <c r="M109" s="253"/>
      <c r="N109" s="254"/>
      <c r="O109" s="257" t="s">
        <v>159</v>
      </c>
      <c r="P109" s="254">
        <v>3677.5</v>
      </c>
      <c r="Q109" s="254">
        <v>3680.5</v>
      </c>
      <c r="R109" s="254">
        <v>3</v>
      </c>
      <c r="S109" s="254"/>
      <c r="T109" s="258" t="s">
        <v>159</v>
      </c>
      <c r="U109" s="254">
        <v>3</v>
      </c>
    </row>
    <row r="110" spans="1:21" s="259" customFormat="1" ht="18" customHeight="1">
      <c r="A110" s="324"/>
      <c r="B110" s="253" t="s">
        <v>580</v>
      </c>
      <c r="C110" s="253"/>
      <c r="D110" s="254"/>
      <c r="E110" s="254"/>
      <c r="F110" s="254">
        <v>3</v>
      </c>
      <c r="G110" s="254"/>
      <c r="H110" s="254"/>
      <c r="I110" s="255">
        <v>8.1</v>
      </c>
      <c r="J110" s="256">
        <v>0.39200000000000002</v>
      </c>
      <c r="K110" s="254">
        <v>77.8</v>
      </c>
      <c r="L110" s="257" t="s">
        <v>159</v>
      </c>
      <c r="M110" s="253"/>
      <c r="N110" s="254"/>
      <c r="O110" s="257" t="s">
        <v>159</v>
      </c>
      <c r="P110" s="254"/>
      <c r="Q110" s="254"/>
      <c r="R110" s="254"/>
      <c r="S110" s="254"/>
      <c r="T110" s="258" t="s">
        <v>159</v>
      </c>
      <c r="U110" s="254">
        <v>3</v>
      </c>
    </row>
    <row r="111" spans="1:21" s="259" customFormat="1" ht="18" customHeight="1">
      <c r="A111" s="324" t="s">
        <v>593</v>
      </c>
      <c r="B111" s="253" t="s">
        <v>360</v>
      </c>
      <c r="C111" s="253">
        <v>1</v>
      </c>
      <c r="D111" s="254">
        <v>3724.288</v>
      </c>
      <c r="E111" s="254">
        <v>3725.413</v>
      </c>
      <c r="F111" s="254">
        <v>1.125</v>
      </c>
      <c r="G111" s="254">
        <v>362.14053333333334</v>
      </c>
      <c r="H111" s="254">
        <v>201.95256666666666</v>
      </c>
      <c r="I111" s="255">
        <v>7.3965408750000003</v>
      </c>
      <c r="J111" s="256">
        <v>0.63442109999999996</v>
      </c>
      <c r="K111" s="254">
        <v>81.083873749999995</v>
      </c>
      <c r="L111" s="257" t="s">
        <v>159</v>
      </c>
      <c r="M111" s="324"/>
      <c r="N111" s="254"/>
      <c r="O111" s="257" t="s">
        <v>159</v>
      </c>
      <c r="P111" s="254">
        <v>3724.288</v>
      </c>
      <c r="Q111" s="254">
        <v>3725.413</v>
      </c>
      <c r="R111" s="254">
        <v>1.125</v>
      </c>
      <c r="S111" s="254"/>
      <c r="T111" s="258" t="s">
        <v>159</v>
      </c>
      <c r="U111" s="254">
        <v>1.125</v>
      </c>
    </row>
    <row r="112" spans="1:21" s="259" customFormat="1" ht="18" customHeight="1">
      <c r="A112" s="324"/>
      <c r="B112" s="253" t="s">
        <v>360</v>
      </c>
      <c r="C112" s="253">
        <v>2</v>
      </c>
      <c r="D112" s="254">
        <v>3736.913</v>
      </c>
      <c r="E112" s="254">
        <v>3742.3339999999998</v>
      </c>
      <c r="F112" s="254">
        <v>5.42099999999982</v>
      </c>
      <c r="G112" s="254">
        <v>43.688986744186046</v>
      </c>
      <c r="H112" s="254">
        <v>227.47965909090908</v>
      </c>
      <c r="I112" s="255">
        <v>7.4958058139534884</v>
      </c>
      <c r="J112" s="256">
        <v>0.23114961627906977</v>
      </c>
      <c r="K112" s="254">
        <v>46.306602790697674</v>
      </c>
      <c r="L112" s="257" t="s">
        <v>159</v>
      </c>
      <c r="M112" s="324"/>
      <c r="N112" s="254"/>
      <c r="O112" s="257" t="s">
        <v>159</v>
      </c>
      <c r="P112" s="254">
        <v>3736.913</v>
      </c>
      <c r="Q112" s="254">
        <v>3742.3339999999998</v>
      </c>
      <c r="R112" s="254">
        <v>5.42099999999982</v>
      </c>
      <c r="S112" s="254"/>
      <c r="T112" s="258" t="s">
        <v>159</v>
      </c>
      <c r="U112" s="254">
        <v>5.42099999999982</v>
      </c>
    </row>
    <row r="113" spans="1:21" s="259" customFormat="1" ht="18" customHeight="1">
      <c r="A113" s="324"/>
      <c r="B113" s="253" t="s">
        <v>360</v>
      </c>
      <c r="C113" s="253">
        <v>3</v>
      </c>
      <c r="D113" s="254">
        <v>3742.288</v>
      </c>
      <c r="E113" s="254">
        <v>3745.038</v>
      </c>
      <c r="F113" s="254">
        <v>2.75</v>
      </c>
      <c r="G113" s="254">
        <v>97.062264545454539</v>
      </c>
      <c r="H113" s="254">
        <v>228.95100909090908</v>
      </c>
      <c r="I113" s="255">
        <v>7.9017102380952382</v>
      </c>
      <c r="J113" s="256">
        <v>0.28826930000000001</v>
      </c>
      <c r="K113" s="254">
        <v>62.172925238095239</v>
      </c>
      <c r="L113" s="257" t="s">
        <v>159</v>
      </c>
      <c r="M113" s="324"/>
      <c r="N113" s="254"/>
      <c r="O113" s="257" t="s">
        <v>159</v>
      </c>
      <c r="P113" s="254">
        <v>3742.288</v>
      </c>
      <c r="Q113" s="254">
        <v>3745.038</v>
      </c>
      <c r="R113" s="254">
        <v>2.75</v>
      </c>
      <c r="S113" s="254"/>
      <c r="T113" s="258" t="s">
        <v>159</v>
      </c>
      <c r="U113" s="254">
        <v>2.75</v>
      </c>
    </row>
    <row r="114" spans="1:21" s="259" customFormat="1" ht="18" customHeight="1">
      <c r="A114" s="324"/>
      <c r="B114" s="253" t="s">
        <v>580</v>
      </c>
      <c r="C114" s="253"/>
      <c r="D114" s="254"/>
      <c r="E114" s="254"/>
      <c r="F114" s="254">
        <v>9.3000000000000007</v>
      </c>
      <c r="G114" s="254"/>
      <c r="H114" s="254"/>
      <c r="I114" s="255">
        <v>7.6</v>
      </c>
      <c r="J114" s="256">
        <v>0.38500000000000001</v>
      </c>
      <c r="K114" s="254">
        <v>63.2</v>
      </c>
      <c r="L114" s="257" t="s">
        <v>159</v>
      </c>
      <c r="M114" s="253"/>
      <c r="N114" s="254"/>
      <c r="O114" s="257" t="s">
        <v>159</v>
      </c>
      <c r="P114" s="254"/>
      <c r="Q114" s="254"/>
      <c r="R114" s="254"/>
      <c r="S114" s="254"/>
      <c r="T114" s="258"/>
      <c r="U114" s="254">
        <v>9.3000000000000007</v>
      </c>
    </row>
    <row r="115" spans="1:21" s="265" customFormat="1" ht="23.25" customHeight="1">
      <c r="A115" s="260"/>
      <c r="B115" s="260"/>
      <c r="C115" s="261"/>
      <c r="D115" s="262"/>
      <c r="E115" s="262"/>
      <c r="F115" s="262"/>
      <c r="G115" s="262"/>
      <c r="H115" s="262"/>
      <c r="I115" s="263"/>
      <c r="J115" s="261"/>
      <c r="K115" s="262"/>
      <c r="L115" s="261"/>
      <c r="M115" s="260" t="s">
        <v>594</v>
      </c>
      <c r="N115" s="264"/>
      <c r="O115" s="260"/>
      <c r="P115" s="337" t="s">
        <v>595</v>
      </c>
      <c r="Q115" s="337"/>
      <c r="R115" s="262"/>
      <c r="S115" s="337" t="s">
        <v>596</v>
      </c>
      <c r="T115" s="337"/>
      <c r="U115" s="337"/>
    </row>
  </sheetData>
  <mergeCells count="95">
    <mergeCell ref="A109:A110"/>
    <mergeCell ref="A111:A114"/>
    <mergeCell ref="M111:M113"/>
    <mergeCell ref="A106:A108"/>
    <mergeCell ref="M106:M107"/>
    <mergeCell ref="A1:A3"/>
    <mergeCell ref="B1:B3"/>
    <mergeCell ref="M1:O1"/>
    <mergeCell ref="C2:C3"/>
    <mergeCell ref="D3:E3"/>
    <mergeCell ref="N106:N107"/>
    <mergeCell ref="A85:A86"/>
    <mergeCell ref="A87:A91"/>
    <mergeCell ref="M87:M90"/>
    <mergeCell ref="A103:A105"/>
    <mergeCell ref="M103:M104"/>
    <mergeCell ref="N87:N90"/>
    <mergeCell ref="N103:N104"/>
    <mergeCell ref="A92:A93"/>
    <mergeCell ref="N94:N95"/>
    <mergeCell ref="A82:A84"/>
    <mergeCell ref="M82:M83"/>
    <mergeCell ref="N82:N83"/>
    <mergeCell ref="M100:M101"/>
    <mergeCell ref="N97:N98"/>
    <mergeCell ref="A97:A99"/>
    <mergeCell ref="M97:M98"/>
    <mergeCell ref="A94:A96"/>
    <mergeCell ref="M94:M95"/>
    <mergeCell ref="M66:M67"/>
    <mergeCell ref="N66:N67"/>
    <mergeCell ref="A77:A79"/>
    <mergeCell ref="M77:M78"/>
    <mergeCell ref="N77:N78"/>
    <mergeCell ref="M73:M75"/>
    <mergeCell ref="N73:N75"/>
    <mergeCell ref="M56:M58"/>
    <mergeCell ref="A60:A61"/>
    <mergeCell ref="A62:A63"/>
    <mergeCell ref="A64:A65"/>
    <mergeCell ref="N48:N49"/>
    <mergeCell ref="A51:A53"/>
    <mergeCell ref="M51:M52"/>
    <mergeCell ref="N51:N52"/>
    <mergeCell ref="A4:A5"/>
    <mergeCell ref="A6:A8"/>
    <mergeCell ref="S115:U115"/>
    <mergeCell ref="P115:Q115"/>
    <mergeCell ref="A30:A32"/>
    <mergeCell ref="M30:M31"/>
    <mergeCell ref="N30:N31"/>
    <mergeCell ref="A33:A37"/>
    <mergeCell ref="M33:M36"/>
    <mergeCell ref="N33:N36"/>
    <mergeCell ref="M6:M7"/>
    <mergeCell ref="A12:A13"/>
    <mergeCell ref="N6:N7"/>
    <mergeCell ref="A9:A11"/>
    <mergeCell ref="M9:M10"/>
    <mergeCell ref="N9:N10"/>
    <mergeCell ref="P3:Q3"/>
    <mergeCell ref="P2:Q2"/>
    <mergeCell ref="O2:O3"/>
    <mergeCell ref="C1:L1"/>
    <mergeCell ref="D2:E2"/>
    <mergeCell ref="L2:L3"/>
    <mergeCell ref="A14:A15"/>
    <mergeCell ref="A16:A20"/>
    <mergeCell ref="A24:A25"/>
    <mergeCell ref="A26:A27"/>
    <mergeCell ref="N16:N19"/>
    <mergeCell ref="A21:A23"/>
    <mergeCell ref="M21:M22"/>
    <mergeCell ref="N21:N22"/>
    <mergeCell ref="M16:M19"/>
    <mergeCell ref="A28:A29"/>
    <mergeCell ref="A100:A102"/>
    <mergeCell ref="A45:A47"/>
    <mergeCell ref="A48:A50"/>
    <mergeCell ref="A54:A55"/>
    <mergeCell ref="A56:A59"/>
    <mergeCell ref="A66:A68"/>
    <mergeCell ref="A80:A81"/>
    <mergeCell ref="A43:A44"/>
    <mergeCell ref="A38:A40"/>
    <mergeCell ref="M38:M39"/>
    <mergeCell ref="N38:N39"/>
    <mergeCell ref="A41:A42"/>
    <mergeCell ref="N100:N101"/>
    <mergeCell ref="M69:M70"/>
    <mergeCell ref="A69:A72"/>
    <mergeCell ref="A73:A76"/>
    <mergeCell ref="M45:M46"/>
    <mergeCell ref="N45:N46"/>
    <mergeCell ref="M48:M49"/>
  </mergeCells>
  <phoneticPr fontId="30" type="noConversion"/>
  <printOptions horizontalCentered="1"/>
  <pageMargins left="0.9055118110236221" right="0.82677165354330717" top="1.4173228346456694" bottom="0.9055118110236221" header="1.0236220472440944" footer="0.51181102362204722"/>
  <pageSetup paperSize="8" scale="97" orientation="landscape" r:id="rId1"/>
  <headerFooter alignWithMargins="0">
    <oddHeader>&amp;C&amp;"黑体,常规"&amp;14附表14-2-&amp;P 苏里格气田西一区新增探明储量区块山1单井有效厚度测井解释成果表</oddHeader>
  </headerFooter>
  <rowBreaks count="3" manualBreakCount="3">
    <brk id="32" max="20" man="1"/>
    <brk id="63" max="20" man="1"/>
    <brk id="96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参数表</vt:lpstr>
      <vt:lpstr>类比表</vt:lpstr>
      <vt:lpstr>分层</vt:lpstr>
      <vt:lpstr>试气</vt:lpstr>
      <vt:lpstr>P2x8单井厚度</vt:lpstr>
      <vt:lpstr>P1s1单井厚度</vt:lpstr>
      <vt:lpstr>P1s1单井厚度!Print_Area</vt:lpstr>
      <vt:lpstr>分层!Print_Area</vt:lpstr>
      <vt:lpstr>分层!Print_Titles</vt:lpstr>
      <vt:lpstr>试气!Print_Titles</vt:lpstr>
    </vt:vector>
  </TitlesOfParts>
  <Company>cq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wangjx</cp:lastModifiedBy>
  <dcterms:created xsi:type="dcterms:W3CDTF">2013-12-11T06:08:44Z</dcterms:created>
  <dcterms:modified xsi:type="dcterms:W3CDTF">2015-09-07T03:06:19Z</dcterms:modified>
</cp:coreProperties>
</file>