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465" windowWidth="19440" windowHeight="11040" tabRatio="898" firstSheet="6" activeTab="11"/>
  </bookViews>
  <sheets>
    <sheet name="DATOS" sheetId="2" r:id="rId1"/>
    <sheet name="BDC" sheetId="29" r:id="rId2"/>
    <sheet name="INFORME CONTRATISTAS" sheetId="32" r:id="rId3"/>
    <sheet name="ANEXO INFORME" sheetId="33" r:id="rId4"/>
    <sheet name="ACTA PARCIAL " sheetId="1" r:id="rId5"/>
    <sheet name="ACTA DE INICIO" sheetId="34" r:id="rId6"/>
    <sheet name="ACTA DE SUSPENSION" sheetId="35" r:id="rId7"/>
    <sheet name="ACTA DE REINICIO" sheetId="36" r:id="rId8"/>
    <sheet name="ACTA FINAL PRESTACION" sheetId="40" r:id="rId9"/>
    <sheet name="ACTA FINAL OBRA" sheetId="37" r:id="rId10"/>
    <sheet name="ACTA DE LIQUIDACION" sheetId="38" r:id="rId11"/>
    <sheet name="ACTA DE PACTACION DE PRECIOS" sheetId="39" r:id="rId12"/>
  </sheets>
  <definedNames>
    <definedName name="ALCANCES" localSheetId="5">#REF!</definedName>
    <definedName name="ALCANCES" localSheetId="10">#REF!</definedName>
    <definedName name="ALCANCES" localSheetId="11">#REF!</definedName>
    <definedName name="ALCANCES" localSheetId="7">#REF!</definedName>
    <definedName name="ALCANCES" localSheetId="6">#REF!</definedName>
    <definedName name="ALCANCES" localSheetId="9">#REF!</definedName>
    <definedName name="ALCANCES" localSheetId="8">#REF!</definedName>
    <definedName name="ALCANCES" localSheetId="3">#REF!</definedName>
    <definedName name="ALCANCES" localSheetId="2">#REF!</definedName>
    <definedName name="ALCANCES">#REF!</definedName>
    <definedName name="_xlnm.Print_Area" localSheetId="5">'ACTA DE INICIO'!$A$1:$AA$39</definedName>
    <definedName name="_xlnm.Print_Area" localSheetId="10">'ACTA DE LIQUIDACION'!$A$1:$AA$75</definedName>
    <definedName name="_xlnm.Print_Area" localSheetId="11">'ACTA DE PACTACION DE PRECIOS'!$A$1:$AA$56</definedName>
    <definedName name="_xlnm.Print_Area" localSheetId="7">'ACTA DE REINICIO'!$A$1:$AA$60</definedName>
    <definedName name="_xlnm.Print_Area" localSheetId="6">'ACTA DE SUSPENSION'!$A$1:$AA$60</definedName>
    <definedName name="_xlnm.Print_Area" localSheetId="9">'ACTA FINAL OBRA'!$A$1:$AA$75</definedName>
    <definedName name="_xlnm.Print_Area" localSheetId="8">'ACTA FINAL PRESTACION'!$A$1:$AA$75</definedName>
    <definedName name="_xlnm.Print_Area" localSheetId="4">'ACTA PARCIAL '!$A$1:$AA$75</definedName>
    <definedName name="_xlnm.Print_Area" localSheetId="3">'ANEXO INFORME'!$A$1:$AA$55</definedName>
    <definedName name="_xlnm.Print_Area" localSheetId="2">'INFORME CONTRATISTAS'!$A$1:$AA$76</definedName>
    <definedName name="CONTRA">BDC!$1:$1048576</definedName>
    <definedName name="CONTRATO" localSheetId="5">#REF!</definedName>
    <definedName name="CONTRATO" localSheetId="10">#REF!</definedName>
    <definedName name="CONTRATO" localSheetId="11">#REF!</definedName>
    <definedName name="CONTRATO" localSheetId="7">#REF!</definedName>
    <definedName name="CONTRATO" localSheetId="6">#REF!</definedName>
    <definedName name="CONTRATO" localSheetId="9">#REF!</definedName>
    <definedName name="CONTRATO" localSheetId="8">#REF!</definedName>
    <definedName name="CONTRATO" localSheetId="3">#REF!</definedName>
    <definedName name="CONTRATO" localSheetId="2">#REF!</definedName>
    <definedName name="CONTRATO">#REF!</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T14" i="38" l="1"/>
  <c r="L28" i="38"/>
  <c r="T14" i="37"/>
  <c r="L28" i="37"/>
  <c r="T14" i="40"/>
  <c r="L28" i="40"/>
  <c r="T14" i="36"/>
  <c r="L28" i="36"/>
  <c r="T14" i="35"/>
  <c r="L28" i="35"/>
  <c r="T14" i="1"/>
  <c r="L28" i="1"/>
  <c r="T14" i="32"/>
  <c r="L28" i="32"/>
  <c r="A76" i="32"/>
  <c r="A75" i="32"/>
  <c r="A76" i="40"/>
  <c r="F13" i="40"/>
  <c r="A75" i="40"/>
  <c r="A63" i="40"/>
  <c r="F19" i="40"/>
  <c r="T19" i="40"/>
  <c r="Z21" i="40"/>
  <c r="K49" i="40"/>
  <c r="K65" i="40"/>
  <c r="F66" i="40"/>
  <c r="D98" i="40"/>
  <c r="E125" i="40"/>
  <c r="F125" i="40"/>
  <c r="H124" i="40"/>
  <c r="E103" i="40"/>
  <c r="G103" i="40"/>
  <c r="E104" i="40"/>
  <c r="G104" i="40"/>
  <c r="E105" i="40"/>
  <c r="G105" i="40"/>
  <c r="H103" i="40"/>
  <c r="E106" i="40"/>
  <c r="G106" i="40"/>
  <c r="H104" i="40"/>
  <c r="I104" i="40"/>
  <c r="E107" i="40"/>
  <c r="G107" i="40"/>
  <c r="H105" i="40"/>
  <c r="I105" i="40"/>
  <c r="E108" i="40"/>
  <c r="G108" i="40"/>
  <c r="H106" i="40"/>
  <c r="E109" i="40"/>
  <c r="G109" i="40"/>
  <c r="H107" i="40"/>
  <c r="I107" i="40"/>
  <c r="E110" i="40"/>
  <c r="G110" i="40"/>
  <c r="H108" i="40"/>
  <c r="I108" i="40"/>
  <c r="E111" i="40"/>
  <c r="G111" i="40"/>
  <c r="H109" i="40"/>
  <c r="E115" i="40"/>
  <c r="G115" i="40"/>
  <c r="H110" i="40"/>
  <c r="I110" i="40"/>
  <c r="H111" i="40"/>
  <c r="I111" i="40"/>
  <c r="E112" i="40"/>
  <c r="G112" i="40"/>
  <c r="E113" i="40"/>
  <c r="G113" i="40"/>
  <c r="E114" i="40"/>
  <c r="G114" i="40"/>
  <c r="H112" i="40"/>
  <c r="H113" i="40"/>
  <c r="I113" i="40"/>
  <c r="H114" i="40"/>
  <c r="I114" i="40"/>
  <c r="E116" i="40"/>
  <c r="G116" i="40"/>
  <c r="E117" i="40"/>
  <c r="G117" i="40"/>
  <c r="H115" i="40"/>
  <c r="H116" i="40"/>
  <c r="I116" i="40"/>
  <c r="H117" i="40"/>
  <c r="D122" i="40"/>
  <c r="D100" i="40"/>
  <c r="K76" i="40"/>
  <c r="K75" i="40"/>
  <c r="F12" i="40"/>
  <c r="T18" i="40"/>
  <c r="L70" i="40"/>
  <c r="F18" i="40"/>
  <c r="H70" i="40"/>
  <c r="J66" i="40"/>
  <c r="Y65" i="40"/>
  <c r="H15" i="40"/>
  <c r="P26" i="40"/>
  <c r="C32" i="2"/>
  <c r="X26" i="40"/>
  <c r="X27" i="40"/>
  <c r="Z27" i="40"/>
  <c r="X28" i="40"/>
  <c r="Z28" i="40"/>
  <c r="Z30" i="40"/>
  <c r="V49" i="40"/>
  <c r="V65" i="40"/>
  <c r="T20" i="40"/>
  <c r="F20" i="40"/>
  <c r="F21" i="40"/>
  <c r="S49" i="40"/>
  <c r="S65" i="40"/>
  <c r="P49" i="40"/>
  <c r="P65" i="40"/>
  <c r="J65" i="40"/>
  <c r="F65" i="40"/>
  <c r="B49" i="40"/>
  <c r="B65" i="40"/>
  <c r="K50" i="40"/>
  <c r="K51" i="40"/>
  <c r="K52" i="40"/>
  <c r="K53" i="40"/>
  <c r="K54" i="40"/>
  <c r="K55" i="40"/>
  <c r="K56" i="40"/>
  <c r="K57" i="40"/>
  <c r="K58" i="40"/>
  <c r="K59" i="40"/>
  <c r="K60" i="40"/>
  <c r="K61" i="40"/>
  <c r="J61" i="40"/>
  <c r="V60" i="40"/>
  <c r="P50" i="40"/>
  <c r="P51" i="40"/>
  <c r="P52" i="40"/>
  <c r="P53" i="40"/>
  <c r="P54" i="40"/>
  <c r="P55" i="40"/>
  <c r="P56" i="40"/>
  <c r="P57" i="40"/>
  <c r="P58" i="40"/>
  <c r="P59" i="40"/>
  <c r="P60" i="40"/>
  <c r="S60" i="40"/>
  <c r="V59" i="40"/>
  <c r="S59" i="40"/>
  <c r="V58" i="40"/>
  <c r="S58" i="40"/>
  <c r="V57" i="40"/>
  <c r="S57" i="40"/>
  <c r="V56" i="40"/>
  <c r="S56" i="40"/>
  <c r="V55" i="40"/>
  <c r="S55" i="40"/>
  <c r="V54" i="40"/>
  <c r="S54" i="40"/>
  <c r="V53" i="40"/>
  <c r="S53" i="40"/>
  <c r="V52" i="40"/>
  <c r="S52" i="40"/>
  <c r="V51" i="40"/>
  <c r="S51" i="40"/>
  <c r="V50" i="40"/>
  <c r="S50" i="40"/>
  <c r="B44" i="40"/>
  <c r="B43" i="40"/>
  <c r="B42" i="40"/>
  <c r="B41" i="40"/>
  <c r="B40" i="40"/>
  <c r="B39" i="40"/>
  <c r="B38" i="40"/>
  <c r="B37" i="40"/>
  <c r="B36" i="40"/>
  <c r="B35" i="40"/>
  <c r="B34" i="40"/>
  <c r="B33" i="40"/>
  <c r="L31" i="40"/>
  <c r="R31" i="40"/>
  <c r="T31" i="40"/>
  <c r="T21" i="40"/>
  <c r="X31" i="40"/>
  <c r="Z31" i="40"/>
  <c r="R29" i="40"/>
  <c r="X29" i="40"/>
  <c r="X30" i="40"/>
  <c r="T26" i="40"/>
  <c r="T27" i="40"/>
  <c r="T28" i="40"/>
  <c r="T29" i="40"/>
  <c r="T30" i="40"/>
  <c r="L30" i="40"/>
  <c r="Z29" i="40"/>
  <c r="L29" i="40"/>
  <c r="F29" i="40"/>
  <c r="F28" i="40"/>
  <c r="L27" i="40"/>
  <c r="F27" i="40"/>
  <c r="Z26" i="40"/>
  <c r="F24" i="40"/>
  <c r="F23" i="40"/>
  <c r="F22" i="40"/>
  <c r="M20" i="40"/>
  <c r="T16" i="40"/>
  <c r="M16" i="40"/>
  <c r="F16" i="40"/>
  <c r="T15" i="40"/>
  <c r="M15" i="40"/>
  <c r="F15" i="40"/>
  <c r="Z14" i="40"/>
  <c r="Z13" i="40"/>
  <c r="T13" i="40"/>
  <c r="M13" i="40"/>
  <c r="T12" i="40"/>
  <c r="M12" i="40"/>
  <c r="T11" i="40"/>
  <c r="F11" i="40"/>
  <c r="T10" i="40"/>
  <c r="M10" i="40"/>
  <c r="I10" i="40"/>
  <c r="F10" i="40"/>
  <c r="Z9" i="40"/>
  <c r="P7" i="40"/>
  <c r="F7" i="40"/>
  <c r="P7" i="1"/>
  <c r="F18" i="34"/>
  <c r="D26" i="34"/>
  <c r="F18" i="1"/>
  <c r="B49" i="1"/>
  <c r="W56" i="39"/>
  <c r="K56" i="39"/>
  <c r="A56" i="39"/>
  <c r="F13" i="39"/>
  <c r="U55" i="39"/>
  <c r="K55" i="39"/>
  <c r="F12" i="39"/>
  <c r="A55" i="39"/>
  <c r="I44" i="39"/>
  <c r="A44" i="39"/>
  <c r="C43" i="39"/>
  <c r="F19" i="39"/>
  <c r="T19" i="39"/>
  <c r="Z21" i="39"/>
  <c r="D69" i="39"/>
  <c r="E96" i="39"/>
  <c r="F96" i="39"/>
  <c r="H95" i="39"/>
  <c r="E74" i="39"/>
  <c r="G74" i="39"/>
  <c r="E75" i="39"/>
  <c r="G75" i="39"/>
  <c r="E76" i="39"/>
  <c r="G76" i="39"/>
  <c r="H74" i="39"/>
  <c r="E77" i="39"/>
  <c r="G77" i="39"/>
  <c r="H75" i="39"/>
  <c r="I75" i="39"/>
  <c r="E78" i="39"/>
  <c r="G78" i="39"/>
  <c r="H76" i="39"/>
  <c r="I76" i="39"/>
  <c r="E79" i="39"/>
  <c r="G79" i="39"/>
  <c r="H77" i="39"/>
  <c r="E80" i="39"/>
  <c r="G80" i="39"/>
  <c r="H78" i="39"/>
  <c r="I78" i="39"/>
  <c r="E81" i="39"/>
  <c r="G81" i="39"/>
  <c r="H79" i="39"/>
  <c r="I79" i="39"/>
  <c r="E82" i="39"/>
  <c r="G82" i="39"/>
  <c r="H80" i="39"/>
  <c r="E86" i="39"/>
  <c r="G86" i="39"/>
  <c r="H81" i="39"/>
  <c r="I81" i="39"/>
  <c r="H82" i="39"/>
  <c r="I82" i="39"/>
  <c r="E83" i="39"/>
  <c r="G83" i="39"/>
  <c r="E84" i="39"/>
  <c r="G84" i="39"/>
  <c r="E85" i="39"/>
  <c r="G85" i="39"/>
  <c r="H83" i="39"/>
  <c r="H84" i="39"/>
  <c r="I84" i="39"/>
  <c r="H85" i="39"/>
  <c r="I85" i="39"/>
  <c r="E87" i="39"/>
  <c r="G87" i="39"/>
  <c r="E88" i="39"/>
  <c r="G88" i="39"/>
  <c r="H86" i="39"/>
  <c r="H87" i="39"/>
  <c r="I87" i="39"/>
  <c r="H88" i="39"/>
  <c r="D93" i="39"/>
  <c r="D71" i="39"/>
  <c r="F18" i="39"/>
  <c r="H15" i="39"/>
  <c r="P26" i="39"/>
  <c r="X26" i="39"/>
  <c r="X27" i="39"/>
  <c r="Z27" i="39"/>
  <c r="X28" i="39"/>
  <c r="Z28" i="39"/>
  <c r="Z30" i="39"/>
  <c r="T20" i="39"/>
  <c r="F20" i="39"/>
  <c r="F21" i="39"/>
  <c r="L31" i="39"/>
  <c r="R31" i="39"/>
  <c r="T31" i="39"/>
  <c r="T21" i="39"/>
  <c r="X31" i="39"/>
  <c r="Z31" i="39"/>
  <c r="R29" i="39"/>
  <c r="X29" i="39"/>
  <c r="X30" i="39"/>
  <c r="T26" i="39"/>
  <c r="T27" i="39"/>
  <c r="T28" i="39"/>
  <c r="T29" i="39"/>
  <c r="T30" i="39"/>
  <c r="L30" i="39"/>
  <c r="Z29" i="39"/>
  <c r="L29" i="39"/>
  <c r="F29" i="39"/>
  <c r="L28" i="39"/>
  <c r="F28" i="39"/>
  <c r="L27" i="39"/>
  <c r="F27" i="39"/>
  <c r="Z26" i="39"/>
  <c r="F24" i="39"/>
  <c r="F23" i="39"/>
  <c r="F22" i="39"/>
  <c r="M20" i="39"/>
  <c r="T18" i="39"/>
  <c r="T16" i="39"/>
  <c r="M16" i="39"/>
  <c r="F16" i="39"/>
  <c r="T15" i="39"/>
  <c r="M15" i="39"/>
  <c r="F15" i="39"/>
  <c r="Z14" i="39"/>
  <c r="T14" i="39"/>
  <c r="Z13" i="39"/>
  <c r="T13" i="39"/>
  <c r="M13" i="39"/>
  <c r="T12" i="39"/>
  <c r="M12" i="39"/>
  <c r="T11" i="39"/>
  <c r="F11" i="39"/>
  <c r="T10" i="39"/>
  <c r="M10" i="39"/>
  <c r="I10" i="39"/>
  <c r="F10" i="39"/>
  <c r="Z9" i="39"/>
  <c r="P7" i="39"/>
  <c r="F7" i="39"/>
  <c r="K75" i="38"/>
  <c r="A75" i="38"/>
  <c r="F13" i="38"/>
  <c r="U74" i="38"/>
  <c r="K74" i="38"/>
  <c r="F12" i="38"/>
  <c r="A74" i="38"/>
  <c r="F19" i="38"/>
  <c r="J70" i="38"/>
  <c r="T10" i="38"/>
  <c r="X69" i="38"/>
  <c r="Z9" i="38"/>
  <c r="V69" i="38"/>
  <c r="I69" i="38"/>
  <c r="A69" i="38"/>
  <c r="M63" i="38"/>
  <c r="T19" i="38"/>
  <c r="Z21" i="38"/>
  <c r="T20" i="38"/>
  <c r="F20" i="38"/>
  <c r="F21" i="38"/>
  <c r="M64" i="38"/>
  <c r="M62" i="38"/>
  <c r="M61" i="38"/>
  <c r="M60" i="38"/>
  <c r="M59" i="38"/>
  <c r="M58" i="38"/>
  <c r="M57" i="38"/>
  <c r="M56" i="38"/>
  <c r="M55" i="38"/>
  <c r="M54" i="38"/>
  <c r="M53" i="38"/>
  <c r="M52" i="38"/>
  <c r="M51" i="38"/>
  <c r="D98" i="38"/>
  <c r="E125" i="38"/>
  <c r="F125" i="38"/>
  <c r="H124" i="38"/>
  <c r="E103" i="38"/>
  <c r="G103" i="38"/>
  <c r="E104" i="38"/>
  <c r="G104" i="38"/>
  <c r="E105" i="38"/>
  <c r="G105" i="38"/>
  <c r="H103" i="38"/>
  <c r="E106" i="38"/>
  <c r="G106" i="38"/>
  <c r="H104" i="38"/>
  <c r="I104" i="38"/>
  <c r="E107" i="38"/>
  <c r="G107" i="38"/>
  <c r="H105" i="38"/>
  <c r="I105" i="38"/>
  <c r="E108" i="38"/>
  <c r="G108" i="38"/>
  <c r="H106" i="38"/>
  <c r="E109" i="38"/>
  <c r="G109" i="38"/>
  <c r="H107" i="38"/>
  <c r="I107" i="38"/>
  <c r="E110" i="38"/>
  <c r="G110" i="38"/>
  <c r="H108" i="38"/>
  <c r="I108" i="38"/>
  <c r="E111" i="38"/>
  <c r="G111" i="38"/>
  <c r="H109" i="38"/>
  <c r="E115" i="38"/>
  <c r="G115" i="38"/>
  <c r="H110" i="38"/>
  <c r="I110" i="38"/>
  <c r="H111" i="38"/>
  <c r="I111" i="38"/>
  <c r="E112" i="38"/>
  <c r="G112" i="38"/>
  <c r="E113" i="38"/>
  <c r="G113" i="38"/>
  <c r="E114" i="38"/>
  <c r="G114" i="38"/>
  <c r="H112" i="38"/>
  <c r="H113" i="38"/>
  <c r="I113" i="38"/>
  <c r="H114" i="38"/>
  <c r="I114" i="38"/>
  <c r="E116" i="38"/>
  <c r="G116" i="38"/>
  <c r="E117" i="38"/>
  <c r="G117" i="38"/>
  <c r="H115" i="38"/>
  <c r="H116" i="38"/>
  <c r="I116" i="38"/>
  <c r="H117" i="38"/>
  <c r="D122" i="38"/>
  <c r="D100" i="38"/>
  <c r="F18" i="38"/>
  <c r="H15" i="38"/>
  <c r="P26" i="38"/>
  <c r="X26" i="38"/>
  <c r="X27" i="38"/>
  <c r="Z27" i="38"/>
  <c r="X28" i="38"/>
  <c r="Z28" i="38"/>
  <c r="Z30" i="38"/>
  <c r="B44" i="38"/>
  <c r="B43" i="38"/>
  <c r="B42" i="38"/>
  <c r="B41" i="38"/>
  <c r="B40" i="38"/>
  <c r="B39" i="38"/>
  <c r="B38" i="38"/>
  <c r="B37" i="38"/>
  <c r="B36" i="38"/>
  <c r="B35" i="38"/>
  <c r="B34" i="38"/>
  <c r="B33" i="38"/>
  <c r="L31" i="38"/>
  <c r="R31" i="38"/>
  <c r="T31" i="38"/>
  <c r="T21" i="38"/>
  <c r="X31" i="38"/>
  <c r="Z31" i="38"/>
  <c r="R29" i="38"/>
  <c r="X29" i="38"/>
  <c r="X30" i="38"/>
  <c r="T26" i="38"/>
  <c r="T27" i="38"/>
  <c r="T28" i="38"/>
  <c r="T29" i="38"/>
  <c r="T30" i="38"/>
  <c r="L30" i="38"/>
  <c r="Z29" i="38"/>
  <c r="L29" i="38"/>
  <c r="F29" i="38"/>
  <c r="F28" i="38"/>
  <c r="L27" i="38"/>
  <c r="F27" i="38"/>
  <c r="Z26" i="38"/>
  <c r="F24" i="38"/>
  <c r="F23" i="38"/>
  <c r="F22" i="38"/>
  <c r="M20" i="38"/>
  <c r="T18" i="38"/>
  <c r="T16" i="38"/>
  <c r="M16" i="38"/>
  <c r="F16" i="38"/>
  <c r="T15" i="38"/>
  <c r="M15" i="38"/>
  <c r="F15" i="38"/>
  <c r="Z14" i="38"/>
  <c r="Z13" i="38"/>
  <c r="T13" i="38"/>
  <c r="M13" i="38"/>
  <c r="T12" i="38"/>
  <c r="M12" i="38"/>
  <c r="T11" i="38"/>
  <c r="F11" i="38"/>
  <c r="M10" i="38"/>
  <c r="I10" i="38"/>
  <c r="F10" i="38"/>
  <c r="P7" i="38"/>
  <c r="F7" i="38"/>
  <c r="A76" i="37"/>
  <c r="F12" i="37"/>
  <c r="A75" i="37"/>
  <c r="F13" i="37"/>
  <c r="U75" i="37"/>
  <c r="K76" i="37"/>
  <c r="K75" i="37"/>
  <c r="T18" i="37"/>
  <c r="L70" i="37"/>
  <c r="F18" i="37"/>
  <c r="H70" i="37"/>
  <c r="A63" i="37"/>
  <c r="F19" i="37"/>
  <c r="T19" i="37"/>
  <c r="Z21" i="37"/>
  <c r="K49" i="37"/>
  <c r="K65" i="37"/>
  <c r="F66" i="37"/>
  <c r="D98" i="37"/>
  <c r="E125" i="37"/>
  <c r="F125" i="37"/>
  <c r="H124" i="37"/>
  <c r="E103" i="37"/>
  <c r="G103" i="37"/>
  <c r="E104" i="37"/>
  <c r="G104" i="37"/>
  <c r="E105" i="37"/>
  <c r="G105" i="37"/>
  <c r="H103" i="37"/>
  <c r="E106" i="37"/>
  <c r="G106" i="37"/>
  <c r="H104" i="37"/>
  <c r="I104" i="37"/>
  <c r="E107" i="37"/>
  <c r="G107" i="37"/>
  <c r="H105" i="37"/>
  <c r="I105" i="37"/>
  <c r="E108" i="37"/>
  <c r="G108" i="37"/>
  <c r="H106" i="37"/>
  <c r="E109" i="37"/>
  <c r="G109" i="37"/>
  <c r="H107" i="37"/>
  <c r="I107" i="37"/>
  <c r="E110" i="37"/>
  <c r="G110" i="37"/>
  <c r="H108" i="37"/>
  <c r="I108" i="37"/>
  <c r="E111" i="37"/>
  <c r="G111" i="37"/>
  <c r="H109" i="37"/>
  <c r="E115" i="37"/>
  <c r="G115" i="37"/>
  <c r="H110" i="37"/>
  <c r="I110" i="37"/>
  <c r="H111" i="37"/>
  <c r="I111" i="37"/>
  <c r="E112" i="37"/>
  <c r="G112" i="37"/>
  <c r="E113" i="37"/>
  <c r="G113" i="37"/>
  <c r="E114" i="37"/>
  <c r="G114" i="37"/>
  <c r="H112" i="37"/>
  <c r="H113" i="37"/>
  <c r="I113" i="37"/>
  <c r="H114" i="37"/>
  <c r="I114" i="37"/>
  <c r="E116" i="37"/>
  <c r="G116" i="37"/>
  <c r="E117" i="37"/>
  <c r="G117" i="37"/>
  <c r="H115" i="37"/>
  <c r="H116" i="37"/>
  <c r="I116" i="37"/>
  <c r="H117" i="37"/>
  <c r="D122" i="37"/>
  <c r="D100" i="37"/>
  <c r="F65" i="37"/>
  <c r="B49" i="37"/>
  <c r="B65" i="37"/>
  <c r="J66" i="37"/>
  <c r="Y65" i="37"/>
  <c r="H15" i="37"/>
  <c r="P26" i="37"/>
  <c r="X26" i="37"/>
  <c r="X27" i="37"/>
  <c r="Z27" i="37"/>
  <c r="X28" i="37"/>
  <c r="Z28" i="37"/>
  <c r="Z30" i="37"/>
  <c r="V49" i="37"/>
  <c r="V65" i="37"/>
  <c r="T20" i="37"/>
  <c r="F20" i="37"/>
  <c r="F21" i="37"/>
  <c r="S49" i="37"/>
  <c r="S65" i="37"/>
  <c r="P49" i="37"/>
  <c r="P65" i="37"/>
  <c r="J65" i="37"/>
  <c r="K50" i="37"/>
  <c r="K51" i="37"/>
  <c r="K52" i="37"/>
  <c r="K53" i="37"/>
  <c r="K54" i="37"/>
  <c r="K55" i="37"/>
  <c r="K56" i="37"/>
  <c r="K57" i="37"/>
  <c r="K58" i="37"/>
  <c r="K59" i="37"/>
  <c r="K60" i="37"/>
  <c r="K61" i="37"/>
  <c r="J61" i="37"/>
  <c r="V60" i="37"/>
  <c r="P50" i="37"/>
  <c r="P51" i="37"/>
  <c r="P52" i="37"/>
  <c r="P53" i="37"/>
  <c r="P54" i="37"/>
  <c r="P55" i="37"/>
  <c r="P56" i="37"/>
  <c r="P57" i="37"/>
  <c r="P58" i="37"/>
  <c r="P59" i="37"/>
  <c r="P60" i="37"/>
  <c r="S60" i="37"/>
  <c r="V59" i="37"/>
  <c r="S59" i="37"/>
  <c r="V58" i="37"/>
  <c r="S58" i="37"/>
  <c r="V57" i="37"/>
  <c r="S57" i="37"/>
  <c r="V56" i="37"/>
  <c r="S56" i="37"/>
  <c r="V55" i="37"/>
  <c r="S55" i="37"/>
  <c r="V54" i="37"/>
  <c r="S54" i="37"/>
  <c r="V53" i="37"/>
  <c r="S53" i="37"/>
  <c r="V52" i="37"/>
  <c r="S52" i="37"/>
  <c r="V51" i="37"/>
  <c r="S51" i="37"/>
  <c r="V50" i="37"/>
  <c r="S50" i="37"/>
  <c r="B44" i="37"/>
  <c r="B43" i="37"/>
  <c r="B42" i="37"/>
  <c r="B41" i="37"/>
  <c r="B40" i="37"/>
  <c r="B39" i="37"/>
  <c r="B38" i="37"/>
  <c r="B37" i="37"/>
  <c r="B36" i="37"/>
  <c r="B35" i="37"/>
  <c r="B34" i="37"/>
  <c r="B33" i="37"/>
  <c r="L31" i="37"/>
  <c r="R31" i="37"/>
  <c r="T31" i="37"/>
  <c r="T21" i="37"/>
  <c r="X31" i="37"/>
  <c r="Z31" i="37"/>
  <c r="R29" i="37"/>
  <c r="X29" i="37"/>
  <c r="X30" i="37"/>
  <c r="T26" i="37"/>
  <c r="T27" i="37"/>
  <c r="T28" i="37"/>
  <c r="T29" i="37"/>
  <c r="T30" i="37"/>
  <c r="L30" i="37"/>
  <c r="Z29" i="37"/>
  <c r="L29" i="37"/>
  <c r="F29" i="37"/>
  <c r="F28" i="37"/>
  <c r="L27" i="37"/>
  <c r="F27" i="37"/>
  <c r="Z26" i="37"/>
  <c r="F24" i="37"/>
  <c r="F23" i="37"/>
  <c r="F22" i="37"/>
  <c r="M20" i="37"/>
  <c r="T16" i="37"/>
  <c r="M16" i="37"/>
  <c r="F16" i="37"/>
  <c r="T15" i="37"/>
  <c r="M15" i="37"/>
  <c r="F15" i="37"/>
  <c r="Z14" i="37"/>
  <c r="Z13" i="37"/>
  <c r="T13" i="37"/>
  <c r="M13" i="37"/>
  <c r="T12" i="37"/>
  <c r="M12" i="37"/>
  <c r="T11" i="37"/>
  <c r="F11" i="37"/>
  <c r="T10" i="37"/>
  <c r="M10" i="37"/>
  <c r="I10" i="37"/>
  <c r="F10" i="37"/>
  <c r="Z9" i="37"/>
  <c r="P7" i="37"/>
  <c r="F7" i="37"/>
  <c r="F13" i="36"/>
  <c r="U70" i="36"/>
  <c r="I60" i="36"/>
  <c r="K70" i="36"/>
  <c r="F12" i="36"/>
  <c r="A60" i="36"/>
  <c r="A70" i="36"/>
  <c r="F19" i="36"/>
  <c r="T19" i="36"/>
  <c r="Z21" i="36"/>
  <c r="K34" i="36"/>
  <c r="D83" i="36"/>
  <c r="E110" i="36"/>
  <c r="F110" i="36"/>
  <c r="H109" i="36"/>
  <c r="E88" i="36"/>
  <c r="G88" i="36"/>
  <c r="E89" i="36"/>
  <c r="G89" i="36"/>
  <c r="E90" i="36"/>
  <c r="G90" i="36"/>
  <c r="H88" i="36"/>
  <c r="E91" i="36"/>
  <c r="G91" i="36"/>
  <c r="H89" i="36"/>
  <c r="I89" i="36"/>
  <c r="E92" i="36"/>
  <c r="G92" i="36"/>
  <c r="H90" i="36"/>
  <c r="I90" i="36"/>
  <c r="E93" i="36"/>
  <c r="G93" i="36"/>
  <c r="H91" i="36"/>
  <c r="E94" i="36"/>
  <c r="G94" i="36"/>
  <c r="H92" i="36"/>
  <c r="I92" i="36"/>
  <c r="E95" i="36"/>
  <c r="G95" i="36"/>
  <c r="H93" i="36"/>
  <c r="I93" i="36"/>
  <c r="E96" i="36"/>
  <c r="G96" i="36"/>
  <c r="H94" i="36"/>
  <c r="E100" i="36"/>
  <c r="G100" i="36"/>
  <c r="H95" i="36"/>
  <c r="I95" i="36"/>
  <c r="H96" i="36"/>
  <c r="I96" i="36"/>
  <c r="E97" i="36"/>
  <c r="G97" i="36"/>
  <c r="E98" i="36"/>
  <c r="G98" i="36"/>
  <c r="E99" i="36"/>
  <c r="G99" i="36"/>
  <c r="H97" i="36"/>
  <c r="H98" i="36"/>
  <c r="I98" i="36"/>
  <c r="H99" i="36"/>
  <c r="I99" i="36"/>
  <c r="E101" i="36"/>
  <c r="G101" i="36"/>
  <c r="E102" i="36"/>
  <c r="G102" i="36"/>
  <c r="H100" i="36"/>
  <c r="H101" i="36"/>
  <c r="I101" i="36"/>
  <c r="H102" i="36"/>
  <c r="D107" i="36"/>
  <c r="D85" i="36"/>
  <c r="F18" i="36"/>
  <c r="B34" i="36"/>
  <c r="H15" i="36"/>
  <c r="P26" i="36"/>
  <c r="X26" i="36"/>
  <c r="X27" i="36"/>
  <c r="Z27" i="36"/>
  <c r="X28" i="36"/>
  <c r="Z28" i="36"/>
  <c r="Z30" i="36"/>
  <c r="V34" i="36"/>
  <c r="T20" i="36"/>
  <c r="F20" i="36"/>
  <c r="F21" i="36"/>
  <c r="S34" i="36"/>
  <c r="P34" i="36"/>
  <c r="K35" i="36"/>
  <c r="K36" i="36"/>
  <c r="K37" i="36"/>
  <c r="K38" i="36"/>
  <c r="K39" i="36"/>
  <c r="K40" i="36"/>
  <c r="K41" i="36"/>
  <c r="K42" i="36"/>
  <c r="K43" i="36"/>
  <c r="K44" i="36"/>
  <c r="K45" i="36"/>
  <c r="K46" i="36"/>
  <c r="J46" i="36"/>
  <c r="V45" i="36"/>
  <c r="P35" i="36"/>
  <c r="P36" i="36"/>
  <c r="P37" i="36"/>
  <c r="P38" i="36"/>
  <c r="P39" i="36"/>
  <c r="P40" i="36"/>
  <c r="P41" i="36"/>
  <c r="P42" i="36"/>
  <c r="P43" i="36"/>
  <c r="P44" i="36"/>
  <c r="P45" i="36"/>
  <c r="S45" i="36"/>
  <c r="V44" i="36"/>
  <c r="S44" i="36"/>
  <c r="V43" i="36"/>
  <c r="S43" i="36"/>
  <c r="V42" i="36"/>
  <c r="S42" i="36"/>
  <c r="V41" i="36"/>
  <c r="S41" i="36"/>
  <c r="V40" i="36"/>
  <c r="S40" i="36"/>
  <c r="V39" i="36"/>
  <c r="S39" i="36"/>
  <c r="V38" i="36"/>
  <c r="S38" i="36"/>
  <c r="V37" i="36"/>
  <c r="S37" i="36"/>
  <c r="V36" i="36"/>
  <c r="S36" i="36"/>
  <c r="V35" i="36"/>
  <c r="S35" i="36"/>
  <c r="L31" i="36"/>
  <c r="R31" i="36"/>
  <c r="T31" i="36"/>
  <c r="T21" i="36"/>
  <c r="X31" i="36"/>
  <c r="Z31" i="36"/>
  <c r="R29" i="36"/>
  <c r="X29" i="36"/>
  <c r="X30" i="36"/>
  <c r="T26" i="36"/>
  <c r="T27" i="36"/>
  <c r="T28" i="36"/>
  <c r="T29" i="36"/>
  <c r="T30" i="36"/>
  <c r="L30" i="36"/>
  <c r="Z29" i="36"/>
  <c r="L29" i="36"/>
  <c r="F29" i="36"/>
  <c r="F28" i="36"/>
  <c r="L27" i="36"/>
  <c r="F27" i="36"/>
  <c r="Z26" i="36"/>
  <c r="F24" i="36"/>
  <c r="F23" i="36"/>
  <c r="F22" i="36"/>
  <c r="M20" i="36"/>
  <c r="T18" i="36"/>
  <c r="T16" i="36"/>
  <c r="M16" i="36"/>
  <c r="F16" i="36"/>
  <c r="T15" i="36"/>
  <c r="M15" i="36"/>
  <c r="F15" i="36"/>
  <c r="Z14" i="36"/>
  <c r="Z13" i="36"/>
  <c r="T13" i="36"/>
  <c r="M13" i="36"/>
  <c r="T12" i="36"/>
  <c r="M12" i="36"/>
  <c r="T11" i="36"/>
  <c r="F11" i="36"/>
  <c r="T10" i="36"/>
  <c r="M10" i="36"/>
  <c r="I10" i="36"/>
  <c r="F10" i="36"/>
  <c r="Z9" i="36"/>
  <c r="P7" i="36"/>
  <c r="F7" i="36"/>
  <c r="I60" i="35"/>
  <c r="K70" i="35"/>
  <c r="F13" i="35"/>
  <c r="U70" i="35"/>
  <c r="F12" i="35"/>
  <c r="A60" i="35"/>
  <c r="A70" i="35"/>
  <c r="F19" i="35"/>
  <c r="T19" i="35"/>
  <c r="Z21" i="35"/>
  <c r="K34" i="35"/>
  <c r="D83" i="35"/>
  <c r="E110" i="35"/>
  <c r="F110" i="35"/>
  <c r="H109" i="35"/>
  <c r="E88" i="35"/>
  <c r="G88" i="35"/>
  <c r="E89" i="35"/>
  <c r="G89" i="35"/>
  <c r="E90" i="35"/>
  <c r="G90" i="35"/>
  <c r="H88" i="35"/>
  <c r="E91" i="35"/>
  <c r="G91" i="35"/>
  <c r="H89" i="35"/>
  <c r="I89" i="35"/>
  <c r="E92" i="35"/>
  <c r="G92" i="35"/>
  <c r="H90" i="35"/>
  <c r="I90" i="35"/>
  <c r="E93" i="35"/>
  <c r="G93" i="35"/>
  <c r="H91" i="35"/>
  <c r="E94" i="35"/>
  <c r="G94" i="35"/>
  <c r="H92" i="35"/>
  <c r="I92" i="35"/>
  <c r="E95" i="35"/>
  <c r="G95" i="35"/>
  <c r="H93" i="35"/>
  <c r="I93" i="35"/>
  <c r="E96" i="35"/>
  <c r="G96" i="35"/>
  <c r="H94" i="35"/>
  <c r="E100" i="35"/>
  <c r="G100" i="35"/>
  <c r="H95" i="35"/>
  <c r="I95" i="35"/>
  <c r="H96" i="35"/>
  <c r="I96" i="35"/>
  <c r="E97" i="35"/>
  <c r="G97" i="35"/>
  <c r="E98" i="35"/>
  <c r="G98" i="35"/>
  <c r="E99" i="35"/>
  <c r="G99" i="35"/>
  <c r="H97" i="35"/>
  <c r="H98" i="35"/>
  <c r="I98" i="35"/>
  <c r="H99" i="35"/>
  <c r="I99" i="35"/>
  <c r="E101" i="35"/>
  <c r="G101" i="35"/>
  <c r="E102" i="35"/>
  <c r="G102" i="35"/>
  <c r="H100" i="35"/>
  <c r="H101" i="35"/>
  <c r="I101" i="35"/>
  <c r="H102" i="35"/>
  <c r="D107" i="35"/>
  <c r="D85" i="35"/>
  <c r="F18" i="35"/>
  <c r="B34" i="35"/>
  <c r="H15" i="35"/>
  <c r="P26" i="35"/>
  <c r="X26" i="35"/>
  <c r="X27" i="35"/>
  <c r="Z27" i="35"/>
  <c r="X28" i="35"/>
  <c r="Z28" i="35"/>
  <c r="R29" i="35"/>
  <c r="X29" i="35"/>
  <c r="Z29" i="35"/>
  <c r="Z30" i="35"/>
  <c r="V34" i="35"/>
  <c r="T20" i="35"/>
  <c r="F20" i="35"/>
  <c r="F21" i="35"/>
  <c r="S34" i="35"/>
  <c r="P34" i="35"/>
  <c r="K35" i="35"/>
  <c r="K36" i="35"/>
  <c r="K37" i="35"/>
  <c r="K38" i="35"/>
  <c r="K39" i="35"/>
  <c r="K40" i="35"/>
  <c r="K41" i="35"/>
  <c r="K42" i="35"/>
  <c r="K43" i="35"/>
  <c r="K44" i="35"/>
  <c r="K45" i="35"/>
  <c r="K46" i="35"/>
  <c r="J46" i="35"/>
  <c r="V45" i="35"/>
  <c r="P35" i="35"/>
  <c r="P36" i="35"/>
  <c r="P37" i="35"/>
  <c r="P38" i="35"/>
  <c r="P39" i="35"/>
  <c r="P40" i="35"/>
  <c r="P41" i="35"/>
  <c r="P42" i="35"/>
  <c r="P43" i="35"/>
  <c r="P44" i="35"/>
  <c r="P45" i="35"/>
  <c r="S45" i="35"/>
  <c r="V44" i="35"/>
  <c r="S44" i="35"/>
  <c r="V43" i="35"/>
  <c r="S43" i="35"/>
  <c r="V42" i="35"/>
  <c r="S42" i="35"/>
  <c r="V41" i="35"/>
  <c r="S41" i="35"/>
  <c r="V40" i="35"/>
  <c r="S40" i="35"/>
  <c r="V39" i="35"/>
  <c r="S39" i="35"/>
  <c r="V38" i="35"/>
  <c r="S38" i="35"/>
  <c r="V37" i="35"/>
  <c r="S37" i="35"/>
  <c r="V36" i="35"/>
  <c r="S36" i="35"/>
  <c r="V35" i="35"/>
  <c r="S35" i="35"/>
  <c r="L31" i="35"/>
  <c r="R31" i="35"/>
  <c r="T31" i="35"/>
  <c r="T21" i="35"/>
  <c r="X31" i="35"/>
  <c r="Z31" i="35"/>
  <c r="X30" i="35"/>
  <c r="T26" i="35"/>
  <c r="T27" i="35"/>
  <c r="T28" i="35"/>
  <c r="T29" i="35"/>
  <c r="T30" i="35"/>
  <c r="L30" i="35"/>
  <c r="L29" i="35"/>
  <c r="F29" i="35"/>
  <c r="F28" i="35"/>
  <c r="L27" i="35"/>
  <c r="F27" i="35"/>
  <c r="Z26" i="35"/>
  <c r="F24" i="35"/>
  <c r="F23" i="35"/>
  <c r="F22" i="35"/>
  <c r="M20" i="35"/>
  <c r="T18" i="35"/>
  <c r="T16" i="35"/>
  <c r="M16" i="35"/>
  <c r="F16" i="35"/>
  <c r="T15" i="35"/>
  <c r="M15" i="35"/>
  <c r="F15" i="35"/>
  <c r="Z14" i="35"/>
  <c r="Z13" i="35"/>
  <c r="T13" i="35"/>
  <c r="M13" i="35"/>
  <c r="T12" i="35"/>
  <c r="M12" i="35"/>
  <c r="T11" i="35"/>
  <c r="F11" i="35"/>
  <c r="T10" i="35"/>
  <c r="M10" i="35"/>
  <c r="I10" i="35"/>
  <c r="F10" i="35"/>
  <c r="Z9" i="35"/>
  <c r="P7" i="35"/>
  <c r="F7" i="35"/>
  <c r="K39" i="34"/>
  <c r="A39" i="34"/>
  <c r="K38" i="34"/>
  <c r="F13" i="34"/>
  <c r="A38" i="34"/>
  <c r="I27" i="34"/>
  <c r="A27" i="34"/>
  <c r="F19" i="34"/>
  <c r="T19" i="34"/>
  <c r="Z21" i="34"/>
  <c r="D47" i="34"/>
  <c r="E74" i="34"/>
  <c r="F74" i="34"/>
  <c r="H73" i="34"/>
  <c r="E52" i="34"/>
  <c r="G52" i="34"/>
  <c r="E53" i="34"/>
  <c r="G53" i="34"/>
  <c r="E54" i="34"/>
  <c r="G54" i="34"/>
  <c r="H52" i="34"/>
  <c r="E55" i="34"/>
  <c r="G55" i="34"/>
  <c r="H53" i="34"/>
  <c r="I53" i="34"/>
  <c r="E56" i="34"/>
  <c r="G56" i="34"/>
  <c r="H54" i="34"/>
  <c r="I54" i="34"/>
  <c r="E57" i="34"/>
  <c r="G57" i="34"/>
  <c r="H55" i="34"/>
  <c r="E58" i="34"/>
  <c r="G58" i="34"/>
  <c r="H56" i="34"/>
  <c r="I56" i="34"/>
  <c r="E59" i="34"/>
  <c r="G59" i="34"/>
  <c r="H57" i="34"/>
  <c r="I57" i="34"/>
  <c r="E60" i="34"/>
  <c r="G60" i="34"/>
  <c r="H58" i="34"/>
  <c r="E64" i="34"/>
  <c r="G64" i="34"/>
  <c r="H59" i="34"/>
  <c r="I59" i="34"/>
  <c r="H60" i="34"/>
  <c r="I60" i="34"/>
  <c r="E61" i="34"/>
  <c r="G61" i="34"/>
  <c r="E62" i="34"/>
  <c r="G62" i="34"/>
  <c r="E63" i="34"/>
  <c r="G63" i="34"/>
  <c r="H61" i="34"/>
  <c r="H62" i="34"/>
  <c r="I62" i="34"/>
  <c r="H63" i="34"/>
  <c r="I63" i="34"/>
  <c r="E65" i="34"/>
  <c r="G65" i="34"/>
  <c r="E66" i="34"/>
  <c r="G66" i="34"/>
  <c r="H64" i="34"/>
  <c r="H65" i="34"/>
  <c r="I65" i="34"/>
  <c r="H66" i="34"/>
  <c r="D71" i="34"/>
  <c r="D49" i="34"/>
  <c r="H15" i="34"/>
  <c r="T20" i="34"/>
  <c r="F20" i="34"/>
  <c r="F21" i="34"/>
  <c r="T21" i="34"/>
  <c r="F24" i="34"/>
  <c r="F23" i="34"/>
  <c r="F22" i="34"/>
  <c r="M20" i="34"/>
  <c r="T18" i="34"/>
  <c r="T16" i="34"/>
  <c r="M16" i="34"/>
  <c r="F16" i="34"/>
  <c r="T15" i="34"/>
  <c r="M15" i="34"/>
  <c r="F15" i="34"/>
  <c r="Z14" i="34"/>
  <c r="T14" i="34"/>
  <c r="Z13" i="34"/>
  <c r="T13" i="34"/>
  <c r="M13" i="34"/>
  <c r="T12" i="34"/>
  <c r="M12" i="34"/>
  <c r="F12" i="34"/>
  <c r="T11" i="34"/>
  <c r="F11" i="34"/>
  <c r="T10" i="34"/>
  <c r="M10" i="34"/>
  <c r="I10" i="34"/>
  <c r="F10" i="34"/>
  <c r="Z9" i="34"/>
  <c r="F7" i="34"/>
  <c r="B35" i="32"/>
  <c r="B35" i="33"/>
  <c r="B36" i="32"/>
  <c r="B36" i="33"/>
  <c r="B37" i="32"/>
  <c r="B37" i="33"/>
  <c r="B38" i="32"/>
  <c r="B38" i="33"/>
  <c r="B39" i="32"/>
  <c r="B39" i="33"/>
  <c r="B40" i="32"/>
  <c r="B40" i="33"/>
  <c r="B41" i="32"/>
  <c r="B41" i="33"/>
  <c r="B42" i="32"/>
  <c r="B42" i="33"/>
  <c r="B43" i="32"/>
  <c r="B43" i="33"/>
  <c r="B44" i="32"/>
  <c r="B44" i="33"/>
  <c r="B45" i="32"/>
  <c r="B45" i="33"/>
  <c r="B34" i="32"/>
  <c r="B34" i="33"/>
  <c r="F19" i="33"/>
  <c r="T19" i="33"/>
  <c r="Z21" i="33"/>
  <c r="D71" i="33"/>
  <c r="E98" i="33"/>
  <c r="F98" i="33"/>
  <c r="H97" i="33"/>
  <c r="E76" i="33"/>
  <c r="G76" i="33"/>
  <c r="E77" i="33"/>
  <c r="G77" i="33"/>
  <c r="E78" i="33"/>
  <c r="G78" i="33"/>
  <c r="H76" i="33"/>
  <c r="E79" i="33"/>
  <c r="G79" i="33"/>
  <c r="H77" i="33"/>
  <c r="I77" i="33"/>
  <c r="E80" i="33"/>
  <c r="G80" i="33"/>
  <c r="H78" i="33"/>
  <c r="I78" i="33"/>
  <c r="E81" i="33"/>
  <c r="G81" i="33"/>
  <c r="H79" i="33"/>
  <c r="E82" i="33"/>
  <c r="G82" i="33"/>
  <c r="H80" i="33"/>
  <c r="I80" i="33"/>
  <c r="E83" i="33"/>
  <c r="G83" i="33"/>
  <c r="H81" i="33"/>
  <c r="I81" i="33"/>
  <c r="E84" i="33"/>
  <c r="G84" i="33"/>
  <c r="H82" i="33"/>
  <c r="E88" i="33"/>
  <c r="G88" i="33"/>
  <c r="H83" i="33"/>
  <c r="I83" i="33"/>
  <c r="H84" i="33"/>
  <c r="I84" i="33"/>
  <c r="E85" i="33"/>
  <c r="G85" i="33"/>
  <c r="E86" i="33"/>
  <c r="G86" i="33"/>
  <c r="E87" i="33"/>
  <c r="G87" i="33"/>
  <c r="H85" i="33"/>
  <c r="H86" i="33"/>
  <c r="I86" i="33"/>
  <c r="H87" i="33"/>
  <c r="I87" i="33"/>
  <c r="E89" i="33"/>
  <c r="G89" i="33"/>
  <c r="E90" i="33"/>
  <c r="G90" i="33"/>
  <c r="H88" i="33"/>
  <c r="H89" i="33"/>
  <c r="I89" i="33"/>
  <c r="H90" i="33"/>
  <c r="D95" i="33"/>
  <c r="D73" i="33"/>
  <c r="F13" i="33"/>
  <c r="F18" i="33"/>
  <c r="H15" i="33"/>
  <c r="P26" i="33"/>
  <c r="X26" i="33"/>
  <c r="X27" i="33"/>
  <c r="Z27" i="33"/>
  <c r="X28" i="33"/>
  <c r="Z28" i="33"/>
  <c r="Z30" i="33"/>
  <c r="T20" i="33"/>
  <c r="F20" i="33"/>
  <c r="F21" i="33"/>
  <c r="L31" i="33"/>
  <c r="R31" i="33"/>
  <c r="T31" i="33"/>
  <c r="T21" i="33"/>
  <c r="X31" i="33"/>
  <c r="Z31" i="33"/>
  <c r="R29" i="33"/>
  <c r="X29" i="33"/>
  <c r="X30" i="33"/>
  <c r="T26" i="33"/>
  <c r="T27" i="33"/>
  <c r="T28" i="33"/>
  <c r="T29" i="33"/>
  <c r="T30" i="33"/>
  <c r="L30" i="33"/>
  <c r="Z29" i="33"/>
  <c r="L29" i="33"/>
  <c r="F29" i="33"/>
  <c r="L28" i="33"/>
  <c r="F28" i="33"/>
  <c r="L27" i="33"/>
  <c r="F27" i="33"/>
  <c r="Z26" i="33"/>
  <c r="F24" i="33"/>
  <c r="F23" i="33"/>
  <c r="F22" i="33"/>
  <c r="M20" i="33"/>
  <c r="T18" i="33"/>
  <c r="T16" i="33"/>
  <c r="M16" i="33"/>
  <c r="F16" i="33"/>
  <c r="T15" i="33"/>
  <c r="M15" i="33"/>
  <c r="F15" i="33"/>
  <c r="Z14" i="33"/>
  <c r="T14" i="33"/>
  <c r="Z13" i="33"/>
  <c r="T13" i="33"/>
  <c r="M13" i="33"/>
  <c r="T12" i="33"/>
  <c r="M12" i="33"/>
  <c r="F12" i="33"/>
  <c r="T11" i="33"/>
  <c r="F11" i="33"/>
  <c r="T10" i="33"/>
  <c r="M10" i="33"/>
  <c r="I10" i="33"/>
  <c r="F10" i="33"/>
  <c r="Z9" i="33"/>
  <c r="P7" i="33"/>
  <c r="F7" i="33"/>
  <c r="A64" i="32"/>
  <c r="F19" i="32"/>
  <c r="T19" i="32"/>
  <c r="Z21" i="32"/>
  <c r="K50" i="32"/>
  <c r="K66" i="32"/>
  <c r="F67" i="32"/>
  <c r="D99" i="32"/>
  <c r="E126" i="32"/>
  <c r="F126" i="32"/>
  <c r="H125" i="32"/>
  <c r="E104" i="32"/>
  <c r="G104" i="32"/>
  <c r="E105" i="32"/>
  <c r="G105" i="32"/>
  <c r="E106" i="32"/>
  <c r="G106" i="32"/>
  <c r="H104" i="32"/>
  <c r="E107" i="32"/>
  <c r="G107" i="32"/>
  <c r="H105" i="32"/>
  <c r="I105" i="32"/>
  <c r="E108" i="32"/>
  <c r="G108" i="32"/>
  <c r="H106" i="32"/>
  <c r="I106" i="32"/>
  <c r="E109" i="32"/>
  <c r="G109" i="32"/>
  <c r="H107" i="32"/>
  <c r="E110" i="32"/>
  <c r="G110" i="32"/>
  <c r="H108" i="32"/>
  <c r="I108" i="32"/>
  <c r="E111" i="32"/>
  <c r="G111" i="32"/>
  <c r="H109" i="32"/>
  <c r="I109" i="32"/>
  <c r="E112" i="32"/>
  <c r="G112" i="32"/>
  <c r="H110" i="32"/>
  <c r="E116" i="32"/>
  <c r="G116" i="32"/>
  <c r="H111" i="32"/>
  <c r="I111" i="32"/>
  <c r="H112" i="32"/>
  <c r="I112" i="32"/>
  <c r="E113" i="32"/>
  <c r="G113" i="32"/>
  <c r="E114" i="32"/>
  <c r="G114" i="32"/>
  <c r="E115" i="32"/>
  <c r="G115" i="32"/>
  <c r="H113" i="32"/>
  <c r="H114" i="32"/>
  <c r="I114" i="32"/>
  <c r="H115" i="32"/>
  <c r="I115" i="32"/>
  <c r="E117" i="32"/>
  <c r="G117" i="32"/>
  <c r="E118" i="32"/>
  <c r="G118" i="32"/>
  <c r="H116" i="32"/>
  <c r="H117" i="32"/>
  <c r="I117" i="32"/>
  <c r="H118" i="32"/>
  <c r="D123" i="32"/>
  <c r="D101" i="32"/>
  <c r="F13" i="32"/>
  <c r="F66" i="32"/>
  <c r="N69" i="32"/>
  <c r="F18" i="32"/>
  <c r="B50" i="32"/>
  <c r="B66" i="32"/>
  <c r="I69" i="32"/>
  <c r="J67" i="32"/>
  <c r="Y66" i="32"/>
  <c r="H15" i="32"/>
  <c r="P26" i="32"/>
  <c r="X26" i="32"/>
  <c r="X27" i="32"/>
  <c r="Z27" i="32"/>
  <c r="X28" i="32"/>
  <c r="Z28" i="32"/>
  <c r="R29" i="32"/>
  <c r="X29" i="32"/>
  <c r="Z29" i="32"/>
  <c r="Z30" i="32"/>
  <c r="V50" i="32"/>
  <c r="V66" i="32"/>
  <c r="T20" i="32"/>
  <c r="F20" i="32"/>
  <c r="F21" i="32"/>
  <c r="S50" i="32"/>
  <c r="S66" i="32"/>
  <c r="P50" i="32"/>
  <c r="P66" i="32"/>
  <c r="J66" i="32"/>
  <c r="K51" i="32"/>
  <c r="K52" i="32"/>
  <c r="K53" i="32"/>
  <c r="K54" i="32"/>
  <c r="K55" i="32"/>
  <c r="K56" i="32"/>
  <c r="K57" i="32"/>
  <c r="K58" i="32"/>
  <c r="K59" i="32"/>
  <c r="K60" i="32"/>
  <c r="K61" i="32"/>
  <c r="K62" i="32"/>
  <c r="J62" i="32"/>
  <c r="V61" i="32"/>
  <c r="P51" i="32"/>
  <c r="P52" i="32"/>
  <c r="P53" i="32"/>
  <c r="P54" i="32"/>
  <c r="P55" i="32"/>
  <c r="P56" i="32"/>
  <c r="P57" i="32"/>
  <c r="P58" i="32"/>
  <c r="P59" i="32"/>
  <c r="P60" i="32"/>
  <c r="P61" i="32"/>
  <c r="S61" i="32"/>
  <c r="V60" i="32"/>
  <c r="S60" i="32"/>
  <c r="V59" i="32"/>
  <c r="S59" i="32"/>
  <c r="V58" i="32"/>
  <c r="S58" i="32"/>
  <c r="V57" i="32"/>
  <c r="S57" i="32"/>
  <c r="V56" i="32"/>
  <c r="S56" i="32"/>
  <c r="V55" i="32"/>
  <c r="S55" i="32"/>
  <c r="V54" i="32"/>
  <c r="S54" i="32"/>
  <c r="V53" i="32"/>
  <c r="S53" i="32"/>
  <c r="V52" i="32"/>
  <c r="S52" i="32"/>
  <c r="V51" i="32"/>
  <c r="S51" i="32"/>
  <c r="L31" i="32"/>
  <c r="R31" i="32"/>
  <c r="T31" i="32"/>
  <c r="T21" i="32"/>
  <c r="X31" i="32"/>
  <c r="Z31" i="32"/>
  <c r="X30" i="32"/>
  <c r="T26" i="32"/>
  <c r="T27" i="32"/>
  <c r="T28" i="32"/>
  <c r="T29" i="32"/>
  <c r="T30" i="32"/>
  <c r="L30" i="32"/>
  <c r="L29" i="32"/>
  <c r="F29" i="32"/>
  <c r="F28" i="32"/>
  <c r="L27" i="32"/>
  <c r="F27" i="32"/>
  <c r="Z26" i="32"/>
  <c r="F24" i="32"/>
  <c r="F23" i="32"/>
  <c r="F22" i="32"/>
  <c r="M20" i="32"/>
  <c r="T18" i="32"/>
  <c r="T16" i="32"/>
  <c r="M16" i="32"/>
  <c r="F16" i="32"/>
  <c r="T15" i="32"/>
  <c r="M15" i="32"/>
  <c r="F15" i="32"/>
  <c r="Z14" i="32"/>
  <c r="Z13" i="32"/>
  <c r="T13" i="32"/>
  <c r="M13" i="32"/>
  <c r="T12" i="32"/>
  <c r="M12" i="32"/>
  <c r="F12" i="32"/>
  <c r="T11" i="32"/>
  <c r="F11" i="32"/>
  <c r="T10" i="32"/>
  <c r="M10" i="32"/>
  <c r="I10" i="32"/>
  <c r="F10" i="32"/>
  <c r="Z9" i="32"/>
  <c r="P7" i="32"/>
  <c r="F7" i="32"/>
  <c r="P26" i="1"/>
  <c r="F19" i="1"/>
  <c r="T19" i="1"/>
  <c r="Z21" i="1"/>
  <c r="T20" i="1"/>
  <c r="F20" i="1"/>
  <c r="F21" i="1"/>
  <c r="T26" i="1"/>
  <c r="T27" i="1"/>
  <c r="X26" i="1"/>
  <c r="X27" i="1"/>
  <c r="Z27" i="1"/>
  <c r="X28" i="1"/>
  <c r="Z28" i="1"/>
  <c r="R29" i="1"/>
  <c r="X29" i="1"/>
  <c r="Z29" i="1"/>
  <c r="Z30" i="1"/>
  <c r="H15" i="1"/>
  <c r="V50" i="1"/>
  <c r="V51" i="1"/>
  <c r="V52" i="1"/>
  <c r="V53" i="1"/>
  <c r="V54" i="1"/>
  <c r="V55" i="1"/>
  <c r="V56" i="1"/>
  <c r="V57" i="1"/>
  <c r="V58" i="1"/>
  <c r="V59" i="1"/>
  <c r="V60" i="1"/>
  <c r="V49" i="1"/>
  <c r="L31" i="1"/>
  <c r="R31" i="1"/>
  <c r="T31" i="1"/>
  <c r="T21" i="1"/>
  <c r="X31" i="1"/>
  <c r="Z31" i="1"/>
  <c r="K51" i="1"/>
  <c r="K50" i="1"/>
  <c r="K49" i="1"/>
  <c r="P49" i="1"/>
  <c r="P50" i="1"/>
  <c r="P51" i="1"/>
  <c r="S51" i="1"/>
  <c r="K52" i="1"/>
  <c r="P52" i="1"/>
  <c r="S52" i="1"/>
  <c r="K53" i="1"/>
  <c r="P53" i="1"/>
  <c r="S53" i="1"/>
  <c r="K54" i="1"/>
  <c r="P54" i="1"/>
  <c r="S54" i="1"/>
  <c r="K55" i="1"/>
  <c r="P55" i="1"/>
  <c r="S55" i="1"/>
  <c r="K56" i="1"/>
  <c r="P56" i="1"/>
  <c r="S56" i="1"/>
  <c r="K57" i="1"/>
  <c r="P57" i="1"/>
  <c r="S57" i="1"/>
  <c r="K58" i="1"/>
  <c r="P58" i="1"/>
  <c r="S58" i="1"/>
  <c r="K59" i="1"/>
  <c r="P59" i="1"/>
  <c r="S59" i="1"/>
  <c r="K60" i="1"/>
  <c r="P60" i="1"/>
  <c r="S60" i="1"/>
  <c r="S50" i="1"/>
  <c r="S49" i="1"/>
  <c r="T29" i="1"/>
  <c r="B44" i="1"/>
  <c r="B43" i="1"/>
  <c r="B42" i="1"/>
  <c r="B41" i="1"/>
  <c r="B40" i="1"/>
  <c r="B39" i="1"/>
  <c r="B38" i="1"/>
  <c r="B37" i="1"/>
  <c r="B36" i="1"/>
  <c r="B35" i="1"/>
  <c r="B34" i="1"/>
  <c r="B33" i="1"/>
  <c r="M20" i="1"/>
  <c r="F7" i="1"/>
  <c r="L29" i="1"/>
  <c r="F29" i="1"/>
  <c r="F28" i="1"/>
  <c r="F27" i="1"/>
  <c r="F24" i="1"/>
  <c r="F23" i="1"/>
  <c r="F22" i="1"/>
  <c r="M16" i="1"/>
  <c r="F16" i="1"/>
  <c r="M15" i="1"/>
  <c r="F15" i="1"/>
  <c r="M13" i="1"/>
  <c r="F13" i="1"/>
  <c r="T18" i="1"/>
  <c r="T16" i="1"/>
  <c r="T15" i="1"/>
  <c r="Z14" i="1"/>
  <c r="Z13" i="1"/>
  <c r="T13" i="1"/>
  <c r="T12" i="1"/>
  <c r="M12" i="1"/>
  <c r="F12" i="1"/>
  <c r="T11" i="1"/>
  <c r="T10" i="1"/>
  <c r="Z9" i="1"/>
  <c r="M10" i="1"/>
  <c r="F11" i="1"/>
  <c r="I10" i="1"/>
  <c r="F10" i="1"/>
  <c r="T28" i="1"/>
  <c r="T30" i="1"/>
  <c r="Z26" i="1"/>
  <c r="X30" i="1"/>
  <c r="L30" i="1"/>
  <c r="C31" i="2"/>
  <c r="C28" i="2"/>
  <c r="C30" i="2"/>
  <c r="A63" i="1"/>
  <c r="A75" i="1"/>
  <c r="A74" i="1"/>
  <c r="F65" i="1"/>
  <c r="N68" i="1"/>
  <c r="B65" i="1"/>
  <c r="I68" i="1"/>
  <c r="L27" i="1"/>
  <c r="Y65" i="1"/>
  <c r="J65" i="1"/>
  <c r="J61" i="1"/>
  <c r="C29" i="2"/>
  <c r="D29" i="2"/>
  <c r="K61" i="1"/>
  <c r="P65" i="1"/>
  <c r="S65" i="1"/>
  <c r="K65" i="1"/>
  <c r="F66" i="1"/>
  <c r="D98" i="1"/>
  <c r="E103" i="1"/>
  <c r="G103" i="1"/>
  <c r="E104" i="1"/>
  <c r="G104" i="1"/>
  <c r="E105" i="1"/>
  <c r="G105" i="1"/>
  <c r="H103" i="1"/>
  <c r="E106" i="1"/>
  <c r="G106" i="1"/>
  <c r="H104" i="1"/>
  <c r="I104" i="1"/>
  <c r="E107" i="1"/>
  <c r="G107" i="1"/>
  <c r="H105" i="1"/>
  <c r="I105" i="1"/>
  <c r="E108" i="1"/>
  <c r="G108" i="1"/>
  <c r="H106" i="1"/>
  <c r="E109" i="1"/>
  <c r="G109" i="1"/>
  <c r="H107" i="1"/>
  <c r="I107" i="1"/>
  <c r="E110" i="1"/>
  <c r="G110" i="1"/>
  <c r="H108" i="1"/>
  <c r="I108" i="1"/>
  <c r="E111" i="1"/>
  <c r="G111" i="1"/>
  <c r="H109" i="1"/>
  <c r="E115" i="1"/>
  <c r="G115" i="1"/>
  <c r="H110" i="1"/>
  <c r="I110" i="1"/>
  <c r="H111" i="1"/>
  <c r="I111" i="1"/>
  <c r="E112" i="1"/>
  <c r="G112" i="1"/>
  <c r="E113" i="1"/>
  <c r="G113" i="1"/>
  <c r="E114" i="1"/>
  <c r="G114" i="1"/>
  <c r="H112" i="1"/>
  <c r="H113" i="1"/>
  <c r="I113" i="1"/>
  <c r="H114" i="1"/>
  <c r="I114" i="1"/>
  <c r="E116" i="1"/>
  <c r="G116" i="1"/>
  <c r="E117" i="1"/>
  <c r="G117" i="1"/>
  <c r="H115" i="1"/>
  <c r="H116" i="1"/>
  <c r="I116" i="1"/>
  <c r="H117" i="1"/>
  <c r="E125" i="1"/>
  <c r="F125" i="1"/>
  <c r="H124" i="1"/>
  <c r="D122" i="1"/>
  <c r="D100" i="1"/>
  <c r="J66" i="1"/>
  <c r="C48" i="2"/>
  <c r="E53" i="2"/>
  <c r="G53" i="2"/>
  <c r="E54" i="2"/>
  <c r="G54" i="2"/>
  <c r="E55" i="2"/>
  <c r="G55" i="2"/>
  <c r="H53" i="2"/>
  <c r="E56" i="2"/>
  <c r="G56" i="2"/>
  <c r="H54" i="2"/>
  <c r="I54" i="2"/>
  <c r="E57" i="2"/>
  <c r="G57" i="2"/>
  <c r="H55" i="2"/>
  <c r="I55" i="2"/>
  <c r="E58" i="2"/>
  <c r="G58" i="2"/>
  <c r="H56" i="2"/>
  <c r="E59" i="2"/>
  <c r="G59" i="2"/>
  <c r="H57" i="2"/>
  <c r="I57" i="2"/>
  <c r="E60" i="2"/>
  <c r="G60" i="2"/>
  <c r="H58" i="2"/>
  <c r="I58" i="2"/>
  <c r="E61" i="2"/>
  <c r="G61" i="2"/>
  <c r="H59" i="2"/>
  <c r="E65" i="2"/>
  <c r="G65" i="2"/>
  <c r="H60" i="2"/>
  <c r="I60" i="2"/>
  <c r="H61" i="2"/>
  <c r="I61" i="2"/>
  <c r="E62" i="2"/>
  <c r="G62" i="2"/>
  <c r="E63" i="2"/>
  <c r="G63" i="2"/>
  <c r="E64" i="2"/>
  <c r="G64" i="2"/>
  <c r="H62" i="2"/>
  <c r="H63" i="2"/>
  <c r="I63" i="2"/>
  <c r="H64" i="2"/>
  <c r="I64" i="2"/>
  <c r="E66" i="2"/>
  <c r="G66" i="2"/>
  <c r="E67" i="2"/>
  <c r="G67" i="2"/>
  <c r="H65" i="2"/>
  <c r="H66" i="2"/>
  <c r="I66" i="2"/>
  <c r="H67" i="2"/>
  <c r="E75" i="2"/>
  <c r="F75" i="2"/>
  <c r="H74" i="2"/>
  <c r="D72" i="2"/>
  <c r="C50" i="2"/>
  <c r="V65" i="1"/>
</calcChain>
</file>

<file path=xl/sharedStrings.xml><?xml version="1.0" encoding="utf-8"?>
<sst xmlns="http://schemas.openxmlformats.org/spreadsheetml/2006/main" count="6141" uniqueCount="1699">
  <si>
    <t>FECHA</t>
  </si>
  <si>
    <t>VERSION:</t>
  </si>
  <si>
    <t>FECHA:</t>
  </si>
  <si>
    <t>DOCUMENTO:</t>
  </si>
  <si>
    <t>PROCESO:</t>
  </si>
  <si>
    <t>ACTA PARCIAL DE PAGOS</t>
  </si>
  <si>
    <t>MODALIDAD CONTRACTUAL</t>
  </si>
  <si>
    <t>CONTRATANTE</t>
  </si>
  <si>
    <t>CONTRATISTA</t>
  </si>
  <si>
    <t>ORDENADOR DEL GASTO</t>
  </si>
  <si>
    <t>SUPERVISOR</t>
  </si>
  <si>
    <t>IDENTIFICACION</t>
  </si>
  <si>
    <t>AÑO</t>
  </si>
  <si>
    <t>REGISTRO PPTAL</t>
  </si>
  <si>
    <t>DIRECCION</t>
  </si>
  <si>
    <t>PROFESION</t>
  </si>
  <si>
    <t>CARGO</t>
  </si>
  <si>
    <t>DIRECTOR</t>
  </si>
  <si>
    <t>FECHA N.</t>
  </si>
  <si>
    <t>PERSONA</t>
  </si>
  <si>
    <t>NATURAL</t>
  </si>
  <si>
    <t>TELEFONO</t>
  </si>
  <si>
    <t>AREA</t>
  </si>
  <si>
    <t>E-MAIL</t>
  </si>
  <si>
    <t>DELEGACION</t>
  </si>
  <si>
    <t>CDP</t>
  </si>
  <si>
    <t>RUBRO</t>
  </si>
  <si>
    <t>OBJETO</t>
  </si>
  <si>
    <t>FORMA DE PAGO</t>
  </si>
  <si>
    <t>ENTREGABLES</t>
  </si>
  <si>
    <t>FECHA ACTA DE INICIO</t>
  </si>
  <si>
    <t>VALOR CONTRATO</t>
  </si>
  <si>
    <t>VALOR ADICIÓN 1</t>
  </si>
  <si>
    <t>TOTAL CONTRATO</t>
  </si>
  <si>
    <t>FECHA FINALIZACION</t>
  </si>
  <si>
    <t>DURACION DÍAS</t>
  </si>
  <si>
    <t>ADICIÓN DÍAS</t>
  </si>
  <si>
    <t>VLR DIA</t>
  </si>
  <si>
    <t>TOTAL DÍAS</t>
  </si>
  <si>
    <t>SALUD</t>
  </si>
  <si>
    <t>PENSION</t>
  </si>
  <si>
    <t>ARL</t>
  </si>
  <si>
    <t>ESTAMPILLAS</t>
  </si>
  <si>
    <t>RIESGO I</t>
  </si>
  <si>
    <t>ACTIVIDADES</t>
  </si>
  <si>
    <t>OBSERVACIONES</t>
  </si>
  <si>
    <t>PROYECCION CONTRACTUAL</t>
  </si>
  <si>
    <t>PERIODO A CANCELAR</t>
  </si>
  <si>
    <t>DÍAS</t>
  </si>
  <si>
    <t>VALOR</t>
  </si>
  <si>
    <t>ACUMULADO</t>
  </si>
  <si>
    <t>SALDO</t>
  </si>
  <si>
    <t>SEGURIDAD</t>
  </si>
  <si>
    <t>TOTAL</t>
  </si>
  <si>
    <t>NOVEDADES</t>
  </si>
  <si>
    <t>TERMINACIÓN</t>
  </si>
  <si>
    <t>ADICIÓN</t>
  </si>
  <si>
    <t>ACTA</t>
  </si>
  <si>
    <t>DATOS CONTRACTUALES</t>
  </si>
  <si>
    <t>SEGURIDAD SOCIAL - IMPUESTOS</t>
  </si>
  <si>
    <t>FECHA DE ACTA</t>
  </si>
  <si>
    <t>ACTA Nº</t>
  </si>
  <si>
    <t>GESTION JURIDICA</t>
  </si>
  <si>
    <t>ENERO 3 DE 2018</t>
  </si>
  <si>
    <t>ENERO 4 DE 2018</t>
  </si>
  <si>
    <t>ENERO 5 DE 2018</t>
  </si>
  <si>
    <t>ENERO 9 DE 2018</t>
  </si>
  <si>
    <t>ENERO 10 DE 2018</t>
  </si>
  <si>
    <t>ENERO 11 DE 2018</t>
  </si>
  <si>
    <t>ENERO 12 DE 2018</t>
  </si>
  <si>
    <t>ENERO 15 DE 2018</t>
  </si>
  <si>
    <t>ENERO 16 DE 2018</t>
  </si>
  <si>
    <t>ENERO 17 DE 2018</t>
  </si>
  <si>
    <t>ENERO 18 DE 2018</t>
  </si>
  <si>
    <t>ENERO 19 DE 2018</t>
  </si>
  <si>
    <t>ENERO 22 DE 2018</t>
  </si>
  <si>
    <t>ENERO 23 DE 2018</t>
  </si>
  <si>
    <t>ENERO 24 DE 2018</t>
  </si>
  <si>
    <t>07</t>
  </si>
  <si>
    <t>08</t>
  </si>
  <si>
    <t>00</t>
  </si>
  <si>
    <t>14</t>
  </si>
  <si>
    <t>15</t>
  </si>
  <si>
    <t>21</t>
  </si>
  <si>
    <t>22</t>
  </si>
  <si>
    <t>28</t>
  </si>
  <si>
    <t>29</t>
  </si>
  <si>
    <t>35</t>
  </si>
  <si>
    <t>36</t>
  </si>
  <si>
    <t>42</t>
  </si>
  <si>
    <t>43</t>
  </si>
  <si>
    <t>49</t>
  </si>
  <si>
    <t>50</t>
  </si>
  <si>
    <t>56</t>
  </si>
  <si>
    <t>57</t>
  </si>
  <si>
    <t>63</t>
  </si>
  <si>
    <t>64</t>
  </si>
  <si>
    <t>70</t>
  </si>
  <si>
    <t>71</t>
  </si>
  <si>
    <t>75</t>
  </si>
  <si>
    <t>76</t>
  </si>
  <si>
    <t>81</t>
  </si>
  <si>
    <t>82</t>
  </si>
  <si>
    <t>87</t>
  </si>
  <si>
    <t>88</t>
  </si>
  <si>
    <t>93</t>
  </si>
  <si>
    <t>94</t>
  </si>
  <si>
    <t>99</t>
  </si>
  <si>
    <t>RIESGO II</t>
  </si>
  <si>
    <t>RIESGO III</t>
  </si>
  <si>
    <t>RIESGOIV</t>
  </si>
  <si>
    <t>RIESGO V</t>
  </si>
  <si>
    <t>2º</t>
  </si>
  <si>
    <t>3º</t>
  </si>
  <si>
    <t>4º</t>
  </si>
  <si>
    <t>5º</t>
  </si>
  <si>
    <t>6º</t>
  </si>
  <si>
    <t>7º</t>
  </si>
  <si>
    <t>8º</t>
  </si>
  <si>
    <t>9º</t>
  </si>
  <si>
    <t>10º</t>
  </si>
  <si>
    <t>11º</t>
  </si>
  <si>
    <t>12º</t>
  </si>
  <si>
    <t>13º</t>
  </si>
  <si>
    <t>14º</t>
  </si>
  <si>
    <t>15º</t>
  </si>
  <si>
    <t>16º</t>
  </si>
  <si>
    <t>SALARIO MINIMO</t>
  </si>
  <si>
    <t>SALUD 12,5%</t>
  </si>
  <si>
    <t>PENSION 16%</t>
  </si>
  <si>
    <t>MESES</t>
  </si>
  <si>
    <t>IBC SALUD</t>
  </si>
  <si>
    <t>PAGADO</t>
  </si>
  <si>
    <t>DIA HABIL PAGO</t>
  </si>
  <si>
    <t>2 ULT. DIG  C.C.</t>
  </si>
  <si>
    <t>ACTIVACION</t>
  </si>
  <si>
    <t>SUSPENSION</t>
  </si>
  <si>
    <t>PLANILLA SEG. SOC</t>
  </si>
  <si>
    <t>CONTRATO Nº</t>
  </si>
  <si>
    <t>ADMINISTRATIVO</t>
  </si>
  <si>
    <t>CONTRATO DE OBRA CIVIL</t>
  </si>
  <si>
    <t>ACEPTACION DE OFERTA</t>
  </si>
  <si>
    <t>CULTURA 0.5%/ ADULTO MAYOR 2.0%</t>
  </si>
  <si>
    <t>El supervisor certifica que cumplió, durante el periodo del</t>
  </si>
  <si>
    <t>a</t>
  </si>
  <si>
    <t xml:space="preserve">a satisfacción el objeto del presente contrato, además que ha revisado lo </t>
  </si>
  <si>
    <t>Valor en Pesos:</t>
  </si>
  <si>
    <t>← Digitar el valor</t>
  </si>
  <si>
    <t>Valor en Letras:</t>
  </si>
  <si>
    <t>Un</t>
  </si>
  <si>
    <t>Uno</t>
  </si>
  <si>
    <t>Centenas</t>
  </si>
  <si>
    <t>Billones</t>
  </si>
  <si>
    <t>Dos</t>
  </si>
  <si>
    <t>Decenas</t>
  </si>
  <si>
    <t>Tres</t>
  </si>
  <si>
    <t>Unidades</t>
  </si>
  <si>
    <t>Cuatro</t>
  </si>
  <si>
    <t>Miles de Millones</t>
  </si>
  <si>
    <t>Cinco</t>
  </si>
  <si>
    <t>Seis</t>
  </si>
  <si>
    <t>Siete</t>
  </si>
  <si>
    <t>Millones</t>
  </si>
  <si>
    <t>Ocho</t>
  </si>
  <si>
    <t>Nueve</t>
  </si>
  <si>
    <t>Diez</t>
  </si>
  <si>
    <t>Miles</t>
  </si>
  <si>
    <t>Once</t>
  </si>
  <si>
    <t>Doce</t>
  </si>
  <si>
    <t>Trece</t>
  </si>
  <si>
    <t>Cientos</t>
  </si>
  <si>
    <t>Catorce</t>
  </si>
  <si>
    <t>Quince</t>
  </si>
  <si>
    <t>Dieciséis</t>
  </si>
  <si>
    <t>Diecisiete</t>
  </si>
  <si>
    <t>Dieciocho</t>
  </si>
  <si>
    <t>Diecinueve</t>
  </si>
  <si>
    <t>Veinte</t>
  </si>
  <si>
    <t>Veintiuno</t>
  </si>
  <si>
    <t>Veintiun</t>
  </si>
  <si>
    <t>Veintidós</t>
  </si>
  <si>
    <t>Veintitrés</t>
  </si>
  <si>
    <t>Veinticuatro</t>
  </si>
  <si>
    <t>Veinticinco</t>
  </si>
  <si>
    <t>Veintiséis</t>
  </si>
  <si>
    <t>Veintisiete</t>
  </si>
  <si>
    <t>Veintiocho</t>
  </si>
  <si>
    <t>Veintinueve</t>
  </si>
  <si>
    <t>Treinta</t>
  </si>
  <si>
    <t>Cuarenta</t>
  </si>
  <si>
    <t>Cincuenta</t>
  </si>
  <si>
    <t>Sesenta</t>
  </si>
  <si>
    <t>Setenta</t>
  </si>
  <si>
    <t>Ochenta</t>
  </si>
  <si>
    <t>Noventa</t>
  </si>
  <si>
    <t>Cien</t>
  </si>
  <si>
    <t>Ciento</t>
  </si>
  <si>
    <t>Doscientos</t>
  </si>
  <si>
    <t>Trescientos</t>
  </si>
  <si>
    <t>Cuatrocientos</t>
  </si>
  <si>
    <t>Quinientos</t>
  </si>
  <si>
    <t>Seiscientos</t>
  </si>
  <si>
    <t>Setecientos</t>
  </si>
  <si>
    <t>Ochocientos</t>
  </si>
  <si>
    <t>Novecientos</t>
  </si>
  <si>
    <t xml:space="preserve">El </t>
  </si>
  <si>
    <t>en el municipio de Dosquebradas Risaralda se reunieron en las oficinas del Instituto de Desarrollo Municipal de Dosquebradas IDM el supervisor</t>
  </si>
  <si>
    <t>y el contratista</t>
  </si>
  <si>
    <t xml:space="preserve">con el fin de iniciar las obras y/o actividades correspondientes al contrato de la referencia, Lo anterior </t>
  </si>
  <si>
    <t xml:space="preserve">se motiva en las siguientes consideraciones: </t>
  </si>
  <si>
    <t>El contratista entregó completa la documentación requerida para el inicio del contrato, incluyendo la afiliación a ARL.</t>
  </si>
  <si>
    <t>23 de enero de 2018</t>
  </si>
  <si>
    <t>en el municipio de Dosquebradas Risaralda se reunieron en las oficinas del Instituto de Desarrollo Municipal de Dosquebradas IDM el ordenador del gasto</t>
  </si>
  <si>
    <t xml:space="preserve">de la referencia motivado en las siguientes consideraciones: </t>
  </si>
  <si>
    <t>De ello debe dejar constancia ante el Instituto de Desarrollo Municipal - IDM. Se firma en Dosquebradas el dia:</t>
  </si>
  <si>
    <t xml:space="preserve">El contratista se obliga a a remitir copia de esta acta a la Compañía Aseguradora a efecto de producir las modificaciones que resultaren pertinentes en la póliza de seguros que ampara el contrato. </t>
  </si>
  <si>
    <t>FECHA SUSPENSION</t>
  </si>
  <si>
    <t>FECHA REINICIO</t>
  </si>
  <si>
    <t>AVANCE CONTRACTUAL</t>
  </si>
  <si>
    <t>REINICIO</t>
  </si>
  <si>
    <t>ESTADO</t>
  </si>
  <si>
    <t>DURACION</t>
  </si>
  <si>
    <t>ACTA PARCIAL 1</t>
  </si>
  <si>
    <t>ACTA PARCIAL 2</t>
  </si>
  <si>
    <t>30 DÍAS</t>
  </si>
  <si>
    <t xml:space="preserve">Lo anterior con el fin de reiniciar las obras y/o servicios correspondientes al contrato </t>
  </si>
  <si>
    <t xml:space="preserve">Lo anterior con el fin de suspender temporalmente las obras y/o servicios correspondientes al contrato </t>
  </si>
  <si>
    <t>Para la cancelación de la presente acta se tuvo en cuenta entre otras las actividades mostradas en el informe anexo y si es contrato de obra se anexa el cuadro de obras ejecutadas. Estas actividades</t>
  </si>
  <si>
    <t>se realizaron en el periodo comprendido entre el:</t>
  </si>
  <si>
    <t>y el</t>
  </si>
  <si>
    <t xml:space="preserve">El contratista presentó al día los pagos de seguridad social incluyendo la tasa </t>
  </si>
  <si>
    <t>correspondiente a su nivel de riesgo y documentos requeridos, como consta en los anexos. Se firma en Dosquebradas el dia:</t>
  </si>
  <si>
    <t>FINAL</t>
  </si>
  <si>
    <t xml:space="preserve">con el fin de liquidar de comun acuerdo el contrato </t>
  </si>
  <si>
    <t>Nº</t>
  </si>
  <si>
    <t>de</t>
  </si>
  <si>
    <t>firmado por las partes</t>
  </si>
  <si>
    <t>el dia</t>
  </si>
  <si>
    <t xml:space="preserve">adjudicado por valor de: </t>
  </si>
  <si>
    <t>PACTACION DE PRECIOS</t>
  </si>
  <si>
    <t>DESCRIPCION</t>
  </si>
  <si>
    <t>UNIDAD</t>
  </si>
  <si>
    <t>CANTIDAD</t>
  </si>
  <si>
    <t>VLR PARCIAL</t>
  </si>
  <si>
    <t>ITEM</t>
  </si>
  <si>
    <t>Consideraciones:</t>
  </si>
  <si>
    <t>PROYECTO:  SUPERVISOR CONTRATO</t>
  </si>
  <si>
    <t>ACTA PARCIAL 3</t>
  </si>
  <si>
    <t>ACTA PARCIAL 4</t>
  </si>
  <si>
    <t>ACTA PARCIAL 5</t>
  </si>
  <si>
    <t>ACTA PARCIAL 6</t>
  </si>
  <si>
    <t>ACTA PARCIAL 7</t>
  </si>
  <si>
    <t>ACTA PARCIAL 8</t>
  </si>
  <si>
    <t>ACTA PARCIAL 9</t>
  </si>
  <si>
    <t>ACTA PARCIAL 10</t>
  </si>
  <si>
    <t>ACTA PARCIAL 11</t>
  </si>
  <si>
    <t>ACTA PARCIAL 12</t>
  </si>
  <si>
    <t>PRESTACION DE SERVICIOS PROFESIONALES</t>
  </si>
  <si>
    <t>DUPARFAY DE JESUS BUITRAGO TORRES</t>
  </si>
  <si>
    <t xml:space="preserve">MARITZA MEJIA JIMENEZ </t>
  </si>
  <si>
    <t>JURIDICA</t>
  </si>
  <si>
    <t>TECNICA</t>
  </si>
  <si>
    <t>JAIR BOBADILLA LONDOÑO</t>
  </si>
  <si>
    <t>MENSUAL</t>
  </si>
  <si>
    <t>SUB. TECNICO</t>
  </si>
  <si>
    <t>SUB. ADMIN</t>
  </si>
  <si>
    <t>P.UNIVERSITARIO</t>
  </si>
  <si>
    <t>T. OPERATIVO</t>
  </si>
  <si>
    <t>T. ADMIN</t>
  </si>
  <si>
    <t>ADMINISTRATIVA</t>
  </si>
  <si>
    <t>DIA</t>
  </si>
  <si>
    <t>18 de enero de 2018</t>
  </si>
  <si>
    <t>El contratista recibió la inducción respectiva para la ejecución de sus actividades, asi como del  sistema integral de gestión.</t>
  </si>
  <si>
    <t>2.0</t>
  </si>
  <si>
    <t>ESTAMPILLA</t>
  </si>
  <si>
    <t>INFORME Nº</t>
  </si>
  <si>
    <t>SIMPLIFICADO</t>
  </si>
  <si>
    <t>COMUN</t>
  </si>
  <si>
    <t>CONTRATOS INTERADMINISTRATIVOS</t>
  </si>
  <si>
    <t>CONVENIOS INTERADMINISTRATIVOS</t>
  </si>
  <si>
    <t>CONVENIOS INTERADMINISTRATIVOS PUBLICOS</t>
  </si>
  <si>
    <t>PRESTACION DE SERVICIOS</t>
  </si>
  <si>
    <t>REGISTRO</t>
  </si>
  <si>
    <t>MES</t>
  </si>
  <si>
    <t>VALOR PERIODO</t>
  </si>
  <si>
    <t>FECHA DE INFORME</t>
  </si>
  <si>
    <t>INFORME DE ACTIVIDADES</t>
  </si>
  <si>
    <t>ALCANCES</t>
  </si>
  <si>
    <t># Planilla ARL</t>
  </si>
  <si>
    <t>PATRONAL</t>
  </si>
  <si>
    <t>Nº PLANILLA ARL/PAGO</t>
  </si>
  <si>
    <t># Planilla Seg. Soc.</t>
  </si>
  <si>
    <t xml:space="preserve">INGRESO BASE COTIZACION </t>
  </si>
  <si>
    <t>N° CONTRATO</t>
  </si>
  <si>
    <t xml:space="preserve">DIRECCION </t>
  </si>
  <si>
    <t>CARGO2</t>
  </si>
  <si>
    <t xml:space="preserve">DELEGACIÓN </t>
  </si>
  <si>
    <t>OFICIO DELEG.</t>
  </si>
  <si>
    <t>IDENTIFICACION2</t>
  </si>
  <si>
    <t>PROFESIÓN CONTRATISTA</t>
  </si>
  <si>
    <t>DIRECCION 4</t>
  </si>
  <si>
    <t>TELEFONO CONTRATISTA</t>
  </si>
  <si>
    <t>FECHA DE INICIO</t>
  </si>
  <si>
    <t>FECHA DE FINALIZACION</t>
  </si>
  <si>
    <t xml:space="preserve"> VALOR CONTRATO </t>
  </si>
  <si>
    <t>DURACION DIAS</t>
  </si>
  <si>
    <t>ADICION DIAS</t>
  </si>
  <si>
    <t>FECHA ADICIÓN</t>
  </si>
  <si>
    <t>ULTIMOS DIGITOS C.C.</t>
  </si>
  <si>
    <t xml:space="preserve">ARL </t>
  </si>
  <si>
    <t>ALCANCE 1</t>
  </si>
  <si>
    <t>ALCANCE 2</t>
  </si>
  <si>
    <t>ALCANCE 3</t>
  </si>
  <si>
    <t>ALCANCE 4</t>
  </si>
  <si>
    <t>ALCANCE 5</t>
  </si>
  <si>
    <t>ALCANCE 6</t>
  </si>
  <si>
    <t>ALCANCE 7</t>
  </si>
  <si>
    <t>ALCANCE 8</t>
  </si>
  <si>
    <t>ALCANCE 9</t>
  </si>
  <si>
    <t>ALCANCE 10</t>
  </si>
  <si>
    <t>ALCANCE 11</t>
  </si>
  <si>
    <t>ALCANCE 12</t>
  </si>
  <si>
    <t>ALCANCE 13</t>
  </si>
  <si>
    <t>ALCANCE 14</t>
  </si>
  <si>
    <t>ALCANCE 15</t>
  </si>
  <si>
    <t>ALCANCE 16</t>
  </si>
  <si>
    <t>ALCANCE 17</t>
  </si>
  <si>
    <t>ALCANCE 18</t>
  </si>
  <si>
    <t>REGIMEN</t>
  </si>
  <si>
    <t>MODALIDAD</t>
  </si>
  <si>
    <t>RIESGO</t>
  </si>
  <si>
    <t>9-392</t>
  </si>
  <si>
    <t>19-416</t>
  </si>
  <si>
    <t>2.3.1.1.01- 2.3.1.1.03</t>
  </si>
  <si>
    <t>INSTITUTO DE DESARROLLO MUNICIPAL - IDM</t>
  </si>
  <si>
    <t>BARRIO LOS NARANJOS CALLE 50 N° 14-56</t>
  </si>
  <si>
    <t>JUAN DAVID VILLA ROMERO</t>
  </si>
  <si>
    <t>18 DE ENERO DE 2018</t>
  </si>
  <si>
    <t>0200-18</t>
  </si>
  <si>
    <t>08/09/1864</t>
  </si>
  <si>
    <t>ABOGADO</t>
  </si>
  <si>
    <t>CRA 7 Nª 13-15-APT 401</t>
  </si>
  <si>
    <t>duparbuitrago@yahoo.com</t>
  </si>
  <si>
    <t>30 de diciembre de 2018</t>
  </si>
  <si>
    <t xml:space="preserve">PRESTAR SUS SERVICIOS PROFESIONALES COMO ABOGADO EN DEFENSA JUDICIAL Y ASESORIA JURIDICA A LA DIRECCION DEL INSTITUTO DE DESARROLLO MUNICIPAL </t>
  </si>
  <si>
    <t>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t>
  </si>
  <si>
    <t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t>
  </si>
  <si>
    <t xml:space="preserve">SOS </t>
  </si>
  <si>
    <t>COLPENSIONES</t>
  </si>
  <si>
    <t>54</t>
  </si>
  <si>
    <t>SURA</t>
  </si>
  <si>
    <t>Representar jurídicamente a la entidad para la reclamación y defensa de sus intereses en los casos en que el director de la entidad así lo exprese y confiera poder debidamente, dando respuesta y atendiendo todas las demandas judiciales que se adelanten ante la jurisdicción contenciosa administrativa y jurisdicción ordinaria en contra del Instituto.</t>
  </si>
  <si>
    <t xml:space="preserve">Revisar todos los procesos y hacerse parte en los mismos mediante la interposición de recursos, asistencia a diligencias testimoniales de inspección judicial, de conciliación y las demás que sean programadas por el respectivo despacho Judicial </t>
  </si>
  <si>
    <t>Responder las acciones de tutela, incidentes de desacato en que se instauren en las acciones constitucionales</t>
  </si>
  <si>
    <t xml:space="preserve"> Hacer parte integral de los Comités de Conciliación y rendir los informes en relación con los asuntos para los cuales fue creado.</t>
  </si>
  <si>
    <t xml:space="preserve"> Asistir a los Consejos Directivos del Instituto, de igual manera presentar los informes jurídicos que se requieran, bridando apoyo a la gestión en la resolución de las políticas que adopte el Consejo Directivo en materia de vivienda.</t>
  </si>
  <si>
    <t>Asistir a las reuniones del Consejo de Valorización Municipal y rendir los informes jurídicos que se requieran, brindando apoyo jurídico respecto a los proyectos de valorización que se adelanten en el Municipio.</t>
  </si>
  <si>
    <t>Elaborar documentos de la entidad que requieran ser proyectados desde el punto de vista jurídico, así como la revisión de los documentos que se requieran por parte del director del ente contratante como  (Minutas, Contratos, Convenios, Resoluciones, entre otros)</t>
  </si>
  <si>
    <t>Proyectar las respuestas a los derechos de petición desde el punto de vista jurídico, apoyando en los conceptos técnicos que rinda el personal de la entidad dentro de los términos de la ley.</t>
  </si>
  <si>
    <t>Apoyo a la gestión del Instituto asistiendo a las reuniones que sea citado con ocasión de los diferentes proyectos de vivienda para ahorradores VIPA que adelanta el Instituto.</t>
  </si>
  <si>
    <t>Brindar Asesoramiento jurídico al Director del Instituto respecto de los diferentes proyectos de vivienda que se adelanten</t>
  </si>
  <si>
    <t>Brindar apoyo a la gestión y asesoramiento al director asistiendo a las diferentes reuniones que se adelanten con ocasión de los proyectos de vivienda que adelante el Instituto.</t>
  </si>
  <si>
    <t>Brindar apoyo a la gestión, dando respuesta a las controversias, solicitudes y reclamaciones que se efectúen con ocasión de los proyectos de vivienda que se encuentran en ejecución y los que se vayan adelantar.</t>
  </si>
  <si>
    <t>2.3.1.1.01</t>
  </si>
  <si>
    <t>17 DE ENERO DE 2018</t>
  </si>
  <si>
    <t>032-19</t>
  </si>
  <si>
    <t>ABOGADA</t>
  </si>
  <si>
    <t>CLUB RECIDENCIAL EL NOGAL TRE 3 APT 344</t>
  </si>
  <si>
    <t>maritzamejiaj@gmail.com</t>
  </si>
  <si>
    <t>19 de enero de 2018</t>
  </si>
  <si>
    <t>17 DE SEPTIEMBRE DE 2018</t>
  </si>
  <si>
    <t>NA</t>
  </si>
  <si>
    <t>PRESTACIÓN DE SERVICIOS APOYANDO LA GESTION  JURIDICA DEL INSTITUTO EN APECTOS ESPECIALES COMO EN EL SECTOR VIVIENDA DE CONFORMIDAD CON EL PLAN DE DESARRALLO</t>
  </si>
  <si>
    <t>COOMEVA</t>
  </si>
  <si>
    <t>PROTECCION</t>
  </si>
  <si>
    <t>23</t>
  </si>
  <si>
    <t>LILIAM DEL SOCORRO NARANJO USUGA</t>
  </si>
  <si>
    <t>11-395</t>
  </si>
  <si>
    <t>7-426</t>
  </si>
  <si>
    <t>2.1.1.2..03</t>
  </si>
  <si>
    <t>JOSE JAIR SERNA MENDOZA</t>
  </si>
  <si>
    <t>25 DE SEPTIEMBRE DE 2018</t>
  </si>
  <si>
    <t>201-18</t>
  </si>
  <si>
    <t>CONTADORA</t>
  </si>
  <si>
    <t xml:space="preserve">JARDIN COLONIAL CASA 12 </t>
  </si>
  <si>
    <t>lilinar519@hotmail.com</t>
  </si>
  <si>
    <t>20 de enero de 2018</t>
  </si>
  <si>
    <t xml:space="preserve">PRESTAR SERVICIOS PROFESIONALES COMO CONTADORA EXTERNA DE LA ENTIDAD REALIZANDO TODO LO CONCERNIENTE A LA CONTABILIADAD PUBLICA Y LA RENDICION DE CUENTAS A LOS DIFERENTES ENTES DE CONTROL </t>
  </si>
  <si>
    <t xml:space="preserve">MEDIMAS </t>
  </si>
  <si>
    <t>19</t>
  </si>
  <si>
    <t>Con relación al proyecto de seguimiento y actualización de los cálculos actuariales del pasivo pensional PASIVOCOL: a) actualización de la información del personal activo con fecha de corte al 31 de diciembre de 2017 b) avance en la actualización de la información del personal retirado. c) realizar consultas pertinentes en los fondos de pensión, el seguro social y en la Registraduría Nacional de acuerdo con las necesidades de información según avances.</t>
  </si>
  <si>
    <t xml:space="preserve">Asesorar permanentemente la entidad en todos los procesos relacionados con el sistema contable del IDM. </t>
  </si>
  <si>
    <t xml:space="preserve">Presentar los informes mensuales, trimestrales y anuales  de la  vigencia 2017 y 2018 a cada una de las entidades que así lo requieran como son: Contaduría General de la Nación, Contraloría Municipal General y demás órganos que lo requieran. </t>
  </si>
  <si>
    <t xml:space="preserve">Actualización permanente del sistema contable. </t>
  </si>
  <si>
    <t>Aplicar constantemente a los estados financieros de la entidad, la depuración y sostenibilidad contable, según la Ley 716 de 2001 y sus decretos  reglamentarios sobre la materia</t>
  </si>
  <si>
    <t xml:space="preserve">Manejo y actualización del SIIGO. </t>
  </si>
  <si>
    <t>Elaborar los certificados  de ingresos y retenciones de los funcionarios y demás labores que necesiten de su asesoría.</t>
  </si>
  <si>
    <t>Aplicar las normas contables actuales para mejorar los estudios financieros de la entidad.</t>
  </si>
  <si>
    <t xml:space="preserve">Aplicar la ley general de inventarios, en lo que se refiere a cada uno de los bienes muebles e inmuebles del instituto, como: depuración, actualización y realización de procedimientos, entre otros. </t>
  </si>
  <si>
    <t xml:space="preserve"> Realizar el seguimiento de las cuentas por cobrar e informar al interventor el estado actual de las mismas y las acciones que adelante. </t>
  </si>
  <si>
    <t xml:space="preserve">Realizar las acciones pertinentes para la consecución de paz y salvos de los fondos de pensión, cuentas canceladas por el IDM en vigencias anteriores, deudas pertenecientes a las anteriores entidades fusionadas. </t>
  </si>
  <si>
    <t>Realizar la actualización constante en los estados financieros de los activos de la entidad.</t>
  </si>
  <si>
    <t xml:space="preserve">Con relación al apoyo financiero a la entidad: a.- realizar conciliaciones entre contabilidad, presupuesto  y el software SIIGO de la información contenida en los informes de ejecución presupuestal; suministrada por la Técnico Administrativo, ingresos-cartera-contabilidad. b.- conciliación con los estratos de las fiducias. </t>
  </si>
  <si>
    <t>Seguimiento a la rendición de cuentas de las Fiducias.</t>
  </si>
  <si>
    <t xml:space="preserve">Presentar informes a la Junta Directiva y los entes que lo requieran y que tenga que ver con la contabilidad de la entidad. </t>
  </si>
  <si>
    <t>Presentar por escrito y mensualmente relación de todas las actividades realizadas y coordinar todas sus actividades con el supervisor del contrato y bajo su total supervisión.</t>
  </si>
  <si>
    <t xml:space="preserve">Apoyo en la implementación de las Normas Internacionales Financieras, en el Instituto y en la plataforma SIIGO. </t>
  </si>
  <si>
    <t>Realizar el mantenimiento a la primera etapa de las normas contables internacionales para el sector el público NCI-SP acorde la ley 533 de 2015, a fin de poder presentar en la vigencia del 2019 el informe final contable de NCI-SP a la Contaduría General de la Nación.</t>
  </si>
  <si>
    <t xml:space="preserve">MARTA CONTRERAS CORREA </t>
  </si>
  <si>
    <t>12-393</t>
  </si>
  <si>
    <t>8-418</t>
  </si>
  <si>
    <t>2.1.1.2.3.03</t>
  </si>
  <si>
    <t>002-18</t>
  </si>
  <si>
    <t xml:space="preserve">PORTAL 2 CASA 165 EL PROGRESO </t>
  </si>
  <si>
    <t>marcos3611@yahoo.es</t>
  </si>
  <si>
    <t>21 de enero de 2018</t>
  </si>
  <si>
    <t xml:space="preserve">PRESTAR SERVICIOS PROFESIONALES A LA SUBDIRECCION ADMINISTRATIVA Y FINANCIERA MANEJANDO,ACTUALIZANDO Y REPORTANDO LA INFORMACION DE LA ENTIDAD A TRAVES DE LAS PLATAFORMAS, REQUERIDOS POR LOS DIFERENTES ENTES DE CONTROL Y DEPENDENCIAS, ASI COMO APOYAR LAS ACTIVIDADES PRESUPUESTALES Y ECONOMICAS DEL INSTITUTO </t>
  </si>
  <si>
    <t xml:space="preserve">SALUD TOTAL </t>
  </si>
  <si>
    <t xml:space="preserve">PORVENIR </t>
  </si>
  <si>
    <t>20</t>
  </si>
  <si>
    <t>Con relación al Sistema Consolidador de Hacienda e Información Pública SCHIP: a) Diligenciamiento, validación y transmisión trimestral y anual de archivos planos de la Programación y Ejecución de Gastos e Ingresos, y la Programación y Ejecución de la Tesorería. b) Verificación de que la información transmitida haya quedado vinculada con el servicio de Consulta Informe al ciudadano. c) transmisión y diligenciamiento  de formatos informe anual de personal de planta y personal contratado.</t>
  </si>
  <si>
    <t xml:space="preserve">Con relación al Sistema Integral de Auditorias SIA: Diligenciamiento de los formatos y el manejo de la  plataforma   con base en  información requerida suministrada por las diferentes áreas e incorporación al Sistema de los mismos de acuerdo a las Rendiciones Mensuales, Bimestrales, Anuales u ocasionales requeridas por la Contraloría Municipal. </t>
  </si>
  <si>
    <t>Elaboración de estudios previos y análisis del sector que impacte en el funcionamiento de la entidad.</t>
  </si>
  <si>
    <t xml:space="preserve">Verificación y seguimiento a los estados financieros y causaciones de la entidad, antes de ser rendidas las cuentas a la Contaduría General de la Nación y demás entes de control. </t>
  </si>
  <si>
    <t xml:space="preserve">Con relación al apoyo financiero a la entidad: a) apoyar en la rendición  de informes, análisis, proyecciones, cálculos, y reportes requeridos y conjuntamente con la Subdirección Administrativa y Financiera. b) apoyar en las proyecciones financieras del comportamiento presupuestal de la entidad al cierre de la vigencia 2017. </t>
  </si>
  <si>
    <t>Realizar y reportar los consolidados de ejecución presupuestal. d) Conciliación con el área contable y el Software SIIGO de la información contenida en los informes de ejecución presupuestal de gastos e ingresos.</t>
  </si>
  <si>
    <t xml:space="preserve">Apoyar en la actualización y manejo del PAA, Plan Anual de Adquisición de bienes, al igual que la consulta de codificación de bienes y servicios del instituto en UNSPSC.  </t>
  </si>
  <si>
    <t xml:space="preserve">Reportar demás informes requeridos por los entes de control mediante software. </t>
  </si>
  <si>
    <t>Presentar informes periódicos sobre las actividades realizadas y coordinar todas sus actividades con el supervisor del Contrato y bajo su total supervisión.</t>
  </si>
  <si>
    <t>El  supervisor  podrá exigir el diligenciamiento de formatos o documentos que le ayuden a mejorar el monitoreo, o que mejoren la prestación del servicio contratado.</t>
  </si>
  <si>
    <t>Manejo de la administración de carteras resultado de nuevas obras realizadas durante la vigencia por el sistema de contribución por valorización.</t>
  </si>
  <si>
    <t xml:space="preserve">Elaboración de todos los reportes de evolución de recaudos que solicite la Subdirección Administrativa y Financiera. </t>
  </si>
  <si>
    <t>Dar trámite a las peticiones de cálculo, aclaración, eliminación o modificación de información relacionada con los deudores al Instituto</t>
  </si>
  <si>
    <t>Realizar la rendición de informes en el aplicativo Institucional de la Contaduría General de la Republica SIA OBSERVA, de conformidad con las normas aplicables</t>
  </si>
  <si>
    <t>INTEGRASOFT S.A.S</t>
  </si>
  <si>
    <t>2.1.2.2.16</t>
  </si>
  <si>
    <t>003-18</t>
  </si>
  <si>
    <t xml:space="preserve">SOLUCIONES EN INGENIERIA DE SOFTWARE </t>
  </si>
  <si>
    <t xml:space="preserve">CLL 11 Nª 5-78 CENTRO 0FI 201  NEIVA- HUILA </t>
  </si>
  <si>
    <t>jhsalzar@integrasoftsas.com</t>
  </si>
  <si>
    <t xml:space="preserve">31 DE DICIEMBRE DE 2018 </t>
  </si>
  <si>
    <t>PRESTACIÓN DE SERVICIOS PROFESIONALES DE MANTENIMIENTO CON SOPORTE TÉCNICO, CAPACITACIÓN Y ACTUALIZACIÓN DE LA LICENCIA DEL SOFTWARE SIIGO OFICIAL</t>
  </si>
  <si>
    <t xml:space="preserve"> Hacer las diferentes Solicitudes de Servicios contenidas en el contrato de Mantenimiento.</t>
  </si>
  <si>
    <t>Generar PQRS, Peticiones, Quejas, Reclamos y Sugerencias de Nuestros Procesos, Servicios y Productos.</t>
  </si>
  <si>
    <t>Encontrar las respuestas a las dudas e inconvenientes presentados en el manejo del Software</t>
  </si>
  <si>
    <t>Recibir información vía Web</t>
  </si>
  <si>
    <t xml:space="preserve"> Inscribirse o Confirmar asistencia a cursos de capacitación y monitorias realizadas por la Empresa. B) VISITAS VIRTUALES: Acceder hasta seis</t>
  </si>
  <si>
    <t>visitas virtuales por parte de los consultores durante la vigencia del contrato y el periodo de garantía; cuando se tenga una necesidad de servicio de manera inmediata, contar con un servicio más rápido y efectivo, y deben contar con la opción de prestar los servicios de manera remota, a través del software de comunicación; el proceso consiste en que el usuario vía telefónica o Internet entra al sistema y solicita aclarar un procedimiento, verificar el estado de la información, etc. y el contratista  ingresara al  computador previa autorización y realizara el proceso que se requiera, C) SERVICIO DE CONSULTA TELEFÓNICA: Cuando se  requiera resolver dudas que no están incluidas en el portal de clientes bajo la funcionalidad de “Preguntas Frecuentes”, o cuando se requiera solicitar un servicio, se deberá disponer de este servicio. D) CAPACITACION: Capacitar hasta dos (2) funcionarios nuevos o reforzar los conocimientos de los actuales empleados, en el manejo del Sistema de Información con el que cuenta su entidad o temas de interés; dicha capacitación se dictará en forma presencial, en forma presencial, de conformidad con la agenda que disponga integrasoft. E) MONITORIAS: Dictar hasta dos (2) monitorias, con una duración hasta de dos (2) horas, para lo cual se podrá enviar una persona a las reuniones.</t>
  </si>
  <si>
    <t>DANIEL ALFONSO MORALES</t>
  </si>
  <si>
    <t>13-391</t>
  </si>
  <si>
    <t>9-419</t>
  </si>
  <si>
    <t>2.3.1.1.03</t>
  </si>
  <si>
    <t>CRA 18E #42-182 CA 42</t>
  </si>
  <si>
    <t>demoraz@gmail.com</t>
  </si>
  <si>
    <t>PRESTACIÓN DE SERVICIOS PROFESIONALES COMO ABOGADO ESPECIALIZADO REALIZANDO ACTIVIDADES JURÍDICAS Y ADMINISTRATIVAS CON MIRAS A APOYAR LA COORDINACIÓN DEL PROYECTO PLAN DE MOVILIDAD Y CONECTIVIDAD DEL MUNICIPIO DE DOSQUEBRADAS, APROBADO MEDIANTE ACUERDO 035 DE 2016.</t>
  </si>
  <si>
    <t>13</t>
  </si>
  <si>
    <t>Apoyar al Instituto de Desarrollo Municipal en la socializacion de los procesos de valorizacion necesarios para la ejecucion del plan de movilidad y conectividad , y en el analisis de las inquietudes surgidas, proponiendo los cambios o ajustes al mismo.</t>
  </si>
  <si>
    <t>Apoyar al Instituto de Desarrollo Municipal en lacoordinacion de los profesionales y talento humano que brinde apoyo en calidad de contratistas a los diferentes proceso relacionados con la ejecucion del plan de movilidad y conectivdad.</t>
  </si>
  <si>
    <t>Emitir conecptos juridicos y resolver consultas sobre asuntos relacionados con los temas de valorizacion, frente a la ejecucion del plan de movilidad y conectividad.</t>
  </si>
  <si>
    <t>Prestar Apoyo en los proyectos de respuesta dentro de los temrinos legales a los derechos de peticion, interposicion de recursos que le sean encargados en temas relacionados con el plan de movilidad y conectividad.</t>
  </si>
  <si>
    <t>Apoyar al proceso de participacion y socializacion de las actividades a realizar por los propietarios y posedores beneficiados con las obras ejecutadas por el sistema de contribucion de valorizacion.</t>
  </si>
  <si>
    <t>Brindar apoyo al proceso de gestion predial requerido para la ejecucion del plan de movilidad y conectividad.</t>
  </si>
  <si>
    <t>Asumir la representacion judicial del IDM, en los procesos legales intrpuesto en contra del proyecto de movilidad y conectividad .</t>
  </si>
  <si>
    <t>MARIA DANIELA OSORIO PORRAS</t>
  </si>
  <si>
    <t>14-396</t>
  </si>
  <si>
    <t>10-424</t>
  </si>
  <si>
    <t>CRA 10 N° 33-14 PORVENIR PEREIRA</t>
  </si>
  <si>
    <t>daniospo123@hotmail.com</t>
  </si>
  <si>
    <t>PRESTACIÓN DE SERVICIOS PROFESIONALES PARA PRESTAR APOYO LEGAL EN MATERIA DE PROCEDIMIENTOS ADMINISTRATIVOS,  CONTRATACIÓN PÚBLICA Y LA REPRESENTACIÓN JUDICIAL DEL INSTITUTO DE DESARROLLO MUNICIPAL DE DOSQUEBRADAS DENTRO  DEL PROYECTO PLAN DE MOVILIDAD Y CONECTIVIDAD DEL MUNICIPIO DE DOSQUEBRADAS APROBADO MEDIANTE ACUERDO 035 DE 2016</t>
  </si>
  <si>
    <t>04</t>
  </si>
  <si>
    <t>Apoyar al Instituto de Desarrollo Municipal en la elaboración de contratos que se celebren con cargo al proyecto Plan de Movilidad y Conectividad del Municipio de Dosquebradas, lo que implica la elaboración de los documentos precontractuales y contractuales exigidos para la selección objetiva del contratista, el perfeccionamiento y ejecución del contrato y la proyección o revisión de respuesta a las solicitudes de los contratistas.</t>
  </si>
  <si>
    <t>Proyectar los actos administrativos con origen en el incumplimiento de los deberes de los contratistas tales como la aplicación de multas, declaración de siniestros y caducidad.</t>
  </si>
  <si>
    <t>Apoyar el proceso de supervisión de los contratistas vinculados mediante contratos de prestación de servicios  para el proyecto Plan de Movilidad y Conectividad de Dosquebradas.</t>
  </si>
  <si>
    <t>Efectuar control sobre las solicitudes, peticiones y requerimientos efectuados por entidades externas en relación con el proyecto Plan de Movilidad y Conectividad del Municipio de Dosquebradas.</t>
  </si>
  <si>
    <t>Responder desde el punto de vista jurídico as solicitudes, peticiones y requerimientos efectuados por entidades externas en relación con el proyecto Plan de Movilidad y Conectividad del Municipio de Dosquebradas.</t>
  </si>
  <si>
    <t>Apoyar el proceso de participación de los propietarios en la elección de la Junta de Representantes de los propietarios beneficiados con las obras ejecutadas por el sistema de contribución de valorización.</t>
  </si>
  <si>
    <t xml:space="preserve"> Atender las inquietudes de la ciudadanía desde el punto de vista jurídico en relación con el Plan de Movilidad y Conectividad.</t>
  </si>
  <si>
    <t>AURORA ZULUAGA MADRID</t>
  </si>
  <si>
    <t>15-397</t>
  </si>
  <si>
    <t>11-425</t>
  </si>
  <si>
    <t>QUINTAS DE JARDIN COLONIAL CASA 18</t>
  </si>
  <si>
    <t>aurora.zuluaga@hotmail.com</t>
  </si>
  <si>
    <t>PRESTACIÓN DE SERVICIOS PROFESIONALES PARA PRESTAR APOYO LEGAL,  SUSTANCIACIÓN DE PROCESOS,  PROYECCIÓN ACTOS ADMINISTRATIVOS,  CONTRATACIÓN PÚBLICA, REVISIÓN JUDICIAL Y REPRESENTACIÓN JUDICIAL DEL INSTITUTO DE DESARROLLO MUNICIPAL DE DOSQUEBRADAS EN EL MARCO DEL PROYECTO PLAN DE MOVILIDAD Y CONECTIVIDAD DEL MUNICIPIO DE DOSQUEBRADAS, APROBADO MEDIANTE ACUERDO 035 DE 2016</t>
  </si>
  <si>
    <t>65</t>
  </si>
  <si>
    <t xml:space="preserve">Velar porque se surtan todas las etapas del Plan de Movilidad y Conectividad del Municipio de Dosquebradas, tales como la debida notificación de los actos administrativos. </t>
  </si>
  <si>
    <t>Emitir conceptos jurídicos y resolver consultas sobre asuntos relacionados con los temas del Plan de Movilidad y Conectividad del Municipio de Dosquebradas.</t>
  </si>
  <si>
    <t xml:space="preserve">Prestar apoyo en los proyectos de respuesta dentro de los términos legales, a los derechos de petición, recursos y demás reclamaciones en temas relacionados con la contribución del Plan de Movilidad y Conectividad del Municipio de Dosquebradas. </t>
  </si>
  <si>
    <t>Llevar la representación pre judicial y judicial del Instituto de Desarrollo Municipal en relación con los procesos que se adelanten contra el Plan de Movilidad y Conectividad del Municipio de Dosquebradas.</t>
  </si>
  <si>
    <t>Apoyar las actividades desplegadas por la Junta de Representantes de Propietarios y Poseedores del Plan de Movilidad y Conectividad de Dosquebradas, y las inquietudes de la Dirección y Subdirección del Instituto de Desarrollo Municipal respecto de los actos y conceptos referentes a la Junta de Representantes y Poseedores.</t>
  </si>
  <si>
    <t xml:space="preserve">Verificar el estado de los procesos judiciales adelantados contra el proyecto Plan de Movilidad y Conectividad de Dosquebradas. </t>
  </si>
  <si>
    <t>Apoyar la gestión jurídica en los procesos judiciales que se lleven a cabo contra el Instituto de Desarrollo Municipal.</t>
  </si>
  <si>
    <t>LUCY AMPARO OSORIO VALENCIA</t>
  </si>
  <si>
    <t>22-410</t>
  </si>
  <si>
    <t>20-444</t>
  </si>
  <si>
    <t>LUIS FERNANDO ARANGO ALVAREZ</t>
  </si>
  <si>
    <t>19 DE ENERO DE 2018</t>
  </si>
  <si>
    <t>026-18</t>
  </si>
  <si>
    <t>CLL21 #22-98 LA PRADERA</t>
  </si>
  <si>
    <t xml:space="preserve">lucyosoriovalencia@hotmail.com </t>
  </si>
  <si>
    <t>22 de enero de 2018</t>
  </si>
  <si>
    <t>PRESTAR SERVICIOS PROFESIONALES COMO ABOGADO EN EL APOYO Y ACOMPAÑAMIENTO EN LA GESTIÓN DE PROCESOS DE LEGALIZACIÓN Y TITULACIÓN DE PREDIOS DE LOS PROYECTOS DE VIVIENDA DEL INSTITUTO DE DESARROLLO MUNICIPAL ACORDE AL PLAN DE DESARROLLO 2016-2019</t>
  </si>
  <si>
    <t>79</t>
  </si>
  <si>
    <t xml:space="preserve">Brindar acompañamiento jurídico  en los documentos y conceptos en relación directa con el objeto contractual. </t>
  </si>
  <si>
    <t xml:space="preserve"> Adelantar el diagnostico de los predios ocupados en los sectores solicitados por la comunidad. (Siempre y cuando no se encuentre en zona de alto riesgo previa certificación de la DIGER).</t>
  </si>
  <si>
    <t>Realizar estudio general e individual de títulos en todos los actos notariales y demás actuaciones donde intervenga el Instituto, llevar registro de lo actuado y firmado por la dirección.</t>
  </si>
  <si>
    <t xml:space="preserve">Realizar los trámites pertinentes ante Curaduría Urbana, Notaria, IGAC, oficina de registro  e instrumentos públicos y demás entidades, en los procesos que requieran de su presencia como: englobes, desenglobes, tramites de áreas y linderos, escrituraciones, aclaraciones y demás tramites cuando sea del caso.  </t>
  </si>
  <si>
    <t>Apoyar a la Subdirección  técnica en el proceso de entrega de las áreas de cesión de los predios y proyectos de vivienda del Instituto de Desarrollo Municipal, que actualmente se encuentran sin legalizar al municipio.</t>
  </si>
  <si>
    <t>Facilitar la información que se requiera relacionado con este objeto,  a los profesionales de la Subdirección Técnica para  rendir los informes que sean solicitados por el Instituto o por cualquier ente público o privado u órgano de control.</t>
  </si>
  <si>
    <t xml:space="preserve"> Realizar las actuaciones jurídicas y administrativas necesarias tendientes a legalizar predios del fondo de vivienda y del IDM.</t>
  </si>
  <si>
    <t xml:space="preserve">Adelantar y acompañar los procesos de titulación, des intervención y escrituración donde intervenga el  Instituto de Desarrollo Municipal </t>
  </si>
  <si>
    <t>Acompañar la gestión y realización de convenios con la Administración Municipal y demás entes que apoyen los procesos de legalización y escrituración.</t>
  </si>
  <si>
    <t>LINA MARIA RODAS ACEVEDO</t>
  </si>
  <si>
    <t>26-394</t>
  </si>
  <si>
    <t>21-417</t>
  </si>
  <si>
    <t>MARIA NANCY ROMERO MURILLO</t>
  </si>
  <si>
    <t>23 DE ENERO DE 2018</t>
  </si>
  <si>
    <t>036-18</t>
  </si>
  <si>
    <t xml:space="preserve">TRABAJADORA SOCIAL </t>
  </si>
  <si>
    <t>GUADUALES DE MILAN TORRE E APT 401</t>
  </si>
  <si>
    <t>rodaslimar@hotmail.com</t>
  </si>
  <si>
    <t>23 enero de 2018</t>
  </si>
  <si>
    <t xml:space="preserve">PRESTAR SUS SERVICIOS PROFESIONALES COMO TRABAJADORA SOCIAL EN LOS PROYECTOS Y PROGRAMAS DE VIVIENDA A CARGO DEL INSTITUTO DE DESARROLLO MUNICIPAL </t>
  </si>
  <si>
    <t>02</t>
  </si>
  <si>
    <t>Brindar acompañamiento como trabajadora social en los proyectos de vivienda a cargo de Instituto.</t>
  </si>
  <si>
    <t xml:space="preserve">Apoyar el acompañamiento social en la entrega, asignación y ejecución de los subsidios de mejoramiento de vivienda que se lleven a cabo en esta vigencia. </t>
  </si>
  <si>
    <t>Acompañar la articulación interinstitucional de las entidades municipales y departamentales que tengan injerencia dentro de los proyectos de vivienda de municipio de Dosquebradas.</t>
  </si>
  <si>
    <t>Servir de apoyo para el seguimiento de las familias y hogares en el marco de las obligaciones que le correspondan al Instituto y en cumplimiento del decreto 1077 del 2015.</t>
  </si>
  <si>
    <t xml:space="preserve">  Apoyar la rendición de informes ante los órganos de carácter nacional y entes de control en los cuales se tenga componentes sociales.  </t>
  </si>
  <si>
    <t>Apoyar en las reuniones convocadas por la comunidad o las entidades que acompañan el seguimiento de vivienda gratuita.</t>
  </si>
  <si>
    <t xml:space="preserve"> Acompañamiento social a las obras de infraestructura que le determine la dirección.</t>
  </si>
  <si>
    <t>Apoyo en la recopilación de documentación y tabulación de la información suministrada en el proceso de seguimiento de vivienda gratuita</t>
  </si>
  <si>
    <t>LIZ NIRVANA ARIAS OROZCO</t>
  </si>
  <si>
    <t>23-412</t>
  </si>
  <si>
    <t>22-446</t>
  </si>
  <si>
    <t>0321-28</t>
  </si>
  <si>
    <t>BACHILLER</t>
  </si>
  <si>
    <t>MZ 3 CS 79 CAMILO TORRES 1</t>
  </si>
  <si>
    <t>nirvana_arias@hotmail.com</t>
  </si>
  <si>
    <t>“APOYO A LA GESTIÓN EN LOS PROYECTOS DE VIVIENDA Y MISIONALES  EN LA GESTIÓN DOCUMENTAL DE VIGENCIAS ANTERIORES”.</t>
  </si>
  <si>
    <t>Actualizar y organizar los documentos resultantes de la eliminación documental proveniente del Fondo Rotatorio de Valorización</t>
  </si>
  <si>
    <t>Apoyo en la digitalización y tabulación de los documentos resultantes de la eliminación</t>
  </si>
  <si>
    <t xml:space="preserve"> Digitalización en el programa GESAR de los documentos resultantes pertinentes al Fondo Rotatorio de Valorización y las intervenidas a cargo del IDM  </t>
  </si>
  <si>
    <t>Organización según la ley de archivo 594 de 2000 y sus decretos reglamentarios, todas las carpetas de los programas y proyectos adelantados por el Fondo Rotatorio de Valorización y de intervenidas, que conformen su archivo físico</t>
  </si>
  <si>
    <t>Velar por la preservación, cuidado y manejo de los documentos que sea sujeto de manipulación</t>
  </si>
  <si>
    <t>Acatar y ejecutar las diferentes tareas que se le asignen en el comité de archivo.</t>
  </si>
  <si>
    <t>LUZ ADRIANA MARTINEZ MESA</t>
  </si>
  <si>
    <t>24-313</t>
  </si>
  <si>
    <t>23-447</t>
  </si>
  <si>
    <t>22 DE ENERO DE 2018</t>
  </si>
  <si>
    <t>0321-29</t>
  </si>
  <si>
    <t>MZ 4 CS 14A CERRO ASUL</t>
  </si>
  <si>
    <t>luadma28@gmail.com</t>
  </si>
  <si>
    <t>“APOYAR LA GESTIÓN EN LA ORGANIZACIÓN DE LOS PROYECTOS DE VIVIENDA DEL ARCHIVO CENTRAL DE LA ENTIDAD</t>
  </si>
  <si>
    <t xml:space="preserve">NUEVZA EPS </t>
  </si>
  <si>
    <t>10</t>
  </si>
  <si>
    <t>Recepcionar la transferencia documental primaria (archivo de gestión-archivo central), del área técnica y sus proyectos, así como de la dirección general y subdirección administrativa.</t>
  </si>
  <si>
    <t>Organizar acorde a la norma de gestión documental la planoteca existente de los diferentes proyectos anteriores y actuales que ha surtido la entidad.</t>
  </si>
  <si>
    <t xml:space="preserve"> Realizar la transferencia secundaria (archivo central-archivo histórico), con el fin de conservar las últimas cinco años como establece la ley general de archivo.</t>
  </si>
  <si>
    <t>Digitalizar la información faltante y la que se recepcione en el archivo central al aplicativo GESAR.</t>
  </si>
  <si>
    <t>Velar por el cuidado y conservación del archivo central.</t>
  </si>
  <si>
    <t>Vigilar que se estén aplicando correctamente las tablas de retención documental en las diferentes transferencias documentales (primaria-secundaria) a través del formato único de inventario.</t>
  </si>
  <si>
    <t>Acatar y ejecutar las diferentes tareas que se le asignen el comité de archivo.</t>
  </si>
  <si>
    <t>MIRYAM GONZALEZ VARGAS</t>
  </si>
  <si>
    <t>25-414</t>
  </si>
  <si>
    <t>24-448</t>
  </si>
  <si>
    <t>0321-30</t>
  </si>
  <si>
    <t>MZ 9 CASA 2 B GIRASOL</t>
  </si>
  <si>
    <t>migova12@hotmail.com</t>
  </si>
  <si>
    <t>“PRESTAR APOYO EN LA GESTIÓN EN LA ELIMINACIÓN FÍSICA DE LOS DOCUMENTOS DE LOS PROYECTOS DE VIVIENDA QUE REPOSAN EN EL ARCHIVO HISTÓRICO DE LA ENTIDAD”.</t>
  </si>
  <si>
    <t xml:space="preserve">Apoyar la eliminación física de los documentos de los proyectos de vivienda de conformidad con la ley general de archivo y sus normas complementarias </t>
  </si>
  <si>
    <t>Apoyar la organización de la documentación resultante de la eliminación física del archivo histórico de conformidad con la Ley general, aplicando el proceso de gestión de calidad de la entidad, en los documentos y carpetas de proyectos y programas de vivienda que tenga relación directa con el área misional de la entidad.</t>
  </si>
  <si>
    <t xml:space="preserve"> Realizar acciones que den lugar a la preservación y organización correcta de los documentos que conforman los proyectos y programas.</t>
  </si>
  <si>
    <t xml:space="preserve">Digitalizar la información o documentación resultante, una vez aplicada la eliminación documental al aplicativo GESAR del instituto. </t>
  </si>
  <si>
    <t xml:space="preserve">Organización según la ley de archivo 594 de 2000 y sus decretos reglamentarios, todas las carpetas de los programas y proyectos existentes.  </t>
  </si>
  <si>
    <t xml:space="preserve"> Acatar y ejecutar las diferentes tareas que se le asignen en el comité de archivo.</t>
  </si>
  <si>
    <t xml:space="preserve">SILVIA RUTH LOPEZ BERMUDEZ </t>
  </si>
  <si>
    <t>16-399</t>
  </si>
  <si>
    <t>12-432</t>
  </si>
  <si>
    <t>0321-31</t>
  </si>
  <si>
    <t xml:space="preserve">TECNICO PRIMERA INFANCIA </t>
  </si>
  <si>
    <t>MZ 13 CS 121 VILLA CAMPESTRE D</t>
  </si>
  <si>
    <t>silviaruthlopezb@gmail.com</t>
  </si>
  <si>
    <t>PRESTACIÓN DE SERVICIOS PARA REALIZAR ACTIVIDADES DE APOYO A LA GESTIÓN ADMINISTRATIVA Y JURÍDICA NECESARIAS PARA EL DESARROLLO DEL PROYECTO PLAN DE MOVILIDAD Y CONECTIVIDAD DEL MUNICIPIO DE DOSQUEBRADAS APROBADO MEDIANTE ACUERDO 035 DE 2016.</t>
  </si>
  <si>
    <t>Brindar apoyo en la actuación administrativa que se requiere en los diferentes procesos de contratación Pública que se adelanten por parte del Instituto de Desarrollo Municipal de Dosquebradas en el Plan de Movilidad y Conectividad del municipio de Dosquebradas</t>
  </si>
  <si>
    <t>Brindar apoyo y acompañamiento en la supervisión de los procesos de contratación pre-contractual y contractual que se adelanten por parte del Instituto de Desarrollo Municipal en el Plan de Movilidad y Conectividad del municipio de Dosquebradas</t>
  </si>
  <si>
    <t>Brindar apoyo y acompañamiento a los procesos Administrativos del Instituto de Desarrollo Municipal de Dosquebradas en el sistema de gestión de calidad, indicadores de Gestión y Aseguramiento de Procesos</t>
  </si>
  <si>
    <t>Brindar acompañamiento permanente en el desarrollo de las actividades que permitan una efectiva trazabilidad en el trámite pre contractual y contractual de los procedimientos de contratación que se adelanten por parte del Instituto de Desarrollo Municipal en el Plan de Movilidad y Conectividad del municipio de Dosquebradas.</t>
  </si>
  <si>
    <t>Participar en las reuniones programadas por el Instituto de Desarrollo Municipal en el Plan de Movilidad y Conectividad del municipio de Dosquebradas</t>
  </si>
  <si>
    <t>Apoyar la atención a los contribuyentes y al público en general respecto de las inquietudes o necesidades generadas por la gestión del Plan de Movilidad y Conectividad de Dosquebradas.</t>
  </si>
  <si>
    <t>Apoyar al Instituto de Desarrollo Municipal en la socialización y participación de los procesos de valorización necesarios para la ejecución del Plan de Movilidad y Conectividad de Dosquebradas</t>
  </si>
  <si>
    <t>JHON JAMES MEJIA MARIN</t>
  </si>
  <si>
    <t>17-400</t>
  </si>
  <si>
    <t>13-433</t>
  </si>
  <si>
    <t>0321-32</t>
  </si>
  <si>
    <t xml:space="preserve">TECNICO EN SISTEMAS </t>
  </si>
  <si>
    <t>CLL 32 N° 12B 40 MANANTIAL 1  SRC</t>
  </si>
  <si>
    <t>jhonjamesmejia@gmail.com</t>
  </si>
  <si>
    <t>PRESTACIÓN DE SERVICIOS PARA REALIZAR ACTIVIDADES DE APOYO A LA GESTIÓN ADMINISTRATIVA Y JURÍDICA NECESARIAS PARA EL DESARROLLO DEL PROYECTO PLAN DE MOVILIDAD Y CONECTIVIDAD DEL MUNICIPIO DE DOSQUEBRADAS APROBADO MEDIANTE ACUERDO 035 DE 2016</t>
  </si>
  <si>
    <t>55</t>
  </si>
  <si>
    <t>Brindar apoyo en la actuación administrativa que se requiere en los diferentes procesos de contratación Pública que se adelanten por parte del Instituto de Desarrollo Municipal de Dosquebradas en el Plan de Movilidad y Conectividad del municipio de Dosquebradas.</t>
  </si>
  <si>
    <t>Brindar apoyo y acompañamiento a los procesos Administrativos del Instituto de Desarrollo Municipal de Dosquebradas en el sistema de gestión de calidad, indicadores de Gestión y Aseguramiento de Procesos.</t>
  </si>
  <si>
    <t xml:space="preserve"> Apoyar la atención a los contribuyentes y al público en general respecto de las inquietudes o necesidades generadas por la gestión del Plan de Movilidad y Conectividad de Dosquebradas.</t>
  </si>
  <si>
    <t xml:space="preserve">FELIPE SANTIAGO RAMIREZ CARONA </t>
  </si>
  <si>
    <t>18-401</t>
  </si>
  <si>
    <t>14-434</t>
  </si>
  <si>
    <t>0321-33</t>
  </si>
  <si>
    <t xml:space="preserve">ADMINISTRADOR DE NEGOCIOS INTERNACIONALES </t>
  </si>
  <si>
    <t xml:space="preserve">CRA 10A N° 60-55 BULEVAR NORTE </t>
  </si>
  <si>
    <t>fsantiago828@gmail.com</t>
  </si>
  <si>
    <t xml:space="preserve">Brindar apoyo y acompañamiento en la supervisión de los procesos de contratación pre-contractual y contractual que se adelanten por parte del Instituto de Desarrollo Municipal en el Plan de Movilidad y Conectividad del municipio de Dosquebradas. </t>
  </si>
  <si>
    <t xml:space="preserve">Brindar acompañamiento permanente en el desarrollo de las actividades que permitan una efectiva trazabilidad en el trámite pre contractual y contractual de los procedimientos de contratación que se adelanten por parte del Instituto de Desarrollo Municipal en el Plan de Movilidad y Conectividad del municipio de Dosquebradas. </t>
  </si>
  <si>
    <t>Participar en las reuniones programadas por el Instituto de Desarrollo Municipal en el Plan de Movilidad y Conectividad del municipio de Dosquebradas.</t>
  </si>
  <si>
    <t>Apoyar al Instituto de Desarrollo Municipal en la socialización y participación de los procesos de valorización necesarios para la ejecución del Plan de Movilidad y Conectividad de Dosquebradas.</t>
  </si>
  <si>
    <t>LINA MARÍA LLANO RAMÍREZ</t>
  </si>
  <si>
    <t>19-402</t>
  </si>
  <si>
    <t>16-435</t>
  </si>
  <si>
    <t xml:space="preserve">JUAN DAVID VILLA ROMERO </t>
  </si>
  <si>
    <t>20 DE ENERO DE 2018</t>
  </si>
  <si>
    <t>0321-34</t>
  </si>
  <si>
    <t xml:space="preserve">ECONOMISTA </t>
  </si>
  <si>
    <t xml:space="preserve">BLQ 2 APTO 202 LA SEMILLA </t>
  </si>
  <si>
    <t>20 enero de 2018</t>
  </si>
  <si>
    <t>PRESTACION DE SERVICIOS PROFESIONALES COMO ECONOMISTA PARA APOYAR LA FORMULACIÓN DE  LA APLICACIÓN DEL  MODELO INTEGRADO DE PLANEACION Y GESTION (MIPG)  PARA LOGRAR FORTALECER LA INTEGRALIDAD, ARTICULACION, SISTEMACIDAD Y LA MEJORA CONTINUA DEL PLAN DE MOVILIDAD Y CONECTIVIDAD DE DOSQUEBRADAS APROBADO MEDIANTE ACUERDO 035 DE 2016</t>
  </si>
  <si>
    <t xml:space="preserve">Apoyar a la  Subdirección Técnica como facilitador del Plan de Movilidad y Conectividad en el desarrollo e implementación del Sistema Integrado de Planeación y Gestión articulado con  el Modelo Estándar de Control Interno de acuerdo con la normativa vigente sobre la materia. </t>
  </si>
  <si>
    <t xml:space="preserve">Brindar acompañamiento a la Subdirección Técnica como facilitador del Plan de Movilidad y Conectividad en la rendición de informes de evaluación de la Gestión como el formulario único de reporte de avance a la gestión (FURAG). </t>
  </si>
  <si>
    <t>Apoyo a la Subdirección Técnica como facilitador del Plan de Movilidad y Conectividad en la Formulación y seguimiento del Plan Anticorrupción y de atención al ciudadano.</t>
  </si>
  <si>
    <t xml:space="preserve"> Apoyar a la Subdirección Técnica como facilitador del Plan de Movilidad y Conectividad, en lo relacionado con el proceso de inscripción y registros en la página del SUIT de los trámites relacionados con los servicios que presta el IDM.</t>
  </si>
  <si>
    <t xml:space="preserve">Brindar acompañamiento a la Subdirección Técnica como facilitador del Plan de Movilidad y Conectividad en la Consolidación y presentación de los diferentes informes requeridos por Control interno y demás entidades que soliciten reportes del MIPG. </t>
  </si>
  <si>
    <t xml:space="preserve">Acompañar, programar y ejecutar capacitaciones relacionadas con la cultura del autocontrol y la prevención de riesgos institucionales. </t>
  </si>
  <si>
    <t>Apoyo y acompañamiento en los procesos de Auditoría Internas y Externas de calidad a la Subdirección Técnica como facilitador del Plan de Movilidad y Conectividad.</t>
  </si>
  <si>
    <t>Brindar acompañamiento en la caracterización en el Sistema de Gestión de Calidad, de los procesos derivados de la implementación del Plan de Movilidad y Conectividad aprobado por el Acuerdo 035 de 2016</t>
  </si>
  <si>
    <t>ORLANDO GALEANO VALENCIA</t>
  </si>
  <si>
    <t>0321-35</t>
  </si>
  <si>
    <t>PEATONAL 10 CS 69 EL PROGRESO</t>
  </si>
  <si>
    <t>orlandogaleanov@gmail.com</t>
  </si>
  <si>
    <t>4 de febrero de 2018</t>
  </si>
  <si>
    <t xml:space="preserve">19 DE SEPTIEMBRE DE 2018 </t>
  </si>
  <si>
    <t>PRESTACIÓN DE SERVICIOS PARA REALIZAR ACTIVIDADES DE APOYO A LA GESTIÓN TÉCNICA EN EL ÁREA DE SISTEMAS, PARA EL DESARROLLO DEL PROYECTO PLAN DE MOVILIDAD Y CONECTIVIDAD DE DOSQUEBRADAS APROBADO MEDIANTE ACUERDO 035 DE 2016</t>
  </si>
  <si>
    <t>74</t>
  </si>
  <si>
    <t>JOSE HOOVER MONTES GARCIA</t>
  </si>
  <si>
    <t>37-417</t>
  </si>
  <si>
    <t>35-436</t>
  </si>
  <si>
    <t>24 DE ENERO DE 2018</t>
  </si>
  <si>
    <t>0321-36</t>
  </si>
  <si>
    <t xml:space="preserve">FORMULACION DE PROYECTOS </t>
  </si>
  <si>
    <t xml:space="preserve">MZ 7  CS 15 BOSQUES DE LA ACUARELA 1 ETAPA </t>
  </si>
  <si>
    <t>sebascris2002@hotmail.com</t>
  </si>
  <si>
    <t>24 de enero de 2018</t>
  </si>
  <si>
    <t>APOYO A LA GESTION EN LOS PROCESOS DE REUBICACIÓN Y LEGALIZACIÓN QUE LIDERE EL INSTITUTO DE DESARROLLO MUNICIPAL</t>
  </si>
  <si>
    <t xml:space="preserve">Acompañamiento a la gestión misional del instituto realizando las visitas técnicas de reubicación necesarias de conformidad a La base de datos del instituto </t>
  </si>
  <si>
    <t xml:space="preserve"> Apoyo en la caracterización, depuración  y estudio de la base de datos de reubicación que posee el instituto</t>
  </si>
  <si>
    <t xml:space="preserve">Apoyar la recopilación de la documentación de los ocupantes y del predio, para los estudios donde se efectúen la visitas en virtud al proceso de reubicación </t>
  </si>
  <si>
    <t xml:space="preserve"> Apoyo en la gestión documental de los predios que sean objeto de visitas de reubicación</t>
  </si>
  <si>
    <t>Apoyar el proceso de la actualización constante del inventario y realizar las visitas a los predios que figuran a nombre del IDM de conformidad a listados existentes</t>
  </si>
  <si>
    <t>Diligenciar los registros fotográficos y documentales de los predios que visite en el marco del objeto</t>
  </si>
  <si>
    <t xml:space="preserve">Apoyo en el inventario de los predios que están a nombre del instituto, creándoles hoja de vida con la finalidad de que sean incorporándolos al banco de tierras de la entidad </t>
  </si>
  <si>
    <t xml:space="preserve">Apoyo en las visitas de legalización de predios en la zona rural </t>
  </si>
  <si>
    <t>Acompañar los trámites administrativos pertinentes a la desintervención del barrio Camilo Torres, como lo son: Visitas técnicas, informes, notificación, edictos, expedición de resoluciones y lo demás relacionado para surtir los trámites de cancelación de anotaciones</t>
  </si>
  <si>
    <t>LEIDY YOHANA HERNANDEZ BETANCUR</t>
  </si>
  <si>
    <t>32-408</t>
  </si>
  <si>
    <t>32-438</t>
  </si>
  <si>
    <t>RIGOBERTO LOPERA MUÑOZ</t>
  </si>
  <si>
    <t>037-18</t>
  </si>
  <si>
    <t>CLL 30 N° 6-49 2 PISO</t>
  </si>
  <si>
    <t>yohana27778@gmail.com</t>
  </si>
  <si>
    <t>PRESTAR SERVICIOS DE APOYO A LA GESTION A LA SUBDIRECCION TECNICA, EN LOS PROCESOS DE COMERCIALIZACION DE LOS PROYECTOS DE VIVIENDA QUE ADELANTA EL INSTITUTO</t>
  </si>
  <si>
    <t xml:space="preserve">Apoyar en la gestión las solicitudes de renuncias o aplicación de subsidios de vivienda MI CASA YA y demás que se requieran. </t>
  </si>
  <si>
    <t>Apoyar en los cierres financieros de los proyectos MI CASA YA que tenga a cargo el instituto</t>
  </si>
  <si>
    <t>Apoyar el seguimiento a las promesas de compraventa de los proyectos MI CASA YA a cargo del instituto</t>
  </si>
  <si>
    <t>Acompañamiento en la postulación de sustitutos de los proyectos MI CASA YA  a cargo del instituto</t>
  </si>
  <si>
    <t>Apoyo en las remisiones y solicitudes a fiduciaria Bogotá, CAVIS, Comfamiliar y entre otras instituciones que tengan injerencia con subsidios de vivienda a nivel Nacional</t>
  </si>
  <si>
    <t>Acompañamiento en el desarrollo de las actividades necesarias y compartidas con las constructoras de los proyectos MI CASA YA</t>
  </si>
  <si>
    <t xml:space="preserve"> Apoyo en la gestión en las actividades notariales y de oficina de registro de instrumentos públicos de los proyectos MI CASA YA a cargo del instituto.</t>
  </si>
  <si>
    <t>31-409</t>
  </si>
  <si>
    <t>30-439</t>
  </si>
  <si>
    <t>038-18</t>
  </si>
  <si>
    <t xml:space="preserve">ADMINISTRADOR DE NEGOCIOS </t>
  </si>
  <si>
    <t>MZ 23 CLL 10 SUR B PARQUE INDUSTRIAL</t>
  </si>
  <si>
    <t>jblp2867@hotmail.com</t>
  </si>
  <si>
    <t>PRESTAR SUS SERVICIOS PROFESIONALES APOYANDO A LA SUBDIRECCION TECNICA, COORDINANDO Y EFECTUANDO LAS ACCIONES PERTINENTES CON EL FIN DE IDENTIFICAR LOS POSIBLES BENEFICIARIOS DE SUBSIDIOS DE VIVIENDA A lOS DIFERENTES PROYECTOS QUE ADELANTE LA ENTIDAD</t>
  </si>
  <si>
    <t>Verificar y filtrar a la población inscrita de acuerdo a la norma de vivienda existente.</t>
  </si>
  <si>
    <t>Efectuar los filtros y cruces nacionales y departamentales (SISBEN, Comfamiliar, IGAC), para verificar el cumplimiento de requisitos por parte de los inscritos y la consolidación de la postulación de proyectos.</t>
  </si>
  <si>
    <t>Llevar a cabo la atención a la comunidad y Recepcionar la documentación si fuere el caso, para la elaboración y actualización de los proyectos adelantados por el Instituto</t>
  </si>
  <si>
    <t>Prestar acompañamiento a la subdirección técnica en la coordinación de todos los procesos que se adelante con las comunidades, como diligenciamiento de formatos, acompañamiento social, atención a comunidades y además en su parte documental</t>
  </si>
  <si>
    <t>Apoyar en la gestión las solicitudes de renuncias o aplicación de subsidios de vivienda MI CASA YA y demás que se requieran</t>
  </si>
  <si>
    <t>Apoyo profesional en los cierres financieros de los proyectos MI CASA YA y demás proyectos que se presenten durante la vigencia.</t>
  </si>
  <si>
    <t xml:space="preserve">Apoyo profesional en las remisiones y solicitudes a fiduciaria Bogotá, CAVIS, Comfamiliar y entre otras instituciones que tengan injerencia con subsidios de vivienda a nivel nacional. </t>
  </si>
  <si>
    <t>JUAN CARLOS RUGE MORENO</t>
  </si>
  <si>
    <t>28-406</t>
  </si>
  <si>
    <t>17-450</t>
  </si>
  <si>
    <t>HUGO MARIO RAMIREZ</t>
  </si>
  <si>
    <t>016-18</t>
  </si>
  <si>
    <t xml:space="preserve">LICENCIADO ARTES PLASTICAS </t>
  </si>
  <si>
    <t>GUADUALES DEL OTUN APTO 911</t>
  </si>
  <si>
    <t>juancaruge@hotmail.com</t>
  </si>
  <si>
    <t>PRESTACIÓN DE SERVICIOS PARA REALIZAR ACTIVIDADES DE APOYO A LA GESTIÓN TÉCNICA Y DE INGENIERÍA NECESARIAS PARA EL DESARROLLO DEL PROYECTO PLAN DE MOVILIDAD Y CONECTIVIDAD DEL MUNICIPIO DE DOSQUEBRADAS APROBADO MEDIANTE ACUERDO 035 DE 2016</t>
  </si>
  <si>
    <t xml:space="preserve">Brindar apoyo en la actuación administrativa que se requiere en los diferentes procesos técnicos y de ingeniería que se adelanten por parte del Instituto de Desarrollo Municipal de Dosquebradas en el Plan de Movilidad y Conectividad del municipio de Dosquebradas. </t>
  </si>
  <si>
    <t>Brindar apoyo y acompañamiento en la supervisión de los procesos de contratación pre-contractual y contractual que se adelanten por parte del Instituto de Desarrollo Municipal en el Plan de Movilidad y Conectividad del municipio de Dosquebradas.</t>
  </si>
  <si>
    <t>Brindar apoyo y acompañamiento a los procesos técnicos y de ingeniería del Instituto de Desarrollo Municipal de Dosquebradas en el sistema de gestión de calidad, indicadores de Gestión y Aseguramiento de Procesos.</t>
  </si>
  <si>
    <t xml:space="preserve">Brindar acompañamiento permanente en el desarrollo de las actividades que permitan una efectiva trazabilidad en el trámite de las actividades técnicas y de ingeniería que se adelanten por parte del Instituto de Desarrollo Municipal en el Plan de Movilidad y Conectividad del municipio de Dosquebradas. </t>
  </si>
  <si>
    <t xml:space="preserve">Participar en las reuniones programadas por el Instituto de Desarrollo Municipal en el Plan de Movilidad y Conectividad del municipio de Dosquebradas. </t>
  </si>
  <si>
    <t>ROCIO ISABEL SUAREZ MACEDO</t>
  </si>
  <si>
    <t>34-415</t>
  </si>
  <si>
    <t>34-441</t>
  </si>
  <si>
    <t>041-18</t>
  </si>
  <si>
    <t xml:space="preserve">MZ 6 CS 26 LUIS CARLOS GALAN </t>
  </si>
  <si>
    <t>roiwal@hotmail.com</t>
  </si>
  <si>
    <t>PRESTAR SERVICIOS DE APOYO A LA GESTION EN LA SUBDIRECCION TECNICA OFRECIENDO EL PORTAFOLIO MISIONAL, REALIZANDO INSCRIPCIONES EN LA BASE DE DATOS (SICRU)  , Y APOYANDO LOS PROCESOS DE COMERCIALIZACIÓN DE LOS PROYECTOS DE VIVIENDA QUE LIDERA EL INSTITUTO</t>
  </si>
  <si>
    <t>Apoyar y brindar información de los proyectos y programas de vivienda que hacen parte del portafolio que ofrece el Instituto</t>
  </si>
  <si>
    <t>Realizar la Elaboración de las inscripciones en la plataforma Institucional SICRU, de los nuevos grupos familiares que desean tener la posibilidad de acceder a los programas de vivienda</t>
  </si>
  <si>
    <t>Realizar la actualización de datos en la plataforma Institucional SICRU, de los grupos familiares existentes con el fin de tener información veraz</t>
  </si>
  <si>
    <t>Acompañamiento y colaboración a la comunidad en el diligenciamiento de formatos o demás documentos que deban presentar a este Instituto</t>
  </si>
  <si>
    <t>Apoyo en la Convocatoria a la comunidad a las reuniones o actos que se den en el marco de los proyectos de vivienda y subsidios de mejoramientos</t>
  </si>
  <si>
    <t>Inscribir en la plataforma institucional SICRU, los oficios remitidos por la DIGER y hacer el acompañamiento respectivo de los mismos, para la actualización de la base de datos de la entidad</t>
  </si>
  <si>
    <t>Apoyar la gestión en el proceso de actualización de la base de datos de la entidad a través del IDM rodante</t>
  </si>
  <si>
    <t>Realizar la verificación de las cedulas inscritas en la base de datos del instituto con el fin identificar las cedulas en estado de defunción</t>
  </si>
  <si>
    <t xml:space="preserve"> Apoyar la comercialización de los proyectos de vivienda nueva llevando a cabo la atención a la comunidad y recepcionando la documentación si fuere el caso, para la caracterización de los posibles beneficiarios de subsidios de vivienda</t>
  </si>
  <si>
    <t>GLORIA INES GIRALDO RAMIREZ</t>
  </si>
  <si>
    <t>0321-41</t>
  </si>
  <si>
    <t>QUINTAS DE JARDIN COLONIAL CS 44</t>
  </si>
  <si>
    <t xml:space="preserve">gloriagiraldo1205@hotmail.com </t>
  </si>
  <si>
    <t>10 de febrero de 2018</t>
  </si>
  <si>
    <t>23 DE SEPTIEMBRE DE 2018</t>
  </si>
  <si>
    <t>APOYO A LA GESTION EN EL SEGUIMIENTO DE LOS PROCESOS QUE SE ADELANTEN CON LAS FAMILIAS, LIDERES Y ORGANIZACIONES DE MULTIFAMILIARES LA GIRALDA Y PROYECTOS DE VIVIENDA GRATUITA DE ACUERDO A LAS OBLIGACIONES DESCRITAS EN LA LEY 1537 DE 2012</t>
  </si>
  <si>
    <t>LUISA FERNANDA CAICEDO OROZCO</t>
  </si>
  <si>
    <t>27-407</t>
  </si>
  <si>
    <t>38-440</t>
  </si>
  <si>
    <t>039-18</t>
  </si>
  <si>
    <t xml:space="preserve">TECNOLOGA CONTABLE </t>
  </si>
  <si>
    <t xml:space="preserve">CLL 52 CS 13-23 LOS NARANJOS </t>
  </si>
  <si>
    <t xml:space="preserve">luy116@hotmail.com </t>
  </si>
  <si>
    <t>PRESTAR SERVICIOS DE APOYO A LA GESTION EN LA OFERTA DE LOS PROGRAMAS DE VIVIENDA NUEVA</t>
  </si>
  <si>
    <t>32</t>
  </si>
  <si>
    <t>Llevar a cabo la atención a la comunidad y Recepcionar la documentación si fuere el caso, para la elaboración y actualización de los proyectos adelantados por el Instituto.</t>
  </si>
  <si>
    <t>Prestar acompañamiento a la subdirección técnica en todos los procesos que se adelante con las comunidades, como diligenciamiento de formatos, acompañamiento social, atención a comunidades</t>
  </si>
  <si>
    <t>Acompañamiento en el desarrollo de las actividades del Instituto de vivienda nueva VIS y VIP</t>
  </si>
  <si>
    <t>Apoyo en el stand rodante (IDM), en la difusión y acompañamiento de los proyectos de vivienda nueva VIS y VIP en el sector urbano y rural</t>
  </si>
  <si>
    <t>Acompañamiento a los ciudadanos y usuarios del IDM en la gestión de subsidios de vivienda.</t>
  </si>
  <si>
    <t>Acompañar la oferta de los proyectos de vivienda nueva</t>
  </si>
  <si>
    <t>Realizar visitas empresariales con la oferta de los programas de vivienda</t>
  </si>
  <si>
    <t>SANDRA MARIA VASQUEZ ARCILA</t>
  </si>
  <si>
    <t>0321-43</t>
  </si>
  <si>
    <t>DECORADORA DE ESPACIOS ARQUITECTONICOS</t>
  </si>
  <si>
    <t xml:space="preserve">CRA 14 N° 10-11 APTO 402 SANTA ROSA DE CABAL </t>
  </si>
  <si>
    <t>samava1095@hotmail.com</t>
  </si>
  <si>
    <t>12 de febrero de 2018</t>
  </si>
  <si>
    <t>PRESTAR SERVICIOS DE APOYO A LA GESTION EN LA SUBDIRECCION TECNICA, APOYANDO LA ACTUALIZACION Y FOTALECIMIENTO DE LA BASE DE DATOS (SICRU),  VIVIENDA GRATUITA Y REUBICACIÓN CONFORME  A LOS PROCESOS DE VIVIENDA</t>
  </si>
  <si>
    <t>40</t>
  </si>
  <si>
    <t xml:space="preserve">MARTIN ELIAS GONZALEZ RAMIREZ </t>
  </si>
  <si>
    <t>36-411</t>
  </si>
  <si>
    <t>41-449</t>
  </si>
  <si>
    <t>044-14</t>
  </si>
  <si>
    <t xml:space="preserve">TECNOLOGO EN OBRAS CIVILES </t>
  </si>
  <si>
    <t>RESERVAS DEL LAGO CS 103</t>
  </si>
  <si>
    <t>martinelgonzara@gmail.com</t>
  </si>
  <si>
    <t>PRESTAR APOYO A LA GESTIÓN DE LA SUBDIRECCIÓN TÉCNICA COMO TECNÓLOGO DE OBRAS EN LOS PROYECTOS DE MEJORAMIENTOS DE VIVIENDA Y REUBICACIÓN EN VIRTUD AL PORTAFOLIO INSTITUCIONAL DE LA ENTIDAD</t>
  </si>
  <si>
    <t>Apoyo en los proyectos de mejoramientos de vivienda que desarrolle el instituto.</t>
  </si>
  <si>
    <t>Realizar no menos de 70 visitas técnicas de reubicación mensuales a su cuenta y costo, con la finalidad de alimentar y actualizar la base de datos institucional SICRU.</t>
  </si>
  <si>
    <t xml:space="preserve">Realizar diligenciamientos de actas de visitas, registro fotográfico de visitas técnicas y demás documentos necesarios para la actualización de la base de datos de la entidad.  </t>
  </si>
  <si>
    <t>Apoyo en las visitas que se realicen en el marco de convocatorias de programas de vivienda que realice el instituto</t>
  </si>
  <si>
    <t>Apoyar en la elaboración de levantamientos y presupuestos cuando así lo requiera el supervisor.</t>
  </si>
  <si>
    <t>Apoyar la actualización del inventario de viviendas en zona de riesgo mancomunadamente con la entidad competente.</t>
  </si>
  <si>
    <t xml:space="preserve">Apoyar en Las convocatorias, visitas, diagnostico, presupuestos y levantamientos que se requieran para la ejecución de mejoramientos de vivienda urbanos que adelante el instituto. </t>
  </si>
  <si>
    <t>Compilar a través de carpetas la documentación completa de las visitas técnicas de acuerdo a las normas de archivo que le exija la entidad y el supervisor adjuntando todos los documentos soportes</t>
  </si>
  <si>
    <t xml:space="preserve">Realizar visitas técnicas y seguimiento a los subsidios de mejoramiento de vivienda  otorgados por el instituto  en vigencias anteriores  en el sector urbano con el fin de actualizar la base de datos </t>
  </si>
  <si>
    <t>Apoyo en la ejecución del cronograma del IDM Rodante con el objeto de actualizar la base de datos Institucional</t>
  </si>
  <si>
    <t>JUAN PABLO ALVAREZ CANDAMIL</t>
  </si>
  <si>
    <t>0321-45</t>
  </si>
  <si>
    <t>CRA 8 N° 45C-01 CS E17 PALONEGRO</t>
  </si>
  <si>
    <t xml:space="preserve">juanalvarez102@hotmail.com </t>
  </si>
  <si>
    <t>14 de febrero de 2018</t>
  </si>
  <si>
    <t>22 DE SEPTIEMBRE DE 2018</t>
  </si>
  <si>
    <t>PRESTACIÓN DE SERVICIOS PROFESIONALES COMO ABOGADO, REALIZANDO LAS ACTUACIONES JURIDICAS EN LOS PROYECTOS DE VIVIENDA Y PORTAFOLIO MISIONAL DE LA ENTIDAD</t>
  </si>
  <si>
    <t xml:space="preserve">ANA MARIA GIRALDO GARCES </t>
  </si>
  <si>
    <t>29-405</t>
  </si>
  <si>
    <t>44-442</t>
  </si>
  <si>
    <t>018-18</t>
  </si>
  <si>
    <t xml:space="preserve">TECNOLOGA INDUSTRIAL </t>
  </si>
  <si>
    <t>MZ 5 CS 16 CAMPESTRE D</t>
  </si>
  <si>
    <t>anamajoma@gmail.com</t>
  </si>
  <si>
    <t>06</t>
  </si>
  <si>
    <t>Brindar apoyo en la actuación administrativa que se requiere en los diferentes procesos técnicos y de ingeniería que se adelanten por parte del Instituto de Desarrollo Municipal de Dosquebradas en el Plan de Movilidad y Conectividad del municipio de Dosquebradas</t>
  </si>
  <si>
    <t>Brindar acompañamiento permanente en el desarrollo de las actividades que permitan una efectiva trazabilidad en el trámite de las actividades técnicas y de ingeniería que se adelanten por parte del Instituto de Desarrollo Municipal en el Plan de Movilidad y Conectividad del municipio de Dosquebradas</t>
  </si>
  <si>
    <t>Apoyar la atención a los contribuyentes y al público en general respecto de las inquietudes o necesidades generadas por la gestión del Plan de Movilidad y Conectividad del municipio de Dosquebradas.</t>
  </si>
  <si>
    <t>GERMÁN GARCÍA CORRALES</t>
  </si>
  <si>
    <t>0321-47</t>
  </si>
  <si>
    <t xml:space="preserve">INGENIERO CIVIL </t>
  </si>
  <si>
    <t xml:space="preserve">CRA 11 BIS N° 38-140 BL C APTO 401 EDIFICIO CATALUÑA </t>
  </si>
  <si>
    <t xml:space="preserve">gegarco@hotmail.com </t>
  </si>
  <si>
    <t>16 de febrero de 2018</t>
  </si>
  <si>
    <t xml:space="preserve">24 DE SEPTIEMBRE DE 2018 </t>
  </si>
  <si>
    <t xml:space="preserve">PRESTACIÓN DE SERVICIOS PROFESIONALES ESPECIALIZADOS PARA REALIZAR ACTIVIDADES DE APOYO EN EL AREA DE INGENIERÍA CIVIL Y LA SUPERVISIÓN DE CONTRATOS, DEL PLAN DE MOVILIDAD Y CONECTIVIDAD DEL MUNICIPIO DE DOSQUEBRADAS APROBADO POR EL ACUERDO 035 DE 2016, </t>
  </si>
  <si>
    <t>92</t>
  </si>
  <si>
    <t>SEBASTIAN CONGOTE POSADA</t>
  </si>
  <si>
    <t>ARQUITECTO</t>
  </si>
  <si>
    <t>CRA 111#24N-75 MG CASA1</t>
  </si>
  <si>
    <t xml:space="preserve">arq.seconpo@hotmail.com </t>
  </si>
  <si>
    <t>17 de febrero de 2018</t>
  </si>
  <si>
    <t xml:space="preserve">SEPTIEMBRE 24 DE 2018 </t>
  </si>
  <si>
    <t>PRESTACIÓN DE SERVICIOS PROFESIONALES ESPECIALIZADOS PARA REALIZAR ACTIVIDADES DE APOYO EN EL AREA DE ARQUITECTURA NECESARIAS PARA EL PROYECTO PLAN DE MOVILIDAD Y CONECTIVIDAD DEL MUNICIPIO DE DOSQUEBRADAS APROBADO POR EL ACUERDO 035 DE 2016</t>
  </si>
  <si>
    <t>62</t>
  </si>
  <si>
    <t>ISABEL CRISTINA GALLEGO FRANCO</t>
  </si>
  <si>
    <t>43-436</t>
  </si>
  <si>
    <t>49-433</t>
  </si>
  <si>
    <t>020-18</t>
  </si>
  <si>
    <t>PSICOLOGA</t>
  </si>
  <si>
    <t>CLL 17 24-29-bl 11 apto 102</t>
  </si>
  <si>
    <t xml:space="preserve">isagfranco@hotmail.com </t>
  </si>
  <si>
    <t>25 enero de 2018</t>
  </si>
  <si>
    <t>PRESTACIÓN DE SERVICIOS PROFESIONALES COMO PSICÓLOGA PARA FACILITAR LA GESTIÓN SOCIAL DEL PLAN DE MOVILIDAD Y CONECTIVIDAD DEL MUNICIPIO DE DOSQUEBRADAS BRINDANDO APOYO AL PROCESO DE SOCIALIZACIÓN  Y LAS ACTIVIDADES ADELANTADAS POR LA JUNTA DE REPRESENTANTES DE PROPIETARIOS Y POSEEDORES DEL PLAN, APROBADO POR EL ACUERDO 035 DE 2016.</t>
  </si>
  <si>
    <t>SUAR</t>
  </si>
  <si>
    <t>18</t>
  </si>
  <si>
    <t>Generar actividades de gestión cultural para incentivar, fomentar y promover el sentido de pertenencia tributaria de los ciudadanos con el Municipio de Dosquebradas.</t>
  </si>
  <si>
    <t xml:space="preserve">Vincular a la comunidad con el plan de movilidad y conectividad del Municipio de Dosquebradas, fomentando la participación de los propietarios y poseedores para la integración y acompañamiento a la Junta de Representantes. </t>
  </si>
  <si>
    <t xml:space="preserve">Proponer estrategias de socialización del plan de movilidad y conectividad del Municipio de Dosquebradas dirigidas a la ciudadanía y actores representativos del Municipio. </t>
  </si>
  <si>
    <t xml:space="preserve"> Apoyar el área de comunicaciones en el uso de medios digitales para la publicación, circulación y divulgación del plan de movilidad y conectividad del Municipio de Dosquebradas.</t>
  </si>
  <si>
    <t xml:space="preserve"> Atender y acompañar a la ciudadanía con las inquietudes que surjan respecto del plan de movilidad y conectividad del Municipio de Dosquebradas. </t>
  </si>
  <si>
    <t>Apoyar la construcción de un mapa de actores relevantes con el fin de orientar la estrategia de socialización del proyecto de Movilidad y Conectividad.</t>
  </si>
  <si>
    <t>Prestar apoyo en los proyectos de respuesta dentro de los términos legales, a los derechos de petición, recursos y demás reclamaciones en temas relacionados con la contribución de valorización.</t>
  </si>
  <si>
    <t>Apoyar las actividades relacionadas con el continuo mejoramiento del Sistema de Gestión de Calidad</t>
  </si>
  <si>
    <t>JHON JAIRO POSADA CASTAÑO</t>
  </si>
  <si>
    <t>69-441</t>
  </si>
  <si>
    <t>50-478</t>
  </si>
  <si>
    <t>022-18</t>
  </si>
  <si>
    <t>PERIODISTA</t>
  </si>
  <si>
    <t>CLL 22  # 15-16 CENTENARIO</t>
  </si>
  <si>
    <t>johnj.posada@gmail.com</t>
  </si>
  <si>
    <t>26 de enero de 2018</t>
  </si>
  <si>
    <t>PRESTACIÓN DE SERVICIOS PROFESIONALES COMO COMUNICADOR Y/O PERIODISTA PARA REALIZAR ACTIVIDADES DE APOYO AL PROYECTO DENOMINADO "PLAN DE MOVILIDAD Y CONECTIVIDAD" APROBADO POR EL ACUERDO 035 DE 2016, EN EN EL ÁREA  DE COMUNICACIONES</t>
  </si>
  <si>
    <t>91</t>
  </si>
  <si>
    <t>Elaborar una estrategia de comunicaciones que se debe desarrollar en materia de difusión, divulgación, socialización y participación en materia de comunicaciones en medios de diferente índole y redes sociales, para la gestión de Plan de Movilidad y Conectividad de Dosquebradas</t>
  </si>
  <si>
    <t>Proponer y ejecutar la edición y distribución de publicaciones periódicas con el fin de socializar las características del Plan de Movilidad y Conectividad de Dosquebradas, cofinanciado mediante la contribución de Valorización</t>
  </si>
  <si>
    <t xml:space="preserve"> Apoyar las gestiones logísticas del Instituto de Desarrollo Municipal en el marco del desarrollo del Plan de Movilidad y Conectividad de Dosquebradas</t>
  </si>
  <si>
    <t>Implementar actividades relacionadas con el manejo de redes sociales del Plan de Movilidad y Conectividad de Dosquebradas.</t>
  </si>
  <si>
    <t xml:space="preserve">Realizar el seguimiento del uso de la imagen corporativa del Instituto, el registro audiovisual y fotográfico y el desarrollo de contenidos de la página web institucional del Plan de Movilidad y Conectividad de Dosquebradas. </t>
  </si>
  <si>
    <t xml:space="preserve"> Realizar campañas de divulgación publicitaria, encuestas, reportajes, boletines y ruedas de prensa sobre el desarrollo del Plan de Movilidad y Conectividad de Dosquebradas. </t>
  </si>
  <si>
    <t>Apoyar las campañas de sensibilización y promoción del Plan de Movilidad y Conectividad Vial de Dosquebradas.</t>
  </si>
  <si>
    <t xml:space="preserve"> Apoyar al Instituto de Desarrollo Municipal en la socialización y participación de los procesos de valorización necesarios para la ejecución del Plan de Movilidad y Conectividad de Dosquebradas.</t>
  </si>
  <si>
    <t>Apoyar la elaboración de documentos precontractuales dirigidos a la socialización y divulgación del Plan de Movilidad y Conectividad Vial de Dosquebradas.10. Apoyar la supervisión de la contratación de medios de comunicación con el fin de divulgar y socializar el Plan de Movilidad y Conectividad</t>
  </si>
  <si>
    <t xml:space="preserve">apoyar la supervision de la contracion de medios de comunicación con el fin de divulgar y socializar el plan de movilidad y conectividad </t>
  </si>
  <si>
    <t>DANIEL MONTES BERMUDEZ</t>
  </si>
  <si>
    <t xml:space="preserve">GERMAN GARCIA CORRALES </t>
  </si>
  <si>
    <t>0321-51</t>
  </si>
  <si>
    <t>INGENIERO CIVIL</t>
  </si>
  <si>
    <t>CRA 33B # 29-10 T1 APT 503 GALATEA</t>
  </si>
  <si>
    <t>danielmontesb@hotmail.com</t>
  </si>
  <si>
    <t>20 de febrero de 2018</t>
  </si>
  <si>
    <t xml:space="preserve">26 DE SEPTIEMBRE DE 2018 </t>
  </si>
  <si>
    <t>PRESTACIÓN DE SERVICIOS PROFESIONALES COMO INGENIERO CIVIL PARA REALIZAR ACTIVIDADES TÉCNICAS EN LA EJECUCIÓN DEL PLAN DE MOVILIDAD Y CONECTIVIDAD DEL MUNICIPIO DE DOSQUEBRADAS APROBADO MEDIANTE ACUERDO 035 DE 2016</t>
  </si>
  <si>
    <t>MARIA EMILIA PEREZ ALFARO</t>
  </si>
  <si>
    <t>0321-52</t>
  </si>
  <si>
    <t>OPERATIVO</t>
  </si>
  <si>
    <t>CALL 34# 13-46 GUADALUPE</t>
  </si>
  <si>
    <t>emiliaperezmariaperez@hotmail.com</t>
  </si>
  <si>
    <t>21 de febrero de 2018</t>
  </si>
  <si>
    <t>PRESTAR SERVICIOS DE APOYO A LA GESTION DE LA SUBDIRECCION TECNICA,COMO TECNOLOGO EN CONTRUCCION, EN LOS PROYECTOS DE VIVIENDA QUE ADELANTE LA ENTIDAD Y REALIZANDO VISITAS PARA LA ACTUALIZACION DE LA BASE DE DATOS ESPECIFICAMENTE EN LOS PROCESOS DE REUBICACIÓN</t>
  </si>
  <si>
    <t>25</t>
  </si>
  <si>
    <t>JESSICA ALEJANDRA PARRA ECHEVERRY</t>
  </si>
  <si>
    <t>0321-53</t>
  </si>
  <si>
    <t>MZ 5 CASA 14  B  GIRASOL</t>
  </si>
  <si>
    <t xml:space="preserve">jessicaalejaa_5@hotmail.com </t>
  </si>
  <si>
    <t>22 de febrero de 2018</t>
  </si>
  <si>
    <t xml:space="preserve">APOYO A LA GESTION EN LOS TRAMITES DOCUMENTALES,PETICIONES Y SOLICITUDES EN LOS PROYECTOS DE VIVIENDA Y DEMAS PROCESOS MISIONALES DE LA ENTIDAD </t>
  </si>
  <si>
    <t>59</t>
  </si>
  <si>
    <t>MONICA ALEXANDRA LATORRE VELOSA</t>
  </si>
  <si>
    <t>76-444</t>
  </si>
  <si>
    <t>60-479</t>
  </si>
  <si>
    <t>26 DE ENERO DE 2018</t>
  </si>
  <si>
    <t>065-18</t>
  </si>
  <si>
    <t>INGENIERA CIVIL</t>
  </si>
  <si>
    <t>CLL 32#  7-14 PISO 3</t>
  </si>
  <si>
    <t>monicalatorre90@gmail.com</t>
  </si>
  <si>
    <t>PRESTAR SERVICIOS PROFESIONALES COMO INGENIERO CIVIL APOYANDO A LA SUBDIRECCIÓN TÉCNICA EN LA FORMULACIÓN, ACOMPAÑAMIENTO Y SUPERVISIÓN DE LOS PROYECTOS DE VIVIENDA QUE ADELANTE EL INSTITUTO</t>
  </si>
  <si>
    <t>COLFONDOS</t>
  </si>
  <si>
    <t>Realizar, formular, estructurar y radicar un proyecto de posibles beneficiarios de mejoramiento de vivienda en el sector rural, según los lineamientos y metodología del Banco Agrario  y Ministerio de Agricultura  realizando visitas técnicas, diligenciamiento de formatos y formularios necesarios para la postulación.</t>
  </si>
  <si>
    <t>Acompañar la formulación y elaboración de un proyecto de cooperación internacional de conformidad con los parámetros exigidos.</t>
  </si>
  <si>
    <t>Realizar, formular, estructurar un proyecto de posibles beneficiarios de mejoramiento de vivienda urbano, según los lineamientos y metodología del DPS, diligenciando formatos y formularios necesarios para la postulación.</t>
  </si>
  <si>
    <t>Realizar, formular, estructurar  proyectos de inversión por metodología MGA WEB de conformidad con el objeto contractual.</t>
  </si>
  <si>
    <t>Acompañamiento a la subdirección técnica en el apoyo al componente técnico en los procesos de convocatorias y/o esquemas fiduciarios</t>
  </si>
  <si>
    <t>Apoyo a la  subdirección técnica en la evaluación, visitas técnicas, elaboración de presupuestos y todo lo concerniente en cuanto al aspecto técnico de las convocatorias de mejoramiento de viviendas que adelante el instituto</t>
  </si>
  <si>
    <t>Apoyo a la subdirección técnica en la realización de presupuestos de obra, análisis de precios unitarios y especificaciones técnicas de los procesos de vivienda que adelante el instituto</t>
  </si>
  <si>
    <t>Apoyo a la subdirección técnica en el análisis y revisión de estudios de suelo, planos estructurales, planos hidrosanitarios, planos eléctricos, análisis unitarios, presupuestos de obra y programación de obra entre otros de los proyectos de la vigencia 2018.</t>
  </si>
  <si>
    <t xml:space="preserve">Apoyo a la subdirección técnica en el acompañamiento y supervisión de las obras de infraestructura y/o mejoramientos de vivienda que adelante el instituto </t>
  </si>
  <si>
    <t xml:space="preserve"> Apoyo a la gestión de la subdirección técnica en el seguimiento y acompañamiento Trámites ante Curaduría, Serviciudad, Notaria, Registro y Findeter los cuales se deriven para la legalización de los proyectos de vivienda del Instituto.</t>
  </si>
  <si>
    <t>Apoyo y acompañamiento en los procesos de gestión de calidad a cargo de gestión del hábitat.</t>
  </si>
  <si>
    <t>HENRY MONTOYA TANGARIFE</t>
  </si>
  <si>
    <t>0321-55</t>
  </si>
  <si>
    <t>CONTRAISTA</t>
  </si>
  <si>
    <t>MZ 10 CS 19 B BOSQUES DE  LA ACUARELA</t>
  </si>
  <si>
    <t>henryface1965@hotmail.com</t>
  </si>
  <si>
    <t>24 de febrero de 2018</t>
  </si>
  <si>
    <t xml:space="preserve"> 24 DE SEPTIEMBRE DE 2018 </t>
  </si>
  <si>
    <t>PRESTAR APOYO A LA GESTIÓN EN EL ACOMPAÑAMIENTO Y SEGUIMIENTO A LAS FAMILIAS BENEFICIARIAS DE LOS PROYECTOS DE VIVIENDA GRATUITA EN VIRTUD A LAS OBLIGACIONES ESTIPULADAS EN LA LEY 1537 DE 2012</t>
  </si>
  <si>
    <t>FABIAN ACEVEDO CASTAÑEDA</t>
  </si>
  <si>
    <t>41-416</t>
  </si>
  <si>
    <t>29-445</t>
  </si>
  <si>
    <t>25 DE ENERO DE 2018</t>
  </si>
  <si>
    <t>060-18</t>
  </si>
  <si>
    <t>TENICO EN SISTEMAS</t>
  </si>
  <si>
    <t>MZ 5 CS 33 VILLAS DESANTA MONICA</t>
  </si>
  <si>
    <t>salomee.0415@gmail.com</t>
  </si>
  <si>
    <t>25 de enero de 2018</t>
  </si>
  <si>
    <t>30 de octubre de 2018</t>
  </si>
  <si>
    <t>APOYO A LA GESTION DE LA SUBDIRECCION TECNICA EN EL PROCESO DE VIVIENDA Y ESPECIFICAMENTE EN LA ACTUALIZACION DE LA BASE DE DATOS DE LA ENTIDAD</t>
  </si>
  <si>
    <t>Apoyar el proceso y trámite administrativo que se den dentro los procedimientos de cerramiento de lotes, levantando actas, respuestas, citaciones a personas titulares y demás documentos necesarios</t>
  </si>
  <si>
    <t>Realizar un inventario de los lotes los cuales son susceptibles a realizarles los trámites de cerramiento creando hoja de vida y realizando el registro fotográfico y diligenciamiento de formatos</t>
  </si>
  <si>
    <t>Realizar las visitas de cerramiento de lotes de acuerdo a los requerimientos realizados por la comunidad, identificando y diligenciando los registros para iniciar los trámites respectivos para el cerramiento de los mismos</t>
  </si>
  <si>
    <t>Apoyo a la gestión brindando respuesta a los derechos de petición de conformidad con el proceso de cerramiento de lotes</t>
  </si>
  <si>
    <t>Apoyo en la obtención de información y la articulación interinstitucional de las entidades municipales y departamentales que tengan injerencia dentro del proceso de cerramiento de lotes</t>
  </si>
  <si>
    <t>Consolidar la información de todos los procesos de cerramiento de lotes del año 2018 en el aplicativo “sistema de control de cerramiento de lotes</t>
  </si>
  <si>
    <t xml:space="preserve">OSCAR ANDRES VARGAS </t>
  </si>
  <si>
    <t>78-443</t>
  </si>
  <si>
    <t>31-476</t>
  </si>
  <si>
    <t>063-18</t>
  </si>
  <si>
    <t>ALTA PRADERA 2 CASA 43 PISO 1</t>
  </si>
  <si>
    <t>arqosvargas@gmail.com</t>
  </si>
  <si>
    <t xml:space="preserve">PRESTACION DE SERVICIOS PROFESIONALES COMO ARQUITECTO EN EL ACOMPAÑAMIENTO, DE LOS PROYECTOS DE VIVIENDA DEL INSTITUTO DE DESARROLLO MUNICIPAL </t>
  </si>
  <si>
    <t>Revisión, ajuste y acompañamiento en diseños arquitectónicos y urbanos en los diferentes proyectos de vivienda que adelanta la entidad.</t>
  </si>
  <si>
    <t>Apoyo en la formulación y postulación de proyectos de vivienda de conformidad con los subsidios que se gestionen ante el gobierno nacional.</t>
  </si>
  <si>
    <t xml:space="preserve">Proyección y seguimiento a los permisos que deban adelantarse ante las entidades competentes: Curaduría, Planeación, CARDER, Serviciudad y demás entidades que tengan que ver con el desarrollo urbanístico del municipio </t>
  </si>
  <si>
    <t>Acompañamiento en el proceso de licenciamiento ante Curaduría de los proyectos TORRES DE SOLE y AMALI RESIDENCIAL</t>
  </si>
  <si>
    <t>Acompañamiento en el proceso de certificación y entrega de unidades de apartamentos en los proyectos de vivienda MI CASA YA liderados por el instituto</t>
  </si>
  <si>
    <t>Acompañamiento a los procesos de legalización que adelante el instituto.</t>
  </si>
  <si>
    <t>Apoyo en los diseños arquitectónicos y urbanos de los proyectos de reubicación que adelante el instituto en la vigencia 2018</t>
  </si>
  <si>
    <t>Brindar acompañamiento  en la modificación del proceso de diseño y desarrollo, para integrarlos en el Sistema de Gestión de Calidad, definiendo  sus  actividades, responsables, recursos, documentación aplicable, registros y controles</t>
  </si>
  <si>
    <t>OSCAR EDUARDO SANCHEZ HENAO</t>
  </si>
  <si>
    <t>0321-58</t>
  </si>
  <si>
    <t>VEREDA LA UNION CASA 23</t>
  </si>
  <si>
    <t xml:space="preserve">oscaryaho88@hotmail.com </t>
  </si>
  <si>
    <t>PRESTACIÓN DE SERVICIOS PROFESIONALES EN EL CAMPO DE LA INGENIERÍA CIVIL PARA APOYAR LA COORDINACIÓN Y ADMINISTRACIÓN DEL PLAN DE MOVILIDAD Y CONECTIVIDAD DE DOSQUEBRADAS APROBADO POR EL ACUERDO 035 DE 2016</t>
  </si>
  <si>
    <t>YESSENIA AGUIRRE MONTAÑO</t>
  </si>
  <si>
    <t>62-437</t>
  </si>
  <si>
    <t>55-452</t>
  </si>
  <si>
    <t>031-18</t>
  </si>
  <si>
    <t>BARRIO GALICIA MZ 3 CS 07</t>
  </si>
  <si>
    <t>Jessenya@gmail.com</t>
  </si>
  <si>
    <t>PRESTACIÓN DE SERVICIOS DE APOYO A LA GESIÓN COMO AUXILIAR DE COMUNICACIONES PARA LA COORDINACIÓN Y ADMINISTRACIÓN DEL PLAN DE MOVILIDAD Y CONECTIVIDAD DE DOSQUEBRADAS APROBADO POR EL ACUERDO 035 DE 2016</t>
  </si>
  <si>
    <t>Apoyar  la supervisión de los medios de comunicación vinculados para efectos de la socialización y divulgación del Plan de Movilidad y Conectividad de Dosquebradas.</t>
  </si>
  <si>
    <t>Apoyar la estrategia de comunicaciones interna y externa del Plan de Movilidad y Conectividad de Dosquebradas.</t>
  </si>
  <si>
    <t xml:space="preserve">Elaborar piezas de comunicación del Plan de Movilidad y Conectividad de Dosquebradas. </t>
  </si>
  <si>
    <t xml:space="preserve">Apoyar la revisión de las piezas de comunicación del Plan de Movilidad y Conectividad de Dosquebradas. </t>
  </si>
  <si>
    <t>Participar en la socialización del Plan de Movilidad y Conectividad de Dosquebradas.</t>
  </si>
  <si>
    <t>CLAUDIA CORREA</t>
  </si>
  <si>
    <t>0321-60</t>
  </si>
  <si>
    <t xml:space="preserve">CRA 29B 9-10 DOSQUEBRADAS </t>
  </si>
  <si>
    <t>correaclaudy@hotmail.com</t>
  </si>
  <si>
    <t>1 de marzo de 2018</t>
  </si>
  <si>
    <t>PRESTACIÓN DE SERVICIOS PROFESIONALES EN EL CAMPO DE LA CONTADURÍA PÚBLICA PARA LA COORDINACIÓN Y ADMINISTRACIÓN DEL PLAN DE MOVILIDAD Y CONECTIVIDAD DEL MUNICIPIO DE DOSQUEBRADAS APROBADO POR EL ACUERDO 035 DE 2016</t>
  </si>
  <si>
    <t>48</t>
  </si>
  <si>
    <t>EDUARDO LOPEZ GARZÓN</t>
  </si>
  <si>
    <t>0321-61</t>
  </si>
  <si>
    <t>TOPOGRAFO</t>
  </si>
  <si>
    <t>CALLE 24 N°7-29 OFIC 405</t>
  </si>
  <si>
    <t>eduardolopezgarzon@yahoo.es</t>
  </si>
  <si>
    <t>2 de marzo de 2018</t>
  </si>
  <si>
    <t xml:space="preserve">25 DE SEPTIEMBRE </t>
  </si>
  <si>
    <t>PRESTACIÓN DE SERVICIOS DE APOYO A LA GESIÓN DE TOPOGRAFÍA PARA LA COORDINACIÓN Y ADMINISTRACIÓN DEL PLAN DE MOVILIDAD Y CONECTIVIDAD DE DOSQUEBRADAS APROBADO POR EL ACUERDO 035 DE 2016</t>
  </si>
  <si>
    <t>34</t>
  </si>
  <si>
    <t>ALEJANDRO DEL RÍO RESTREPO</t>
  </si>
  <si>
    <t>61-437</t>
  </si>
  <si>
    <t>59-452</t>
  </si>
  <si>
    <t>034-18</t>
  </si>
  <si>
    <t>INGENIERO AMBIENTAL</t>
  </si>
  <si>
    <t>AV. 30 DE AGOSTO N° 81-05</t>
  </si>
  <si>
    <t>adrr6666@gmail.com</t>
  </si>
  <si>
    <t>3 de marzo de 2018</t>
  </si>
  <si>
    <t xml:space="preserve">25 DE SEPTIEMBRE DE 2018 </t>
  </si>
  <si>
    <t>PRESTACIÓN DE SERVICIOS PROFESIONALES ESPECIALIZADOS EN EL AREA AMBIENTAL NECESARIAS PARA APOYAR LA COORDINACIÓN Y ADMINISTRACIÓN DEL PLAN DE MOVILIDAD Y CONECTIVIDAD DE DOSQUEBRADAS APROBADO POR EL ACUERDO 035 DE 2016</t>
  </si>
  <si>
    <t>66</t>
  </si>
  <si>
    <t>Apoyar la revisión y ajuste de los componentes y especificaciones ambientales de los proyectos del Plan de Movilidad y Conectividad del municipio de Dosquebradas.</t>
  </si>
  <si>
    <t>Brindar orientación técnica en la elaboración de los documentos precontractuales de los procesos dirigidos a la formulación de estudios y diseños de obra, la construcción y sus respectivas interventorías, de los proyectos de infraestructura del Plan de Movilidad y Conectividad del municipio de Dosquebradas.</t>
  </si>
  <si>
    <t>Participar en la evaluación del componente ambiental de los proponentes interesados en los procesos contractuales ofertados por el Instituto de Desarrollo Municipal para la ejecución del Plan de Movilidad y Conectividad.</t>
  </si>
  <si>
    <t>Participar en las reuniones o comités donde se observen aspectos ambientales en la ejecución de los contratos para la formulación de los estudios y diseños y en la construcción de las obras de infraestructura del Plan de Movilidad y Conectividad del municipio de Dosquebradas.</t>
  </si>
  <si>
    <t>Mantener enterada a la Subdirección Técnica en relación con aspectos ambientales, frente a novedades en los estudios y diseños de obra, la construcción y sus respectivas interventorías</t>
  </si>
  <si>
    <t>Verificar que los productos e insumos entregados por los contratistas de estudios y diseños de obra, la construcción y sus respectivas interventorías del Plan de Movilidad y Conectividad de Dosquebradas, cumplan a cabalidad con los planes y regulaciones en materia ambiental</t>
  </si>
  <si>
    <t>Apoyar las reuniones interinstitucionales y con autoridades ambientales para garantizar el cumplimiento de los planes y regulaciones del ambiente.</t>
  </si>
  <si>
    <t>Apoyar al Instituto de Desarrollo Municipal en la socialización de aspectos ambientales del Plan de Movilidad y Conectividad de Dosquebradas.</t>
  </si>
  <si>
    <t>Acompañar la gestión, trámite y consecución de permisos ambientales que se requieran ante entidades para la ejecución de obras del Plan de Movilidad y Conectividad de Dosquebradas</t>
  </si>
  <si>
    <t xml:space="preserve">JOSE LUIS GONZALEZ GALLEGO </t>
  </si>
  <si>
    <t>60-440</t>
  </si>
  <si>
    <t>58-453</t>
  </si>
  <si>
    <t>227-18</t>
  </si>
  <si>
    <t>CLL 101 16 CONJUNTO 5 CASA 6 URB RINCON DE LOS ROBLES BELMONTE</t>
  </si>
  <si>
    <t>JOSEGONZALEZgallego@hotmail.com</t>
  </si>
  <si>
    <t>26 DE JULIO DE 2018</t>
  </si>
  <si>
    <t>PRESTACIÓN DE SERVICIOS PROFESIONALES COMO ABOGADO ESPECIALIZADO PARA APOYAR LA COORDINACIÓN Y ADMINISTRACIÓN DEL PLAN DE MOVILIDAD Y CONECTIVIDAD DE DOSQUEBRADAS EN MATERIA DE GESTIÓN PREDIAL</t>
  </si>
  <si>
    <t xml:space="preserve">Garantizar la disponibilidad de tiempo y dedicación para el cumplimiento del objeto del contrato. </t>
  </si>
  <si>
    <t xml:space="preserve">Obrar con responsabilidad, lealtad y buena fe durante la ejecución del contrato, especialmente en los actos en que deba actuar en representación del Instituto Municipal de Desarrollo de Dosquebradas. </t>
  </si>
  <si>
    <t xml:space="preserve">Tener en cuenta las observaciones y recomendaciones que le formulen el Supervisor y la dirección con relación a los alcances del contrato. </t>
  </si>
  <si>
    <t xml:space="preserve">No celebrar contratos o acuerdos o realizar actos o conductas que afecten el cumplimiento del contrato o den lugar a que se presenten conflictos de interés. </t>
  </si>
  <si>
    <t xml:space="preserve">No ofrecer ni recibir dádivas ni halago alguno por razón de las actividades propias de la ejecución del contrato. </t>
  </si>
  <si>
    <t xml:space="preserve">Obtener y presentar los siguientes PAZ Y SALVO: Archivo, Copia de seguridad de la información (Back Up), Devolución de bienes muebles y Dotación, a la terminación del contrato. </t>
  </si>
  <si>
    <t xml:space="preserve">Dar cumplimiento a todos los requerimientos, procesos y procedimientos estipulados en la NTCGP 1000:2009, norma Técnica de Calidad para la gestión pública y la NTC ISO 9001:2008 norma internacional. </t>
  </si>
  <si>
    <t xml:space="preserve">Dar cumplimiento al Decreto 1072 de 2015 Único Reglamentario del sector trabajo, Sistema de Gestión de la Seguridad y Salud en el Trabajo y cumplir con lo dispuesto en el Decreto 723 de 2013 del Ministerio de Salud y Protección Social. </t>
  </si>
  <si>
    <t>Suministrar el equipo necesario para el desempeño y cumplimiento de las obligaciones contractuales, como transporte, y elementos de protección personal aplicables y requeridos para la actividad a desarrollar, además del equipo de cómputo y demás elementos inherentes a dicha actividad.</t>
  </si>
  <si>
    <t>Pagar el valor correspondiente a las estampillas que afectan el presente contrato, con base en lo definido en el estatuto tributario.</t>
  </si>
  <si>
    <t xml:space="preserve">Suscribir el acta de inicio en un término máximo de tres días hábiles, una vez requerido por EL INSTITUTO. </t>
  </si>
  <si>
    <t>PATRICIA VARGAS AGUIRRE</t>
  </si>
  <si>
    <t>0321-64</t>
  </si>
  <si>
    <t>CONTADORA PUBLICA</t>
  </si>
  <si>
    <t>CARRERA 16 BIS N°29-57</t>
  </si>
  <si>
    <t>pava720@gmail.com</t>
  </si>
  <si>
    <t>5 de marzo de 2018</t>
  </si>
  <si>
    <t>61</t>
  </si>
  <si>
    <t>DIANA PATRICIA LINARES</t>
  </si>
  <si>
    <t>0321-65</t>
  </si>
  <si>
    <t>CALLE 12 N° 17-40 APT 5 EDIFICIO SORENTO PINARES</t>
  </si>
  <si>
    <t xml:space="preserve">linares521@hotmail.com </t>
  </si>
  <si>
    <t>6 de marzo de 2018</t>
  </si>
  <si>
    <t>PRESTACIÓN DE SERVICIOS PROFESIONALES COMO ABOGADA ESPECIALIZADA PARA APOYAR LA COORDINACIÓN Y ADMINISTRACIÓN DEL PLAN DE MOVILIDAD Y CONECTIVIDAD DE DOSQUEBRADAS EN MATERIA DE GESTIÓN PREDIAL</t>
  </si>
  <si>
    <t>46</t>
  </si>
  <si>
    <t>MARTIN AUGUSTO GALLEGO BETANCOURT</t>
  </si>
  <si>
    <t>0321-66</t>
  </si>
  <si>
    <t>CRA 23 B 1 73-67 CUBA</t>
  </si>
  <si>
    <t xml:space="preserve">martingallego2017@gmail.com </t>
  </si>
  <si>
    <t>7 de marzo de 2018</t>
  </si>
  <si>
    <t xml:space="preserve">25 DE ABRIL DE 2018 </t>
  </si>
  <si>
    <t>PRESTAR SERVICIOS DE APOYO A LA GESTION COMO CAMAROGRAFO Y EDITOR, PARA APOYAR LA COORDINACIÓN Y ADMINISTRACIÓN DEL PLAN DE MOVILIDAD Y CONECTIVIDAD DE DOSQUEBRADAS, RESPECTO DE LAS ACTIVIDADES QUE SE DESARROLLAN DESDE EL AREA DE COMUNICACIONES</t>
  </si>
  <si>
    <t>JOHN FREDY GUZMÁN REINOSA</t>
  </si>
  <si>
    <t>0321-67</t>
  </si>
  <si>
    <t>CARRERA 4 BIS 36B-56</t>
  </si>
  <si>
    <t xml:space="preserve">periodicoeleje@gmail.com </t>
  </si>
  <si>
    <t>8 de marzo de 2018</t>
  </si>
  <si>
    <t xml:space="preserve">MAYO 25 DE 2018 </t>
  </si>
  <si>
    <t>PRESTACIÓN DE SERVICIOS COMO MEDIO DE COMUNICACIÓN PARA APOYAR LA COORDINACIÓN Y ADMINISTRACIÓN DEL PLAN DE MOVILIDAD Y CONECTIVIDAD, MEDIANTE SU SOCIALIZACIÓN Y DIVULGACIÓN.</t>
  </si>
  <si>
    <t>53</t>
  </si>
  <si>
    <t>JUAN PABLO GONZALEZ MARIN</t>
  </si>
  <si>
    <t>25 DE ENERO 2018</t>
  </si>
  <si>
    <t>0321-68</t>
  </si>
  <si>
    <t>CLL 24 N° 7-29 SECTOR EL LAGO PEREIRA</t>
  </si>
  <si>
    <t xml:space="preserve">jpgonzalezmarin@gmail.com </t>
  </si>
  <si>
    <t>9 de marzo de 2018</t>
  </si>
  <si>
    <t>24 DE SEPTIEMBRE DE 2018</t>
  </si>
  <si>
    <t>PRESTACIÓN DE SERVICIOS PROFESIONALES EN EL CAMPO JURÍDICO PARA LA COORDINACIÓN Y ADMINISTRACIÓN DEL PLAN DE MOVILIDAD Y CONECTIVIDAD DEL MUNICIPIO DE DOSQUEBRADAS APROBADO POR EL ACUERDO 035 DE 2016</t>
  </si>
  <si>
    <t>03</t>
  </si>
  <si>
    <t>DUVAN LONDOÑO GONZÁLEZ</t>
  </si>
  <si>
    <t>67-298</t>
  </si>
  <si>
    <t>74-325</t>
  </si>
  <si>
    <t>051-18</t>
  </si>
  <si>
    <t xml:space="preserve">TECNICO EN RADIO Y TELEVISION </t>
  </si>
  <si>
    <t xml:space="preserve">MZ 30 CS 4 BARRIO MOLINOS </t>
  </si>
  <si>
    <t xml:space="preserve">duvan.martins@gmail.com </t>
  </si>
  <si>
    <t>25 DE OCTUBRE DE 2018</t>
  </si>
  <si>
    <t>PRESTAR SERVICIOS DE APOYO A LA GESTIÓN COMO AUXILIAR DE COMUNCACIONES PARA APOYAR LA COORDINACIÓN Y ADMINISTRACIÓN DEL PLAN DE MOVILIDAD Y CONECTIVIDAD DE DOSQUEBRADAS EN EL ÁREA DE SOCIALIZACIÓN Y DIVULGACIÓN</t>
  </si>
  <si>
    <t>Garantizar la disponibilidad de tiempo y dedicación para el cumplimiento del objeto del contrato</t>
  </si>
  <si>
    <t xml:space="preserve">Pagar el valor correspondiente a las estampillas que afectan el presente contrato, con base en lo definido en el estatuto tributario. </t>
  </si>
  <si>
    <t>MARCO ANTONIO PEREZ RESTREPO</t>
  </si>
  <si>
    <t>2.1.1..2.01</t>
  </si>
  <si>
    <t>0321-70</t>
  </si>
  <si>
    <t xml:space="preserve">BACHILLER ACADEMICO </t>
  </si>
  <si>
    <t xml:space="preserve">MZ 5 CS 13 VILLA DEL CAMPO </t>
  </si>
  <si>
    <t xml:space="preserve">marcoperez59@hotmail.com </t>
  </si>
  <si>
    <t>11 de marzo de 2018</t>
  </si>
  <si>
    <t xml:space="preserve">25 DE JULIO DE 2018 </t>
  </si>
  <si>
    <t xml:space="preserve">PRESTAR SERVICIOS DE APOYO  A LA GESTION  EN LOS PROCESOS Y PROCEDIMIENOTS DE ADMINISTRACIÓN DEL RECURSO HUMANO Y DEL ÁREA FINANCIERA  DEL INSTITUTO DE DESARROLLO MUNICIPAL </t>
  </si>
  <si>
    <t>39</t>
  </si>
  <si>
    <t>R.R. EDITORES RAMIREZ Y RAMIREZ LTDA. R/L LUIS CARLOS RAMIREZ MUNERA</t>
  </si>
  <si>
    <t>0321-71</t>
  </si>
  <si>
    <t xml:space="preserve">NA </t>
  </si>
  <si>
    <t xml:space="preserve">MEDIO DE COMUNICACIÓN </t>
  </si>
  <si>
    <t>CRA 8 N° 22-75</t>
  </si>
  <si>
    <t>dirfc@seguridadnacionalltda.com</t>
  </si>
  <si>
    <t>12 de marzo de 2018</t>
  </si>
  <si>
    <t>24 DE FEBRERO DE 2018</t>
  </si>
  <si>
    <t>SANDRA MILENA ANGARITA MONTOYA</t>
  </si>
  <si>
    <t>2.1.1.2.03</t>
  </si>
  <si>
    <t>0321-72</t>
  </si>
  <si>
    <t xml:space="preserve">INGENIERA INDUSTRIAL </t>
  </si>
  <si>
    <t xml:space="preserve">AV LAS AMERICAS N° 87-12 TORRE 2 </t>
  </si>
  <si>
    <t>angarita.sandra@gmail.com</t>
  </si>
  <si>
    <t>13 de marzo de 2018</t>
  </si>
  <si>
    <t xml:space="preserve">“PRESTACIÓN DE SERVICIOS PROFESIONALES PARA EL APOYO EN LA IMPLEMENTACIÓN DE LA NORMA ISO 9001:2015, SGSST Y MIPG EN EL INSTITUTO DE DESARROLLO MUNICIPAL E DOSQUEBRADAS”.  </t>
  </si>
  <si>
    <t>PAULA ANDREA VIDAL POLANÍA</t>
  </si>
  <si>
    <t>53-299</t>
  </si>
  <si>
    <t>73-236</t>
  </si>
  <si>
    <t>053-18</t>
  </si>
  <si>
    <t>ADMINISTRADORA PUBLICA</t>
  </si>
  <si>
    <t xml:space="preserve">DIAG 25 N° 4T115 CONJUNTO TERRAZAS DEL LAGO CASA 9 </t>
  </si>
  <si>
    <t>paulavpolania@yahoo.es</t>
  </si>
  <si>
    <t xml:space="preserve">JULIO 25 DE 2018 </t>
  </si>
  <si>
    <t>PRESTAR SERVICIOS PROFESIONALES COMO ADMINISTRADORA PUBLICA PARA APOYAR LA COORDINACIÓN Y ADMINISTRACIÓN DEL PLAN DE MOVILIDAD Y CONECTIVIDAD DE DOSQUEBRADAS EN EL CAMPO DE LA GESTIÓN SOCIAL</t>
  </si>
  <si>
    <t xml:space="preserve">COLPENSIONES </t>
  </si>
  <si>
    <t>95</t>
  </si>
  <si>
    <t xml:space="preserve">COLMENA </t>
  </si>
  <si>
    <t>Tener en cuenta las observaciones y recomendaciones que le formulen el Supervisor y la dirección con relación a los alcances del contrato.</t>
  </si>
  <si>
    <t>Dar cumplimiento al Decreto 1072 de 2015 Único Reglamentario del sector trabajo, Sistema de Gestión de la Seguridad y Salud en el Trabajo y cumplir con lo dispuesto en el Decreto 723 de 2013 del Ministerio de Salud y Protección Social.</t>
  </si>
  <si>
    <t>Suministrar el equipo necesario para el desempeño y cumplimiento de las obligaciones contractuales, como transporte, y elementos de protección personal aplicables y requeridos para la actividad a desarrollar, además del equipo de cómputo y demás elementos inherentes a dicha actividad</t>
  </si>
  <si>
    <t>INTERNATIONAL CONSULTING GROUP R/L ALEJANDRA CARDONA DIAZ</t>
  </si>
  <si>
    <t>0321-74</t>
  </si>
  <si>
    <t>gerencia@logsas.com</t>
  </si>
  <si>
    <t>15 de marzo de 2018</t>
  </si>
  <si>
    <t xml:space="preserve">24 DE MAYO DE 2018 </t>
  </si>
  <si>
    <t>PRESTACIÓN DE SERVICIOS PROFESIONALES DE APOYO A LA GESTIÓN EN LA IMPLEMENTACIÓN DEL NUEVO MARCO NORMATIVO EXPEDIDO POR LA CONTADURÍA GENERAL DE LA NACIÓN EN LA RESOLUCIÓN NO. 533 DE OCTUBRE 8 DE 2015 PARA ENTIDADES DEL ESTADO EN LA SEGUNDA Y TERCERA  ETAPA DEL PROCESO</t>
  </si>
  <si>
    <t>ALEJANDRO RAMIREZ GÓMEZ</t>
  </si>
  <si>
    <t>0321-75</t>
  </si>
  <si>
    <t xml:space="preserve">irezgomezalejandro@hotmail.com </t>
  </si>
  <si>
    <t>16 de marzo de 2018</t>
  </si>
  <si>
    <t xml:space="preserve">25 DE JUNIO DE 2018 </t>
  </si>
  <si>
    <t>PRESTACIÓN DE SERVICIOS PROFESIONALES COMO ABOGADO PARA APOYAR LA COORDINACIÓN Y ADMINISTRACIÓN DEL PROYECTO  PLAN DE MOVILIDAD Y CONECTIVIDAD DE DOSQUEBRADAS, APROBADO MEDIANTE ACUERDO 035 DE 2016</t>
  </si>
  <si>
    <t>80</t>
  </si>
  <si>
    <t>ANTENA DE LOS ANDES LTDA. R/L LUZ MARINA BUILES GONZÁLEZ</t>
  </si>
  <si>
    <t>74-445</t>
  </si>
  <si>
    <t>83-454</t>
  </si>
  <si>
    <t>054-18</t>
  </si>
  <si>
    <t xml:space="preserve">CRA 15 11 80 SANTA ROSA </t>
  </si>
  <si>
    <t xml:space="preserve">LUZMABUIGO@YAHOO.COM </t>
  </si>
  <si>
    <t xml:space="preserve">Emitir en la emisora Antena de los Andes 1520 AM un total de sesenta (60) cuñas mensuales de 30 segundos en el Noticiero BUENOS DÍAS RISARALDA de 6:00  a 8:00 AM de Lunes a Viernes. </t>
  </si>
  <si>
    <t>Emitir en la emisora Antena de los Andes 1520 AM un total de veinte (20) cuñas mensuales de 30 segundos en el programa CAMBALACHE de 8:30 A 9:00 AM de Lunes a Viernes.</t>
  </si>
  <si>
    <t>Emitir en la emisora Antena de los Andes 1520 AM un total de cuarenta (40) cuñas mensuales de 30 segundos en el programa MELODIAS ARGENTINAS de 5:00 A 6:00 PM de Lunes a Viernes.</t>
  </si>
  <si>
    <t xml:space="preserve">SEBASTIAN GOMEZ DIAZ </t>
  </si>
  <si>
    <t>0321-77</t>
  </si>
  <si>
    <t>sebasgomez49@gmail.com</t>
  </si>
  <si>
    <t>18 de marzo de 2018</t>
  </si>
  <si>
    <t xml:space="preserve">25 DE MAYO DE 2018 </t>
  </si>
  <si>
    <t>PRESTACIÓN DE  SERVICIOS PROFESIONALES DESDE EL COMPONENTE JURÍDICO AL INSTITUTO DE DESARROLLO MUNICIPAL PARA LLEVAR A CABO LA EJECUCIÓN  DE LOS PROCESOS FIDUCIARIOS, LOS CUAL VA ENCAMINADA AL DESARROLLO DE LOS DIFERENTES PROGRAMAS, PROYECTOS Y MEJORAMIENTOS DE VIVIENDA QUE SE ENCUENTRAN CONTEMPLADOS EN EL PLAN DE DESARROLLO MUNICIPAL “DOSQUEBRADAS COMPROMISO DE TODOS”, QUE SE REALIZARAN EN ESTE MUNICIPIO.</t>
  </si>
  <si>
    <t>41</t>
  </si>
  <si>
    <t>ARACELLY BENJUMEA</t>
  </si>
  <si>
    <t>0321-78</t>
  </si>
  <si>
    <t xml:space="preserve">arabenju.elcat@hotmail.com     </t>
  </si>
  <si>
    <t>19 de marzo de 2018</t>
  </si>
  <si>
    <t xml:space="preserve">24 DE JULIO DE 2018 </t>
  </si>
  <si>
    <t xml:space="preserve">PRESTACION DE SERVICIO Y APOYO A LA GESTION EN EL ACOMPAÑMIENTO EN LOS PROYECTOS DE VIVIENDA MULTIFAMILIARES LOS JUNCOS Y SAN MARCOS </t>
  </si>
  <si>
    <t xml:space="preserve">MARIA FERNANDA  DELGADO SANCHEZ </t>
  </si>
  <si>
    <t>63-442</t>
  </si>
  <si>
    <t>82-477</t>
  </si>
  <si>
    <t xml:space="preserve">BIRICAIRA T D AP 407 LA VILLA </t>
  </si>
  <si>
    <t xml:space="preserve">mariafernanda1607@hotmail.com </t>
  </si>
  <si>
    <t>PRESTAR SERVICIO DE APOYO EN LOS PROCESOS DE LEGALIZACIÓN  QUE ADELANTE EL INSTITUTO EN LA VIGENCIA</t>
  </si>
  <si>
    <t xml:space="preserve">SANITAS </t>
  </si>
  <si>
    <t>Apoyo en el diagnóstico de los predios ocupados en los sectores solicitados por la comunidad. (Siempre y cuando no se encuentre en zona de alto riesgo previa certificación de la OMPADE).</t>
  </si>
  <si>
    <t xml:space="preserve">Realizar el apoyo al estudio general e individual de títulos en todos los actos notariales y demás actuaciones donde intervenga el Instituto, llevar registro de lo actuado y firmado por la dirección.  </t>
  </si>
  <si>
    <t>Prestar apoyo a las actuaciones jurídicas y administrativas necesarias tendientes a legalizar predios del fondo de vivienda y del IDM.</t>
  </si>
  <si>
    <t xml:space="preserve">Acompañar la gestión y realización de convenios con la Administración Municipal y demás entes que apoyen los procesos de legalización y escrituración. </t>
  </si>
  <si>
    <t>Realizar los procesos y trámites administrativos que se den dentro los procedimientos de cerramiento de lotes, generando la documentación y actuaciones pertinentes</t>
  </si>
  <si>
    <t>Brindar acompañamiento  en la elaboración de los nuevos procedimientos que se formulen en la Subdirección Técnica, para integrarlos en el Sistema de Gestión de Calidad, definiendo  sus             actividades, responsables, recursos, documentación aplicable, registros y controles</t>
  </si>
  <si>
    <t>ADRIANA CRISTINA PULGARIN JARAMILLO</t>
  </si>
  <si>
    <t>0321-80</t>
  </si>
  <si>
    <t xml:space="preserve">cristina.jaramillo@hotmail.com </t>
  </si>
  <si>
    <t>21 de marzo de 2018</t>
  </si>
  <si>
    <t>PRESTAR APOYO A LA GESTIÓN EN EL ACOMPAÑAMIENTO Y SEGUIMIENTO A LAS FAMILIAS BENEFICIARIAS DE LOS PROYECTOS DE VIVIENDA GRATUITA  ESPECÍFICAMENTE EN LA URBANIZACIÓN ENSUEÑO Y PRIMAVERA AZUL EN VIRTUD  A LAS OBLIGACIONES ESTIPULADAS EN LA LEY 1537 DE 2012</t>
  </si>
  <si>
    <t>LINA MARIA MARTINEZ VALENCIA</t>
  </si>
  <si>
    <t>0321-81</t>
  </si>
  <si>
    <t>linamaria_martinez@yahoo.com</t>
  </si>
  <si>
    <t>22 de marzo de 2018</t>
  </si>
  <si>
    <t xml:space="preserve">SERVICIOS DE UN PROFESIONAL PARA EL APOYO EN LA REALIZACIÓN DE ACTIVIDADES PARA EL FORTALECIMIENTO DEL SISTEMA DE GESTIÓN DE CALIDAD EN LAS ÁREAS DE DIRECCIÓN, VIVIENDA Y DEMÁS ÁREAS QUE LO REQUIERAN.  </t>
  </si>
  <si>
    <t>KEVIN JOHANNY RESTREPO HERNANDEZ</t>
  </si>
  <si>
    <t>65-297</t>
  </si>
  <si>
    <t>85-324</t>
  </si>
  <si>
    <t>TECNOLOGO GESTION BANCARIO</t>
  </si>
  <si>
    <t xml:space="preserve">CLL 64 N° 15 69 SANTA TERESITA </t>
  </si>
  <si>
    <t xml:space="preserve">kevin.0293@hotmail.com </t>
  </si>
  <si>
    <t>26 ENERO DE 2018</t>
  </si>
  <si>
    <t>PRESTACIÓN DE SERVICIOS DE APOYO A LA GESTIÓN PARA APOYAR LA COORDINACIÓN Y ADMINISTRACIÓN DEL PROYECTO PLAN DE MOVILIDAD Y CONECTIVIDAD DE DOSQUEBRADAS APROBADO MEDIANTE ACUERDO 035 DE 2016.</t>
  </si>
  <si>
    <t xml:space="preserve">Brindar apoyo en la actuación administrativa que se requiere en los diferentes procesos de contratación Pública que se adelanten por parte del Instituto de Desarrollo Municipal de Dosquebradas en el Plan de Movilidad y Conectividad del municipio de Dosquebradas. </t>
  </si>
  <si>
    <t>Brindar acompañamiento permanente en el desarrollo de las actividades que permitan una efectiva trazabilidad en el trámite pre contractual y contractual de los procedimientos de contratación que se adelanten por parte del Instituto de Desarrollo Municipal en el Plan de Movilidad y Conectividad del municipio de Dosquebradas</t>
  </si>
  <si>
    <t xml:space="preserve">Apoyar la atención a los contribuyentes y al público en general respecto de las inquietudes o necesidades generadas por la gestión del Plan de Movilidad y Conectividad de Dosquebradas. </t>
  </si>
  <si>
    <t xml:space="preserve">DIANA LORENA MEJIA RAMIREZ </t>
  </si>
  <si>
    <t>66-439</t>
  </si>
  <si>
    <t>86-455</t>
  </si>
  <si>
    <t>055-18</t>
  </si>
  <si>
    <t xml:space="preserve">CRA 12 N° 40-13 P 2 BUENOS AIRES </t>
  </si>
  <si>
    <t xml:space="preserve">dilomej@gmail.com </t>
  </si>
  <si>
    <t>PRESTACIÓN DE SERVICIOS PROFESIONALES COMO GESTORA SOCIAL PARA APOYAR LA COORDINACIÓN Y ADMINISTRACIÓN DEL PROYECTO PLAN DE MOVILIDAD Y CONECTIVIDAD DE DOSQUEBRADAS APROBADO MEDIANTE ACUERDO 035 DE 2016.</t>
  </si>
  <si>
    <t>Vincular a la comunidad con el plan de movilidad y conectividad del Municipio de Dosquebradas, fomentando la participación de los propietarios y poseedores para la integración y acompañamiento a la Junta de Representantes</t>
  </si>
  <si>
    <t>Proponer estrategias de socialización del plan de movilidad y conectividad del Municipio de Dosquebradas dirigidas a la ciudadanía y actores representativos del Municipio</t>
  </si>
  <si>
    <t>Apoyar el área de comunicaciones en el uso de medios digitales para la publicación, circulación y divulgación del plan de movilidad y conectividad del Municipio de Dosquebradas.</t>
  </si>
  <si>
    <t>Atender y acompañar a la ciudadanía con las inquietudes que surjan respecto del plan de movilidad y conectividad del Municipio de Dosquebradas</t>
  </si>
  <si>
    <t>NELSON ODENS MORA FRANCO</t>
  </si>
  <si>
    <t>0321-84</t>
  </si>
  <si>
    <t xml:space="preserve">nelsonodens@gmail.com </t>
  </si>
  <si>
    <t>25 de marzo de 2018</t>
  </si>
  <si>
    <t>PRESTACIÓN DE SERVICIOS PROFESIONALES ESPECIALIZADOS PARA REALIZAR ACTIVIDADES DE APOYO EN EL AREA DE INGENIERÍA CIVIL Y LA SUPERVISIÓN DE CONTRATOS, PARA EL PROYECTO PLAN DE MOVILIDAD Y CONECTIVIDAD DEL MUNICIPIO DE DOSQUEBRADAS APROBADO POR EL ACUERDO 035 DE 2016</t>
  </si>
  <si>
    <t>LEIDY VANESSA MELCHOR RENDON</t>
  </si>
  <si>
    <t>0321-85</t>
  </si>
  <si>
    <t xml:space="preserve">leidyvane1604@gmail.com </t>
  </si>
  <si>
    <t>26 de marzo de 2018</t>
  </si>
  <si>
    <t>PRESTAR SERVICIOS DE APOYO A LA GESTIÓN COMO AUXILIAR ADMINISTRATIVA PARA APOYAR LA COORDINACIÓN Y ADMINISTRACIÓN DEL PLAN DE MOVILIDAD Y CONECTIVIDAD DE DOSQUEBRADAS EN EL ÁREA FINANCIERA</t>
  </si>
  <si>
    <t xml:space="preserve">JOHNATHAN ALEXI CORREA RESTREPO </t>
  </si>
  <si>
    <t>79- 453</t>
  </si>
  <si>
    <t>87-327</t>
  </si>
  <si>
    <t>056-18</t>
  </si>
  <si>
    <t xml:space="preserve">ESPECIALISTA EN REDES Y MANTENIMIENTO ELECTRICO </t>
  </si>
  <si>
    <t xml:space="preserve">MZ 3 CS 10 PISO 2 EL PORVENIR </t>
  </si>
  <si>
    <t>ALEXISBEIFEN@GMAIL.COM</t>
  </si>
  <si>
    <t>05 DE OCTUBRE DE 2018</t>
  </si>
  <si>
    <t>26 DE OCTUBRE DE 2018</t>
  </si>
  <si>
    <t>PRESTACIÓN DE SERVICIOS DE APOYO A LA GESTIÓN EN EL CAMPO DE LA GESTIÓN SOCIAL PARA APOYAR LA COORDINACIÓN Y ADMINISTRACIÓN DEL PLAN DE MOVILIDAD Y CONECTIVIDAD DEL MUNICIPIO DE DOSQUEBRADAS APROBADO MEDIANTE ACUEROD 035 DE 2016</t>
  </si>
  <si>
    <t xml:space="preserve">NUEVA EPS </t>
  </si>
  <si>
    <t>Brindar apoyo en los procesos de gestión social que se adelanten por parte del Instituto de Desarrollo Municipal de Dosquebradas en el plan de movilidad y conectividad de municipio de Dosquebradas.</t>
  </si>
  <si>
    <t>Elaborar actas de reunión y de socialización efectuadas por el Instituto de Desarrollo Municipal en la ejecución de la socialización y divulgación del Plan de Movilidad y Conectividad.</t>
  </si>
  <si>
    <t>Brindar apoyo y acompañamiento a los procesos Administrativos del Instituto de Desarrollo Municipal de Dosquebradas en el sistema de gestión de calidad, indicadores de gestión y aseguramiento de procesos.</t>
  </si>
  <si>
    <t>Brindar acompañamiento permanente en el desarrollo de las actividades que permitan una efectiva trazabilidad en el trámite de la documentación generada por el desarrollo de procesos de gestión social del plan de movilidad y conectividad del municipio de Dosquebradas</t>
  </si>
  <si>
    <t>Participar en las reuniones programadas por el Instituto de Desarrollo Municipal en el Plan de Movilidad y Conectividad del Municipio de Dosquebradas</t>
  </si>
  <si>
    <t>Apoyar la atención a los contribuyentes y al público en general respecto de las inquietudes o necesidades generadas por la gestión del plan de movilidad y conectividad de Dosquebradas.</t>
  </si>
  <si>
    <t>. Apoyar al Instituto de Desarrollo Municipal en la socialización y participación de los procesos de valorización necesarios para la ejecución del Plan de Movilidad y Conectividad de Dosquebradas</t>
  </si>
  <si>
    <t>0 de enero de 1900</t>
  </si>
  <si>
    <t xml:space="preserve">PALO DE AGUA TRR 2 APT 403 </t>
  </si>
  <si>
    <t>13 DE JULIO DE 2018</t>
  </si>
  <si>
    <t xml:space="preserve">Apoyo en los procesos y procedimientos que tengan relación directa con el objeto contractual </t>
  </si>
  <si>
    <t xml:space="preserve"> Apoyo en la revisión de documentos de los contratos en materia de vivienda </t>
  </si>
  <si>
    <t xml:space="preserve"> Apoyo en el seguimiento de los cronogramas de las actividades jurídicas del Instituto</t>
  </si>
  <si>
    <t>Apoyo en el archivo de documentos jurídicos y contractuales</t>
  </si>
  <si>
    <t>Apoyo en la recepción de documentos en convocatorias y procesos de vivienda</t>
  </si>
  <si>
    <t xml:space="preserve"> Apoyar en la elaboración de documentos contractuales y jurídicos </t>
  </si>
  <si>
    <t>Realizar de conformidad con el decreto 1082 de 2015 la publicación en el SECOP de los documentos contractuales.</t>
  </si>
  <si>
    <t>19 DE JULIO DE 2018</t>
  </si>
  <si>
    <t xml:space="preserve">DIAG 30 A 1-40 SANTA ISABEL </t>
  </si>
  <si>
    <t>RAMIREZGOMEZALEJANDRO@HOTMAIL.COM</t>
  </si>
  <si>
    <t>19 DE JULIO DE 2017</t>
  </si>
  <si>
    <t>PRESTAR SERVICIOS PROFESIONALES COMO ABOGADO, EN EL SANEAMIENTO JURÍDICO DE LOS BIENES INMUEBLES DEL INSTITUTO DE DESARROLLO MUNICIPAL Y BRINDAR APOYO EN EL COMITÉ DE CONCILIACIÓN.</t>
  </si>
  <si>
    <t>Verificar el estado de los bienes inmuebles del Instituto de Desarrollo Municipal y su condición jurídica.</t>
  </si>
  <si>
    <t xml:space="preserve">Adelantar los procesos administrativos tendientes a evitar la perturbación de los bienes inmuebles propiedad del Instituto de Desarrollo Municipal. </t>
  </si>
  <si>
    <t xml:space="preserve">Apoyar y adelantar las actuaciones administrativas, policivas o judiciales necesarias para la protección o recuperación de los bienes inmuebles del Instituto de Desarrollo Municipal. </t>
  </si>
  <si>
    <t>Representar judicialmente al Instituto a través del poder otorgado para que adelante los procesos prejudiciales y judiciales que designe la dirección, en relación con el objeto del contrato.</t>
  </si>
  <si>
    <t xml:space="preserve">. Proyectar todos los actos administrativos, resoluciones, notificaciones y demás trámites tendientes a solucionar la problemática de ocupación irregular de los predios propiedad del Instituto de Desarrollo Municipal. </t>
  </si>
  <si>
    <t xml:space="preserve">Apoyo en la implementación del manual de procedimiento de derechos de petición del Instituto de Desarrollo Municipal. </t>
  </si>
  <si>
    <t>Apoyo en la actualización y modificación del manual del comité de conciliación del Instituto de Desarrollo Municipal de acuerdo al ordenamiento legal vigente.</t>
  </si>
  <si>
    <t xml:space="preserve">Apoyo en la implementación o actualización de los demás manuales que requiera el Instituto de Desarrollo Municipal. </t>
  </si>
  <si>
    <t xml:space="preserve">Realizar las convocatorias, proyectar el orden del día y asistir al comité de conciliación. </t>
  </si>
  <si>
    <t>Proyectar el acta de los comités de conciliación para la firma del Director General del Instituto, y llevar una carpeta con el consecutivo de dichas actas para dar cumplimiento a los planes de mejoramiento del Instituto</t>
  </si>
  <si>
    <t xml:space="preserve">WILLIAM ANDRES URIBE RAMIREZ </t>
  </si>
  <si>
    <t>02 DE AGOSTO DE 2018</t>
  </si>
  <si>
    <t xml:space="preserve">CRA 7 N° 19 -7B CENTRO 701 </t>
  </si>
  <si>
    <t>ANDRESURIBERAMIREZ@GMAIL.COM</t>
  </si>
  <si>
    <t>26 DE DICIEMBRE DE 2018</t>
  </si>
  <si>
    <t>POSITIVA</t>
  </si>
  <si>
    <t xml:space="preserve">. Apoyar la elaboración de los documentos precontractuales requeridos para los contratos de estudios y diseños de obra, construcción e interventoría para la ejecución del Plan de Movilidad y Conectividad de Dosquebradas. </t>
  </si>
  <si>
    <t>Expedir los actos administrativos relacionados con los procesos de selección objetiva de los contratistas para la ejecución del Plan de Movilidad y Conectividad de Dosquebradas.</t>
  </si>
  <si>
    <t>Revisar los documentos precontractuales de los procesos para la selección objetiva de los contratistas, elaborados por la entidad.</t>
  </si>
  <si>
    <t>Dar respuesta a las observaciones efectuadas por los concurrentes y la ciudadanía en general a los procesos de para la selección objetiva del Plan de Movilidad y Conectividad de Dosquebradas.</t>
  </si>
  <si>
    <t xml:space="preserve">Participar dentro del comité evaluador designado para la verificación de las propuestas de los proponentes en el marco de la selección objetiva de contratistas para la ejecución del Plan de Movilidad y Conectividad de Dosquebradas. </t>
  </si>
  <si>
    <t xml:space="preserve">Emitir conceptos jurídicos y resolver las inquietudes del Instituto de Desarrollo Municipal respecto de los procesos de selección objetiva de los contratistas para la ejecución del Plan de Movilidad y Conectividad. </t>
  </si>
  <si>
    <t xml:space="preserve">Proyectar los informes y las respuestas a los interrogantes formulados por la ciudadanía o los entes de control frente a los procesos contractuales que permiten la ejecución del Plan de Movilidad y Conectividad. </t>
  </si>
  <si>
    <t xml:space="preserve">Realizar la revisión de las minutas contractuales para la celebración de contratos de estudios y diseños de obra, construcción de obra de infraestructura e interventoría con base en el marco normativo vigente. </t>
  </si>
  <si>
    <t xml:space="preserve">Acompañar y resolver las situaciones jurídicas derivadas de la ejecución de los contratos de estudios y diseños de obra, construcción de obra e interventoría. </t>
  </si>
  <si>
    <t>Adelantar los procesos sancionatorios en contra de los contratistas de estudios y diseños de obra, construcción de obra e interventoría cuando corresponda.</t>
  </si>
  <si>
    <t xml:space="preserve">Orientar a la Dirección del Instituto de Desarrollo Municipal acerca de alternativas jurídicas para la resolución de situaciones problemáticas derivadas de la ejecución de los contratos de estudios y diseños de obra, construcción de obra e interventoría. </t>
  </si>
  <si>
    <t>Realizar una actualización jurídica al equipo de la Dirección en las modificaciones generadas por las Ley 1882 de 2018 y la implementación de la Tienda Virtual y el SECOP II.</t>
  </si>
  <si>
    <t>BARRIO LOS NARANJOS CALLE 50 N° 14-57</t>
  </si>
  <si>
    <t>09 DE AGOSTO DE 2018</t>
  </si>
  <si>
    <t xml:space="preserve">CLL 19 N° 13-17 5 PARQUE OLAYA </t>
  </si>
  <si>
    <t>08 DE AGOSTO DE 2018</t>
  </si>
  <si>
    <t>SERVICIOS DE UN PROFESIONAL PARA EL APOYO EN LA REALIZACIÓN DE ACTIVIDADES PARA EL FORTALECIMIENTO DEL SISTEMA DE GESTIÓN DE CALIDAD EN LAS ÁREAS DE DIRECCIÓN Y VIVIENDA.</t>
  </si>
  <si>
    <t>Apoyar en la actualización de los procedimientos internos que hagan parte del Sistema de Gestión de la Calidad</t>
  </si>
  <si>
    <t xml:space="preserve">Apoyar y asesorar en la actualización de mapa de riesgos de gestión y corrupción (cuando aplique), teniendo en cuenta los lineamientos establecidos en la “Guía para la Administración del Riesgo de corrupción y manual de administración de riesgo de gestión vigente.   </t>
  </si>
  <si>
    <t xml:space="preserve">Participar en la planificación, formulación, desarrollo y consolidación del Modelo Integrado de planeación y gestión. </t>
  </si>
  <si>
    <r>
      <t>Participar en la formulación de recomendaciones producto de evaluaciones, revisiones y seguimientos, realizados a las áreas mencionadas.</t>
    </r>
    <r>
      <rPr>
        <b/>
        <sz val="12"/>
        <color rgb="FF000000"/>
        <rFont val="Arial"/>
        <family val="2"/>
      </rPr>
      <t xml:space="preserve"> </t>
    </r>
  </si>
  <si>
    <t>Colaborar activamente en el seguimiento al cumplimiento de planes de mejoramiento de calidad formulados</t>
  </si>
  <si>
    <t xml:space="preserve">Participar en la formulación del informe de la revisión por la dirección  </t>
  </si>
  <si>
    <t xml:space="preserve">Participar en el desarrollo del proceso de participación ciudadana  </t>
  </si>
  <si>
    <t xml:space="preserve">Presentar informe de actividades realizadas, para determinar los logros de cumplimiento.  </t>
  </si>
  <si>
    <t>2.1.1.2.01</t>
  </si>
  <si>
    <t>BARRIO LOS NARANJOS CALLE 50 N° 14-58</t>
  </si>
  <si>
    <t>131-18</t>
  </si>
  <si>
    <t xml:space="preserve">BACHILLER </t>
  </si>
  <si>
    <t xml:space="preserve">MZ 5  CS 13 VILLA DEL CAMPO </t>
  </si>
  <si>
    <t>PRESTAR SERVICIOS DE APOYO  A LA GESTION  EN LOS PROCESOS Y PROCEDIMIENTOS DE ADMINISTRACIÓN DEL RECURSO HUMANO Y DEL ÁREA FINANCIERA  DEL INSTITUTO DE DESARROLLO MUNICIPAL</t>
  </si>
  <si>
    <t xml:space="preserve">Apoyo en los procesos relacionados con el aplicativo SIGEP de los funcionarios del IDM. </t>
  </si>
  <si>
    <t xml:space="preserve">Apoyo en los procesos relacionados con las historias laborales del personal activo de la entidad. </t>
  </si>
  <si>
    <t>Apoyo en los procesos relacionados con las historias laborales del personal retirado de la entidad.</t>
  </si>
  <si>
    <t xml:space="preserve"> Apoyo en el manejo y expedición de certificados y formatos de historias laborales de Valorización y Fondo de Vivienda.</t>
  </si>
  <si>
    <t xml:space="preserve"> Apoyo en las respuestas a los derechos de petición del área de Recursos humanos.</t>
  </si>
  <si>
    <t xml:space="preserve"> Apoyo en las labores de archivo de los documentos del área de recursos humanos y de presupuesto.</t>
  </si>
  <si>
    <t>Apoyo y control de los programas y planes de capacitación, seguimiento y actas de comité</t>
  </si>
  <si>
    <t>BARRIO LOS NARANJOS CALLE 50 N° 14-59</t>
  </si>
  <si>
    <t>BARRIO LOS NARANJOS CALLE 50 N° 14-60</t>
  </si>
  <si>
    <t>15 DE AGOSTO DE 2018</t>
  </si>
  <si>
    <t>136-18</t>
  </si>
  <si>
    <t xml:space="preserve">CRA 19 N° 19-68 DOSQUEBRADAS </t>
  </si>
  <si>
    <t>ABENJUMEA@GMAIL,COM</t>
  </si>
  <si>
    <t>APOYO A LA GESTIÓN PARA LA COORDINACIÓN Y ADMINISTRACIÓN DEL PLAN DE MOVILIDAD Y CONECTIVIDAD DEL MUNICIPIO DE DOSQUEBRADAS, EN TEMAS RELACIONADOS CON LA PARTE PRESUPUESTAL Y CONTABLE</t>
  </si>
  <si>
    <t xml:space="preserve">Apoyo en las labores de archivo de los documentos del Plan de Movilidad y Conectividad. </t>
  </si>
  <si>
    <t xml:space="preserve">Manejar y alimentar el aplicativo de presupuesto en lo referente a los Certificados de Disponibilidad Presupuestal, Registro Presupuestal y Obligación Presupuestal del año del Plan de Movilidad y Conectividad. </t>
  </si>
  <si>
    <t xml:space="preserve">Cruzar mensualmente los saldos del aplicativo presupuestal del Plan de Movilidad y Conectividad con los saldos del programa de presupuesto oficial del Instituto de Desarrollo Municipal (SIIGO). </t>
  </si>
  <si>
    <t xml:space="preserve">Apoyo en la respuesta a los derechos de petición del Plan de Movilidad y Conectividad que tengan relación con el objeto contractual. </t>
  </si>
  <si>
    <t xml:space="preserve">Ordenar de forma cronológica y acorde a la ley general de archivo (ley 599/2000) la documentación contable del Plan de Movilidad y Conectividad de Dosquebradas.  </t>
  </si>
  <si>
    <t>Apoyar la atención a los contribuyentes y al público en general respecto de las inquietudes o necesidades generadas por la gestión del Plan de Movilidad y Conectividad de Dosquebradas</t>
  </si>
  <si>
    <t xml:space="preserve">UNIVERSIDAD NACIONAL DE COLOMBIA </t>
  </si>
  <si>
    <t>BARRIO LOS NARANJOS CALLE 50 N° 14-61</t>
  </si>
  <si>
    <t>31 DE AGOSTO DE 2018</t>
  </si>
  <si>
    <t xml:space="preserve">CRA 45 26 85 OF 481 EDIF GUTIERREZ BOGOTA </t>
  </si>
  <si>
    <t>DIVNACC_NAL@UNAL.EDU.CO</t>
  </si>
  <si>
    <t>2.1.2.2.05</t>
  </si>
  <si>
    <t>BARRIO LOS NARANJOS CALLE 50 N° 14-62</t>
  </si>
  <si>
    <t>27 DE AGOSTO DE 2018</t>
  </si>
  <si>
    <t>141-18</t>
  </si>
  <si>
    <t>CRA 8 33 75 PEREIRA</t>
  </si>
  <si>
    <t>CONTABILIDAD@ELDIARIO.COM.CO</t>
  </si>
  <si>
    <t xml:space="preserve">SUSCRIPCION DE UN PERIODICO EN CIRCULACION CON PRESENCIA EN EL DEPARTAMENTO DE RISARALDA </t>
  </si>
  <si>
    <t>BARRIO LOS NARANJOS CALLE 50 N° 14-63</t>
  </si>
  <si>
    <t>30 DE AGOSTO DE 2018</t>
  </si>
  <si>
    <t>145-18</t>
  </si>
  <si>
    <t xml:space="preserve">CRA 11 N° 38- 140 APT C-101 CATALUÑA APT </t>
  </si>
  <si>
    <t>29 DE DICIEMBRE DE 2018</t>
  </si>
  <si>
    <t>PRESTACIÓN DE SERVICIOS PROFESIONALES COMO INGENIERO CIVIL CON ESTUDIOS DE POSGRADO PARA REALIZAR LA SUPERVISIÓN DEL CONTRATO INTERADMINISTRATIVO SUSCRITO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Y DE LOS CONTRATOS DE PRESTACIÓN DE SERVICIOS REQUERIDOS PARA APOYAR LA SUPERVISIÓN</t>
  </si>
  <si>
    <t>realizar las supervisiones a los profesionales especializados que hacen parte del equipo supervisor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</si>
  <si>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realizar la supervisión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</si>
  <si>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realizar actividades administrativas dentro del componente técnico que sean necesarias en la supervisión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</si>
  <si>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 xml:space="preserve">participar en las reuniones o comités convocados para avanzar en la ejecución de los estudios y diseños y en la construcción de las obras de infraestructura del plan de movilidad y conectividad del municipio de dosquebradas. </t>
  </si>
  <si>
    <t>mantener enterada a la subdirección acerca de las novedades, eventualidades y/o situaciones ocurridas en el marco de la ejecución contractual de los estudios y diseños de obra, la construcción y su respectiva supervisión.</t>
  </si>
  <si>
    <t xml:space="preserve">facilitar las reuniones requeridas con entidades oficiales y/o privadas, como empresas de servicios públicos, autoridades administrativas, organizaciones empresariales, entre otras, que se requieran para la correcta ejecución del plan de movilidad y conectividad de dosquebradas. </t>
  </si>
  <si>
    <t>apoyar la liquidación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</si>
  <si>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BARRIO LOS NARANJOS CALLE 50 N° 14-64</t>
  </si>
  <si>
    <t>146-18</t>
  </si>
  <si>
    <t xml:space="preserve">CRA 6 N° 37-51 PRIMERO DE FEBRERO </t>
  </si>
  <si>
    <t>PRESTACIÓN DE SERVICIOS PROFESIONALES COMO INGENIERO CIVIL CON ESPECIALIZACIÓN EN: VIAS Y TRANSPORTE, ESTRUCTURAS, GERENCIA DE PROYECTOS, Y PATOLOGÍA DE LA CONSTRUCCIÓN PARA REALIZAR LA SUPERVISIÓN DEL EQUIPO TÉCNICO SUPERVISOR Y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</si>
  <si>
    <r>
      <t xml:space="preserve">supervisar la ejecución de los contratos de los profesionales especializados que hacen parte del equipo de trabajo de la supervisión del contrato interadministrativo para la </t>
    </r>
    <r>
      <rPr>
        <sz val="12"/>
        <color rgb="FF212121"/>
        <rFont val="Arial"/>
        <family val="2"/>
      </rPr>
      <t>“elaboración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r>
    <r>
      <rPr>
        <sz val="12"/>
        <color rgb="FF000000"/>
        <rFont val="Arial"/>
        <family val="2"/>
      </rPr>
      <t xml:space="preserve"> </t>
    </r>
  </si>
  <si>
    <r>
      <t xml:space="preserve">realizar la supervisión del contrato interadministrativo para la </t>
    </r>
    <r>
      <rPr>
        <sz val="12"/>
        <color rgb="FF212121"/>
        <rFont val="Arial"/>
        <family val="2"/>
      </rPr>
      <t>“elaboración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r>
  </si>
  <si>
    <r>
      <t xml:space="preserve">realizar las revisiones de los productos e insumos entregados por el contratista de estudios y diseños (levantamiento topografico, estudio interferencia de redes, estudio de suelos y geotecnia, estudio hidrológico, evaluación de impacto y valoración ambiental, diseño geometrico, alineamiento vertical y horizontal, diseño estructura del pavimento, diseño señalización y demarcación vial, estudio de tránsito y plan de manejo de transito, diseño estructural, diseño urbanístico y paisajístico, diseño de redes de servicios públicos, cálculo de costos, presupuestos, especificaciones técnicas y programación de obra) del contrato interadministrativo para la </t>
    </r>
    <r>
      <rPr>
        <sz val="12"/>
        <color rgb="FF212121"/>
        <rFont val="Arial"/>
        <family val="2"/>
      </rPr>
      <t>“elaboración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r>
  </si>
  <si>
    <r>
      <t xml:space="preserve">realizar la aprobación del diseño geometrico, alineamiento vertical y horizontal, entregados por el contratista de estudios y diseños, del contrato interadministrativo para la </t>
    </r>
    <r>
      <rPr>
        <sz val="12"/>
        <color rgb="FF212121"/>
        <rFont val="Arial"/>
        <family val="2"/>
      </rPr>
      <t>“elaboración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r>
  </si>
  <si>
    <t>participar en las reuniones o comités convocados para avanzar en la ejecución de los estudios y diseños y en la construcción de las obras de infraestructura del plan de movilidad y conectividad del municipio de dosquebradas.</t>
  </si>
  <si>
    <t xml:space="preserve">mantener enterada a la subdirección acerca de las novedades, eventualidades y/o situaciones ocurridas en el marco de la ejecución contractual de los estudios y diseños de obra, la construcción y su respectiva supervisión. </t>
  </si>
  <si>
    <t>facilitar las reuniones requeridas con entidades oficiales y/o privadas, como empresas de servicios públicos, autoridades administrativas, organizaciones empresariales, entre otras, que se requieran para la correcta ejecución del plan de movilidad y conectividad de dosquebradas</t>
  </si>
  <si>
    <r>
      <t xml:space="preserve">apoyar la liquidación del contrato interadministrativo para la </t>
    </r>
    <r>
      <rPr>
        <sz val="12"/>
        <color rgb="FF212121"/>
        <rFont val="Arial"/>
        <family val="2"/>
      </rPr>
      <t>“elaboración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r>
  </si>
  <si>
    <t xml:space="preserve">CARMEN ELISA CARDOSO MORENO </t>
  </si>
  <si>
    <t>BARRIO LOS NARANJOS CALLE 50 N° 14-65</t>
  </si>
  <si>
    <t xml:space="preserve">NELSON ODENS MORA FRANCO </t>
  </si>
  <si>
    <t>147-18</t>
  </si>
  <si>
    <t xml:space="preserve">INGENIERA CIVIL </t>
  </si>
  <si>
    <t xml:space="preserve">CLL 15 N° 35-33 LA ORQUIDEA HUILA </t>
  </si>
  <si>
    <t>ING.CARDO@HOTMAL.COM</t>
  </si>
  <si>
    <t>"PRESTACIÓN DE SERVICIOS PROFESIONALES COMO INGENIERO CIVIL CON ESPECIALIZACIÓN EN GEOTECNIA VIAL Y PAVIMENTOS, PARA REALIZAR LA SUPERVISIÓN DEL COMPONENTE DISEÑO GEOMETRICO Y DISEÑO DE PAVIMENTOS DEL CONTRATO INTERADMINISTRATIVO PARA LA ELABORACIÓN DE LOS ESTUDIOS Y DISEÑOS DEFINITIVOS FASE 3 DE “SOLUCIÓN VIAL QUEBRADA LA VIBORA – MOLIVENTO, SOLUCIÓN VIAL LA POPA, SOLUCIÓN VIAL CALLE 50, SOLUCIÓN VIAL PRADO VERDE -  LA PRADERA DENTRO DEL PLAN DE MOVILIDAD Y CONECTIVIDAD DE DOSQUEBRADAS DE CONFORMIDAD CON EL ACUERDO 035 DE 2016 Y EL PLAN DE DESARROLLO “DOSQUEBRADAS COMPROMISO DE TODOS”</t>
  </si>
  <si>
    <r>
      <t xml:space="preserve">Realizar la supervisión del componente </t>
    </r>
    <r>
      <rPr>
        <u/>
        <sz val="12"/>
        <color rgb="FF000000"/>
        <rFont val="Arial"/>
        <family val="2"/>
      </rPr>
      <t xml:space="preserve">DISEÑO GEOMETRICO Y DISEÑO DE PAVIMENTOS </t>
    </r>
    <r>
      <rPr>
        <sz val="12"/>
        <color rgb="FF000000"/>
        <rFont val="Arial"/>
        <family val="2"/>
      </rPr>
      <t xml:space="preserve">en el marco del contrato interadministrativo para la elaboración de los estudios y diseños definitivos fase 3 conformado por: Solución Vial Quebrada la Víbora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r>
    <r>
      <rPr>
        <b/>
        <sz val="12"/>
        <color rgb="FF000000"/>
        <rFont val="Arial"/>
        <family val="2"/>
      </rPr>
      <t xml:space="preserve"> </t>
    </r>
  </si>
  <si>
    <t xml:space="preserve">Presentar semanalmente al Supervisor del Instituto de Desarrollo Municipal un informe técnico que  describa el avance o retraso de labores en la ejecución del contrato interadministrativo para la elaboración de los estudios y diseños definitivos fase 3  conformado por: Solución Vial Quebrada La Víbora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</si>
  <si>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Solicitar ajustes, supervisar y aprobar  los estudios y diseños del componente DISEÑO GEOMETRICO Y DISEÑO DE PAVIMENTOS, de las soluciones viales quebrada la Víbora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</si>
  <si>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r>
      <t xml:space="preserve">Realizar las revisiones de los productos e insumos entregados por el contratista de estudios y diseños </t>
    </r>
    <r>
      <rPr>
        <i/>
        <u/>
        <sz val="12"/>
        <color rgb="FF000000"/>
        <rFont val="Arial"/>
        <family val="2"/>
      </rPr>
      <t>(levantamiento topográfico, estudio interferencia de redes, estudio de suelos y geotecnia, diseño geométrico, alineamiento vertical y horizontal, diseño estructura del pavimento, diseño señalización y demarcación vial, estudio de tránsito y plan de manejo de tránsito, diseño urbanístico y paisajístico, diseño de redes de servicios públicos, cálculo de costos, presupuestos, especificaciones técnicas)</t>
    </r>
    <r>
      <rPr>
        <sz val="12"/>
        <color rgb="FF000000"/>
        <rFont val="Arial"/>
        <family val="2"/>
      </rPr>
      <t xml:space="preserve"> del contrato interadministrativo para la elaboración de los estudios y diseños definitivos fase 3 conformado por: Solución Vial Quebrada La Víbora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r>
  </si>
  <si>
    <r>
      <t xml:space="preserve">) </t>
    </r>
    <r>
      <rPr>
        <sz val="12"/>
        <color rgb="FF000000"/>
        <rFont val="Arial"/>
        <family val="2"/>
      </rPr>
      <t xml:space="preserve">Apoyar en la consolidación de los diferentes informes técnicos, administrativos y/o financieros del avance de los estudios y diseños de la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r>
  </si>
  <si>
    <t xml:space="preserve">Participar en las reuniones o comités convocados para avanzar en la ejecución de los estudios y diseños del Plan de Movilidad y Conectividad del municipio de Dosquebradas. </t>
  </si>
  <si>
    <t>Mantener enterada a la Subdirección acerca de las novedades, eventualidades y/o situaciones ocurridas en el marco de la ejecución contractual de los estudios y diseños de obra y su respectiva supervisión.</t>
  </si>
  <si>
    <t xml:space="preserve">Facilitar y tramitar las reuniones e información pertinente  requeridas con entidades oficiales y/o privadas, como Empresas De Servicios Públicos, Autoridades Administrativas, Organizaciones Empresariales, entre otras, que se requieran para la correcta ejecución del Plan de Movilidad y Conectividad de Dosquebradas. </t>
  </si>
  <si>
    <t>Apoyar la liquidación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</si>
  <si>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 xml:space="preserve">HAWIN CIFUENTES BLANDON </t>
  </si>
  <si>
    <t>BARRIO LOS NARANJOS CALLE 50 N° 14-66</t>
  </si>
  <si>
    <t>03 DE SEPTIEMBRE DE 2018</t>
  </si>
  <si>
    <t>155-18</t>
  </si>
  <si>
    <t>TEGNOLOGO TOPOGRAFIA</t>
  </si>
  <si>
    <t xml:space="preserve">AV BOLIVAR 45N 68 B 5 EDEN LA VICTORIA ARMENIA </t>
  </si>
  <si>
    <t>HARWIN_182@HOTMAIL.COM</t>
  </si>
  <si>
    <t>01 SEPTIEMBRE DE 2018</t>
  </si>
  <si>
    <t xml:space="preserve">OSCAR URIBE PEREZ </t>
  </si>
  <si>
    <t>BARRIO LOS NARANJOS CALLE 50 N° 14-67</t>
  </si>
  <si>
    <t>149-18</t>
  </si>
  <si>
    <t xml:space="preserve">INGENIERO ELECTRICISTA </t>
  </si>
  <si>
    <t>CLL 17 N° 23 -55 APT 404 PEREIRA</t>
  </si>
  <si>
    <t>OSCARURIBE20@HOTMAIL.COM</t>
  </si>
  <si>
    <t xml:space="preserve">29 DE DFICIEMBRE DE 2018 </t>
  </si>
  <si>
    <t>PRESTACIÓN DE SERVICIOS PROFESIONALES COMO INGENIERO ELECTRICISTA ESPECIALIZADO PARA REALIZAR LA SUPERVISIÓN DEL COMPONENTE ELÉCTRICO DEL CONTRATO INTERADMINISTRATIVO A SUSCRIBIR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</si>
  <si>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 xml:space="preserve">realizar la supervisión del componente eléctrico, alumbrado público y de telecomunicaciones en el marco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</si>
  <si>
    <r>
      <t xml:space="preserve">presentar semanalmente al supervisor del instituto de desarrollo municipal un informe técnico que describa el avance o retraso de labores en la ejecución del contrato interadministrativo para la </t>
    </r>
    <r>
      <rPr>
        <sz val="12"/>
        <color rgb="FF000000"/>
        <rFont val="Arial"/>
        <family val="2"/>
      </rPr>
      <t xml:space="preserve">“elaboración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r>
  </si>
  <si>
    <r>
      <t>solicitar ajustes, supervisar y aprobar, los estudios y diseños del componente eléctrico, alumbrado público y de telecomunicaciones de las soluciones viales quebrada la víbora – molivento, solución vial calle 50, solución vial prado verde -  la pradera, solución vial la popa (la popa – valher – abb)” dentro del “plan de movilidad y conectividad de dosquebradas</t>
    </r>
    <r>
      <rPr>
        <sz val="12"/>
        <color rgb="FF212121"/>
        <rFont val="Arial"/>
        <family val="2"/>
      </rPr>
      <t xml:space="preserve"> de conformidad con el acuerdo 035 de 2016 y el plan de desarrollo “dosquebradas compromiso de todos”. </t>
    </r>
  </si>
  <si>
    <t xml:space="preserve">realizar las revisiones de los productos e insumos entregados por el contratista de estudios y diseños (estudio interferencia de redes,  diseño urbanístico y paisajístico, diseño de redes de servicios públicos, cálculo de costos, presupuestos, especificaciones técnicas)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</si>
  <si>
    <t xml:space="preserve">apoyar en la consolidación de los diferentes informes técnicos, administrativos y/o financieros del avance de los estudios y diseños de la solución vial quebrada la vibora – molivento, solución vial calle 50, solución vial prado verde -  la pradera, solución vial la popa (la popa – valher – abb)” dentro del “plan de movilidad y conectividad de dosquebradas. </t>
  </si>
  <si>
    <t xml:space="preserve">participar en las reuniones o comités convocados para avanzar en la ejecución de los estudios y diseños del plan de movilidad y conectividad del municipio de dosquebradas. </t>
  </si>
  <si>
    <r>
      <t>mantener enterada a la subdirección acerca de las novedades, eventualidades y/o situaciones ocurridas en el marco de la ejecución contractual de los estudios y diseños de obra y su respectiva supervisión.</t>
    </r>
    <r>
      <rPr>
        <sz val="12"/>
        <color rgb="FF000000"/>
        <rFont val="Arial"/>
        <family val="2"/>
      </rPr>
      <t xml:space="preserve"> </t>
    </r>
  </si>
  <si>
    <t>facilitar y tramitar las reuniones e información pertinente  requerida con entidades oficiales y/o privadas, como empresas de servicios públicos, autoridades administrativas, organizaciones empresariales, entre otras, que se requieran para la correcta ejecución del plan de movilidad y conectividad de dosquebradas.</t>
  </si>
  <si>
    <r>
      <t>apoyar la liquidación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r>
    <r>
      <rPr>
        <sz val="12"/>
        <color rgb="FF212121"/>
        <rFont val="Arial"/>
        <family val="2"/>
      </rPr>
      <t> </t>
    </r>
  </si>
  <si>
    <t xml:space="preserve">JOHN ALEJANDRO GRAJALES JARAMILLO </t>
  </si>
  <si>
    <t>BARRIO LOS NARANJOS CALLE 50 N° 14-68</t>
  </si>
  <si>
    <t>050-18</t>
  </si>
  <si>
    <t>AV LAS AMERICASN° 50-03 BLOQUE 4  APT 406</t>
  </si>
  <si>
    <t>ING,ALEJANDRO.GRAJALES@GMAIL.COM</t>
  </si>
  <si>
    <t>RAMON EDUARDO OSPINA ROBLEDO</t>
  </si>
  <si>
    <t>BARRIO LOS NARANJOS CALLE 50 N° 14-69</t>
  </si>
  <si>
    <t>MZ 2 CS 37 CORALES PEREIRA</t>
  </si>
  <si>
    <t>REOSPINA@GMAIL.COM</t>
  </si>
  <si>
    <t xml:space="preserve">MYRIAM PAOLA SALAZAR JAIMES </t>
  </si>
  <si>
    <t>BARRIO LOS NARANJOS CALLE 50 N° 14-70</t>
  </si>
  <si>
    <t>052-18</t>
  </si>
  <si>
    <t>BIOLOGA</t>
  </si>
  <si>
    <t>AV AMERICA N° 93-20MZ 9  CS 8 BARRANQUILLA</t>
  </si>
  <si>
    <t>SALAZARJMYRIAM@GMAIL.COM</t>
  </si>
  <si>
    <t>BARRIO LOS NARANJOS CALLE 50 N° 14-71</t>
  </si>
  <si>
    <t>BARRIO LOS NARANJOS CALLE 50 N° 14-72</t>
  </si>
  <si>
    <t>BARRIO LOS NARANJOS CALLE 50 N° 14-73</t>
  </si>
  <si>
    <t>BARRIO LOS NARANJOS CALLE 50 N° 14-74</t>
  </si>
  <si>
    <t>BARRIO LOS NARANJOS CALLE 50 N° 14-75</t>
  </si>
  <si>
    <t>BARRIO LOS NARANJOS CALLE 50 N° 14-76</t>
  </si>
  <si>
    <t>BARRIO LOS NARANJOS CALLE 50 N° 14-77</t>
  </si>
  <si>
    <t>BARRIO LOS NARANJOS CALLE 50 N° 14-78</t>
  </si>
  <si>
    <t>BARRIO LOS NARANJOS CALLE 50 N° 14-79</t>
  </si>
  <si>
    <t>BARRIO LOS NARANJOS CALLE 50 N° 14-80</t>
  </si>
  <si>
    <t>TOTAL SEG. CONTR.</t>
  </si>
  <si>
    <t>correspondiente a su afiliación al sistema  Seguridad Social y ARL y se encuentra  al día durante mes de: _____________  , con dichas obligaciones legales. De igual forma certifico que el contratista, realizó el BACKUP correspondiente a la información que maneja dentro de la entidad.</t>
  </si>
  <si>
    <t>3.0</t>
  </si>
  <si>
    <t xml:space="preserve">correspondiente a su afiliación al sistema  Seguridad Social y ARL y se encuentra  al día durante mes de: </t>
  </si>
  <si>
    <t>ENERO</t>
  </si>
  <si>
    <t>FEBRERO</t>
  </si>
  <si>
    <t>MARZO</t>
  </si>
  <si>
    <t>ABRIL</t>
  </si>
  <si>
    <t>MAYO</t>
  </si>
  <si>
    <t>JUNIO</t>
  </si>
  <si>
    <t>JULIO</t>
  </si>
  <si>
    <t>AGOSTO</t>
  </si>
  <si>
    <t>SEPTIEMBRE</t>
  </si>
  <si>
    <t>OCTUBRE</t>
  </si>
  <si>
    <t>NOVIEMBRE</t>
  </si>
  <si>
    <t>DICIEMBRE</t>
  </si>
  <si>
    <t>con dichas obligaciones legales. De igual forma certifico que el contratista</t>
  </si>
  <si>
    <t>realizo el respaldo magnetico del informe</t>
  </si>
  <si>
    <t>ALEJANDRO RAMIREZ GÓMEZ/C2</t>
  </si>
  <si>
    <t>ARACELLY BENJUMEA/C2</t>
  </si>
  <si>
    <t xml:space="preserve">GERMAN GARCIA CORRALES/C2 </t>
  </si>
  <si>
    <t>LINA MARIA MARTINEZ VALENCIA/C2</t>
  </si>
  <si>
    <t xml:space="preserve">MARCO ANTONIO PEREZ RESTREPO/C2 </t>
  </si>
  <si>
    <t>MARITZA MEJIA JIMENEZ/C2</t>
  </si>
  <si>
    <t>NELSON ODENS MORA FRANCO/C2</t>
  </si>
  <si>
    <t>3.1</t>
  </si>
  <si>
    <t>y el/la contratista</t>
  </si>
  <si>
    <t>ACTA DE INICIO</t>
  </si>
  <si>
    <t>domingo, 22 de abril de 2018</t>
  </si>
  <si>
    <t>miércoles, 23 de mayo de 2018</t>
  </si>
  <si>
    <t>jueves, 22 de febrero de 2018</t>
  </si>
  <si>
    <t>jueves, 22 de marzo de 2018</t>
  </si>
  <si>
    <t>ACTA DE SUSPENSION</t>
  </si>
  <si>
    <t>ACTA DE REINICIO</t>
  </si>
  <si>
    <t>ACTA FINAL</t>
  </si>
  <si>
    <t>ACTA DE LIQUIDACION</t>
  </si>
  <si>
    <t>ACTA DE PACTACION DE PRECIOS</t>
  </si>
  <si>
    <t>con el fin de realizar la siguiente acta de pactación de precios de ítems nuevos, ya que en el</t>
  </si>
  <si>
    <t>presupuesto inicial, no se consideraron y son de necesaria ejecución para el correcto termino del contrato.</t>
  </si>
  <si>
    <t>INFORME DE ACTIVIDADES-ANEXO</t>
  </si>
  <si>
    <t>PRESTACION DE SERVICIOS REALIZANDO ACOMPAÑAMIENTO Y SEGUIMIENTO A LOS PROCESOS QUE SE ADELANTEN CON LA COMUNIDAD DE MULTIFAMILIARES LOS JUNCOS EN EL MARCO DE LAS OBLIGACIONES CONTENIDAS EN EL DECRETO 1077 DE 2015 Y LAS NORMAS QUE LO COMPLEMENTEN</t>
  </si>
  <si>
    <t xml:space="preserve">JOSE ANDRES LOPEZ SANCHEZ </t>
  </si>
  <si>
    <t>16 DE OCTUBRE DE 2018</t>
  </si>
  <si>
    <t>243-18</t>
  </si>
  <si>
    <t xml:space="preserve">CLL 18 N° 21-71 SAN SIMON CS 4 SANTA MONICA </t>
  </si>
  <si>
    <t>EMMANUELLOPEZSALAZAR@HOTMAIL.COM</t>
  </si>
  <si>
    <t>30 DE DICIEMBREDE 2018</t>
  </si>
  <si>
    <t>Brindar acompañamiento a las familias beneficiarias del proyecto multifamiliares Los Juncos.</t>
  </si>
  <si>
    <t xml:space="preserve">Apoyar en la identificación y caracterización de las familias residentes del proyecto multifamiliares Los Juncos y su respectiva actualizacion  </t>
  </si>
  <si>
    <t xml:space="preserve">Apoyar en el desarrollo de los procesos de revocatoria y saneamiento que realice el IDM en el proyecto multifamiliares Los Juncos.  </t>
  </si>
  <si>
    <t xml:space="preserve">. Acompañamiemto en la realización de visitas a las unidades de vivienda en Multifamiliares Los Juncos. </t>
  </si>
  <si>
    <t xml:space="preserve">Apoyo en el archivo y organización de la documentación en cumplimiento al objeto contractual. </t>
  </si>
  <si>
    <t xml:space="preserve"> Realizar el acompañamiento de las actividades, reuniones y solicitudes realizadas por los consejos Administrativos de la propiedad Horizontal Multifamiles Los Juncos</t>
  </si>
  <si>
    <t xml:space="preserve">Apoyo en la elaboración de informes con los respectivos formatos, encuestas y tablas físicas y magnéticas oficiales exigidas por el ministerio de vivienda, departamento para la prosperidad social u otro organismo nacional, departamental o municipal, en cumplimiento de las labores al seguimiento de la vivienda de interes prioritario. </t>
  </si>
  <si>
    <t>Apoyo en la ejecución del cronograma del IDM Rodante con el objeto de actualizar la base de datos Institucional.</t>
  </si>
  <si>
    <t>relizar las labores de archivo, tabulacion y alimentacion de la base de datos que resulten del proceso de seguimiento del proyecto los juncos.</t>
  </si>
  <si>
    <t>GLORIA INES GIRALDO RAMIREZ C2</t>
  </si>
  <si>
    <t>241-18</t>
  </si>
  <si>
    <t xml:space="preserve">QUITAS DE JARDIN COLONIAL CS 4 </t>
  </si>
  <si>
    <t>30 DE DICIEMBRE DE 2018</t>
  </si>
  <si>
    <t>REALIZAR EL ACOMPAÑAMIENTO Y SEGUIMIENTO SOCIAL EN LOS PROCESOS DE REVOCATORIA EN EL PROYECTO MULTIFAMILIARES EL ENSUEÑO Y EN LOS PROCESOS DE VISITAS SOCIALES DE LOS MEJORAMIENTOS DE VIVIENDA EN VIRTUD  A LAS OBLIGACIONES ESTIPULADAS EN LA LEY 1537 DE 2012</t>
  </si>
  <si>
    <t xml:space="preserve">Apoyar al Instituto en elseguimiento de  el proceso de revocatoria en el proyecto multifamiliares El Ensueño que se han iniciado o llevado a cabo por el Ministerio de Vivienda o Fonvivienda. </t>
  </si>
  <si>
    <t xml:space="preserve">Apoyar el IDM en la realizacion del censo en el barrio el Ensueño de acuerdo a las instrucciones dadas por la entidad. </t>
  </si>
  <si>
    <t xml:space="preserve">3 Prestar acompañamiento en el seguimiento de los procesos de vivienda gratuita de forma especial en el proyecto el Ensueño. </t>
  </si>
  <si>
    <t>Relizar el archivo, tabulacion y alimentacion de los formatos y encuestas realizadas en el marco del contrato.</t>
  </si>
  <si>
    <t xml:space="preserve">Acompañamiento en los procesos de mejoramientos que desarrolla el Instituto. </t>
  </si>
  <si>
    <t xml:space="preserve">Desarrollar las actas que requiere el equipo social con relación a los mejoramientos de vivienda, de acuerdo al formato diseñado por el Instituto </t>
  </si>
  <si>
    <t xml:space="preserve">Acompañamiento en el Censo de vivienda gratuita </t>
  </si>
  <si>
    <t xml:space="preserve">CARPAJACK R/L JULIO JACKSON BARAJAS </t>
  </si>
  <si>
    <t>28 DE SEPTIEMBRE DE 2018</t>
  </si>
  <si>
    <t>231-18</t>
  </si>
  <si>
    <t>AV TRONCAL DE OCC 2A 9-176 KM 11</t>
  </si>
  <si>
    <t>CARPAJACK@HOTMAIL.COM</t>
  </si>
  <si>
    <t>04 DE OCTUBRE DE 2018</t>
  </si>
  <si>
    <t xml:space="preserve">PRESTAR LOS SERVICIOS DE ALQUILER DE CARPAS Y LOGISTICA PARA ACTIVIDADES DE APOYO SOCIAL Y SEGUIMIENTO A LAS COMUNIDADES BENEFICIADAS CON LOS PROYECTOS DE VIVIENDA JUNCOS Y SAN MARCOS </t>
  </si>
  <si>
    <t xml:space="preserve">DANIEL MONTES BERMUDEZ C2 </t>
  </si>
  <si>
    <t>233-18</t>
  </si>
  <si>
    <t xml:space="preserve">PR GALATEA T 1 APT 503 LOS ROSALES </t>
  </si>
  <si>
    <t>PRESTAR SERVICIOS PROFESIONALES COMO INGENIERO CIVIL APOYANDO A LA SUBDIRECCION TECNICA EN LA SUPERVISION DE LA EJECUCIÓN DE LOS SUBSIDIOS DE MEJORAMIENTO DE VIVIENDA QUE ADELANTE EL INSTITUTO</t>
  </si>
  <si>
    <t xml:space="preserve">Realizar la supervisión de la ejecución de los subsidios de mejoramiento de vivienda que adelante el instituto en el sector rural y urbano. </t>
  </si>
  <si>
    <t xml:space="preserve">Apoyo a la subdirección técnica en el apoyo al componente tecnico en los procesos de convocatorias y/o esquemas fiduciarios. </t>
  </si>
  <si>
    <t xml:space="preserve">Realizar  visitas tecnicas y todo lo concerniente en cuanto al aspecto tecnico de los subsidios de mejoramiento de vivienda que adelante el instituto. </t>
  </si>
  <si>
    <t xml:space="preserve">Realizar la actualización de los presupuestos, analisis unitarios y diagnosticos tecnicos de las viviendas objeto a recibir los subsidios de vivienda urbana y rural. </t>
  </si>
  <si>
    <t>Apoyo a la subdirección técnica en la realización de especificaciones tecnicas de los procesos de mejoramiento de vivienda urbano y rural que adelante el instituto.</t>
  </si>
  <si>
    <t xml:space="preserve">Presentar informes periodicos sobre el seguimiento a la ejecución de los subsidios de mejoramiento de vivienda conforme al avance que presente el socio constructor. </t>
  </si>
  <si>
    <t xml:space="preserve">Apoyo a la subdirección técnica en el análisis y revisión de estudios de suelo, planos estructurales, planos hidrosanitarios, planos eléctricos, análisis unitarios, presupuestos de obra y programación de obra entre otros de los proyectos de la vigencia 2018. </t>
  </si>
  <si>
    <t>Verificar la actualización de la base de datos SICRU, en cuanto al manejo de la información, a traves de la verificación de visitas tecnicas, organización de la información, con el fin de identificar posibles beneficiarios de mejoramiento de vivienda.</t>
  </si>
  <si>
    <t xml:space="preserve">Apoyo y acompañamiento en los procesos de gestión de calidad a cargo de gestión del hábitat. </t>
  </si>
  <si>
    <t xml:space="preserve">NATALIA MARIA RESTREPO FRANCO </t>
  </si>
  <si>
    <t xml:space="preserve">CRA33 N° 10-10 BOSQUES DE CANAN N CS 706 ALAMOS </t>
  </si>
  <si>
    <t>NATIS0111@HOTMAIL.COM</t>
  </si>
  <si>
    <t>PRESTACIÓN DE SERVICIOS PROFESIONALES COMO ABOGADO EN EL SEGUIMIENTO SOCIAL Y JURÍDICO DE LOS BENEFICIARIOS DE SUBSIDIOS EN LOS PROYECTOS DE VIVIENDA GRATUITA Y PROYECTOS DE VIVIENDA NUEVOS A CARGO DEL INSTITUTO DE DESARROLLO MUNICIPAL.</t>
  </si>
  <si>
    <t>Prestar asesoría jurídica al IDM en los procesos de seguimiento social y jurídico de los proyectos de vivienda a cargo de la Entidad.</t>
  </si>
  <si>
    <t>.       Desarrollar e impulsar los procesos de revocatoria de subsidios otorgados por el Instituto de Desarrollo Municipal en los proyectos de Vivienda.</t>
  </si>
  <si>
    <t xml:space="preserve">Realizar seguimiento a la revocatoria de subsidios de vivienda a cargo del Ministerio de Vivienda y Fonvivienda. </t>
  </si>
  <si>
    <t xml:space="preserve">Apoyar la estructuración y conformación  legal de las propiedad horizontales de los proyectos de vivienda a cargo del IDM en el marco de la Ley 675 de 2001 </t>
  </si>
  <si>
    <t>Acompañar jurídicamente las asambleas de las propiedades horizontales de los proyectos de vivienda a cargo de la Entidad.</t>
  </si>
  <si>
    <t xml:space="preserve">Prestar acompañamiento a las propiedades horizontales de los proyectos de vivienda gratuita en sus asambleas ordinarias y extraordinarias, además de apoyar la elaboración de documentos necesarios para su legalidad.     </t>
  </si>
  <si>
    <t xml:space="preserve">. Prestar apoyo y asistir en la Mesa Municipal de Vivienda Gratuita , como en las responsabilidades que se le asignen al IDM en las sesiones o comités que se desarrollen. </t>
  </si>
  <si>
    <t>Acompañar al IDM como entidad oferente en los procesos de posventa que surjan entre el Constructor y los beneficiarios en los proyectos de vivienda nueva.</t>
  </si>
  <si>
    <t xml:space="preserve">El supervisor del presente contrato es el ingeniero Hugo Mario Ramirez Jimenez, es firmado por el ingeniero Luis Fernando Arango Alvarez, Subdirector Técnico, ya que el supervisor se encontraba en el periodo de vacaciones. </t>
  </si>
  <si>
    <t xml:space="preserve">MAIRA ALEJANDRA OCAMPO RAMINIREZ </t>
  </si>
  <si>
    <t>0234-18</t>
  </si>
  <si>
    <t xml:space="preserve">MZ C CS 30 CARBONERO 2 </t>
  </si>
  <si>
    <t>OCAMPORMA@GMAIL.COM</t>
  </si>
  <si>
    <t xml:space="preserve">09 DE OCTUBRE DE 2018 </t>
  </si>
  <si>
    <t>PRESTAR SERVICIOS COMO TECNÓLOGA EN ANÁLISIS Y DESARROLLO DE SISTEMAS DE TECNOLOGÍA DE LA INFORMACIÓN PARA EL DESARROLLO DEL PROYECTO PLAN DE MOVILIDAD Y CONECTIVIDAD DE DOSQUEBRADAS APROBADO MEDIANTE ACUERDO 035 DE 2016</t>
  </si>
  <si>
    <t>COLPATRIA</t>
  </si>
  <si>
    <t>09 DE OCTUBRE DE 2018</t>
  </si>
  <si>
    <t xml:space="preserve"> Fortalecer la construcción de bases de datos requeridas para el Proyecto Plan de Movilidad y Conectividad.</t>
  </si>
  <si>
    <t xml:space="preserve">Apoyar la formulación y ejecución de aplicativos requeridos por la Subdirección técnica. </t>
  </si>
  <si>
    <t>Acompañar la instalación, mantenimiento, configuración y soporte de software y hardware requerida para el Plan de Movilidad y Conectividad.</t>
  </si>
  <si>
    <t>Acompañamineto en le soporte de informatica de la subdirección técnica como dependencia facilitadora el Proyecto Plan de Movilidad y Conectividad.</t>
  </si>
  <si>
    <t xml:space="preserve">Prestar acompañamiento en los procesos de mantenimiento de equipos de computo, de la Subdirección técnica como dependencia facilitadora del Proyecto Plan de Movilidad y Conectvidad. </t>
  </si>
  <si>
    <t xml:space="preserve">Apoyar la administración y control de copias de seguridad de los sistemas de información: SIIGO, Intranet, Sistemas GESAR, SAGA, entre otros, requeridos por la Subdirección Técnica como dependencia facilitadora del Proyecto Plan de Movilidad y Conectividad. </t>
  </si>
  <si>
    <t>Verificar e implementar las políticas y normas informáticas actuales.</t>
  </si>
  <si>
    <t>Apoyar desde su objeto el proceso del modelo integral de planeación y  gestión.</t>
  </si>
  <si>
    <t xml:space="preserve">PRESTACION DE SERVICIOS </t>
  </si>
  <si>
    <t xml:space="preserve">MARIA EMILIA PEREZ ALFARO C2 </t>
  </si>
  <si>
    <t>08 DE OCTUBRE DE 2018</t>
  </si>
  <si>
    <t>0235-18</t>
  </si>
  <si>
    <t xml:space="preserve">TECNOLOGA OBRAS CIVILES </t>
  </si>
  <si>
    <t xml:space="preserve">TECNOLOGA SISTEMAS </t>
  </si>
  <si>
    <t xml:space="preserve">CLL 34 Nª 13 46 B GUADALUPE </t>
  </si>
  <si>
    <t>PRESTAR SERVICIOS DE APOYO A LA GESTION DE LA SUBDIRECCION TECNICA,COMO TECNOLOGO EN CONTRUCCION, EN LA ACTUALIZACIÓN DE LA BASE DE DATOS SICRU ESPECIFICAMENTE EN EL PROGRAMA DE MEJORAMIENTO DE VIVIENDA</t>
  </si>
  <si>
    <t>08 OCTUBRE DE 2018</t>
  </si>
  <si>
    <t>Realizar no menos de 70 visitas tecnicas de mejoramiento de vivienda urbana o rural mensuales a su cuenta y costo con la finalidad de alimentar y actualizar la base de datos institucional SICRU.</t>
  </si>
  <si>
    <t xml:space="preserve">Subir a la plataforma SICRU no menos de 70 visitas tecnicas de mejoramiento de vivienda urbana o rural mensuales resultantes de las visitas tecnicas realizadas en campo. </t>
  </si>
  <si>
    <t xml:space="preserve">. Realizar registró fotográfico, diligenciamiento de acta de las visitas técnicas que realice en el marco del desarrollo del contrato. </t>
  </si>
  <si>
    <t xml:space="preserve">Apoyar en Las convocatorias que adelante el instituto realizando visitas, diagnostico, presupuestos y levantamientos que se requieran para la ejecución de mejoramientos de vivienda urbanos que adelante el instituto. </t>
  </si>
  <si>
    <t xml:space="preserve">Apoyar y brindar información de los proyectos y programas de vivienda que hacen parte del portafolio que ofrece el Instituto. </t>
  </si>
  <si>
    <t xml:space="preserve">Compilar a través de carpetas la documentación completa de las visitas técnicas de acuerdo a las normas de archivo que le exija la entidad y el supervisor adjuntando todos los documentos soportes. </t>
  </si>
  <si>
    <t>Apoyo en el desarrollo de las actividades del stand móvil “IDM RODANTE”.</t>
  </si>
  <si>
    <t>Las demás que le asigne el subdirector técnico y/o la Dirección general, que tengan que ver con el objeto contractual.</t>
  </si>
  <si>
    <t>SANDRA MILENA ANGARITA MONTOYA C2</t>
  </si>
  <si>
    <t>2..1.1.2.03</t>
  </si>
  <si>
    <t>11 DE OCTUBRE DE 2018</t>
  </si>
  <si>
    <t>0236-18</t>
  </si>
  <si>
    <t xml:space="preserve">AV SUR 8712 T 3 APT 503 </t>
  </si>
  <si>
    <t>22 DE DICIEMBRE DE 2018</t>
  </si>
  <si>
    <t>PRESTACIÓN DE SERVICIOS PROFESIONALES PARA EL APOYO EN LA EVALUACIÓN DE LA IMPLEMENTACIÓN DE LA NORMA ISO 9001:2015 Y DEL DECRETO 1072 DE 2015 EN EL INSTITUTO DE DESARROLLO MUNICIPAL DE DOSQUEBRADAS</t>
  </si>
  <si>
    <t>Apoyar la ejecución de las auditorías internas del sistema de gestión de calidad.</t>
  </si>
  <si>
    <t xml:space="preserve">Apoyar la ejecución de las auditorías internas del sistema de gestión de seguridad y salud en el trabajo. </t>
  </si>
  <si>
    <t xml:space="preserve">Coordinar la ejecución de la revisión por la dirección del sistema de gestión de calidad, seguridad y salud en el trabajo. </t>
  </si>
  <si>
    <t xml:space="preserve">Apoyar al COPASST y al Comité de Gestión y desempeño en sus reuniones cuando sea requerido. </t>
  </si>
  <si>
    <t>Apoyar la definición de acciones de mejora derivadas de las auditorias internas y la revisión por la dirección</t>
  </si>
  <si>
    <t xml:space="preserve">RIESGO I </t>
  </si>
  <si>
    <t>ADRIANA CRISTINA PULGARIN JARAMILLO C2</t>
  </si>
  <si>
    <t>0237-18</t>
  </si>
  <si>
    <t xml:space="preserve">MZ 29 CS 11 P INDUSTRIAL SEC A </t>
  </si>
  <si>
    <t>12 DE OCTUBRE DE 2018</t>
  </si>
  <si>
    <t>HENRY MONTOYA TANGARIFE C2</t>
  </si>
  <si>
    <t>0240-18</t>
  </si>
  <si>
    <t>TECNICO EN AGRICULTURA</t>
  </si>
  <si>
    <t xml:space="preserve">MZ 1 CS 9A BOSQUES DE LA ACUARELA 2 </t>
  </si>
  <si>
    <t>PRESTACION DE SERVICIOS REALIZANDO ACOMPAÑAMIENTO Y SEGUIMIENTO A LOS PROCESOS QUE SE ADELANTEN CON LA COMUNIDAD DE MULTIFAMILIARES LA GIRALDA EN EL MARCO DE LAS OBLIGACIONES CONTENIDAS EN EL DECRETO 1077 DE 2015 Y LAS NORMAS QUE LO COMPLEMENTEN</t>
  </si>
  <si>
    <t xml:space="preserve">Brindar acompañamiento a las familias beneficiarias del proyecto multifamiliares la Giralda. </t>
  </si>
  <si>
    <t xml:space="preserve">Apoyar en la identificación y caracterización de las familias residentes del proyecto multifamiliares la Giralda y su respectiva actualizacion  </t>
  </si>
  <si>
    <t>Apoyar en el desarrollo de los procesos de revocatoria y saneamiento que realice el IDM en el proyecto multifamiliares la Giralda.</t>
  </si>
  <si>
    <t xml:space="preserve">Acompañamiemto en la realización de visitas a las unidades de vivienda en Multifamiliares la giralda.   </t>
  </si>
  <si>
    <t>Apoyo en el archivo y organización de la documentación en cumplimiento al objeto contractual .</t>
  </si>
  <si>
    <t xml:space="preserve">Realizar el acompañamiento de las actividades, reuniones y solicitudes realizadas por los consejos Administrativos de la propiedad Horizontal Multifamiliares la Giralda. </t>
  </si>
  <si>
    <t xml:space="preserve">Apoyo en la elaboración de informes con los respectivos formatos, encuestas y tablas físicas y magnéticas oficiales exigidas por el ministerio de vivienda, departamento para la prosperidad social u otro organismo nacional, departamental o municipal, en cumplimiento de las labores al seguimiento de la vivienda interes prioritario. </t>
  </si>
  <si>
    <t>Realizar las labores de archivo, tabulación y alimentación de la base de datos que resulten del proceso de seguimiento del proyecto la Giralda.</t>
  </si>
  <si>
    <t xml:space="preserve">SANDRA MARIA VASQUEZ ARCILA C2 </t>
  </si>
  <si>
    <t>242-18</t>
  </si>
  <si>
    <t xml:space="preserve">TECNICO EN DECORACION DE ESPECIOS INTERIORES </t>
  </si>
  <si>
    <t xml:space="preserve">CRA 13 Nº 11 27 CASA CENTRO </t>
  </si>
  <si>
    <t>APOYAR LA ELIMINACIÓN DOCUMENTAL DEL ARCHIVO HISTÓRICO DE TODOS LOS PROYECTOS DE VIVIENDA ADELANTADOS POR EL ANTIGUO FONDO DE VIVIENDA U OBRAS DE VALORIZACIÓN DEL FONDO ROTATORIO DE VALORIZACIÓN.</t>
  </si>
  <si>
    <t xml:space="preserve">. Actualizar la base de datos final de la documentación a eliminar y registrada en el formato único de inventario documental. </t>
  </si>
  <si>
    <t xml:space="preserve">Actualizar base de datos final de los documentos que quedarán en el archivo histórico establecidos en el formato único de inventario documental. </t>
  </si>
  <si>
    <t xml:space="preserve">Apoyar la eliminacion documental o masa documental física de los archivos de los fondos de vivienda y fondo rotativo de valorización. </t>
  </si>
  <si>
    <t xml:space="preserve">Colaborar y proyectar respuesta a las solicitudes y derechos de petición de información del archivo histórico del Instituto. </t>
  </si>
  <si>
    <t>Asistir a las reuniones programadas en el Instituto de Desarrollo Municipal para el seguimiento de las obligaciones contractuales.</t>
  </si>
  <si>
    <t xml:space="preserve">JULIO FERNANDO HURTADO CUERVO </t>
  </si>
  <si>
    <t>22 DE OCTUBRE DE 2018</t>
  </si>
  <si>
    <t>0246-18</t>
  </si>
  <si>
    <t xml:space="preserve">COMUNICADOR </t>
  </si>
  <si>
    <t xml:space="preserve">CRA 8--15- 165 APT 903 EDF ALIACNTE DOSQUEBRADAS </t>
  </si>
  <si>
    <t>JULIOFERH@YAHOO.ES</t>
  </si>
  <si>
    <t xml:space="preserve">PRESTACION DE SERVICIOS COMO MEDIO DE COMUNICACIÓN PARA APOYAR LA COORDINACION Y ADMINISTRACION DEL PLAN DE MOVILIDAD Y CONECTIVIDAD PARA EL FORTALECIMIENTO DE SU SOCIALIZACION Y DIVULGACION </t>
  </si>
  <si>
    <t>FOPEP</t>
  </si>
  <si>
    <t>20 DE OCTUBRE DE 2018</t>
  </si>
  <si>
    <t xml:space="preserve">Dos (02) cuñas diarias de 30 segundo cada una en el noticiero “NOTICIAS DOSQUEBRADAS” que se emite de lunes a viernes en el horario de 6:30 am a 7:00 am por antena de los andes 1520 A.M. </t>
  </si>
  <si>
    <t xml:space="preserve">Una (01) invitación a uno de los funcionarios para hablar de temas relacionados con el IDM en el noticiero “NOTICIAS DOSQUEBRADAS” que se emite de lunes a viernes en el horario de 6:30 am a 7:00 am por antena de los andes 1520 A.M. </t>
  </si>
  <si>
    <t xml:space="preserve">DIEGO ALEJANDRO MARTINEZ ARDILA </t>
  </si>
  <si>
    <t>23 DE OCTUBRE DE 2018</t>
  </si>
  <si>
    <t>248-18</t>
  </si>
  <si>
    <t>CLL 17 N° 10-33 CR OPALO CS 16 SECTOR MAKRO</t>
  </si>
  <si>
    <t>DIEGO_MARTINEZ66@HOTMAIL.COM</t>
  </si>
  <si>
    <t>23 de octubre de 2018</t>
  </si>
  <si>
    <t>PRESTACION DE SERVICIOS DE APOYO A LA GESTIÓN EN EL SEGUIMIENTO DE LOS PQR Y PETICIONES EN RELACIÓN CON EL SECTOR  VIVIENDA Y DEMÁS ÁREAS MISIONALES.</t>
  </si>
  <si>
    <t xml:space="preserve">Acompañar los procesos que permitan dar respuesta de forma oportuna a las peticiones en materia de vivienda de la Entidad. </t>
  </si>
  <si>
    <t xml:space="preserve">Apoyar en la clasificación de la correspondencia que llegue al instituto acorde al acuerdo 060 del 2000 en lo referente a comunicaciones oficiales en cuanto al tiempo de respuesta y designación del área competente.  </t>
  </si>
  <si>
    <t xml:space="preserve">Apoyar en el seguimiento y trámite de las PQRS en especial a las del área técnica o misional y ayudar en las demás PQRS de las diferentes áreas del instituto. </t>
  </si>
  <si>
    <t xml:space="preserve">fortalecer el seguimiento de  las fechas y vencimientos de las comunicaciones oficiales de la entidad, a través del aplicativo SAGA conforme a la ley  1755 de 2015 </t>
  </si>
  <si>
    <t xml:space="preserve">Acatar y ejecutar las diferentes tareas que se le asignen en el comité de archivo con respecto a   la ventanilla única. </t>
  </si>
  <si>
    <t xml:space="preserve">JUAN PABLO ALVAREZ CANDAMIL C2 </t>
  </si>
  <si>
    <t>30 DE MARZO DE 1980</t>
  </si>
  <si>
    <t xml:space="preserve">CRA 8 N° 45C - 01 CASA E 17 MANIZALEZ </t>
  </si>
  <si>
    <t xml:space="preserve">PRESTACIÓN DE SERVICIOS PROFESIONALES COMO ABOGADO, EN EL DESARROLLO Y CULMINACIÓN DE LAS UNIONES TEMPORALES DE LOS PROYECTOS MULTIFAMILIARES JUNCOS Y SAN MARCOS Y  EN LOS DESARROLLO DE PROCESOS MISIONALES DEL IDM
</t>
  </si>
  <si>
    <t xml:space="preserve">Analizar jurídicamente los procesos de Unión Temporal de los proyectos Multifamiliares Juncos y San Marcos, tanto el proceso que se surtio desde la convocatoria  VIPA hasta la fecha actual. </t>
  </si>
  <si>
    <t>Acompañar al IDM en el desarrollo de los procesos de Unión Temporal con los demás miembros, en las actividades, comités y actuaciones que se surtan de acuerdo al objeto.</t>
  </si>
  <si>
    <t xml:space="preserve">Asesorar jurídicamente al IDM en la relación contractual que se tiene con la Fiduciaria Bogotá, frente a los proyectos Multifamiliares los Juncos y San Marcos. </t>
  </si>
  <si>
    <t xml:space="preserve"> Adelantar y hacer seguimiento al proceso judicial reivindicatorio del predio de la Soledad, llevado la representación judicial del IDM en dicho proceso y en el que se le asigne.</t>
  </si>
  <si>
    <t xml:space="preserve">Apoyo jurídico en los actos administrativos realizados por tesorería en los procesos de cobro coactivo por valorización. </t>
  </si>
  <si>
    <t>Realizar todas las actuaciones atinentes al proceso de gestión jurídica que sean asignadas en el Comité Interinstitucional de Gestión y Desempeño del Instituto y de todas aquellas tareas que correspondan al Modelo Integrado de Planeación y Gestión – MIPG.</t>
  </si>
  <si>
    <t>Continuar con el seguimiento y representación judicial del Instituto en los procesos judiciales del medio de control de reparación directa de transferencias y lote san marcos que se encuentran en curso.</t>
  </si>
  <si>
    <t>AVIGRAF IMAGEN CORPORATIVA</t>
  </si>
  <si>
    <t xml:space="preserve">2.1.2.2.02 </t>
  </si>
  <si>
    <t>21 DE OCTUBRE DE 2018</t>
  </si>
  <si>
    <t>0239-18</t>
  </si>
  <si>
    <t xml:space="preserve">MZ 38 CS 16 BOMBAY 2DA ETAPA </t>
  </si>
  <si>
    <t>“SUMINISTRO DE PUBLICIDAD IMPRESA Y EN ACRÍLICO PARA EL
FUNCIONAMIENTO EL INSTITUTO DE DESARROLLO MUNICIPAL DE
DOSQUEBRADAS”.</t>
  </si>
  <si>
    <t xml:space="preserve">EL INSTITUTO DE DESARROLLO MUNICIPAL DE DOSQUEBRADAS cancelará al CONTRATISTA mediante un pago total posterior al suministro de los ítems relacionados en las especificaciones técnicas; previa certificación de cumplimiento a satisfacción expedida por el supervisor del contrato y la acreditación de que el contratista se encuentra al día en el pago de los aportes relativos al Sistema integral de Seguridad Social </t>
  </si>
  <si>
    <t xml:space="preserve">INVITACION PUBLICA </t>
  </si>
  <si>
    <t>CONTACTO@VISIONGRAFIC.COM.CO</t>
  </si>
  <si>
    <t xml:space="preserve">SEGUROS DEL ESTADO </t>
  </si>
  <si>
    <t>2.1.2.2.01</t>
  </si>
  <si>
    <t>02 DE MARZO DE 2018</t>
  </si>
  <si>
    <t>083-18</t>
  </si>
  <si>
    <t>ASEGURADORA</t>
  </si>
  <si>
    <t>CLL 100 Nª 9A 45 P 12 BOGOTA</t>
  </si>
  <si>
    <t>NOTIFICACIONES@SOLIDARIA.COM.CO</t>
  </si>
  <si>
    <t>09 DE MARZO DE 2018</t>
  </si>
  <si>
    <t>2.1.2.1.02</t>
  </si>
  <si>
    <t>21 DE MARZO DE 2018</t>
  </si>
  <si>
    <t>CRA 5 16 66 CENTRO PEREIRA</t>
  </si>
  <si>
    <t>TECNITINTASPEREIRA@GMAIL.COM</t>
  </si>
  <si>
    <t>20 DE DICIEMBRE DE 2018</t>
  </si>
  <si>
    <t>TECNITINTAS PEREIRA- DAVID GUILLERMO PALACIOS- TONER</t>
  </si>
  <si>
    <t>TECNITINTAS PEREIRA- DAVID GUILLERMO PALACIOS- HOSTING</t>
  </si>
  <si>
    <t>2.1.2.1.16</t>
  </si>
  <si>
    <t>19 DE ABRIL DE 2018</t>
  </si>
  <si>
    <t>18 DE ABRIL DE 2019</t>
  </si>
  <si>
    <t>EDUARDO LOPEZ GARZÓN- LEVANTAMIENTO TOPOGRAFICO</t>
  </si>
  <si>
    <t>08 DE MAYO DE 2018</t>
  </si>
  <si>
    <t>094-18</t>
  </si>
  <si>
    <t xml:space="preserve">SEC PUEBLITO CAFETERO BULEVAR DE LAS VILLAS MZ 10  CS 5  CL 93 28 60 </t>
  </si>
  <si>
    <t>EJE3INGENIERIASAS@GMAIL.COM</t>
  </si>
  <si>
    <t>22 DE MAYO DE 2018</t>
  </si>
  <si>
    <t>SUMINISTROS</t>
  </si>
  <si>
    <t xml:space="preserve">SUMINISTROS </t>
  </si>
  <si>
    <t xml:space="preserve">PROVEER INSTITUCIONAL </t>
  </si>
  <si>
    <t>11 DE MAYO DE 2018</t>
  </si>
  <si>
    <t>096-18</t>
  </si>
  <si>
    <t xml:space="preserve">CLL 8 10 20 LA POPA </t>
  </si>
  <si>
    <t>PAULO.CRAVAJAL@PROVEER.COM.CO</t>
  </si>
  <si>
    <t>10 DE DICIEMBRE DE 2018</t>
  </si>
  <si>
    <t xml:space="preserve">FOTOCOPIAS Y ALGO MAS </t>
  </si>
  <si>
    <t>2.1.2.2.11</t>
  </si>
  <si>
    <t>09 DE MAYO DE 2018</t>
  </si>
  <si>
    <t>095-18</t>
  </si>
  <si>
    <t xml:space="preserve">AV 3 NORTE 62 93 CA  08 </t>
  </si>
  <si>
    <t>ALEJOCORREA65@HOTMAIL.COM</t>
  </si>
  <si>
    <t>08 DE DICIEMBRE DE 2018</t>
  </si>
  <si>
    <t xml:space="preserve">TRANS ESPECIALES EL SAMAN </t>
  </si>
  <si>
    <t>16 DE MAYO DE 2018</t>
  </si>
  <si>
    <t>098-18</t>
  </si>
  <si>
    <t>AV CENTENARIO 24 47 LC 104</t>
  </si>
  <si>
    <t>COMERCIAL@ELSAMAN.COM.CO</t>
  </si>
  <si>
    <t>15 DE OCTUBRE DE 2018</t>
  </si>
  <si>
    <t xml:space="preserve">PROLONJAS / HUGO CANDAMIL CALLE </t>
  </si>
  <si>
    <t>25 DE MAYO DE 2018</t>
  </si>
  <si>
    <t>100-18</t>
  </si>
  <si>
    <t xml:space="preserve">CRA 21 Nº 30 03 OF 401 MANIZALEZ </t>
  </si>
  <si>
    <t>CORPOPROLONJAS@GMAIL.COM</t>
  </si>
  <si>
    <t>19 DE JUNIO DE 2018</t>
  </si>
  <si>
    <t>CONFECCIONES MAISHA</t>
  </si>
  <si>
    <t>2.1.2.1.01</t>
  </si>
  <si>
    <t>07 DE JUNIO DE 2018</t>
  </si>
  <si>
    <t>105-18</t>
  </si>
  <si>
    <t xml:space="preserve">CL 18 14 40  SANTA ROSA DE CABAL </t>
  </si>
  <si>
    <t>PAULA@MAISHA.COM.CO</t>
  </si>
  <si>
    <t xml:space="preserve">21 DE JULIO DE 2018 </t>
  </si>
  <si>
    <t xml:space="preserve">TRANS ESPECIALES JOMAR </t>
  </si>
  <si>
    <t>2.1.2.1.04</t>
  </si>
  <si>
    <t>13 DE MARZO DE 2018</t>
  </si>
  <si>
    <t>084-18</t>
  </si>
  <si>
    <t xml:space="preserve">CRA 2 NORTE 9A 40 TRONCAL DE OCCIDENTE </t>
  </si>
  <si>
    <t>12 DE DICIEMBRE DE 2018</t>
  </si>
  <si>
    <t>"PRESTACIÓN DE SERVICIOS PROFESIONALES COMO INGENIERO CIVIL CON ESPECIALIZACIÓN EN GEOTECNIA, PARA REALIZAR LA SUPERVISIÓN DEL COMPONENTE ESTUDIO DE SUELOS Y GEOTECNIA, ESTUDIO HIDROLÓGICO, DISEÑO DE PAVIMENTOS, RECOMENDACIONES CIMENTACIONES PROFUNDAS, SUPERFICIALES, ESTABILIDAD DE TALUDES, DEL CONTRATO INTERADMINISTRATIVO PARA LA ELABORACIÓN DE LOS ESTUDIOS Y DISEÑOS DEFINITIVOS FASE 3 DE:  1.“SOLUCIÓN VIAL QUEBRADA LA VIBORA – MOLIVENTO, 2. SOLUCIÓN VIAL LA POPA, 3. SOLUCIÓN VIAL CALLE 50, 4. SOLUCIÓN VIAL PRADO VERDE -  LA PRADERA DENTRO DEL PLAN DE MOVILIDAD Y CONECTIVIDAD DE DOSQUEBRADAS DE CONFORMIDAD CON EL ACUERDO 035 DE 2016" Y EL PLAN DE DESARROLLO “DOSQUEBRADAS COMPROMISO DE TODOS”.</t>
  </si>
  <si>
    <t>Realizar la supervisión del componente ESTUDIO DE SUELOS Y GEOTECNIA, ESTUDIO HIDROLÓGICO, DISEÑO DE PAVIMENTOS, RECOMENDACIONES CIMENTACIONES PROFUNDAS, SUPERFICIALES, ESTABILIDAD DE TALUDES en el marco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</si>
  <si>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 xml:space="preserve">Presentar semanalmente al Supervisor del Instituto de Desarrollo Municipal un informe técnico que describa el avance o retraso de labores en la ejecución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</si>
  <si>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SOLICITAR AJUSTES, SUPERVISAR Y APROBAR, los estudios y diseños del componente ESTUDIO DE SUELOS Y GEOTECNIA, ESTUDIO HIDROLÓGICO, DISEÑO DE PAVIMENTOS, RECOMENDACIONES CIMENTACIONES PROFUNDAS, SUPERFICIALES, ESTABILIDAD DE TALUDES, DE LAS SOLUCIONES VIALES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</si>
  <si>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Realizar las revisiones de los productos e insumos entregados por el contratista de estudios y diseños (ESTUDIO DE SUELOS Y GEOTECNIA, ESTUDIO HIDROLÓGICO, DISEÑO DE PAVIMENTOS, RECOMENDACIONES CIMENTACIONES PROFUNDAS, SUPERFICIALES, ESTABILIDAD DE TALUDES, DISEÑO DE REDES DE SERVICIOS PÚBLICOS, CÁLCULO DE COSTOS, PRESUPUESTOS, ESPECIFICACIONES TÉCNICAS)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</si>
  <si>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 xml:space="preserve">Apoyar en la consolidación de los diferentes informes técnicos, administrativos y/o financieros del avance de los estudios y diseños de LA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</si>
  <si>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Realizar las acciones de verificación de los ensayos de laboratorio presentados por el consultor de estudios y diseños, presentando un informe detallado. </t>
  </si>
  <si>
    <t>PRESTACIÓN DE SERVICIOS PROFESIONALES COMO BIOLOGA Y ESTUDIOS DE POSTGRADOS EN AREAS AFINES A LA GESTIÓN AMBIENTAL PARA REALIZAR LA SUPERVISIÓN DEL CONTRATO INTERADMINISTRATIVO PARA LA ELABORACIÓN DE LOS ESTUDIOS Y DISEÑOS DEFINITIVOS FASE 3 DE: 1. “SOLUCIÓN VIAL QUEBRADA LA VIBORA – MOLIVENTO, 2. SOLUCIÓN VIAL LA POPA, 3. SOLUCIÓN VIAL CALLE 50, 4. SOLUCIÓN VIAL PRADO VERDE -  LA PRADERA, DENTRO DEL PLAN DE MOVILIDAD Y CONECTIVIDAD DE DOSQUEBRADAS DE CONFORMIDAD CON EL ACUERDO 035 DE 2016" Y EL PLAN DE DESARROLLO “DOSQUEBRADAS COMPROMISO DE TODOS”.</t>
  </si>
  <si>
    <t xml:space="preserve">Realizar la supervisión del componente “Evaluación de Impacto y Valoración Ambiental” en el marco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</si>
  <si>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Presentar semanalmente al Supervisor del Instituto de Desarrollo Municipal-IDM un informe técnico que describa el avance o retraso de labores en la ejecución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</si>
  <si>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Solicitar ajustes, supervisar y aprobar los estudios y diseños del componente “Evaluación de Impacto y Valoración Ambiental” de las soluciones viales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</si>
  <si>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 xml:space="preserve">Realizar las revisiones de los productos e insumos entregados por el contratista de estudios y diseños (DISEÑO URBANÍSTICO Y PAISAJÍSTICO, CÁLCULO DE COSTOS, PRESUPUESTOS, ESPECIFICACIONES TÉCNICAS) que tengan que ver con el componente “Evaluación de Impacto y Valoración Ambiental”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</si>
  <si>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Apoyar en la consolidación de los diferentes informes técnicos, administrativos y/o financieros del avance de los estudios y diseños de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</si>
  <si>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Participar en las reuniones o comités convocados para avanzar en la ejecución de los estudios y diseños del Plan de Movilidad y Conectividad del Municipio de Dosquebradas.</t>
  </si>
  <si>
    <t xml:space="preserve">Mantener enterada a la Subdirección técnica acerca de las novedades, eventualidades y/o situaciones ocurridas en el marco de la ejecución contractual de los estudios y diseños de obra y su respectiva supervisión. </t>
  </si>
  <si>
    <t>Facilitar y tramitar las reuniones e información pertinente requerida con entidades oficiales y/o privadas, como empresas de servicios públicos, autoridades administrativas, organizaciones empresariales, entre otras, que se requieran para la correcta ejecución del Plan de Movilidad y Conectividad de Dosquebradas.</t>
  </si>
  <si>
    <t>Apoyar la liquidación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</si>
  <si>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"PRESTACIÓN DE SERVICIOS PROFESIONALES COMO INGENIERO CIVIL ESPECIALIZADO EN AGUAS Y SANEAMIENTO BÁSICO PARA REALIZAR LA SUPERVISIÓN DEL CONTRATO INTERADMINISTRATIVO PARA LA ELABORACIÓN DE LOS ESTUDIOS Y DISEÑOS DEFINITIVOS FASE 3 DE: 1. “SOLUCIÓN VIAL QUEBRADA LA VIBORA – MOLIVENTO, 2. SOLUCIÓN VIAL LA POPA, 3. SOLUCIÓN VIAL CALLE 50, 4. SOLUCIÓN VIAL PRADO VERDE - LA PRADERA, DENTRO DEL PLAN DE MOVILIDAD Y CONECTIVIDAD DE DOSQUEBRADAS DE CONFORMIDAD CON EL ACUERDO 035 DE 2016" Y EL PLAN DE DESARROLLO “DOSQUEBRADAS COMPROMISO DE TODOS”</t>
  </si>
  <si>
    <t xml:space="preserve">Realizar la supervisión del componente ESTUDIO INTERFERENCIA DE REDES, ESTUDIO HIDROLÓGICO, DISEÑO DE REDES DE SERVICIOS PÚBLICOS  en el marco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</si>
  <si>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Presentar semanalmente al Supervisor del Instituto de Desarrollo Municipal un informe técnico que describa el avance o retraso de labores en la ejecución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</si>
  <si>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SOLICITAR AJUSTES, SUPERVISAR Y APROBAR, los estudios y diseños del componente ESTUDIO INTERFERENCIA DE REDES, ESTUDIO HIDROLÓGICO, DISEÑO DE REDES DE SERVICIOS PÚBLICOS de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</si>
  <si>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 xml:space="preserve">Realizar las revisiones de los productos e insumos entregados por el contratista de estudios y diseños (CÁLCULO DE COSTOS, PRESUPUESTOS, ESPECIFICACIONES TÉCNICAS) que tengan que ver con el componente hidráulico y de redes,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</si>
  <si>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Apoyar en la consolidación de los diferentes informes técnicos, administrativos y/o financieros del avance de los estudios y diseños de la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</si>
  <si>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Facilitar y tramitar las reuniones e información pertinente requeridas con entidades oficiales y/o privadas, como empresas de servicios públicos, autoridades administrativas, organizaciones empresariales, entre otras, que se requieran para la correcta ejecución del Plan de Movilidad y Conectividad de Dosquebradas.</t>
  </si>
  <si>
    <t>Apoyar la liquidación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</si>
  <si>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PRESTACIÓN DE SERVICIOS PROFESIONALES COMO TOPOGRAFO PARA REALIZAR LA SUPERVISIÓN DEL CONTRATO INTERADMINISTRATIVO A SUSCRIBIR PARA LA ELABORACIÓN DE LOS ESTUDIOS Y DISEÑOS DEFINITIVOS DE “SOLUCIÓN VIAL QUEBRADA LA VIBORA – MOLIVENTO, SOLUCIÓN VIAL LA POPA, SOLUCIÓN VIAL CALLE 50, SOLUCIÓN VIAL PRADO VERDE -  LA PRADERA DENTRO DEL PLAN DE MOVILIDAD Y CONECTIVIDAD DE DOSQUEBRADAS DE CONFORMIDAD CON EL ACUERDO 035 DE 2016"</t>
  </si>
  <si>
    <t>Realizar la supervisión del componente  (LEVANTAMIENTO TOPOGRAFICO, ESTUDIO INTERFERENCIA DE REDES, DISEÑO GEOMETRICO, ALINEAMIENTO VERTICAL Y HORIZONTAL, DISEÑO ESTRUCTURA DEL PAVIMENTO, DISEÑO URBANÍSTICO Y PAISAJÍSTICO, DISEÑO DE REDES DE SERVICIOS PÚBLICOS, CÁLCULO DE COSTOS, PRESUPUESTOS) en el marco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</si>
  <si>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Presentar semanalmente al Supervisor del Instituto de Desarrollo Municipal un informe técnico describa el avance o retraso de labores en la ejecución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</si>
  <si>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SOLICITAR AJUSTES, SUPERVISAR Y APROBAR, los estudios y diseños del componente (LEVANTAMIENTO TOPOGRAFICO, ESTUDIO INTERFERENCIA DE REDES, DISEÑO GEOMETRICO, ALINEAMIENTO VERTICAL Y HORIZONTAL, DISEÑO ESTRUCTURA DEL PAVIMENTO, DISEÑO URBANÍSTICO Y PAISAJÍSTICO, DISEÑO DE REDES DE SERVICIOS PÚBLICOS, CÁLCULO DE COSTOS, PRESUPUESTOS), de las soluciones viales quebrada la Vibora – Molivento, solución vial calle 50, solución vial Prado Verde -  La Pradera, solución vial La Popa (La Popa – Valher – ABB)” dentro del “plan de movilidad y conectividad de Dosquebradas.COMPROMISO DE TODOS</t>
  </si>
  <si>
    <t>Realizar las revisiones de los productos e insumos entregados por el contratista de estudios y diseños (LEVANTAMIENTO TOPOGRAFICO, ESTUDIO INTERFERENCIA DE REDES, DISEÑO GEOMETRICO, ALINEAMIENTO VERTICAL Y HORIZONTAL, DISEÑO ESTRUCTURA DEL PAVIMENTO, DISEÑO URBANÍSTICO Y PAISAJÍSTICO, DISEÑO DE REDES DE SERVICIOS PÚBLICOS, CÁLCULO DE COSTOS, PRESUPUESTOS)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</si>
  <si>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Apoyar en la consolidación de los diferentes informes técnicos, administrativos y/o financieros del avance de los estudios y diseños de la solución vial quebrada la Vibora – Molivento, solución vial calle 50, solución vial Prado Verde -  La Pradera, solución vial La Popa (La Popa – Valher – ABB)” dentro del “plan de movilidad y conectividad de Dosquebradas.</t>
  </si>
  <si>
    <t>Participar en las reuniones o comités convocados para avanzar en la ejecución de los estudios y diseños del Plan de Movilidad y Conectividad del municipio de Dosquebradas.</t>
  </si>
  <si>
    <t>Verificar la gestión adelantada por los medios de comunicación vinculados por el Instituto de Desarrollo  Municipal para la ejecución del Plan de Movilidad y Conectividad de Dosquebradas.</t>
  </si>
  <si>
    <t xml:space="preserve">Apoyar la elaboración de piezas publicitarias para la difusión del Plan de Movilidad y Conectividad de Dosquebradas. </t>
  </si>
  <si>
    <t>Participar en las socializaciones y divulgaciones del Plan de Movilidad y Conectividad de Dosquebradas efectuadas por el IDM.</t>
  </si>
  <si>
    <t xml:space="preserve">Participar de las reuniones de trabajo internas para definir la estrategia de comunicaciones. </t>
  </si>
  <si>
    <t>Apoyar la organización de las evidencias realizadas por los medios de comunicación para la difusión y socialización del Plan de Movilidad y Conectividad.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</si>
</sst>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quot;$&quot;* #,##0_-;_-&quot;$&quot;* &quot;-&quot;_-;_-@_-"/>
    <numFmt numFmtId="165" formatCode="[$-F800]dddd\,\ mmmm\ dd\,\ yyyy"/>
    <numFmt numFmtId="166" formatCode="&quot;$&quot;#,##0"/>
    <numFmt numFmtId="167" formatCode="[$-240A]d&quot; de &quot;mmmm&quot; de &quot;yyyy;@"/>
    <numFmt numFmtId="168" formatCode="0.0000"/>
    <numFmt numFmtId="169" formatCode="0.000%"/>
    <numFmt numFmtId="170" formatCode="0.0%"/>
    <numFmt numFmtId="171" formatCode="0.00000"/>
  </numFmts>
  <fonts count="44" x14ac:knownFonts="1">
    <font>
      <sz val="12"/>
      <color theme="1"/>
      <name val="Calibri"/>
      <family val="2"/>
      <scheme val="minor"/>
    </font>
    <font>
      <sz val="12"/>
      <color theme="1"/>
      <name val="Calibri"/>
      <family val="2"/>
      <scheme val="minor"/>
    </font>
    <font>
      <sz val="11"/>
      <color theme="1"/>
      <name val="Arial Narrow"/>
      <family val="2"/>
    </font>
    <font>
      <b/>
      <sz val="11"/>
      <color theme="1"/>
      <name val="Arial Narrow"/>
      <family val="2"/>
    </font>
    <font>
      <sz val="11"/>
      <color theme="0"/>
      <name val="Arial Narrow"/>
      <family val="2"/>
    </font>
    <font>
      <b/>
      <sz val="14"/>
      <color theme="0"/>
      <name val="Arial Narrow"/>
      <family val="2"/>
    </font>
    <font>
      <b/>
      <sz val="14"/>
      <color theme="1"/>
      <name val="Arial Narrow"/>
      <family val="2"/>
    </font>
    <font>
      <b/>
      <sz val="28"/>
      <color theme="0"/>
      <name val="Arial Narrow"/>
      <family val="2"/>
    </font>
    <font>
      <b/>
      <sz val="22"/>
      <color theme="0"/>
      <name val="Arial Narrow"/>
      <family val="2"/>
    </font>
    <font>
      <sz val="8"/>
      <name val="Calibri"/>
      <family val="2"/>
      <scheme val="minor"/>
    </font>
    <font>
      <sz val="10"/>
      <color theme="1"/>
      <name val="Arial Narrow"/>
      <family val="2"/>
    </font>
    <font>
      <sz val="11"/>
      <color theme="0" tint="-0.34998626667073579"/>
      <name val="Arial Narrow"/>
      <family val="2"/>
    </font>
    <font>
      <b/>
      <sz val="18"/>
      <color theme="1"/>
      <name val="Arial Narrow"/>
      <family val="2"/>
    </font>
    <font>
      <sz val="9"/>
      <color theme="1"/>
      <name val="Arial Narrow"/>
      <family val="2"/>
    </font>
    <font>
      <u/>
      <sz val="12"/>
      <color theme="10"/>
      <name val="Calibri"/>
      <family val="2"/>
      <scheme val="minor"/>
    </font>
    <font>
      <u/>
      <sz val="12"/>
      <color theme="11"/>
      <name val="Calibri"/>
      <family val="2"/>
      <scheme val="minor"/>
    </font>
    <font>
      <sz val="11"/>
      <color rgb="FF000000"/>
      <name val="Arial Narrow"/>
      <family val="2"/>
    </font>
    <font>
      <sz val="11"/>
      <name val="Arial Narrow"/>
      <family val="2"/>
    </font>
    <font>
      <sz val="12"/>
      <color theme="1"/>
      <name val="Arial Narrow"/>
      <family val="2"/>
    </font>
    <font>
      <sz val="12"/>
      <color rgb="FF000000"/>
      <name val="Calibri"/>
      <family val="2"/>
      <scheme val="minor"/>
    </font>
    <font>
      <sz val="11"/>
      <color theme="0" tint="-0.14999847407452621"/>
      <name val="Arial Narrow"/>
      <family val="2"/>
    </font>
    <font>
      <sz val="12"/>
      <color rgb="FFFF0000"/>
      <name val="Calibri"/>
      <family val="2"/>
      <scheme val="minor"/>
    </font>
    <font>
      <sz val="12"/>
      <name val="Calibri"/>
      <family val="2"/>
      <scheme val="minor"/>
    </font>
    <font>
      <sz val="14"/>
      <color rgb="FF000000"/>
      <name val="Arial Narrow"/>
      <family val="2"/>
    </font>
    <font>
      <sz val="12"/>
      <color rgb="FF000000"/>
      <name val="Arial Narrow"/>
      <family val="2"/>
    </font>
    <font>
      <sz val="12"/>
      <color rgb="FF000000"/>
      <name val="Arial"/>
      <family val="2"/>
    </font>
    <font>
      <sz val="12"/>
      <color rgb="FFFF0000"/>
      <name val="Arial Narrow"/>
      <family val="2"/>
    </font>
    <font>
      <sz val="12"/>
      <name val="Arial Narrow"/>
      <family val="2"/>
    </font>
    <font>
      <sz val="10"/>
      <color rgb="FF000000"/>
      <name val="Arial Narrow"/>
      <family val="2"/>
    </font>
    <font>
      <sz val="9"/>
      <color rgb="FF000000"/>
      <name val="Arial Narrow"/>
      <family val="2"/>
    </font>
    <font>
      <sz val="10"/>
      <color rgb="FFFF0000"/>
      <name val="Arial Narrow"/>
      <family val="2"/>
    </font>
    <font>
      <sz val="11"/>
      <color rgb="FF000000"/>
      <name val="Arial"/>
      <family val="2"/>
    </font>
    <font>
      <sz val="11"/>
      <name val="Arial"/>
      <family val="2"/>
    </font>
    <font>
      <sz val="11.5"/>
      <color rgb="FF000000"/>
      <name val="Arial"/>
      <family val="2"/>
    </font>
    <font>
      <b/>
      <sz val="12"/>
      <color rgb="FF000000"/>
      <name val="Arial"/>
      <family val="2"/>
    </font>
    <font>
      <sz val="11"/>
      <color rgb="FF212121"/>
      <name val="Arial Narrow"/>
      <family val="2"/>
    </font>
    <font>
      <sz val="12"/>
      <color rgb="FF212121"/>
      <name val="Arial"/>
      <family val="2"/>
    </font>
    <font>
      <u/>
      <sz val="12"/>
      <color rgb="FF000000"/>
      <name val="Arial"/>
      <family val="2"/>
    </font>
    <font>
      <i/>
      <u/>
      <sz val="12"/>
      <color rgb="FF000000"/>
      <name val="Arial"/>
      <family val="2"/>
    </font>
    <font>
      <b/>
      <sz val="12"/>
      <name val="Arial Narrow"/>
      <family val="2"/>
    </font>
    <font>
      <sz val="11"/>
      <color rgb="FFFFFFFF"/>
      <name val="Arial Narrow"/>
      <family val="2"/>
    </font>
    <font>
      <b/>
      <sz val="11"/>
      <color rgb="FF000000"/>
      <name val="Arial Narrow"/>
      <family val="2"/>
    </font>
    <font>
      <b/>
      <sz val="22"/>
      <color rgb="FFFFFFFF"/>
      <name val="Arial Narrow"/>
      <family val="2"/>
    </font>
    <font>
      <sz val="12"/>
      <color rgb="FF000000"/>
      <name val="Arial Narrow"/>
    </font>
  </fonts>
  <fills count="22">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theme="5" tint="-0.249977111117893"/>
        <bgColor indexed="64"/>
      </patternFill>
    </fill>
    <fill>
      <patternFill patternType="solid">
        <fgColor rgb="FF92D050"/>
        <bgColor indexed="64"/>
      </patternFill>
    </fill>
    <fill>
      <patternFill patternType="solid">
        <fgColor theme="3"/>
        <bgColor indexed="64"/>
      </patternFill>
    </fill>
    <fill>
      <patternFill patternType="solid">
        <fgColor rgb="FFFFFFFF"/>
        <bgColor rgb="FF000000"/>
      </patternFill>
    </fill>
    <fill>
      <patternFill patternType="solid">
        <fgColor theme="0"/>
        <bgColor rgb="FF000000"/>
      </patternFill>
    </fill>
    <fill>
      <patternFill patternType="solid">
        <fgColor theme="0" tint="-0.34998626667073579"/>
        <bgColor indexed="64"/>
      </patternFill>
    </fill>
    <fill>
      <patternFill patternType="solid">
        <fgColor rgb="FFFFC000"/>
        <bgColor rgb="FF000000"/>
      </patternFill>
    </fill>
    <fill>
      <patternFill patternType="solid">
        <fgColor rgb="FF2683C6"/>
        <bgColor rgb="FF2683C6"/>
      </patternFill>
    </fill>
    <fill>
      <patternFill patternType="solid">
        <fgColor rgb="FFA3CDED"/>
        <bgColor rgb="FFA3CDED"/>
      </patternFill>
    </fill>
    <fill>
      <patternFill patternType="solid">
        <fgColor rgb="FFD0E7F7"/>
        <bgColor rgb="FFD0E7F7"/>
      </patternFill>
    </fill>
    <fill>
      <patternFill patternType="solid">
        <fgColor theme="4"/>
        <bgColor indexed="64"/>
      </patternFill>
    </fill>
    <fill>
      <patternFill patternType="solid">
        <fgColor rgb="FFBFBFBF"/>
        <bgColor rgb="FF000000"/>
      </patternFill>
    </fill>
    <fill>
      <patternFill patternType="solid">
        <fgColor rgb="FF2683C6"/>
        <bgColor rgb="FF000000"/>
      </patternFill>
    </fill>
    <fill>
      <patternFill patternType="solid">
        <fgColor rgb="FFD9D9D9"/>
        <bgColor rgb="FF000000"/>
      </patternFill>
    </fill>
    <fill>
      <patternFill patternType="solid">
        <fgColor rgb="FF92D050"/>
        <bgColor rgb="FF000000"/>
      </patternFill>
    </fill>
  </fills>
  <borders count="3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style="hair">
        <color auto="1"/>
      </top>
      <bottom/>
      <diagonal/>
    </border>
    <border>
      <left/>
      <right style="hair">
        <color rgb="FF000000"/>
      </right>
      <top style="hair">
        <color auto="1"/>
      </top>
      <bottom/>
      <diagonal/>
    </border>
    <border>
      <left/>
      <right style="hair">
        <color rgb="FF000000"/>
      </right>
      <top/>
      <bottom/>
      <diagonal/>
    </border>
    <border>
      <left/>
      <right style="hair">
        <color rgb="FF000000"/>
      </right>
      <top/>
      <bottom style="hair">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hair">
        <color auto="1"/>
      </left>
      <right style="thin">
        <color rgb="FFFFFFFF"/>
      </right>
      <top style="hair">
        <color auto="1"/>
      </top>
      <bottom style="hair">
        <color auto="1"/>
      </bottom>
      <diagonal/>
    </border>
    <border>
      <left style="thin">
        <color rgb="FFFFFFFF"/>
      </left>
      <right style="thin">
        <color rgb="FFFFFFFF"/>
      </right>
      <top style="hair">
        <color auto="1"/>
      </top>
      <bottom style="hair">
        <color auto="1"/>
      </bottom>
      <diagonal/>
    </border>
    <border>
      <left style="thin">
        <color rgb="FFFFFFFF"/>
      </left>
      <right style="hair">
        <color auto="1"/>
      </right>
      <top style="hair">
        <color auto="1"/>
      </top>
      <bottom style="hair">
        <color auto="1"/>
      </bottom>
      <diagonal/>
    </border>
    <border>
      <left style="thin">
        <color rgb="FFFFFFFF"/>
      </left>
      <right style="thin">
        <color rgb="FFFFFFFF"/>
      </right>
      <top style="thin">
        <color rgb="FFFFFFFF"/>
      </top>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FFFFFF"/>
      </right>
      <top style="thin">
        <color rgb="FFFFFFFF"/>
      </top>
      <bottom/>
      <diagonal/>
    </border>
    <border>
      <left style="thin">
        <color rgb="FFFFFFFF"/>
      </left>
      <right/>
      <top style="thin">
        <color rgb="FFFFFFFF"/>
      </top>
      <bottom/>
      <diagonal/>
    </border>
    <border>
      <left style="hair">
        <color auto="1"/>
      </left>
      <right style="hair">
        <color auto="1"/>
      </right>
      <top/>
      <bottom style="hair">
        <color auto="1"/>
      </bottom>
      <diagonal/>
    </border>
    <border>
      <left/>
      <right style="hair">
        <color rgb="FF000000"/>
      </right>
      <top style="hair">
        <color auto="1"/>
      </top>
      <bottom style="hair">
        <color auto="1"/>
      </bottom>
      <diagonal/>
    </border>
    <border>
      <left style="hair">
        <color rgb="FF000000"/>
      </left>
      <right/>
      <top style="hair">
        <color auto="1"/>
      </top>
      <bottom style="hair">
        <color auto="1"/>
      </bottom>
      <diagonal/>
    </border>
  </borders>
  <cellStyleXfs count="23">
    <xf numFmtId="0" fontId="0" fillId="0" borderId="0"/>
    <xf numFmtId="0" fontId="1"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509">
    <xf numFmtId="0" fontId="0" fillId="0" borderId="0" xfId="0"/>
    <xf numFmtId="17" fontId="0" fillId="0" borderId="0" xfId="0" applyNumberFormat="1"/>
    <xf numFmtId="49" fontId="0" fillId="0" borderId="0" xfId="0" applyNumberFormat="1"/>
    <xf numFmtId="168" fontId="0" fillId="0" borderId="0" xfId="0" applyNumberFormat="1"/>
    <xf numFmtId="166" fontId="0" fillId="0" borderId="0" xfId="0" applyNumberFormat="1"/>
    <xf numFmtId="10" fontId="0" fillId="0" borderId="0" xfId="0" applyNumberFormat="1"/>
    <xf numFmtId="9" fontId="0" fillId="0" borderId="0" xfId="0" applyNumberFormat="1"/>
    <xf numFmtId="171" fontId="0" fillId="0" borderId="0" xfId="0" applyNumberFormat="1"/>
    <xf numFmtId="49" fontId="0" fillId="5" borderId="0" xfId="0" applyNumberFormat="1" applyFill="1"/>
    <xf numFmtId="49" fontId="19" fillId="0" borderId="0" xfId="0" applyNumberFormat="1" applyFont="1"/>
    <xf numFmtId="0" fontId="2" fillId="0" borderId="0" xfId="0" applyFont="1" applyProtection="1">
      <protection locked="0"/>
    </xf>
    <xf numFmtId="0" fontId="2" fillId="0" borderId="0" xfId="0" applyFont="1" applyFill="1" applyProtection="1">
      <protection locked="0"/>
    </xf>
    <xf numFmtId="166" fontId="2" fillId="0" borderId="0" xfId="0" applyNumberFormat="1" applyFont="1" applyProtection="1">
      <protection locked="0"/>
    </xf>
    <xf numFmtId="49" fontId="0" fillId="0" borderId="0" xfId="0" applyNumberFormat="1" applyProtection="1">
      <protection locked="0"/>
    </xf>
    <xf numFmtId="1" fontId="2" fillId="0" borderId="1" xfId="0" applyNumberFormat="1" applyFont="1" applyBorder="1" applyAlignment="1" applyProtection="1">
      <alignment horizontal="center"/>
      <protection locked="0"/>
    </xf>
    <xf numFmtId="0" fontId="2" fillId="6" borderId="5" xfId="0" applyFont="1" applyFill="1" applyBorder="1" applyProtection="1">
      <protection locked="0"/>
    </xf>
    <xf numFmtId="0" fontId="2" fillId="6" borderId="0" xfId="0" applyFont="1" applyFill="1" applyBorder="1" applyProtection="1">
      <protection locked="0"/>
    </xf>
    <xf numFmtId="0" fontId="2" fillId="6" borderId="6" xfId="0" applyFont="1" applyFill="1" applyBorder="1" applyProtection="1">
      <protection locked="0"/>
    </xf>
    <xf numFmtId="0" fontId="4" fillId="4" borderId="1" xfId="0" applyFont="1" applyFill="1" applyBorder="1" applyAlignment="1" applyProtection="1">
      <alignment horizontal="center"/>
    </xf>
    <xf numFmtId="0" fontId="3" fillId="0" borderId="1" xfId="0" applyFont="1" applyBorder="1" applyProtection="1"/>
    <xf numFmtId="0" fontId="2" fillId="0" borderId="1" xfId="0" applyFont="1" applyBorder="1" applyProtection="1"/>
    <xf numFmtId="0" fontId="2" fillId="0" borderId="1" xfId="0" applyFont="1" applyBorder="1" applyAlignment="1" applyProtection="1">
      <alignment horizontal="center" vertical="center"/>
    </xf>
    <xf numFmtId="1" fontId="2" fillId="0" borderId="1" xfId="0" applyNumberFormat="1" applyFont="1" applyBorder="1" applyAlignment="1" applyProtection="1">
      <alignment horizontal="center"/>
    </xf>
    <xf numFmtId="0" fontId="2" fillId="6" borderId="2" xfId="0" applyFont="1" applyFill="1" applyBorder="1" applyProtection="1"/>
    <xf numFmtId="0" fontId="2" fillId="6" borderId="3" xfId="0" applyFont="1" applyFill="1" applyBorder="1" applyProtection="1"/>
    <xf numFmtId="0" fontId="2" fillId="6" borderId="13" xfId="0" applyFont="1" applyFill="1" applyBorder="1" applyProtection="1">
      <protection locked="0"/>
    </xf>
    <xf numFmtId="0" fontId="2" fillId="6" borderId="3" xfId="0" applyFont="1" applyFill="1" applyBorder="1" applyAlignment="1" applyProtection="1">
      <alignment horizontal="right"/>
    </xf>
    <xf numFmtId="167" fontId="2" fillId="6" borderId="3" xfId="0" applyNumberFormat="1" applyFont="1" applyFill="1" applyBorder="1" applyAlignment="1" applyProtection="1"/>
    <xf numFmtId="0" fontId="2" fillId="6" borderId="3" xfId="0" applyFont="1" applyFill="1" applyBorder="1" applyAlignment="1" applyProtection="1"/>
    <xf numFmtId="0" fontId="2" fillId="6" borderId="4" xfId="0" applyFont="1" applyFill="1" applyBorder="1" applyAlignment="1" applyProtection="1"/>
    <xf numFmtId="0" fontId="2" fillId="6" borderId="0" xfId="0" applyFont="1" applyFill="1" applyBorder="1" applyAlignment="1" applyProtection="1">
      <alignment wrapText="1"/>
    </xf>
    <xf numFmtId="0" fontId="2" fillId="6" borderId="6" xfId="0" applyFont="1" applyFill="1" applyBorder="1" applyAlignment="1" applyProtection="1">
      <alignment wrapText="1"/>
    </xf>
    <xf numFmtId="0" fontId="2" fillId="6" borderId="0" xfId="0" applyFont="1" applyFill="1" applyBorder="1" applyProtection="1"/>
    <xf numFmtId="0" fontId="2" fillId="6" borderId="6" xfId="0" applyFont="1" applyFill="1" applyBorder="1" applyProtection="1"/>
    <xf numFmtId="0" fontId="2" fillId="6" borderId="5" xfId="0" applyFont="1" applyFill="1" applyBorder="1" applyAlignment="1" applyProtection="1"/>
    <xf numFmtId="49" fontId="2" fillId="6" borderId="2" xfId="0" applyNumberFormat="1" applyFont="1" applyFill="1" applyBorder="1" applyProtection="1"/>
    <xf numFmtId="49" fontId="2" fillId="6" borderId="5" xfId="0" applyNumberFormat="1" applyFont="1" applyFill="1" applyBorder="1" applyAlignment="1" applyProtection="1"/>
    <xf numFmtId="0" fontId="2" fillId="6" borderId="0" xfId="0" applyFont="1" applyFill="1" applyBorder="1" applyAlignment="1" applyProtection="1"/>
    <xf numFmtId="0" fontId="16" fillId="11" borderId="14" xfId="0" applyFont="1" applyFill="1" applyBorder="1" applyProtection="1"/>
    <xf numFmtId="0" fontId="16" fillId="11" borderId="3" xfId="0" applyFont="1" applyFill="1" applyBorder="1" applyAlignment="1" applyProtection="1">
      <alignment horizontal="right"/>
    </xf>
    <xf numFmtId="0" fontId="16" fillId="11" borderId="3" xfId="0" applyFont="1" applyFill="1" applyBorder="1" applyProtection="1"/>
    <xf numFmtId="0" fontId="16" fillId="11" borderId="15" xfId="0" applyFont="1" applyFill="1" applyBorder="1" applyProtection="1"/>
    <xf numFmtId="0" fontId="16" fillId="11" borderId="0" xfId="0" applyFont="1" applyFill="1" applyAlignment="1" applyProtection="1"/>
    <xf numFmtId="0" fontId="2" fillId="6" borderId="0" xfId="0" applyFont="1" applyFill="1" applyAlignment="1" applyProtection="1">
      <alignment horizontal="center"/>
    </xf>
    <xf numFmtId="0" fontId="16" fillId="11" borderId="0" xfId="0" applyFont="1" applyFill="1" applyAlignment="1" applyProtection="1">
      <alignment horizontal="left"/>
    </xf>
    <xf numFmtId="0" fontId="16" fillId="11" borderId="16" xfId="0" applyFont="1" applyFill="1" applyBorder="1" applyAlignment="1" applyProtection="1"/>
    <xf numFmtId="0" fontId="16" fillId="11" borderId="5" xfId="0" applyFont="1" applyFill="1" applyBorder="1" applyAlignment="1" applyProtection="1"/>
    <xf numFmtId="0" fontId="16" fillId="11" borderId="0" xfId="0" applyFont="1" applyFill="1" applyBorder="1" applyAlignment="1" applyProtection="1"/>
    <xf numFmtId="0" fontId="16" fillId="11" borderId="0" xfId="0" applyFont="1" applyFill="1" applyBorder="1" applyAlignment="1" applyProtection="1">
      <alignment wrapText="1"/>
    </xf>
    <xf numFmtId="0" fontId="16" fillId="11" borderId="5" xfId="0" applyFont="1" applyFill="1" applyBorder="1" applyAlignment="1" applyProtection="1">
      <alignment horizontal="center" wrapText="1"/>
    </xf>
    <xf numFmtId="0" fontId="16" fillId="11" borderId="6" xfId="0" applyFont="1" applyFill="1" applyBorder="1" applyAlignment="1" applyProtection="1">
      <alignment horizontal="center" wrapText="1"/>
    </xf>
    <xf numFmtId="0" fontId="2" fillId="0" borderId="1" xfId="0" applyFont="1" applyBorder="1" applyAlignment="1" applyProtection="1">
      <protection locked="0"/>
    </xf>
    <xf numFmtId="10" fontId="2" fillId="0" borderId="0" xfId="0" applyNumberFormat="1" applyFont="1" applyProtection="1">
      <protection locked="0"/>
    </xf>
    <xf numFmtId="0" fontId="19" fillId="0" borderId="0" xfId="0" applyFont="1"/>
    <xf numFmtId="168" fontId="19" fillId="0" borderId="0" xfId="0" applyNumberFormat="1" applyFont="1"/>
    <xf numFmtId="0" fontId="2" fillId="0" borderId="1" xfId="0" applyFont="1" applyBorder="1" applyAlignment="1" applyProtection="1">
      <alignment horizontal="center"/>
    </xf>
    <xf numFmtId="0" fontId="4" fillId="4" borderId="14" xfId="0" applyFont="1" applyFill="1" applyBorder="1" applyAlignment="1" applyProtection="1">
      <alignment horizontal="center" vertical="center"/>
    </xf>
    <xf numFmtId="0" fontId="0" fillId="0" borderId="0" xfId="0" applyProtection="1">
      <protection locked="0"/>
    </xf>
    <xf numFmtId="0" fontId="4" fillId="7" borderId="0" xfId="0" applyFont="1" applyFill="1" applyBorder="1" applyProtection="1"/>
    <xf numFmtId="0" fontId="2" fillId="0" borderId="1" xfId="0" applyFont="1" applyFill="1" applyBorder="1" applyAlignment="1" applyProtection="1">
      <alignment horizontal="center"/>
    </xf>
    <xf numFmtId="0" fontId="2" fillId="6" borderId="5" xfId="0" applyFont="1" applyFill="1" applyBorder="1" applyProtection="1"/>
    <xf numFmtId="0" fontId="2" fillId="6" borderId="7" xfId="0" applyFont="1" applyFill="1" applyBorder="1" applyProtection="1"/>
    <xf numFmtId="0" fontId="2" fillId="6" borderId="8" xfId="0" applyFont="1" applyFill="1" applyBorder="1" applyProtection="1"/>
    <xf numFmtId="0" fontId="2" fillId="6" borderId="9" xfId="0" applyFont="1" applyFill="1" applyBorder="1" applyProtection="1"/>
    <xf numFmtId="1" fontId="2" fillId="0" borderId="1" xfId="0" applyNumberFormat="1" applyFont="1" applyBorder="1" applyAlignment="1" applyProtection="1">
      <alignment horizontal="right"/>
    </xf>
    <xf numFmtId="0" fontId="16" fillId="10" borderId="2" xfId="0" applyFont="1" applyFill="1" applyBorder="1" applyProtection="1"/>
    <xf numFmtId="0" fontId="16" fillId="10" borderId="4" xfId="0" applyFont="1" applyFill="1" applyBorder="1" applyProtection="1"/>
    <xf numFmtId="0" fontId="16" fillId="10" borderId="3" xfId="0" applyFont="1" applyFill="1" applyBorder="1" applyAlignment="1" applyProtection="1">
      <alignment horizontal="right"/>
    </xf>
    <xf numFmtId="0" fontId="16" fillId="10" borderId="3" xfId="0" applyFont="1" applyFill="1" applyBorder="1" applyProtection="1"/>
    <xf numFmtId="0" fontId="16" fillId="10" borderId="15" xfId="0" applyFont="1" applyFill="1" applyBorder="1" applyProtection="1"/>
    <xf numFmtId="0" fontId="16" fillId="10" borderId="0" xfId="0" applyFont="1" applyFill="1" applyAlignment="1" applyProtection="1">
      <alignment wrapText="1"/>
    </xf>
    <xf numFmtId="0" fontId="16" fillId="10" borderId="6" xfId="0" applyFont="1" applyFill="1" applyBorder="1" applyAlignment="1" applyProtection="1">
      <alignment wrapText="1"/>
    </xf>
    <xf numFmtId="0" fontId="16" fillId="10" borderId="13" xfId="0" applyFont="1" applyFill="1" applyBorder="1" applyProtection="1"/>
    <xf numFmtId="0" fontId="16" fillId="10" borderId="0" xfId="0" applyFont="1" applyFill="1" applyProtection="1"/>
    <xf numFmtId="0" fontId="16" fillId="10" borderId="6" xfId="0" applyFont="1" applyFill="1" applyBorder="1" applyProtection="1"/>
    <xf numFmtId="0" fontId="16" fillId="10" borderId="5" xfId="0" applyFont="1" applyFill="1" applyBorder="1" applyProtection="1"/>
    <xf numFmtId="0" fontId="16" fillId="10" borderId="7" xfId="0" applyFont="1" applyFill="1" applyBorder="1" applyProtection="1"/>
    <xf numFmtId="0" fontId="16" fillId="10" borderId="8" xfId="0" applyFont="1" applyFill="1" applyBorder="1" applyProtection="1"/>
    <xf numFmtId="0" fontId="16" fillId="10" borderId="17" xfId="0" applyFont="1" applyFill="1" applyBorder="1" applyProtection="1"/>
    <xf numFmtId="0" fontId="2" fillId="0" borderId="10" xfId="0" applyFont="1" applyBorder="1" applyAlignment="1" applyProtection="1">
      <alignment vertical="top"/>
    </xf>
    <xf numFmtId="0" fontId="2" fillId="0" borderId="11" xfId="0" applyFont="1" applyBorder="1" applyAlignment="1" applyProtection="1">
      <alignment vertical="top"/>
    </xf>
    <xf numFmtId="0" fontId="2" fillId="0" borderId="12" xfId="0" applyFont="1" applyBorder="1" applyAlignment="1" applyProtection="1">
      <alignment vertical="top"/>
    </xf>
    <xf numFmtId="9" fontId="2" fillId="0" borderId="1" xfId="0" applyNumberFormat="1" applyFont="1" applyFill="1" applyBorder="1" applyProtection="1">
      <protection locked="0"/>
    </xf>
    <xf numFmtId="0" fontId="2" fillId="0" borderId="0" xfId="0" applyFont="1" applyBorder="1" applyProtection="1">
      <protection locked="0"/>
    </xf>
    <xf numFmtId="0" fontId="2" fillId="4" borderId="10" xfId="0" applyFont="1" applyFill="1" applyBorder="1" applyAlignment="1" applyProtection="1"/>
    <xf numFmtId="0" fontId="2" fillId="4" borderId="11" xfId="0" applyFont="1" applyFill="1" applyBorder="1" applyAlignment="1" applyProtection="1"/>
    <xf numFmtId="1" fontId="2" fillId="0" borderId="0" xfId="0" applyNumberFormat="1" applyFont="1" applyProtection="1">
      <protection locked="0"/>
    </xf>
    <xf numFmtId="0" fontId="3" fillId="0" borderId="1" xfId="0" applyFont="1" applyBorder="1" applyAlignment="1" applyProtection="1"/>
    <xf numFmtId="0" fontId="23" fillId="0" borderId="0" xfId="0" applyFont="1" applyAlignment="1">
      <alignment horizontal="center" vertical="center" wrapText="1"/>
    </xf>
    <xf numFmtId="0" fontId="23" fillId="13" borderId="0" xfId="0" applyFont="1" applyFill="1" applyAlignment="1">
      <alignment horizontal="center" vertical="center" wrapText="1"/>
    </xf>
    <xf numFmtId="1" fontId="23" fillId="0" borderId="0" xfId="0" applyNumberFormat="1" applyFont="1" applyAlignment="1">
      <alignment horizontal="center" vertical="center" wrapText="1"/>
    </xf>
    <xf numFmtId="0" fontId="24" fillId="15" borderId="18" xfId="0" applyFont="1" applyFill="1" applyBorder="1" applyAlignment="1">
      <alignment horizontal="center" vertical="center" wrapText="1"/>
    </xf>
    <xf numFmtId="14" fontId="24" fillId="15" borderId="18" xfId="0" applyNumberFormat="1" applyFont="1" applyFill="1" applyBorder="1" applyAlignment="1">
      <alignment horizontal="center" vertical="center" wrapText="1"/>
    </xf>
    <xf numFmtId="1" fontId="24" fillId="15" borderId="18" xfId="0" applyNumberFormat="1" applyFont="1" applyFill="1" applyBorder="1" applyAlignment="1">
      <alignment horizontal="center" vertical="center" wrapText="1"/>
    </xf>
    <xf numFmtId="167" fontId="24" fillId="15" borderId="18" xfId="0" applyNumberFormat="1" applyFont="1" applyFill="1" applyBorder="1" applyAlignment="1">
      <alignment horizontal="center" vertical="center" wrapText="1"/>
    </xf>
    <xf numFmtId="164" fontId="24" fillId="15" borderId="18" xfId="0" applyNumberFormat="1" applyFont="1" applyFill="1" applyBorder="1" applyAlignment="1">
      <alignment horizontal="center" vertical="center" wrapText="1"/>
    </xf>
    <xf numFmtId="0" fontId="24" fillId="15" borderId="18" xfId="0" applyFont="1" applyFill="1" applyBorder="1" applyAlignment="1">
      <alignment horizontal="left" vertical="center" wrapText="1"/>
    </xf>
    <xf numFmtId="10" fontId="24" fillId="15" borderId="18" xfId="0" applyNumberFormat="1" applyFont="1" applyFill="1" applyBorder="1" applyAlignment="1">
      <alignment horizontal="center" vertical="center" wrapText="1"/>
    </xf>
    <xf numFmtId="49" fontId="24" fillId="15" borderId="18" xfId="0" applyNumberFormat="1" applyFont="1" applyFill="1" applyBorder="1" applyAlignment="1">
      <alignment horizontal="center" vertical="center" wrapText="1"/>
    </xf>
    <xf numFmtId="0" fontId="26" fillId="16" borderId="18" xfId="0" applyFont="1" applyFill="1" applyBorder="1" applyAlignment="1">
      <alignment horizontal="center" vertical="center" wrapText="1"/>
    </xf>
    <xf numFmtId="14" fontId="26" fillId="16" borderId="18" xfId="0" applyNumberFormat="1" applyFont="1" applyFill="1" applyBorder="1" applyAlignment="1">
      <alignment horizontal="center" vertical="center" wrapText="1"/>
    </xf>
    <xf numFmtId="1" fontId="26" fillId="16" borderId="18" xfId="0" applyNumberFormat="1" applyFont="1" applyFill="1" applyBorder="1" applyAlignment="1">
      <alignment horizontal="center" vertical="center" wrapText="1"/>
    </xf>
    <xf numFmtId="167" fontId="24" fillId="16" borderId="18" xfId="0" applyNumberFormat="1" applyFont="1" applyFill="1" applyBorder="1" applyAlignment="1">
      <alignment horizontal="center" vertical="center" wrapText="1"/>
    </xf>
    <xf numFmtId="167" fontId="26" fillId="16" borderId="18" xfId="0" applyNumberFormat="1" applyFont="1" applyFill="1" applyBorder="1" applyAlignment="1">
      <alignment horizontal="center" vertical="center" wrapText="1"/>
    </xf>
    <xf numFmtId="164" fontId="26" fillId="16" borderId="18" xfId="0" applyNumberFormat="1" applyFont="1" applyFill="1" applyBorder="1" applyAlignment="1">
      <alignment horizontal="center" vertical="center" wrapText="1"/>
    </xf>
    <xf numFmtId="0" fontId="26" fillId="16" borderId="18" xfId="0" applyFont="1" applyFill="1" applyBorder="1" applyAlignment="1">
      <alignment horizontal="left" vertical="center" wrapText="1"/>
    </xf>
    <xf numFmtId="10" fontId="26" fillId="16" borderId="18" xfId="0" applyNumberFormat="1" applyFont="1" applyFill="1" applyBorder="1" applyAlignment="1">
      <alignment horizontal="center" vertical="center" wrapText="1"/>
    </xf>
    <xf numFmtId="0" fontId="24" fillId="16" borderId="18" xfId="0" applyFont="1" applyFill="1" applyBorder="1" applyAlignment="1">
      <alignment horizontal="center" vertical="center" wrapText="1"/>
    </xf>
    <xf numFmtId="14" fontId="24" fillId="16" borderId="18" xfId="0" applyNumberFormat="1" applyFont="1" applyFill="1" applyBorder="1" applyAlignment="1">
      <alignment horizontal="center" vertical="center" wrapText="1"/>
    </xf>
    <xf numFmtId="1" fontId="24" fillId="16" borderId="18" xfId="0" applyNumberFormat="1" applyFont="1" applyFill="1" applyBorder="1" applyAlignment="1">
      <alignment horizontal="center" vertical="center" wrapText="1"/>
    </xf>
    <xf numFmtId="164" fontId="24" fillId="16" borderId="18" xfId="0" applyNumberFormat="1" applyFont="1" applyFill="1" applyBorder="1" applyAlignment="1">
      <alignment horizontal="center" vertical="center" wrapText="1"/>
    </xf>
    <xf numFmtId="0" fontId="24" fillId="16" borderId="18" xfId="0" applyFont="1" applyFill="1" applyBorder="1" applyAlignment="1">
      <alignment horizontal="left" vertical="center" wrapText="1"/>
    </xf>
    <xf numFmtId="10" fontId="24" fillId="16" borderId="18" xfId="0" applyNumberFormat="1" applyFont="1" applyFill="1" applyBorder="1" applyAlignment="1">
      <alignment horizontal="center" vertical="center" wrapText="1"/>
    </xf>
    <xf numFmtId="0" fontId="27" fillId="15" borderId="18" xfId="0" applyFont="1" applyFill="1" applyBorder="1" applyAlignment="1">
      <alignment horizontal="center" vertical="center" wrapText="1"/>
    </xf>
    <xf numFmtId="14" fontId="27" fillId="15" borderId="18" xfId="0" applyNumberFormat="1" applyFont="1" applyFill="1" applyBorder="1" applyAlignment="1">
      <alignment horizontal="center" vertical="center" wrapText="1"/>
    </xf>
    <xf numFmtId="1" fontId="27" fillId="15" borderId="18" xfId="0" applyNumberFormat="1" applyFont="1" applyFill="1" applyBorder="1" applyAlignment="1">
      <alignment horizontal="center" vertical="center" wrapText="1"/>
    </xf>
    <xf numFmtId="167" fontId="27" fillId="15" borderId="18" xfId="0" applyNumberFormat="1" applyFont="1" applyFill="1" applyBorder="1" applyAlignment="1">
      <alignment horizontal="center" vertical="center" wrapText="1"/>
    </xf>
    <xf numFmtId="164" fontId="27" fillId="15" borderId="18" xfId="0" applyNumberFormat="1" applyFont="1" applyFill="1" applyBorder="1" applyAlignment="1">
      <alignment horizontal="center" vertical="center" wrapText="1"/>
    </xf>
    <xf numFmtId="0" fontId="27" fillId="15" borderId="18" xfId="0" applyFont="1" applyFill="1" applyBorder="1" applyAlignment="1">
      <alignment horizontal="left" vertical="center" wrapText="1"/>
    </xf>
    <xf numFmtId="10" fontId="27" fillId="15" borderId="18" xfId="0" applyNumberFormat="1" applyFont="1" applyFill="1" applyBorder="1" applyAlignment="1">
      <alignment horizontal="center" vertical="center" wrapText="1"/>
    </xf>
    <xf numFmtId="0" fontId="30" fillId="16" borderId="1" xfId="0" applyFont="1" applyFill="1" applyBorder="1" applyAlignment="1" applyProtection="1">
      <alignment horizontal="left" vertical="top" wrapText="1"/>
      <protection locked="0"/>
    </xf>
    <xf numFmtId="0" fontId="26" fillId="15" borderId="18" xfId="0" applyFont="1" applyFill="1" applyBorder="1" applyAlignment="1">
      <alignment horizontal="center" vertical="center" wrapText="1"/>
    </xf>
    <xf numFmtId="14" fontId="26" fillId="15" borderId="18" xfId="0" applyNumberFormat="1" applyFont="1" applyFill="1" applyBorder="1" applyAlignment="1">
      <alignment horizontal="center" vertical="center" wrapText="1"/>
    </xf>
    <xf numFmtId="1" fontId="26" fillId="15" borderId="18" xfId="0" applyNumberFormat="1" applyFont="1" applyFill="1" applyBorder="1" applyAlignment="1">
      <alignment horizontal="center" vertical="center" wrapText="1"/>
    </xf>
    <xf numFmtId="167" fontId="26" fillId="15" borderId="18" xfId="0" applyNumberFormat="1" applyFont="1" applyFill="1" applyBorder="1" applyAlignment="1">
      <alignment horizontal="center" vertical="center" wrapText="1"/>
    </xf>
    <xf numFmtId="164" fontId="26" fillId="15" borderId="18" xfId="0" applyNumberFormat="1" applyFont="1" applyFill="1" applyBorder="1" applyAlignment="1">
      <alignment horizontal="center" vertical="center" wrapText="1"/>
    </xf>
    <xf numFmtId="0" fontId="26" fillId="15" borderId="18" xfId="0" applyFont="1" applyFill="1" applyBorder="1" applyAlignment="1">
      <alignment horizontal="left" vertical="center" wrapText="1"/>
    </xf>
    <xf numFmtId="10" fontId="26" fillId="15" borderId="18" xfId="0" applyNumberFormat="1" applyFont="1" applyFill="1" applyBorder="1" applyAlignment="1">
      <alignment horizontal="center" vertical="center" wrapText="1"/>
    </xf>
    <xf numFmtId="0" fontId="27" fillId="16" borderId="18" xfId="0" applyFont="1" applyFill="1" applyBorder="1" applyAlignment="1">
      <alignment horizontal="center" vertical="center" wrapText="1"/>
    </xf>
    <xf numFmtId="14" fontId="27" fillId="16" borderId="18" xfId="0" applyNumberFormat="1" applyFont="1" applyFill="1" applyBorder="1" applyAlignment="1">
      <alignment horizontal="center" vertical="center" wrapText="1"/>
    </xf>
    <xf numFmtId="1" fontId="27" fillId="16" borderId="18" xfId="0" applyNumberFormat="1" applyFont="1" applyFill="1" applyBorder="1" applyAlignment="1">
      <alignment horizontal="center" vertical="center" wrapText="1"/>
    </xf>
    <xf numFmtId="0" fontId="14" fillId="16" borderId="18" xfId="22" applyFill="1" applyBorder="1" applyAlignment="1">
      <alignment horizontal="center" vertical="center" wrapText="1"/>
    </xf>
    <xf numFmtId="167" fontId="27" fillId="16" borderId="18" xfId="0" applyNumberFormat="1" applyFont="1" applyFill="1" applyBorder="1" applyAlignment="1">
      <alignment horizontal="center" vertical="center" wrapText="1"/>
    </xf>
    <xf numFmtId="164" fontId="27" fillId="16" borderId="18" xfId="0" applyNumberFormat="1" applyFont="1" applyFill="1" applyBorder="1" applyAlignment="1">
      <alignment horizontal="center" vertical="center" wrapText="1"/>
    </xf>
    <xf numFmtId="0" fontId="27" fillId="16" borderId="18" xfId="0" applyFont="1" applyFill="1" applyBorder="1" applyAlignment="1">
      <alignment horizontal="left" vertical="center" wrapText="1"/>
    </xf>
    <xf numFmtId="10" fontId="27" fillId="16" borderId="18" xfId="0" applyNumberFormat="1" applyFont="1" applyFill="1" applyBorder="1" applyAlignment="1">
      <alignment horizontal="center" vertical="center" wrapText="1"/>
    </xf>
    <xf numFmtId="0" fontId="14" fillId="15" borderId="18" xfId="22" applyFill="1" applyBorder="1" applyAlignment="1">
      <alignment horizontal="center" vertical="center" wrapText="1"/>
    </xf>
    <xf numFmtId="0" fontId="24" fillId="15" borderId="18" xfId="0" applyFont="1" applyFill="1" applyBorder="1" applyAlignment="1">
      <alignment horizontal="justify" vertical="center" wrapText="1"/>
    </xf>
    <xf numFmtId="0" fontId="24" fillId="16" borderId="18" xfId="0" applyFont="1" applyFill="1" applyBorder="1" applyAlignment="1">
      <alignment horizontal="justify" vertical="center" wrapText="1"/>
    </xf>
    <xf numFmtId="0" fontId="24" fillId="16" borderId="18" xfId="0" applyFont="1" applyFill="1" applyBorder="1" applyAlignment="1">
      <alignment wrapText="1"/>
    </xf>
    <xf numFmtId="0" fontId="35" fillId="15" borderId="18" xfId="0" applyFont="1" applyFill="1" applyBorder="1" applyAlignment="1">
      <alignment wrapText="1"/>
    </xf>
    <xf numFmtId="0" fontId="35" fillId="16" borderId="18" xfId="0" applyFont="1" applyFill="1" applyBorder="1" applyAlignment="1">
      <alignment wrapText="1"/>
    </xf>
    <xf numFmtId="0" fontId="24" fillId="15" borderId="18" xfId="0" applyFont="1" applyFill="1" applyBorder="1" applyAlignment="1">
      <alignment wrapText="1"/>
    </xf>
    <xf numFmtId="1" fontId="24" fillId="15" borderId="18" xfId="0" applyNumberFormat="1" applyFont="1" applyFill="1" applyBorder="1" applyAlignment="1">
      <alignment wrapText="1"/>
    </xf>
    <xf numFmtId="0" fontId="24" fillId="15" borderId="18" xfId="0" applyFont="1" applyFill="1" applyBorder="1" applyAlignment="1">
      <alignment horizontal="left" wrapText="1"/>
    </xf>
    <xf numFmtId="1" fontId="24" fillId="16" borderId="18" xfId="0" applyNumberFormat="1" applyFont="1" applyFill="1" applyBorder="1" applyAlignment="1">
      <alignment wrapText="1"/>
    </xf>
    <xf numFmtId="0" fontId="24" fillId="16" borderId="18" xfId="0" applyFont="1" applyFill="1" applyBorder="1" applyAlignment="1">
      <alignment horizontal="left" wrapText="1"/>
    </xf>
    <xf numFmtId="0" fontId="24" fillId="15" borderId="25" xfId="0" applyFont="1" applyFill="1" applyBorder="1" applyAlignment="1">
      <alignment wrapText="1"/>
    </xf>
    <xf numFmtId="1" fontId="24" fillId="15" borderId="25" xfId="0" applyNumberFormat="1" applyFont="1" applyFill="1" applyBorder="1" applyAlignment="1">
      <alignment wrapText="1"/>
    </xf>
    <xf numFmtId="167" fontId="24" fillId="15" borderId="25" xfId="0" applyNumberFormat="1" applyFont="1" applyFill="1" applyBorder="1" applyAlignment="1">
      <alignment horizontal="center" vertical="center" wrapText="1"/>
    </xf>
    <xf numFmtId="0" fontId="24" fillId="15" borderId="25" xfId="0" applyFont="1" applyFill="1" applyBorder="1" applyAlignment="1">
      <alignment horizontal="left" wrapText="1"/>
    </xf>
    <xf numFmtId="0" fontId="24" fillId="15" borderId="21" xfId="0" applyFont="1" applyFill="1" applyBorder="1" applyAlignment="1">
      <alignment horizontal="center" vertical="center" wrapText="1"/>
    </xf>
    <xf numFmtId="0" fontId="26" fillId="16" borderId="21" xfId="0" applyFont="1" applyFill="1" applyBorder="1" applyAlignment="1">
      <alignment horizontal="center" vertical="center" wrapText="1"/>
    </xf>
    <xf numFmtId="0" fontId="24" fillId="16" borderId="21" xfId="0" applyFont="1" applyFill="1" applyBorder="1" applyAlignment="1">
      <alignment horizontal="center" vertical="center" wrapText="1"/>
    </xf>
    <xf numFmtId="0" fontId="27" fillId="15" borderId="21" xfId="0" applyFont="1" applyFill="1" applyBorder="1" applyAlignment="1">
      <alignment horizontal="center" vertical="center" wrapText="1"/>
    </xf>
    <xf numFmtId="0" fontId="26" fillId="15" borderId="21" xfId="0" applyFont="1" applyFill="1" applyBorder="1" applyAlignment="1">
      <alignment horizontal="center" vertical="center" wrapText="1"/>
    </xf>
    <xf numFmtId="0" fontId="27" fillId="16" borderId="21" xfId="0" applyFont="1" applyFill="1" applyBorder="1" applyAlignment="1">
      <alignment horizontal="center" vertical="center" wrapText="1"/>
    </xf>
    <xf numFmtId="0" fontId="24" fillId="15" borderId="21" xfId="0" applyFont="1" applyFill="1" applyBorder="1" applyAlignment="1">
      <alignment wrapText="1"/>
    </xf>
    <xf numFmtId="0" fontId="24" fillId="16" borderId="21" xfId="0" applyFont="1" applyFill="1" applyBorder="1" applyAlignment="1">
      <alignment wrapText="1"/>
    </xf>
    <xf numFmtId="0" fontId="24" fillId="15" borderId="19" xfId="0" applyFont="1" applyFill="1" applyBorder="1" applyAlignment="1">
      <alignment horizontal="center" vertical="center" wrapText="1"/>
    </xf>
    <xf numFmtId="0" fontId="24" fillId="16" borderId="19" xfId="0" applyFont="1" applyFill="1" applyBorder="1" applyAlignment="1">
      <alignment horizontal="center" vertical="center" wrapText="1"/>
    </xf>
    <xf numFmtId="0" fontId="24" fillId="15" borderId="19" xfId="0" applyFont="1" applyFill="1" applyBorder="1" applyAlignment="1">
      <alignment wrapText="1"/>
    </xf>
    <xf numFmtId="0" fontId="24" fillId="16" borderId="19" xfId="0" applyFont="1" applyFill="1" applyBorder="1" applyAlignment="1">
      <alignment wrapText="1"/>
    </xf>
    <xf numFmtId="0" fontId="24" fillId="15" borderId="30" xfId="0" applyFont="1" applyFill="1" applyBorder="1" applyAlignment="1">
      <alignment wrapText="1"/>
    </xf>
    <xf numFmtId="0" fontId="24" fillId="15" borderId="31" xfId="0" applyFont="1" applyFill="1" applyBorder="1" applyAlignment="1">
      <alignment wrapText="1"/>
    </xf>
    <xf numFmtId="0" fontId="4" fillId="4" borderId="14" xfId="0" applyFont="1" applyFill="1" applyBorder="1" applyAlignment="1" applyProtection="1">
      <alignment horizontal="center" vertical="center"/>
    </xf>
    <xf numFmtId="1" fontId="0" fillId="0" borderId="0" xfId="0" applyNumberFormat="1"/>
    <xf numFmtId="0" fontId="5" fillId="7" borderId="0" xfId="0" applyFont="1" applyFill="1" applyBorder="1" applyAlignment="1" applyProtection="1"/>
    <xf numFmtId="0" fontId="2" fillId="7" borderId="0" xfId="0" applyFont="1" applyFill="1" applyProtection="1">
      <protection locked="0"/>
    </xf>
    <xf numFmtId="0" fontId="2" fillId="6" borderId="3" xfId="0" applyFont="1" applyFill="1" applyBorder="1" applyAlignment="1" applyProtection="1">
      <alignment horizontal="center"/>
    </xf>
    <xf numFmtId="0" fontId="2" fillId="0" borderId="1" xfId="0" applyFont="1" applyBorder="1" applyAlignment="1" applyProtection="1">
      <alignment horizontal="center"/>
    </xf>
    <xf numFmtId="1" fontId="2" fillId="0" borderId="1" xfId="0" applyNumberFormat="1" applyFont="1" applyBorder="1" applyAlignment="1" applyProtection="1">
      <alignment horizontal="center"/>
    </xf>
    <xf numFmtId="0" fontId="2" fillId="0" borderId="1" xfId="0" applyFont="1" applyBorder="1" applyAlignment="1" applyProtection="1">
      <alignment horizontal="center" vertical="center"/>
    </xf>
    <xf numFmtId="0" fontId="16" fillId="11" borderId="0" xfId="0" applyFont="1" applyFill="1" applyAlignment="1" applyProtection="1">
      <alignment horizontal="center" wrapText="1"/>
    </xf>
    <xf numFmtId="0" fontId="2" fillId="6" borderId="0" xfId="0" applyFont="1" applyFill="1" applyBorder="1" applyAlignment="1" applyProtection="1">
      <alignment horizontal="center" wrapText="1"/>
    </xf>
    <xf numFmtId="0" fontId="17" fillId="0" borderId="1" xfId="0" applyFont="1" applyFill="1" applyBorder="1" applyAlignment="1" applyProtection="1">
      <alignment horizontal="center"/>
    </xf>
    <xf numFmtId="0" fontId="16" fillId="0" borderId="1" xfId="0" applyFont="1" applyBorder="1" applyAlignment="1" applyProtection="1">
      <alignment horizontal="center" vertical="center"/>
      <protection locked="0"/>
    </xf>
    <xf numFmtId="0" fontId="2" fillId="0" borderId="1" xfId="0" applyFont="1" applyBorder="1" applyAlignment="1" applyProtection="1">
      <alignment horizontal="center"/>
    </xf>
    <xf numFmtId="1" fontId="2" fillId="0" borderId="1" xfId="0" applyNumberFormat="1" applyFont="1" applyBorder="1" applyAlignment="1" applyProtection="1">
      <alignment horizontal="center"/>
    </xf>
    <xf numFmtId="0" fontId="2" fillId="0" borderId="5" xfId="0" applyFont="1" applyFill="1" applyBorder="1" applyAlignment="1" applyProtection="1">
      <alignment wrapText="1"/>
    </xf>
    <xf numFmtId="0" fontId="2" fillId="0" borderId="0" xfId="0" applyFont="1" applyFill="1" applyBorder="1" applyAlignment="1" applyProtection="1">
      <alignment wrapText="1"/>
    </xf>
    <xf numFmtId="0" fontId="39" fillId="14" borderId="26" xfId="0" applyFont="1" applyFill="1" applyBorder="1" applyAlignment="1">
      <alignment horizontal="center" vertical="center" wrapText="1"/>
    </xf>
    <xf numFmtId="0" fontId="39" fillId="14" borderId="27" xfId="0" applyFont="1" applyFill="1" applyBorder="1" applyAlignment="1">
      <alignment horizontal="center" vertical="center" wrapText="1"/>
    </xf>
    <xf numFmtId="49" fontId="39" fillId="14" borderId="27" xfId="0" applyNumberFormat="1" applyFont="1" applyFill="1" applyBorder="1" applyAlignment="1">
      <alignment horizontal="center" vertical="center" wrapText="1"/>
    </xf>
    <xf numFmtId="0" fontId="39" fillId="14" borderId="27" xfId="0" applyFont="1" applyFill="1" applyBorder="1" applyAlignment="1" applyProtection="1">
      <alignment horizontal="center" vertical="center" wrapText="1"/>
      <protection locked="0"/>
    </xf>
    <xf numFmtId="14" fontId="39" fillId="14" borderId="27" xfId="0" applyNumberFormat="1" applyFont="1" applyFill="1" applyBorder="1" applyAlignment="1">
      <alignment horizontal="center" vertical="center" wrapText="1"/>
    </xf>
    <xf numFmtId="1" fontId="39" fillId="14" borderId="27" xfId="0" applyNumberFormat="1" applyFont="1" applyFill="1" applyBorder="1" applyAlignment="1">
      <alignment horizontal="center" vertical="center" wrapText="1"/>
    </xf>
    <xf numFmtId="164" fontId="39" fillId="14" borderId="27" xfId="0" applyNumberFormat="1" applyFont="1" applyFill="1" applyBorder="1" applyAlignment="1">
      <alignment horizontal="center" vertical="center" wrapText="1"/>
    </xf>
    <xf numFmtId="0" fontId="39" fillId="14" borderId="27" xfId="0" applyFont="1" applyFill="1" applyBorder="1" applyAlignment="1">
      <alignment horizontal="left" vertical="center" wrapText="1"/>
    </xf>
    <xf numFmtId="0" fontId="39" fillId="14" borderId="28" xfId="0" applyFont="1" applyFill="1" applyBorder="1" applyAlignment="1">
      <alignment horizontal="center" vertical="center" wrapText="1"/>
    </xf>
    <xf numFmtId="0" fontId="39" fillId="14" borderId="29" xfId="0" applyFont="1" applyFill="1" applyBorder="1" applyAlignment="1">
      <alignment horizontal="center" vertical="center" wrapText="1"/>
    </xf>
    <xf numFmtId="0" fontId="16" fillId="10" borderId="5" xfId="0" applyFont="1" applyFill="1" applyBorder="1" applyProtection="1">
      <protection locked="0"/>
    </xf>
    <xf numFmtId="0" fontId="16" fillId="10" borderId="0" xfId="0" applyFont="1" applyFill="1" applyProtection="1">
      <protection locked="0"/>
    </xf>
    <xf numFmtId="0" fontId="16" fillId="10" borderId="6" xfId="0" applyFont="1" applyFill="1" applyBorder="1" applyProtection="1">
      <protection locked="0"/>
    </xf>
    <xf numFmtId="0" fontId="40" fillId="18" borderId="1" xfId="0" applyFont="1" applyFill="1" applyBorder="1" applyAlignment="1">
      <alignment horizontal="center"/>
    </xf>
    <xf numFmtId="0" fontId="16" fillId="0" borderId="0" xfId="0" applyFont="1"/>
    <xf numFmtId="9" fontId="16" fillId="21" borderId="9" xfId="0" applyNumberFormat="1" applyFont="1" applyFill="1" applyBorder="1" applyProtection="1">
      <protection locked="0"/>
    </xf>
    <xf numFmtId="9" fontId="16" fillId="0" borderId="9" xfId="0" applyNumberFormat="1" applyFont="1" applyBorder="1" applyProtection="1">
      <protection locked="0"/>
    </xf>
    <xf numFmtId="0" fontId="16" fillId="0" borderId="32" xfId="0" applyFont="1" applyBorder="1" applyAlignment="1">
      <alignment horizontal="center" vertical="center"/>
    </xf>
    <xf numFmtId="0" fontId="16" fillId="0" borderId="10" xfId="0" applyFont="1" applyBorder="1" applyAlignment="1">
      <alignment vertical="top"/>
    </xf>
    <xf numFmtId="0" fontId="16" fillId="0" borderId="11" xfId="0" applyFont="1" applyBorder="1" applyAlignment="1">
      <alignment vertical="top"/>
    </xf>
    <xf numFmtId="0" fontId="16" fillId="0" borderId="33" xfId="0" applyFont="1" applyBorder="1" applyAlignment="1">
      <alignment vertical="top"/>
    </xf>
    <xf numFmtId="0" fontId="16" fillId="10" borderId="14" xfId="0" applyFont="1" applyFill="1" applyBorder="1"/>
    <xf numFmtId="0" fontId="16" fillId="10" borderId="3" xfId="0" applyFont="1" applyFill="1" applyBorder="1" applyAlignment="1">
      <alignment horizontal="right"/>
    </xf>
    <xf numFmtId="0" fontId="16" fillId="10" borderId="0" xfId="0" applyFont="1" applyFill="1"/>
    <xf numFmtId="0" fontId="16" fillId="10" borderId="3" xfId="0" applyFont="1" applyFill="1" applyBorder="1"/>
    <xf numFmtId="0" fontId="16" fillId="10" borderId="15" xfId="0" applyFont="1" applyFill="1" applyBorder="1"/>
    <xf numFmtId="0" fontId="16" fillId="10" borderId="0" xfId="0" applyFont="1" applyFill="1" applyAlignment="1">
      <alignment horizontal="center" wrapText="1"/>
    </xf>
    <xf numFmtId="0" fontId="16" fillId="10" borderId="6" xfId="0" applyFont="1" applyFill="1" applyBorder="1" applyAlignment="1">
      <alignment horizontal="center" wrapText="1"/>
    </xf>
    <xf numFmtId="0" fontId="16" fillId="10" borderId="13" xfId="0" applyFont="1" applyFill="1" applyBorder="1"/>
    <xf numFmtId="0" fontId="16" fillId="10" borderId="6" xfId="0" applyFont="1" applyFill="1" applyBorder="1"/>
    <xf numFmtId="0" fontId="16" fillId="10" borderId="5" xfId="0" applyFont="1" applyFill="1" applyBorder="1"/>
    <xf numFmtId="0" fontId="16" fillId="10" borderId="16" xfId="0" applyFont="1" applyFill="1" applyBorder="1"/>
    <xf numFmtId="0" fontId="16" fillId="10" borderId="7" xfId="0" applyFont="1" applyFill="1" applyBorder="1"/>
    <xf numFmtId="0" fontId="16" fillId="10" borderId="8" xfId="0" applyFont="1" applyFill="1" applyBorder="1"/>
    <xf numFmtId="0" fontId="16" fillId="10" borderId="17" xfId="0" applyFont="1" applyFill="1" applyBorder="1"/>
    <xf numFmtId="0" fontId="16" fillId="0" borderId="1" xfId="0" applyFont="1" applyBorder="1" applyAlignment="1">
      <alignment horizontal="center" vertical="center"/>
    </xf>
    <xf numFmtId="0" fontId="2" fillId="0" borderId="0" xfId="0" applyFont="1" applyAlignment="1" applyProtection="1">
      <protection locked="0"/>
    </xf>
    <xf numFmtId="0" fontId="4" fillId="4" borderId="14" xfId="0" applyFont="1" applyFill="1" applyBorder="1" applyAlignment="1" applyProtection="1">
      <alignment horizontal="center" vertical="center"/>
    </xf>
    <xf numFmtId="0" fontId="2" fillId="0" borderId="1" xfId="0" applyFont="1" applyBorder="1" applyAlignment="1" applyProtection="1">
      <alignment horizontal="center"/>
    </xf>
    <xf numFmtId="0" fontId="2" fillId="6" borderId="3" xfId="0" applyFont="1" applyFill="1" applyBorder="1" applyAlignment="1" applyProtection="1">
      <alignment horizontal="center"/>
    </xf>
    <xf numFmtId="1" fontId="2" fillId="0" borderId="1" xfId="0" applyNumberFormat="1" applyFont="1" applyBorder="1" applyAlignment="1" applyProtection="1">
      <alignment horizontal="center"/>
    </xf>
    <xf numFmtId="0" fontId="2" fillId="0" borderId="1" xfId="0" applyFont="1" applyBorder="1" applyAlignment="1" applyProtection="1">
      <alignment horizontal="center" vertical="center"/>
    </xf>
    <xf numFmtId="0" fontId="2" fillId="6" borderId="0" xfId="0" applyFont="1" applyFill="1" applyBorder="1" applyAlignment="1" applyProtection="1">
      <alignment horizontal="center" wrapText="1"/>
    </xf>
    <xf numFmtId="0" fontId="0" fillId="0" borderId="0" xfId="0" applyAlignment="1">
      <alignment wrapText="1"/>
    </xf>
    <xf numFmtId="0" fontId="0" fillId="0" borderId="0" xfId="0" applyFont="1" applyAlignment="1">
      <alignment wrapText="1"/>
    </xf>
    <xf numFmtId="1" fontId="21" fillId="15" borderId="18" xfId="0" applyNumberFormat="1" applyFont="1" applyFill="1" applyBorder="1" applyAlignment="1">
      <alignment wrapText="1"/>
    </xf>
    <xf numFmtId="1" fontId="19" fillId="15" borderId="18" xfId="0" applyNumberFormat="1" applyFont="1" applyFill="1" applyBorder="1" applyAlignment="1">
      <alignment wrapText="1"/>
    </xf>
    <xf numFmtId="0" fontId="31" fillId="15" borderId="18" xfId="0" applyFont="1" applyFill="1" applyBorder="1" applyAlignment="1">
      <alignment wrapText="1"/>
    </xf>
    <xf numFmtId="1" fontId="21" fillId="16" borderId="18" xfId="0" applyNumberFormat="1" applyFont="1" applyFill="1" applyBorder="1" applyAlignment="1">
      <alignment wrapText="1"/>
    </xf>
    <xf numFmtId="0" fontId="33" fillId="15" borderId="18" xfId="0" applyFont="1" applyFill="1" applyBorder="1" applyAlignment="1">
      <alignment wrapText="1"/>
    </xf>
    <xf numFmtId="1" fontId="19" fillId="16" borderId="18" xfId="0" applyNumberFormat="1" applyFont="1" applyFill="1" applyBorder="1" applyAlignment="1">
      <alignment wrapText="1"/>
    </xf>
    <xf numFmtId="0" fontId="25" fillId="16" borderId="18" xfId="0" applyFont="1" applyFill="1" applyBorder="1" applyAlignment="1">
      <alignment wrapText="1"/>
    </xf>
    <xf numFmtId="0" fontId="25" fillId="16" borderId="19" xfId="0" applyFont="1" applyFill="1" applyBorder="1" applyAlignment="1">
      <alignment wrapText="1"/>
    </xf>
    <xf numFmtId="0" fontId="25" fillId="16" borderId="20" xfId="0" applyFont="1" applyFill="1" applyBorder="1" applyAlignment="1">
      <alignment wrapText="1"/>
    </xf>
    <xf numFmtId="0" fontId="25" fillId="16" borderId="21" xfId="0" applyFont="1" applyFill="1" applyBorder="1" applyAlignment="1">
      <alignment wrapText="1"/>
    </xf>
    <xf numFmtId="1" fontId="22" fillId="15" borderId="18" xfId="0" applyNumberFormat="1" applyFont="1" applyFill="1" applyBorder="1" applyAlignment="1">
      <alignment wrapText="1"/>
    </xf>
    <xf numFmtId="0" fontId="25" fillId="15" borderId="18" xfId="0" applyFont="1" applyFill="1" applyBorder="1" applyAlignment="1">
      <alignment wrapText="1"/>
    </xf>
    <xf numFmtId="0" fontId="34" fillId="15" borderId="18" xfId="0" applyFont="1" applyFill="1" applyBorder="1" applyAlignment="1">
      <alignment wrapText="1"/>
    </xf>
    <xf numFmtId="0" fontId="25" fillId="15" borderId="19" xfId="0" applyFont="1" applyFill="1" applyBorder="1" applyAlignment="1">
      <alignment wrapText="1"/>
    </xf>
    <xf numFmtId="0" fontId="25" fillId="15" borderId="20" xfId="0" applyFont="1" applyFill="1" applyBorder="1" applyAlignment="1">
      <alignment wrapText="1"/>
    </xf>
    <xf numFmtId="0" fontId="25" fillId="15" borderId="21" xfId="0" applyFont="1" applyFill="1" applyBorder="1" applyAlignment="1">
      <alignment wrapText="1"/>
    </xf>
    <xf numFmtId="1" fontId="22" fillId="16" borderId="18" xfId="0" applyNumberFormat="1" applyFont="1" applyFill="1" applyBorder="1" applyAlignment="1">
      <alignment wrapText="1"/>
    </xf>
    <xf numFmtId="0" fontId="32" fillId="16" borderId="18" xfId="0" applyFont="1" applyFill="1" applyBorder="1" applyAlignment="1">
      <alignment wrapText="1"/>
    </xf>
    <xf numFmtId="0" fontId="31" fillId="16" borderId="18" xfId="0" applyFont="1" applyFill="1" applyBorder="1" applyAlignment="1">
      <alignment wrapText="1"/>
    </xf>
    <xf numFmtId="0" fontId="31" fillId="16" borderId="19" xfId="0" applyFont="1" applyFill="1" applyBorder="1" applyAlignment="1">
      <alignment wrapText="1"/>
    </xf>
    <xf numFmtId="0" fontId="31" fillId="16" borderId="20" xfId="0" applyFont="1" applyFill="1" applyBorder="1" applyAlignment="1">
      <alignment wrapText="1"/>
    </xf>
    <xf numFmtId="0" fontId="31" fillId="16" borderId="21" xfId="0" applyFont="1" applyFill="1" applyBorder="1" applyAlignment="1">
      <alignment wrapText="1"/>
    </xf>
    <xf numFmtId="0" fontId="36" fillId="16" borderId="18" xfId="0" applyFont="1" applyFill="1" applyBorder="1" applyAlignment="1">
      <alignment wrapText="1"/>
    </xf>
    <xf numFmtId="0" fontId="36" fillId="15" borderId="18" xfId="0" applyFont="1" applyFill="1" applyBorder="1" applyAlignment="1">
      <alignment wrapText="1"/>
    </xf>
    <xf numFmtId="0" fontId="19" fillId="15" borderId="18" xfId="0" applyFont="1" applyFill="1" applyBorder="1" applyAlignment="1">
      <alignment wrapText="1"/>
    </xf>
    <xf numFmtId="0" fontId="19" fillId="16" borderId="18" xfId="0" applyFont="1" applyFill="1" applyBorder="1" applyAlignment="1">
      <alignment wrapText="1"/>
    </xf>
    <xf numFmtId="0" fontId="19" fillId="15" borderId="25" xfId="0" applyFont="1" applyFill="1" applyBorder="1" applyAlignment="1">
      <alignment wrapText="1"/>
    </xf>
    <xf numFmtId="1" fontId="0" fillId="0" borderId="0" xfId="0" applyNumberFormat="1" applyAlignment="1">
      <alignment wrapText="1"/>
    </xf>
    <xf numFmtId="0" fontId="31" fillId="15" borderId="19" xfId="0" applyFont="1" applyFill="1" applyBorder="1" applyAlignment="1">
      <alignment wrapText="1"/>
    </xf>
    <xf numFmtId="0" fontId="33" fillId="15" borderId="19" xfId="0" applyFont="1" applyFill="1" applyBorder="1" applyAlignment="1">
      <alignment wrapText="1"/>
    </xf>
    <xf numFmtId="0" fontId="31" fillId="15" borderId="21" xfId="0" applyFont="1" applyFill="1" applyBorder="1" applyAlignment="1">
      <alignment wrapText="1"/>
    </xf>
    <xf numFmtId="0" fontId="33" fillId="15" borderId="20" xfId="0" applyFont="1" applyFill="1" applyBorder="1" applyAlignment="1">
      <alignment wrapText="1"/>
    </xf>
    <xf numFmtId="0" fontId="31" fillId="15" borderId="20" xfId="0" applyFont="1" applyFill="1" applyBorder="1" applyAlignment="1">
      <alignment wrapText="1"/>
    </xf>
    <xf numFmtId="0" fontId="33" fillId="15" borderId="21" xfId="0" applyFont="1" applyFill="1" applyBorder="1" applyAlignment="1">
      <alignment wrapText="1"/>
    </xf>
    <xf numFmtId="0" fontId="30" fillId="15" borderId="23" xfId="0" applyFont="1" applyFill="1" applyBorder="1" applyAlignment="1" applyProtection="1">
      <alignment horizontal="left" vertical="top" wrapText="1"/>
      <protection locked="0"/>
    </xf>
    <xf numFmtId="0" fontId="30" fillId="15" borderId="24" xfId="0" applyFont="1" applyFill="1" applyBorder="1" applyAlignment="1" applyProtection="1">
      <alignment horizontal="left" vertical="top" wrapText="1"/>
      <protection locked="0"/>
    </xf>
    <xf numFmtId="0" fontId="28" fillId="15" borderId="1" xfId="0" applyFont="1" applyFill="1" applyBorder="1" applyAlignment="1">
      <alignment horizontal="left" vertical="top" wrapText="1"/>
    </xf>
    <xf numFmtId="0" fontId="30" fillId="16" borderId="1" xfId="0" applyFont="1" applyFill="1" applyBorder="1" applyAlignment="1">
      <alignment horizontal="left" vertical="top" wrapText="1"/>
    </xf>
    <xf numFmtId="0" fontId="28" fillId="16" borderId="1" xfId="0" applyFont="1" applyFill="1" applyBorder="1" applyAlignment="1">
      <alignment horizontal="left" vertical="top" wrapText="1"/>
    </xf>
    <xf numFmtId="0" fontId="28" fillId="16" borderId="22" xfId="0" applyFont="1" applyFill="1" applyBorder="1" applyAlignment="1" applyProtection="1">
      <alignment horizontal="left" vertical="top" wrapText="1"/>
      <protection locked="0"/>
    </xf>
    <xf numFmtId="0" fontId="28" fillId="15" borderId="1" xfId="0" applyFont="1" applyFill="1" applyBorder="1" applyAlignment="1" applyProtection="1">
      <alignment horizontal="left" vertical="top" wrapText="1"/>
      <protection locked="0"/>
    </xf>
    <xf numFmtId="0" fontId="30" fillId="16" borderId="23" xfId="0" applyFont="1" applyFill="1" applyBorder="1" applyAlignment="1" applyProtection="1">
      <alignment horizontal="left" vertical="top" wrapText="1"/>
      <protection locked="0"/>
    </xf>
    <xf numFmtId="0" fontId="28" fillId="15" borderId="22" xfId="0" applyFont="1" applyFill="1" applyBorder="1" applyAlignment="1">
      <alignment horizontal="left" vertical="top" wrapText="1"/>
    </xf>
    <xf numFmtId="0" fontId="30" fillId="16" borderId="24" xfId="0" applyFont="1" applyFill="1" applyBorder="1" applyAlignment="1">
      <alignment horizontal="left" vertical="top" wrapText="1"/>
    </xf>
    <xf numFmtId="0" fontId="28" fillId="16" borderId="22" xfId="0" applyFont="1" applyFill="1" applyBorder="1" applyAlignment="1">
      <alignment horizontal="left" vertical="top" wrapText="1"/>
    </xf>
    <xf numFmtId="0" fontId="30" fillId="16" borderId="23" xfId="0" applyFont="1" applyFill="1" applyBorder="1" applyAlignment="1">
      <alignment horizontal="left" vertical="top" wrapText="1"/>
    </xf>
    <xf numFmtId="0" fontId="28" fillId="15" borderId="22" xfId="0" applyFont="1" applyFill="1" applyBorder="1" applyAlignment="1" applyProtection="1">
      <alignment horizontal="left" vertical="top" wrapText="1"/>
      <protection locked="0"/>
    </xf>
    <xf numFmtId="0" fontId="29" fillId="15" borderId="1" xfId="0" applyFont="1" applyFill="1" applyBorder="1" applyAlignment="1">
      <alignment horizontal="left" vertical="top" wrapText="1"/>
    </xf>
    <xf numFmtId="0" fontId="28" fillId="16" borderId="23" xfId="0" applyFont="1" applyFill="1" applyBorder="1" applyAlignment="1" applyProtection="1">
      <alignment horizontal="left" vertical="top" wrapText="1"/>
      <protection locked="0"/>
    </xf>
    <xf numFmtId="14" fontId="24" fillId="16" borderId="18" xfId="0" applyNumberFormat="1" applyFont="1" applyFill="1" applyBorder="1" applyAlignment="1">
      <alignment wrapText="1"/>
    </xf>
    <xf numFmtId="0" fontId="14" fillId="16" borderId="18" xfId="22" applyFill="1" applyBorder="1" applyAlignment="1">
      <alignment wrapText="1"/>
    </xf>
    <xf numFmtId="0" fontId="2" fillId="6" borderId="1" xfId="0" applyFont="1" applyFill="1" applyBorder="1" applyAlignment="1" applyProtection="1">
      <protection locked="0"/>
    </xf>
    <xf numFmtId="0" fontId="43" fillId="15" borderId="18" xfId="0" applyFont="1" applyFill="1" applyBorder="1" applyAlignment="1">
      <alignment wrapText="1"/>
    </xf>
    <xf numFmtId="1" fontId="2" fillId="0" borderId="1" xfId="0" applyNumberFormat="1" applyFont="1" applyBorder="1" applyAlignment="1" applyProtection="1">
      <alignment horizontal="center"/>
      <protection locked="0"/>
    </xf>
    <xf numFmtId="14" fontId="24" fillId="15" borderId="18" xfId="0" applyNumberFormat="1" applyFont="1" applyFill="1" applyBorder="1" applyAlignment="1">
      <alignment wrapText="1"/>
    </xf>
    <xf numFmtId="0" fontId="14" fillId="15" borderId="18" xfId="22" applyFill="1" applyBorder="1" applyAlignment="1">
      <alignment wrapText="1"/>
    </xf>
    <xf numFmtId="0" fontId="2" fillId="0" borderId="10" xfId="0" applyFont="1" applyBorder="1" applyAlignment="1" applyProtection="1">
      <alignment horizontal="center"/>
      <protection locked="0"/>
    </xf>
    <xf numFmtId="0" fontId="2" fillId="0" borderId="11" xfId="0" applyFont="1" applyBorder="1" applyAlignment="1" applyProtection="1">
      <alignment horizontal="center"/>
      <protection locked="0"/>
    </xf>
    <xf numFmtId="0" fontId="2" fillId="0" borderId="12" xfId="0" applyFont="1" applyBorder="1" applyAlignment="1" applyProtection="1">
      <alignment horizontal="center"/>
      <protection locked="0"/>
    </xf>
    <xf numFmtId="0" fontId="5" fillId="7" borderId="0" xfId="0" applyFont="1" applyFill="1" applyBorder="1" applyAlignment="1" applyProtection="1">
      <alignment horizontal="left"/>
    </xf>
    <xf numFmtId="0" fontId="13" fillId="0" borderId="10" xfId="0" applyFont="1" applyBorder="1" applyAlignment="1" applyProtection="1">
      <alignment horizontal="left" vertical="top" wrapText="1"/>
    </xf>
    <xf numFmtId="0" fontId="13" fillId="0" borderId="11" xfId="0" applyFont="1" applyBorder="1" applyAlignment="1" applyProtection="1">
      <alignment horizontal="left" vertical="top" wrapText="1"/>
    </xf>
    <xf numFmtId="0" fontId="13" fillId="0" borderId="12" xfId="0" applyFont="1" applyBorder="1" applyAlignment="1" applyProtection="1">
      <alignment horizontal="left" vertical="top" wrapText="1"/>
    </xf>
    <xf numFmtId="0" fontId="2" fillId="6" borderId="0" xfId="0" applyFont="1" applyFill="1" applyBorder="1" applyAlignment="1" applyProtection="1">
      <alignment horizontal="center"/>
      <protection locked="0"/>
    </xf>
    <xf numFmtId="0" fontId="2" fillId="0" borderId="5" xfId="0" applyFont="1" applyFill="1" applyBorder="1" applyAlignment="1" applyProtection="1">
      <alignment horizontal="center" wrapText="1"/>
    </xf>
    <xf numFmtId="0" fontId="2" fillId="0" borderId="0" xfId="0" applyFont="1" applyFill="1" applyBorder="1" applyAlignment="1" applyProtection="1">
      <alignment horizontal="center" wrapText="1"/>
    </xf>
    <xf numFmtId="0" fontId="2" fillId="0" borderId="6" xfId="0" applyFont="1" applyFill="1" applyBorder="1" applyAlignment="1" applyProtection="1">
      <alignment horizontal="center" wrapText="1"/>
    </xf>
    <xf numFmtId="166" fontId="0" fillId="0" borderId="0" xfId="0" applyNumberFormat="1" applyAlignment="1" applyProtection="1">
      <alignment horizontal="center"/>
      <protection locked="0"/>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12" xfId="0" applyFont="1" applyFill="1" applyBorder="1" applyAlignment="1" applyProtection="1">
      <alignment horizontal="center"/>
    </xf>
    <xf numFmtId="0" fontId="4" fillId="17" borderId="4" xfId="0" applyFont="1" applyFill="1" applyBorder="1" applyAlignment="1" applyProtection="1">
      <alignment horizontal="center" vertical="center"/>
    </xf>
    <xf numFmtId="0" fontId="4" fillId="17" borderId="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7" xfId="0" applyFont="1" applyFill="1" applyBorder="1" applyAlignment="1" applyProtection="1">
      <alignment horizontal="center" vertical="center"/>
    </xf>
    <xf numFmtId="0" fontId="4" fillId="2" borderId="8" xfId="0" applyFont="1" applyFill="1" applyBorder="1" applyAlignment="1" applyProtection="1">
      <alignment horizontal="center" vertical="center"/>
    </xf>
    <xf numFmtId="0" fontId="4" fillId="4" borderId="14"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14" fillId="0" borderId="10" xfId="22" applyBorder="1" applyAlignment="1" applyProtection="1">
      <alignment horizontal="center"/>
      <protection locked="0"/>
    </xf>
    <xf numFmtId="0" fontId="14" fillId="0" borderId="11" xfId="22" applyBorder="1" applyAlignment="1" applyProtection="1">
      <alignment horizontal="center"/>
      <protection locked="0"/>
    </xf>
    <xf numFmtId="0" fontId="14" fillId="0" borderId="12" xfId="22" applyBorder="1" applyAlignment="1" applyProtection="1">
      <alignment horizontal="center"/>
      <protection locked="0"/>
    </xf>
    <xf numFmtId="0" fontId="2" fillId="0" borderId="1" xfId="0" applyFont="1" applyBorder="1" applyAlignment="1" applyProtection="1">
      <alignment horizontal="center"/>
    </xf>
    <xf numFmtId="166" fontId="2" fillId="0" borderId="10" xfId="0" applyNumberFormat="1" applyFont="1" applyBorder="1" applyAlignment="1" applyProtection="1">
      <alignment horizontal="center"/>
    </xf>
    <xf numFmtId="166" fontId="2" fillId="0" borderId="11" xfId="0" applyNumberFormat="1" applyFont="1" applyBorder="1" applyAlignment="1" applyProtection="1">
      <alignment horizontal="center"/>
    </xf>
    <xf numFmtId="166" fontId="2" fillId="0" borderId="12" xfId="0" applyNumberFormat="1" applyFont="1" applyBorder="1" applyAlignment="1" applyProtection="1">
      <alignment horizontal="center"/>
    </xf>
    <xf numFmtId="0" fontId="2" fillId="0" borderId="10" xfId="0" applyFont="1" applyBorder="1" applyAlignment="1" applyProtection="1">
      <alignment horizontal="left"/>
    </xf>
    <xf numFmtId="0" fontId="2" fillId="0" borderId="11" xfId="0" applyFont="1" applyBorder="1" applyAlignment="1" applyProtection="1">
      <alignment horizontal="left"/>
    </xf>
    <xf numFmtId="0" fontId="2" fillId="0" borderId="12" xfId="0" applyFont="1" applyBorder="1" applyAlignment="1" applyProtection="1">
      <alignment horizontal="left"/>
    </xf>
    <xf numFmtId="0" fontId="8" fillId="0" borderId="0" xfId="0" applyFont="1" applyFill="1" applyBorder="1" applyAlignment="1" applyProtection="1">
      <alignment horizontal="center" vertical="center"/>
    </xf>
    <xf numFmtId="167" fontId="2" fillId="6" borderId="3" xfId="0" applyNumberFormat="1" applyFont="1" applyFill="1" applyBorder="1" applyAlignment="1" applyProtection="1">
      <alignment horizontal="center"/>
    </xf>
    <xf numFmtId="0" fontId="2" fillId="6" borderId="3" xfId="0" applyFont="1" applyFill="1" applyBorder="1" applyAlignment="1" applyProtection="1">
      <alignment horizontal="center"/>
    </xf>
    <xf numFmtId="0" fontId="2" fillId="6" borderId="4" xfId="0" applyFont="1" applyFill="1" applyBorder="1" applyAlignment="1" applyProtection="1">
      <alignment horizontal="center"/>
    </xf>
    <xf numFmtId="167" fontId="2" fillId="0" borderId="1" xfId="0" applyNumberFormat="1" applyFont="1" applyBorder="1" applyAlignment="1" applyProtection="1">
      <alignment horizontal="center"/>
    </xf>
    <xf numFmtId="166" fontId="2" fillId="0" borderId="1" xfId="0" applyNumberFormat="1" applyFont="1" applyBorder="1" applyAlignment="1" applyProtection="1">
      <alignment horizontal="center"/>
    </xf>
    <xf numFmtId="1" fontId="11" fillId="0" borderId="1" xfId="0" applyNumberFormat="1" applyFont="1" applyBorder="1" applyAlignment="1" applyProtection="1">
      <alignment horizontal="center"/>
    </xf>
    <xf numFmtId="0" fontId="8" fillId="8" borderId="1" xfId="0" applyFont="1" applyFill="1" applyBorder="1" applyAlignment="1" applyProtection="1">
      <alignment horizontal="center" vertical="center"/>
    </xf>
    <xf numFmtId="0" fontId="4" fillId="2" borderId="1" xfId="0" applyFont="1" applyFill="1" applyBorder="1" applyAlignment="1" applyProtection="1">
      <alignment horizontal="center"/>
    </xf>
    <xf numFmtId="0" fontId="2" fillId="4" borderId="1" xfId="0" applyFont="1" applyFill="1" applyBorder="1" applyAlignment="1" applyProtection="1">
      <alignment horizontal="center"/>
    </xf>
    <xf numFmtId="0" fontId="3" fillId="0" borderId="1" xfId="0" applyFont="1" applyBorder="1" applyAlignment="1" applyProtection="1">
      <alignment horizontal="left"/>
    </xf>
    <xf numFmtId="0" fontId="2" fillId="0" borderId="1" xfId="0" applyFont="1" applyBorder="1" applyAlignment="1" applyProtection="1">
      <alignment horizontal="center"/>
      <protection locked="0"/>
    </xf>
    <xf numFmtId="1" fontId="20" fillId="0" borderId="1" xfId="0" applyNumberFormat="1" applyFont="1" applyBorder="1" applyAlignment="1" applyProtection="1">
      <alignment horizontal="center"/>
      <protection locked="0"/>
    </xf>
    <xf numFmtId="167" fontId="2" fillId="0" borderId="1" xfId="0" applyNumberFormat="1" applyFont="1" applyBorder="1" applyAlignment="1" applyProtection="1">
      <alignment horizontal="left"/>
      <protection locked="0"/>
    </xf>
    <xf numFmtId="167" fontId="2" fillId="0" borderId="1" xfId="0" applyNumberFormat="1" applyFont="1" applyBorder="1" applyAlignment="1" applyProtection="1">
      <alignment horizontal="right"/>
      <protection locked="0"/>
    </xf>
    <xf numFmtId="166" fontId="2" fillId="0" borderId="1" xfId="0" applyNumberFormat="1" applyFont="1" applyBorder="1" applyAlignment="1" applyProtection="1">
      <alignment horizontal="center"/>
      <protection locked="0"/>
    </xf>
    <xf numFmtId="167" fontId="2" fillId="0" borderId="1" xfId="0" applyNumberFormat="1" applyFont="1" applyBorder="1" applyAlignment="1" applyProtection="1">
      <alignment horizontal="left"/>
    </xf>
    <xf numFmtId="0" fontId="2" fillId="0" borderId="1" xfId="0" applyFont="1" applyBorder="1" applyAlignment="1" applyProtection="1">
      <alignment horizontal="center" vertical="center"/>
      <protection locked="0"/>
    </xf>
    <xf numFmtId="0" fontId="2" fillId="0" borderId="1" xfId="0" applyFont="1" applyBorder="1" applyAlignment="1" applyProtection="1">
      <alignment horizontal="left"/>
    </xf>
    <xf numFmtId="0" fontId="2" fillId="0" borderId="1" xfId="0" applyNumberFormat="1" applyFont="1" applyBorder="1" applyAlignment="1" applyProtection="1">
      <alignment horizontal="center"/>
    </xf>
    <xf numFmtId="170" fontId="2" fillId="0" borderId="1" xfId="0" applyNumberFormat="1" applyFont="1" applyBorder="1" applyAlignment="1" applyProtection="1">
      <alignment horizontal="center"/>
    </xf>
    <xf numFmtId="0" fontId="20" fillId="0" borderId="1" xfId="0" applyFont="1" applyBorder="1" applyAlignment="1" applyProtection="1">
      <alignment horizontal="center"/>
      <protection locked="0"/>
    </xf>
    <xf numFmtId="0" fontId="3" fillId="0" borderId="2" xfId="0" applyFont="1" applyBorder="1" applyAlignment="1" applyProtection="1">
      <alignment horizontal="left" vertical="center"/>
    </xf>
    <xf numFmtId="0" fontId="3" fillId="0" borderId="4" xfId="0" applyFont="1" applyBorder="1" applyAlignment="1" applyProtection="1">
      <alignment horizontal="left" vertical="center"/>
    </xf>
    <xf numFmtId="0" fontId="3" fillId="0" borderId="7" xfId="0" applyFont="1" applyBorder="1" applyAlignment="1" applyProtection="1">
      <alignment horizontal="left" vertical="center"/>
    </xf>
    <xf numFmtId="0" fontId="3" fillId="0" borderId="9" xfId="0" applyFont="1" applyBorder="1" applyAlignment="1" applyProtection="1">
      <alignment horizontal="left" vertical="center"/>
    </xf>
    <xf numFmtId="9" fontId="2" fillId="0" borderId="1" xfId="0" applyNumberFormat="1" applyFont="1" applyBorder="1" applyAlignment="1" applyProtection="1">
      <alignment horizontal="center"/>
    </xf>
    <xf numFmtId="169" fontId="2" fillId="0" borderId="1" xfId="0" applyNumberFormat="1" applyFont="1" applyBorder="1" applyAlignment="1" applyProtection="1">
      <alignment horizontal="center"/>
    </xf>
    <xf numFmtId="1" fontId="2" fillId="0" borderId="1" xfId="0" applyNumberFormat="1" applyFont="1" applyBorder="1" applyAlignment="1" applyProtection="1">
      <alignment horizontal="center"/>
    </xf>
    <xf numFmtId="0" fontId="18" fillId="0" borderId="1" xfId="0" applyNumberFormat="1" applyFont="1" applyBorder="1" applyAlignment="1" applyProtection="1">
      <alignment horizontal="center" vertical="center"/>
    </xf>
    <xf numFmtId="0" fontId="6" fillId="0" borderId="1" xfId="0" applyNumberFormat="1" applyFont="1" applyBorder="1" applyAlignment="1" applyProtection="1">
      <alignment horizontal="center" vertical="center"/>
    </xf>
    <xf numFmtId="0" fontId="4" fillId="12" borderId="11" xfId="0" applyFont="1" applyFill="1" applyBorder="1" applyAlignment="1" applyProtection="1">
      <alignment horizontal="center"/>
    </xf>
    <xf numFmtId="0" fontId="4" fillId="12" borderId="12" xfId="0" applyFont="1" applyFill="1" applyBorder="1" applyAlignment="1" applyProtection="1">
      <alignment horizontal="center"/>
    </xf>
    <xf numFmtId="0" fontId="3" fillId="0" borderId="1" xfId="0" applyFont="1" applyBorder="1" applyAlignment="1" applyProtection="1">
      <alignment horizontal="left" vertical="center"/>
    </xf>
    <xf numFmtId="0" fontId="3" fillId="0" borderId="1" xfId="0" applyFont="1" applyBorder="1" applyAlignment="1" applyProtection="1">
      <alignment horizontal="left" vertical="top"/>
    </xf>
    <xf numFmtId="0" fontId="10" fillId="0" borderId="10" xfId="0" applyFont="1" applyBorder="1" applyAlignment="1" applyProtection="1">
      <alignment horizontal="left" vertical="top" wrapText="1"/>
    </xf>
    <xf numFmtId="0" fontId="10" fillId="0" borderId="11" xfId="0" applyFont="1" applyBorder="1" applyAlignment="1" applyProtection="1">
      <alignment horizontal="left" vertical="top" wrapText="1"/>
    </xf>
    <xf numFmtId="0" fontId="10" fillId="0" borderId="12" xfId="0" applyFont="1" applyBorder="1" applyAlignment="1" applyProtection="1">
      <alignment horizontal="left" vertical="top" wrapText="1"/>
    </xf>
    <xf numFmtId="0" fontId="2" fillId="0" borderId="11" xfId="0" applyFont="1" applyBorder="1" applyAlignment="1" applyProtection="1">
      <alignment horizontal="center"/>
    </xf>
    <xf numFmtId="0" fontId="2" fillId="0" borderId="12" xfId="0" applyFont="1" applyBorder="1" applyAlignment="1" applyProtection="1">
      <alignment horizontal="center"/>
    </xf>
    <xf numFmtId="0" fontId="2" fillId="0" borderId="10" xfId="0" applyFont="1" applyBorder="1" applyAlignment="1" applyProtection="1">
      <alignment horizontal="center"/>
    </xf>
    <xf numFmtId="14" fontId="2" fillId="0" borderId="1" xfId="0" applyNumberFormat="1" applyFont="1" applyBorder="1" applyAlignment="1" applyProtection="1">
      <alignment horizontal="center"/>
    </xf>
    <xf numFmtId="0" fontId="3" fillId="0" borderId="1" xfId="0" applyFont="1" applyFill="1" applyBorder="1" applyAlignment="1" applyProtection="1">
      <alignment horizontal="center"/>
    </xf>
    <xf numFmtId="167" fontId="2" fillId="0" borderId="10" xfId="0" applyNumberFormat="1" applyFont="1" applyBorder="1" applyAlignment="1" applyProtection="1">
      <alignment horizontal="center"/>
    </xf>
    <xf numFmtId="167" fontId="2" fillId="0" borderId="11" xfId="0" applyNumberFormat="1" applyFont="1" applyBorder="1" applyAlignment="1" applyProtection="1">
      <alignment horizontal="center"/>
    </xf>
    <xf numFmtId="167" fontId="2" fillId="0" borderId="12" xfId="0" applyNumberFormat="1" applyFont="1" applyBorder="1" applyAlignment="1" applyProtection="1">
      <alignment horizontal="center"/>
    </xf>
    <xf numFmtId="1" fontId="2" fillId="0" borderId="1" xfId="0" applyNumberFormat="1" applyFont="1" applyBorder="1" applyAlignment="1" applyProtection="1">
      <alignment horizontal="left" wrapText="1"/>
    </xf>
    <xf numFmtId="1" fontId="2" fillId="0" borderId="1" xfId="0" applyNumberFormat="1" applyFont="1" applyBorder="1" applyAlignment="1" applyProtection="1">
      <alignment horizontal="left"/>
    </xf>
    <xf numFmtId="0" fontId="2" fillId="0" borderId="1" xfId="0" applyFont="1" applyBorder="1" applyAlignment="1" applyProtection="1">
      <alignment horizontal="left"/>
      <protection locked="0"/>
    </xf>
    <xf numFmtId="165" fontId="2" fillId="0" borderId="1" xfId="0" applyNumberFormat="1" applyFont="1" applyBorder="1" applyAlignment="1" applyProtection="1">
      <alignment horizontal="left"/>
    </xf>
    <xf numFmtId="1" fontId="2" fillId="0" borderId="10" xfId="0" applyNumberFormat="1" applyFont="1" applyBorder="1" applyAlignment="1" applyProtection="1">
      <alignment horizontal="center"/>
    </xf>
    <xf numFmtId="1" fontId="2" fillId="0" borderId="12" xfId="0" applyNumberFormat="1" applyFont="1" applyBorder="1" applyAlignment="1" applyProtection="1">
      <alignment horizontal="center"/>
    </xf>
    <xf numFmtId="0" fontId="4" fillId="0" borderId="0" xfId="0" applyFont="1" applyFill="1" applyBorder="1" applyAlignment="1" applyProtection="1">
      <alignment horizontal="center"/>
    </xf>
    <xf numFmtId="0" fontId="12" fillId="0" borderId="2" xfId="0" applyFont="1" applyBorder="1" applyAlignment="1" applyProtection="1">
      <alignment horizontal="center" vertical="center"/>
    </xf>
    <xf numFmtId="0" fontId="12" fillId="0" borderId="4" xfId="0" applyFont="1" applyBorder="1" applyAlignment="1" applyProtection="1">
      <alignment horizontal="center" vertical="center"/>
    </xf>
    <xf numFmtId="0" fontId="12" fillId="0" borderId="7" xfId="0" applyFont="1" applyBorder="1" applyAlignment="1" applyProtection="1">
      <alignment horizontal="center" vertical="center"/>
    </xf>
    <xf numFmtId="0" fontId="12" fillId="0" borderId="9" xfId="0" applyFont="1" applyBorder="1" applyAlignment="1" applyProtection="1">
      <alignment horizontal="center" vertical="center"/>
    </xf>
    <xf numFmtId="0" fontId="2" fillId="0" borderId="13" xfId="0" applyFont="1" applyBorder="1" applyAlignment="1" applyProtection="1">
      <alignment horizontal="center"/>
    </xf>
    <xf numFmtId="0" fontId="2" fillId="0" borderId="14" xfId="0" applyFont="1" applyBorder="1" applyAlignment="1" applyProtection="1">
      <alignment horizontal="center"/>
    </xf>
    <xf numFmtId="0" fontId="4" fillId="7" borderId="0" xfId="0" applyFont="1" applyFill="1" applyBorder="1" applyAlignment="1" applyProtection="1">
      <alignment horizontal="center"/>
    </xf>
    <xf numFmtId="0" fontId="2" fillId="3" borderId="0" xfId="0" applyFont="1" applyFill="1" applyBorder="1" applyAlignment="1" applyProtection="1">
      <alignment horizontal="center" vertical="center"/>
    </xf>
    <xf numFmtId="0" fontId="7" fillId="9" borderId="0" xfId="0" applyFont="1" applyFill="1" applyBorder="1" applyAlignment="1" applyProtection="1">
      <alignment horizontal="center" vertical="center"/>
      <protection locked="0"/>
    </xf>
    <xf numFmtId="0" fontId="4" fillId="7" borderId="0" xfId="0" applyFont="1" applyFill="1" applyBorder="1" applyAlignment="1" applyProtection="1">
      <alignment horizontal="left"/>
    </xf>
    <xf numFmtId="22" fontId="4" fillId="7" borderId="0" xfId="0" applyNumberFormat="1" applyFont="1" applyFill="1" applyBorder="1" applyAlignment="1" applyProtection="1">
      <alignment horizontal="center"/>
      <protection locked="0"/>
    </xf>
    <xf numFmtId="0" fontId="2" fillId="6" borderId="2" xfId="0" applyFont="1" applyFill="1" applyBorder="1" applyAlignment="1" applyProtection="1">
      <alignment horizontal="left"/>
    </xf>
    <xf numFmtId="0" fontId="2" fillId="6" borderId="3" xfId="0" applyFont="1" applyFill="1" applyBorder="1" applyAlignment="1" applyProtection="1">
      <alignment horizontal="left"/>
    </xf>
    <xf numFmtId="0" fontId="2" fillId="6" borderId="4" xfId="0" applyFont="1" applyFill="1" applyBorder="1" applyAlignment="1" applyProtection="1">
      <alignment horizontal="left"/>
    </xf>
    <xf numFmtId="0" fontId="2" fillId="6" borderId="5" xfId="0" applyFont="1" applyFill="1" applyBorder="1" applyAlignment="1" applyProtection="1">
      <alignment horizontal="left"/>
    </xf>
    <xf numFmtId="0" fontId="2" fillId="6" borderId="0" xfId="0" applyFont="1" applyFill="1" applyBorder="1" applyAlignment="1" applyProtection="1">
      <alignment horizontal="left"/>
    </xf>
    <xf numFmtId="0" fontId="2" fillId="6" borderId="6" xfId="0" applyFont="1" applyFill="1" applyBorder="1" applyAlignment="1" applyProtection="1">
      <alignment horizontal="left"/>
    </xf>
    <xf numFmtId="14" fontId="2" fillId="6" borderId="0" xfId="0" applyNumberFormat="1" applyFont="1" applyFill="1" applyBorder="1" applyAlignment="1" applyProtection="1">
      <alignment horizontal="left"/>
    </xf>
    <xf numFmtId="14" fontId="2" fillId="6" borderId="6" xfId="0" applyNumberFormat="1" applyFont="1" applyFill="1" applyBorder="1" applyAlignment="1" applyProtection="1">
      <alignment horizontal="left"/>
    </xf>
    <xf numFmtId="0" fontId="2" fillId="6" borderId="7" xfId="0" applyFont="1" applyFill="1" applyBorder="1" applyAlignment="1" applyProtection="1">
      <alignment horizontal="left"/>
    </xf>
    <xf numFmtId="0" fontId="2" fillId="6" borderId="8" xfId="0" applyFont="1" applyFill="1" applyBorder="1" applyAlignment="1" applyProtection="1">
      <alignment horizontal="left"/>
    </xf>
    <xf numFmtId="0" fontId="2" fillId="6" borderId="9" xfId="0" applyFont="1" applyFill="1" applyBorder="1" applyAlignment="1" applyProtection="1">
      <alignment horizontal="left"/>
    </xf>
    <xf numFmtId="0" fontId="4" fillId="2" borderId="10" xfId="0" applyFont="1" applyFill="1" applyBorder="1" applyAlignment="1" applyProtection="1">
      <alignment horizontal="center" vertical="center"/>
    </xf>
    <xf numFmtId="0" fontId="4" fillId="2" borderId="11" xfId="0" applyFont="1" applyFill="1" applyBorder="1" applyAlignment="1" applyProtection="1">
      <alignment horizontal="center" vertical="center"/>
    </xf>
    <xf numFmtId="0" fontId="4" fillId="2" borderId="12" xfId="0" applyFont="1" applyFill="1" applyBorder="1" applyAlignment="1" applyProtection="1">
      <alignment horizontal="center" vertical="center"/>
    </xf>
    <xf numFmtId="1" fontId="2" fillId="0" borderId="1" xfId="0" applyNumberFormat="1" applyFont="1" applyBorder="1" applyAlignment="1" applyProtection="1">
      <alignment horizontal="center"/>
      <protection locked="0"/>
    </xf>
    <xf numFmtId="0" fontId="2" fillId="0" borderId="1" xfId="0" applyFont="1" applyBorder="1" applyAlignment="1" applyProtection="1">
      <alignment horizontal="left" wrapText="1"/>
      <protection locked="0"/>
    </xf>
    <xf numFmtId="167" fontId="16" fillId="10" borderId="3" xfId="0" applyNumberFormat="1" applyFont="1" applyFill="1" applyBorder="1" applyAlignment="1" applyProtection="1">
      <alignment horizontal="center"/>
    </xf>
    <xf numFmtId="0" fontId="16" fillId="10" borderId="0" xfId="0" applyFont="1" applyFill="1" applyAlignment="1" applyProtection="1">
      <alignment horizontal="center" wrapText="1"/>
    </xf>
    <xf numFmtId="0" fontId="16" fillId="10" borderId="16" xfId="0" applyFont="1" applyFill="1" applyBorder="1" applyAlignment="1" applyProtection="1">
      <alignment horizontal="center" wrapText="1"/>
    </xf>
    <xf numFmtId="0" fontId="16" fillId="10" borderId="5" xfId="0" applyFont="1" applyFill="1" applyBorder="1" applyAlignment="1" applyProtection="1">
      <alignment horizontal="center" wrapText="1"/>
    </xf>
    <xf numFmtId="0" fontId="16" fillId="10" borderId="0" xfId="0" applyFont="1" applyFill="1" applyBorder="1" applyAlignment="1" applyProtection="1">
      <alignment horizontal="center" wrapText="1"/>
    </xf>
    <xf numFmtId="0" fontId="16" fillId="10" borderId="5" xfId="0" applyFont="1" applyFill="1" applyBorder="1" applyAlignment="1" applyProtection="1">
      <alignment horizontal="left" wrapText="1"/>
    </xf>
    <xf numFmtId="0" fontId="16" fillId="10" borderId="0" xfId="0" applyFont="1" applyFill="1" applyBorder="1" applyAlignment="1" applyProtection="1">
      <alignment horizontal="left" wrapText="1"/>
    </xf>
    <xf numFmtId="0" fontId="16" fillId="0" borderId="11" xfId="0" applyFont="1" applyBorder="1" applyAlignment="1">
      <alignment horizontal="center"/>
    </xf>
    <xf numFmtId="0" fontId="16" fillId="0" borderId="10" xfId="0" applyFont="1" applyBorder="1" applyAlignment="1">
      <alignment horizontal="left" vertical="top"/>
    </xf>
    <xf numFmtId="0" fontId="16" fillId="0" borderId="11" xfId="0" applyFont="1" applyBorder="1" applyAlignment="1">
      <alignment horizontal="left" vertical="top"/>
    </xf>
    <xf numFmtId="0" fontId="16" fillId="0" borderId="33" xfId="0" applyFont="1" applyBorder="1" applyAlignment="1">
      <alignment horizontal="left" vertical="top"/>
    </xf>
    <xf numFmtId="165" fontId="16" fillId="0" borderId="11" xfId="0" applyNumberFormat="1" applyFont="1" applyBorder="1" applyAlignment="1">
      <alignment horizontal="center" vertical="top" wrapText="1"/>
    </xf>
    <xf numFmtId="165" fontId="16" fillId="0" borderId="12" xfId="0" applyNumberFormat="1" applyFont="1" applyBorder="1" applyAlignment="1">
      <alignment horizontal="center" vertical="top" wrapText="1"/>
    </xf>
    <xf numFmtId="165" fontId="16" fillId="0" borderId="34" xfId="0" applyNumberFormat="1" applyFont="1" applyBorder="1" applyAlignment="1">
      <alignment horizontal="left" vertical="top" wrapText="1"/>
    </xf>
    <xf numFmtId="165" fontId="16" fillId="0" borderId="11" xfId="0" applyNumberFormat="1" applyFont="1" applyBorder="1" applyAlignment="1">
      <alignment horizontal="left" vertical="top" wrapText="1"/>
    </xf>
    <xf numFmtId="0" fontId="16" fillId="0" borderId="3" xfId="0" applyFont="1" applyBorder="1" applyAlignment="1">
      <alignment horizontal="center"/>
    </xf>
    <xf numFmtId="0" fontId="16" fillId="0" borderId="15" xfId="0" applyFont="1" applyBorder="1" applyAlignment="1">
      <alignment horizontal="center"/>
    </xf>
    <xf numFmtId="0" fontId="16" fillId="0" borderId="0" xfId="0" applyFont="1" applyBorder="1" applyAlignment="1">
      <alignment horizontal="center"/>
    </xf>
    <xf numFmtId="0" fontId="16" fillId="0" borderId="16" xfId="0" applyFont="1" applyBorder="1" applyAlignment="1">
      <alignment horizontal="center"/>
    </xf>
    <xf numFmtId="0" fontId="16" fillId="0" borderId="8" xfId="0" applyFont="1" applyBorder="1" applyAlignment="1">
      <alignment horizontal="center"/>
    </xf>
    <xf numFmtId="0" fontId="16" fillId="0" borderId="17" xfId="0" applyFont="1" applyBorder="1" applyAlignment="1">
      <alignment horizontal="center"/>
    </xf>
    <xf numFmtId="165" fontId="16" fillId="0" borderId="10" xfId="0" applyNumberFormat="1" applyFont="1" applyBorder="1" applyAlignment="1">
      <alignment horizontal="center" vertical="top" wrapText="1"/>
    </xf>
    <xf numFmtId="165" fontId="16" fillId="0" borderId="33" xfId="0" applyNumberFormat="1" applyFont="1" applyBorder="1" applyAlignment="1">
      <alignment horizontal="center" vertical="top" wrapText="1"/>
    </xf>
    <xf numFmtId="0" fontId="16" fillId="0" borderId="10" xfId="0" applyFont="1" applyBorder="1" applyAlignment="1">
      <alignment horizontal="left"/>
    </xf>
    <xf numFmtId="0" fontId="16" fillId="0" borderId="12" xfId="0" applyFont="1" applyBorder="1" applyAlignment="1">
      <alignment horizontal="left"/>
    </xf>
    <xf numFmtId="165" fontId="16" fillId="0" borderId="12" xfId="0" applyNumberFormat="1" applyFont="1" applyBorder="1" applyAlignment="1">
      <alignment horizontal="left" vertical="top" wrapText="1"/>
    </xf>
    <xf numFmtId="166" fontId="16" fillId="0" borderId="10" xfId="0" applyNumberFormat="1" applyFont="1" applyBorder="1" applyAlignment="1">
      <alignment horizontal="center" vertical="top" wrapText="1"/>
    </xf>
    <xf numFmtId="166" fontId="16" fillId="0" borderId="11" xfId="0" applyNumberFormat="1" applyFont="1" applyBorder="1" applyAlignment="1">
      <alignment horizontal="center" vertical="top" wrapText="1"/>
    </xf>
    <xf numFmtId="166" fontId="16" fillId="0" borderId="12" xfId="0" applyNumberFormat="1" applyFont="1" applyBorder="1" applyAlignment="1">
      <alignment horizontal="center" vertical="top" wrapText="1"/>
    </xf>
    <xf numFmtId="0" fontId="40" fillId="19" borderId="10" xfId="0" applyFont="1" applyFill="1" applyBorder="1" applyAlignment="1">
      <alignment horizontal="center"/>
    </xf>
    <xf numFmtId="0" fontId="40" fillId="19" borderId="11" xfId="0" applyFont="1" applyFill="1" applyBorder="1" applyAlignment="1">
      <alignment horizontal="center"/>
    </xf>
    <xf numFmtId="0" fontId="40" fillId="19" borderId="12" xfId="0" applyFont="1" applyFill="1" applyBorder="1" applyAlignment="1">
      <alignment horizontal="center"/>
    </xf>
    <xf numFmtId="0" fontId="16" fillId="20" borderId="10" xfId="0" applyFont="1" applyFill="1" applyBorder="1" applyAlignment="1">
      <alignment horizontal="center"/>
    </xf>
    <xf numFmtId="0" fontId="16" fillId="20" borderId="11" xfId="0" applyFont="1" applyFill="1" applyBorder="1" applyAlignment="1">
      <alignment horizontal="center"/>
    </xf>
    <xf numFmtId="0" fontId="16" fillId="20" borderId="33" xfId="0" applyFont="1" applyFill="1" applyBorder="1" applyAlignment="1">
      <alignment horizontal="center"/>
    </xf>
    <xf numFmtId="0" fontId="41" fillId="0" borderId="11" xfId="0" applyFont="1" applyBorder="1" applyAlignment="1">
      <alignment horizontal="center"/>
    </xf>
    <xf numFmtId="0" fontId="41" fillId="0" borderId="33" xfId="0" applyFont="1" applyBorder="1" applyAlignment="1">
      <alignment horizontal="center"/>
    </xf>
    <xf numFmtId="0" fontId="16" fillId="0" borderId="2" xfId="0" applyFont="1" applyBorder="1" applyAlignment="1" applyProtection="1">
      <alignment horizontal="center"/>
      <protection locked="0"/>
    </xf>
    <xf numFmtId="0" fontId="16" fillId="0" borderId="3" xfId="0" applyFont="1" applyBorder="1" applyAlignment="1" applyProtection="1">
      <alignment horizontal="center"/>
      <protection locked="0"/>
    </xf>
    <xf numFmtId="0" fontId="16" fillId="0" borderId="4" xfId="0" applyFont="1" applyBorder="1" applyAlignment="1" applyProtection="1">
      <alignment horizontal="center"/>
      <protection locked="0"/>
    </xf>
    <xf numFmtId="0" fontId="16" fillId="0" borderId="7" xfId="0" applyFont="1" applyBorder="1" applyAlignment="1" applyProtection="1">
      <alignment horizontal="center"/>
      <protection locked="0"/>
    </xf>
    <xf numFmtId="0" fontId="16" fillId="0" borderId="8" xfId="0" applyFont="1" applyBorder="1" applyAlignment="1" applyProtection="1">
      <alignment horizontal="center"/>
      <protection locked="0"/>
    </xf>
    <xf numFmtId="0" fontId="16" fillId="0" borderId="9" xfId="0" applyFont="1" applyBorder="1" applyAlignment="1" applyProtection="1">
      <alignment horizontal="center"/>
      <protection locked="0"/>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10" borderId="5" xfId="0" applyFont="1" applyFill="1" applyBorder="1" applyAlignment="1">
      <alignment horizontal="left" wrapText="1"/>
    </xf>
    <xf numFmtId="0" fontId="16" fillId="10" borderId="0" xfId="0" applyFont="1" applyFill="1" applyBorder="1" applyAlignment="1">
      <alignment horizontal="left" wrapText="1"/>
    </xf>
    <xf numFmtId="0" fontId="16" fillId="10" borderId="0" xfId="0" applyFont="1" applyFill="1" applyAlignment="1">
      <alignment horizontal="center" wrapText="1"/>
    </xf>
    <xf numFmtId="0" fontId="16" fillId="10" borderId="16" xfId="0" applyFont="1" applyFill="1" applyBorder="1" applyAlignment="1">
      <alignment horizontal="center" wrapText="1"/>
    </xf>
    <xf numFmtId="167" fontId="16" fillId="10" borderId="3" xfId="0" applyNumberFormat="1" applyFont="1" applyFill="1" applyBorder="1" applyAlignment="1">
      <alignment horizontal="center"/>
    </xf>
    <xf numFmtId="0" fontId="42" fillId="0" borderId="11" xfId="0" applyFont="1" applyBorder="1" applyAlignment="1">
      <alignment horizontal="center" vertical="center"/>
    </xf>
    <xf numFmtId="165" fontId="16" fillId="0" borderId="11" xfId="0" applyNumberFormat="1" applyFont="1" applyBorder="1" applyAlignment="1" applyProtection="1">
      <alignment horizontal="center" vertical="top" wrapText="1"/>
      <protection locked="0"/>
    </xf>
    <xf numFmtId="165" fontId="16" fillId="0" borderId="12" xfId="0" applyNumberFormat="1" applyFont="1" applyBorder="1" applyAlignment="1" applyProtection="1">
      <alignment horizontal="center" vertical="top" wrapText="1"/>
      <protection locked="0"/>
    </xf>
    <xf numFmtId="165" fontId="16" fillId="0" borderId="34" xfId="0" applyNumberFormat="1" applyFont="1" applyBorder="1" applyAlignment="1" applyProtection="1">
      <alignment horizontal="left" vertical="top" wrapText="1"/>
      <protection locked="0"/>
    </xf>
    <xf numFmtId="165" fontId="16" fillId="0" borderId="11" xfId="0" applyNumberFormat="1" applyFont="1" applyBorder="1" applyAlignment="1" applyProtection="1">
      <alignment horizontal="left" vertical="top" wrapText="1"/>
      <protection locked="0"/>
    </xf>
    <xf numFmtId="165" fontId="16" fillId="0" borderId="10" xfId="0" applyNumberFormat="1" applyFont="1" applyBorder="1" applyAlignment="1" applyProtection="1">
      <alignment horizontal="center" vertical="top" wrapText="1"/>
      <protection locked="0"/>
    </xf>
    <xf numFmtId="165" fontId="16" fillId="0" borderId="33" xfId="0" applyNumberFormat="1" applyFont="1" applyBorder="1" applyAlignment="1" applyProtection="1">
      <alignment horizontal="center" vertical="top" wrapText="1"/>
      <protection locked="0"/>
    </xf>
    <xf numFmtId="0" fontId="16" fillId="0" borderId="10" xfId="0" applyFont="1" applyBorder="1" applyAlignment="1" applyProtection="1">
      <alignment horizontal="left"/>
      <protection locked="0"/>
    </xf>
    <xf numFmtId="0" fontId="16" fillId="0" borderId="12" xfId="0" applyFont="1" applyBorder="1" applyAlignment="1" applyProtection="1">
      <alignment horizontal="left"/>
      <protection locked="0"/>
    </xf>
    <xf numFmtId="165" fontId="16" fillId="0" borderId="12" xfId="0" applyNumberFormat="1" applyFont="1" applyBorder="1" applyAlignment="1" applyProtection="1">
      <alignment horizontal="left" vertical="top" wrapText="1"/>
      <protection locked="0"/>
    </xf>
    <xf numFmtId="166" fontId="16" fillId="0" borderId="10" xfId="0" applyNumberFormat="1" applyFont="1" applyBorder="1" applyAlignment="1" applyProtection="1">
      <alignment horizontal="center" vertical="top" wrapText="1"/>
      <protection locked="0"/>
    </xf>
    <xf numFmtId="166" fontId="16" fillId="0" borderId="11" xfId="0" applyNumberFormat="1" applyFont="1" applyBorder="1" applyAlignment="1" applyProtection="1">
      <alignment horizontal="center" vertical="top" wrapText="1"/>
      <protection locked="0"/>
    </xf>
    <xf numFmtId="166" fontId="16" fillId="0" borderId="12" xfId="0" applyNumberFormat="1" applyFont="1" applyBorder="1" applyAlignment="1" applyProtection="1">
      <alignment horizontal="center" vertical="top" wrapText="1"/>
      <protection locked="0"/>
    </xf>
    <xf numFmtId="0" fontId="16" fillId="0" borderId="2" xfId="0" applyFont="1" applyBorder="1" applyAlignment="1">
      <alignment horizontal="center"/>
    </xf>
    <xf numFmtId="0" fontId="16" fillId="0" borderId="4" xfId="0" applyFont="1" applyBorder="1" applyAlignment="1">
      <alignment horizontal="center"/>
    </xf>
    <xf numFmtId="0" fontId="16" fillId="0" borderId="7" xfId="0" applyFont="1" applyBorder="1" applyAlignment="1">
      <alignment horizontal="center"/>
    </xf>
    <xf numFmtId="0" fontId="16" fillId="0" borderId="9" xfId="0" applyFont="1" applyBorder="1" applyAlignment="1">
      <alignment horizontal="center"/>
    </xf>
    <xf numFmtId="167" fontId="16" fillId="10" borderId="3" xfId="0" applyNumberFormat="1" applyFont="1" applyFill="1" applyBorder="1" applyAlignment="1" applyProtection="1">
      <alignment horizontal="center"/>
      <protection locked="0"/>
    </xf>
    <xf numFmtId="0" fontId="8" fillId="0" borderId="11" xfId="0" applyFont="1" applyFill="1" applyBorder="1" applyAlignment="1" applyProtection="1">
      <alignment horizontal="center" vertical="center"/>
    </xf>
    <xf numFmtId="167" fontId="2" fillId="6" borderId="0" xfId="0" applyNumberFormat="1" applyFont="1" applyFill="1" applyBorder="1" applyAlignment="1" applyProtection="1">
      <alignment horizontal="center" wrapText="1"/>
    </xf>
    <xf numFmtId="0" fontId="16" fillId="11" borderId="5" xfId="0" applyFont="1" applyFill="1" applyBorder="1" applyAlignment="1" applyProtection="1">
      <alignment horizontal="left" wrapText="1"/>
    </xf>
    <xf numFmtId="0" fontId="16" fillId="11" borderId="0" xfId="0" applyFont="1" applyFill="1" applyBorder="1" applyAlignment="1" applyProtection="1">
      <alignment horizontal="left" wrapText="1"/>
    </xf>
    <xf numFmtId="0" fontId="16" fillId="11" borderId="0" xfId="0" applyFont="1" applyFill="1" applyAlignment="1" applyProtection="1">
      <alignment horizontal="center" wrapText="1"/>
    </xf>
    <xf numFmtId="165" fontId="16" fillId="11" borderId="0" xfId="0" applyNumberFormat="1" applyFont="1" applyFill="1" applyBorder="1" applyAlignment="1" applyProtection="1">
      <alignment horizontal="center" wrapText="1"/>
    </xf>
    <xf numFmtId="166" fontId="16" fillId="11" borderId="0" xfId="0" applyNumberFormat="1" applyFont="1" applyFill="1" applyAlignment="1" applyProtection="1">
      <alignment horizontal="center"/>
    </xf>
    <xf numFmtId="0" fontId="2" fillId="0" borderId="10" xfId="0" applyFont="1" applyBorder="1" applyAlignment="1" applyProtection="1">
      <alignment horizontal="left" vertical="top"/>
    </xf>
    <xf numFmtId="0" fontId="2" fillId="0" borderId="11" xfId="0" applyFont="1" applyBorder="1" applyAlignment="1" applyProtection="1">
      <alignment horizontal="left" vertical="top"/>
    </xf>
    <xf numFmtId="0" fontId="2" fillId="0" borderId="12" xfId="0" applyFont="1" applyBorder="1" applyAlignment="1" applyProtection="1">
      <alignment horizontal="left" vertical="top"/>
    </xf>
    <xf numFmtId="165" fontId="2" fillId="0" borderId="10" xfId="0" applyNumberFormat="1" applyFont="1" applyBorder="1" applyAlignment="1" applyProtection="1">
      <alignment horizontal="left" vertical="top" wrapText="1"/>
    </xf>
    <xf numFmtId="165" fontId="2" fillId="0" borderId="11" xfId="0" applyNumberFormat="1" applyFont="1" applyBorder="1" applyAlignment="1" applyProtection="1">
      <alignment horizontal="left" vertical="top" wrapText="1"/>
    </xf>
    <xf numFmtId="166" fontId="2" fillId="0" borderId="10" xfId="0" applyNumberFormat="1" applyFont="1" applyBorder="1" applyAlignment="1" applyProtection="1">
      <alignment horizontal="center" vertical="top" wrapText="1"/>
    </xf>
    <xf numFmtId="166" fontId="2" fillId="0" borderId="11" xfId="0" applyNumberFormat="1" applyFont="1" applyBorder="1" applyAlignment="1" applyProtection="1">
      <alignment horizontal="center" vertical="top" wrapText="1"/>
    </xf>
    <xf numFmtId="166" fontId="2" fillId="0" borderId="12" xfId="0" applyNumberFormat="1" applyFont="1" applyBorder="1" applyAlignment="1" applyProtection="1">
      <alignment horizontal="center" vertical="top" wrapText="1"/>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165" fontId="2" fillId="0" borderId="10" xfId="0" applyNumberFormat="1" applyFont="1" applyBorder="1" applyAlignment="1" applyProtection="1">
      <alignment horizontal="center" vertical="top" wrapText="1"/>
    </xf>
    <xf numFmtId="165" fontId="2" fillId="0" borderId="11" xfId="0" applyNumberFormat="1" applyFont="1" applyBorder="1" applyAlignment="1" applyProtection="1">
      <alignment horizontal="center" vertical="top" wrapText="1"/>
    </xf>
    <xf numFmtId="165" fontId="2" fillId="0" borderId="12" xfId="0" applyNumberFormat="1" applyFont="1" applyBorder="1" applyAlignment="1" applyProtection="1">
      <alignment horizontal="center" vertical="top" wrapText="1"/>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2" fillId="0" borderId="4" xfId="0" applyFont="1" applyBorder="1" applyAlignment="1" applyProtection="1">
      <alignment horizontal="center"/>
    </xf>
    <xf numFmtId="0" fontId="2" fillId="0" borderId="5" xfId="0" applyFont="1" applyBorder="1" applyAlignment="1" applyProtection="1">
      <alignment horizontal="center"/>
    </xf>
    <xf numFmtId="0" fontId="2" fillId="0" borderId="0" xfId="0" applyFont="1" applyBorder="1" applyAlignment="1" applyProtection="1">
      <alignment horizontal="center"/>
    </xf>
    <xf numFmtId="0" fontId="2" fillId="0" borderId="6" xfId="0" applyFont="1" applyBorder="1" applyAlignment="1" applyProtection="1">
      <alignment horizontal="center"/>
    </xf>
    <xf numFmtId="0" fontId="2" fillId="0" borderId="7" xfId="0" applyFont="1" applyBorder="1" applyAlignment="1" applyProtection="1">
      <alignment horizontal="center"/>
    </xf>
    <xf numFmtId="0" fontId="2" fillId="0" borderId="8" xfId="0" applyFont="1" applyBorder="1" applyAlignment="1" applyProtection="1">
      <alignment horizontal="center"/>
    </xf>
    <xf numFmtId="0" fontId="2" fillId="0" borderId="9" xfId="0" applyFont="1" applyBorder="1" applyAlignment="1" applyProtection="1">
      <alignment horizontal="center"/>
    </xf>
    <xf numFmtId="0" fontId="2" fillId="0" borderId="1" xfId="0" applyFont="1" applyBorder="1" applyAlignment="1" applyProtection="1">
      <alignment horizontal="center" vertical="center"/>
    </xf>
    <xf numFmtId="167" fontId="16" fillId="11" borderId="3" xfId="0" applyNumberFormat="1" applyFont="1" applyFill="1" applyBorder="1" applyAlignment="1" applyProtection="1">
      <alignment horizontal="center"/>
    </xf>
    <xf numFmtId="0" fontId="2" fillId="3" borderId="10" xfId="0" applyFont="1" applyFill="1" applyBorder="1" applyAlignment="1" applyProtection="1">
      <alignment horizontal="center"/>
    </xf>
    <xf numFmtId="0" fontId="2" fillId="3" borderId="11" xfId="0" applyFont="1" applyFill="1" applyBorder="1" applyAlignment="1" applyProtection="1">
      <alignment horizontal="center"/>
    </xf>
    <xf numFmtId="0" fontId="2" fillId="3" borderId="12" xfId="0" applyFont="1" applyFill="1" applyBorder="1" applyAlignment="1" applyProtection="1">
      <alignment horizontal="center"/>
    </xf>
    <xf numFmtId="0" fontId="2" fillId="6" borderId="5" xfId="0" applyFont="1" applyFill="1" applyBorder="1" applyAlignment="1" applyProtection="1">
      <alignment horizontal="left" wrapText="1"/>
    </xf>
    <xf numFmtId="0" fontId="2" fillId="6" borderId="0" xfId="0" applyFont="1" applyFill="1" applyBorder="1" applyAlignment="1" applyProtection="1">
      <alignment horizontal="left" wrapText="1"/>
    </xf>
    <xf numFmtId="0" fontId="2" fillId="6" borderId="0" xfId="0" applyFont="1" applyFill="1" applyBorder="1" applyAlignment="1" applyProtection="1">
      <alignment horizontal="center" wrapText="1"/>
    </xf>
    <xf numFmtId="0" fontId="2" fillId="6" borderId="6" xfId="0" applyFont="1" applyFill="1" applyBorder="1" applyAlignment="1" applyProtection="1">
      <alignment horizontal="center" wrapText="1"/>
    </xf>
    <xf numFmtId="0" fontId="8" fillId="0" borderId="1" xfId="0" applyFont="1" applyFill="1" applyBorder="1" applyAlignment="1" applyProtection="1">
      <alignment horizontal="center" vertical="center"/>
      <protection locked="0"/>
    </xf>
    <xf numFmtId="0" fontId="17" fillId="0" borderId="1" xfId="0" applyFont="1" applyFill="1" applyBorder="1" applyAlignment="1" applyProtection="1">
      <alignment horizontal="center"/>
    </xf>
    <xf numFmtId="0" fontId="16" fillId="0" borderId="1" xfId="0" applyFont="1" applyBorder="1" applyAlignment="1" applyProtection="1">
      <alignment horizontal="center" vertical="center"/>
      <protection locked="0"/>
    </xf>
    <xf numFmtId="0" fontId="16" fillId="0" borderId="0" xfId="0" applyFont="1" applyBorder="1" applyAlignment="1" applyProtection="1">
      <alignment horizontal="center" vertical="center"/>
    </xf>
  </cellXfs>
  <cellStyles count="23">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22" builtinId="8"/>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Normal" xfId="0" builtinId="0"/>
    <cellStyle name="Normal 4" xfId="1"/>
  </cellStyles>
  <dxfs count="129">
    <dxf>
      <font>
        <color auto="1"/>
      </font>
      <fill>
        <patternFill>
          <bgColor rgb="FFFFC000"/>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ont>
        <color auto="1"/>
      </font>
      <fill>
        <patternFill>
          <bgColor rgb="FF92D050"/>
        </patternFill>
      </fill>
    </dxf>
    <dxf>
      <font>
        <color auto="1"/>
      </font>
      <fill>
        <patternFill>
          <bgColor rgb="FF92D05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ont>
        <color auto="1"/>
      </font>
      <fill>
        <patternFill>
          <bgColor rgb="FF92D050"/>
        </patternFill>
      </fill>
    </dxf>
    <dxf>
      <font>
        <color auto="1"/>
      </font>
      <fill>
        <patternFill>
          <bgColor rgb="FF92D05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ont>
        <color auto="1"/>
      </font>
      <fill>
        <patternFill>
          <bgColor rgb="FF92D050"/>
        </patternFill>
      </fill>
    </dxf>
    <dxf>
      <font>
        <color auto="1"/>
      </font>
      <fill>
        <patternFill>
          <bgColor rgb="FF92D05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auto="1"/>
      </font>
      <fill>
        <patternFill>
          <bgColor rgb="FF92D050"/>
        </patternFill>
      </fill>
    </dxf>
    <dxf>
      <font>
        <color auto="1"/>
      </font>
      <fill>
        <patternFill>
          <bgColor rgb="FF92D050"/>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ont>
        <color auto="1"/>
      </font>
      <fill>
        <patternFill>
          <bgColor rgb="FF92D050"/>
        </patternFill>
      </fill>
    </dxf>
    <dxf>
      <font>
        <color auto="1"/>
      </font>
      <fill>
        <patternFill>
          <bgColor rgb="FF92D05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numFmt numFmtId="1" formatCode="0"/>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left"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left"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left"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numFmt numFmtId="1" formatCode="0"/>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numFmt numFmtId="167" formatCode="[$-240A]d&quot; de &quot;mmmm&quot; de &quot;yyyy;@"/>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numFmt numFmtId="1" formatCode="0"/>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Calibri"/>
        <scheme val="minor"/>
      </font>
      <fill>
        <patternFill patternType="solid">
          <fgColor rgb="FFA3CDED"/>
          <bgColor rgb="FFA3CDED"/>
        </patternFill>
      </fill>
      <alignment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border diagonalUp="0" diagonalDown="0" outline="0">
        <left/>
        <right style="thin">
          <color rgb="FFFFFFFF"/>
        </right>
        <top style="thin">
          <color rgb="FFFFFFFF"/>
        </top>
        <bottom style="thin">
          <color rgb="FFFFFFFF"/>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general" vertical="bottom" textRotation="0" wrapText="1" indent="0" justifyLastLine="0" shrinkToFit="0" readingOrder="0"/>
    </dxf>
    <dxf>
      <font>
        <b/>
        <i val="0"/>
        <strike val="0"/>
        <condense val="0"/>
        <extend val="0"/>
        <outline val="0"/>
        <shadow val="0"/>
        <u val="none"/>
        <vertAlign val="baseline"/>
        <sz val="12"/>
        <color auto="1"/>
        <name val="Arial Narrow"/>
        <scheme val="none"/>
      </font>
      <fill>
        <patternFill patternType="solid">
          <fgColor rgb="FF2683C6"/>
          <bgColor rgb="FF2683C6"/>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4" name="Imagen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xmlns="" id="{2BC31B20-03B0-455A-AF88-91B23A5B0F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8385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tables/table1.xml><?xml version="1.0" encoding="utf-8"?>
<table xmlns="http://schemas.openxmlformats.org/spreadsheetml/2006/main" id="2" name="Tabla2" displayName="Tabla2" ref="A2:BG319" totalsRowShown="0" headerRowDxfId="128" dataDxfId="127" tableBorderDxfId="126">
  <autoFilter ref="A2:BG319"/>
  <sortState ref="A3:BG319">
    <sortCondition ref="F2:F319"/>
  </sortState>
  <tableColumns count="59">
    <tableColumn id="1" name="CONTRATISTA" dataDxfId="125"/>
    <tableColumn id="2" name="REGISTRO PPTAL" dataDxfId="124"/>
    <tableColumn id="3" name="CDP" dataDxfId="123"/>
    <tableColumn id="4" name="RUBRO" dataDxfId="122"/>
    <tableColumn id="5" name="AÑO" dataDxfId="121"/>
    <tableColumn id="6" name="N° CONTRATO" dataDxfId="120"/>
    <tableColumn id="7" name="CONTRATANTE" dataDxfId="119"/>
    <tableColumn id="8" name="DIRECCION " dataDxfId="118"/>
    <tableColumn id="9" name="ORDENADOR DEL GASTO" dataDxfId="117"/>
    <tableColumn id="10" name="CARGO" dataDxfId="116"/>
    <tableColumn id="11" name="IDENTIFICACION" dataDxfId="115"/>
    <tableColumn id="12" name="SUPERVISOR" dataDxfId="114"/>
    <tableColumn id="13" name="CARGO2" dataDxfId="113"/>
    <tableColumn id="14" name="DELEGACIÓN " dataDxfId="112"/>
    <tableColumn id="15" name="OFICIO DELEG." dataDxfId="111"/>
    <tableColumn id="16" name="IDENTIFICACION2" dataDxfId="110"/>
    <tableColumn id="17" name="FECHA N." dataDxfId="109"/>
    <tableColumn id="18" name="PERSONA" dataDxfId="108"/>
    <tableColumn id="19" name="PROFESIÓN CONTRATISTA" dataDxfId="107"/>
    <tableColumn id="20" name="DIRECCION 4" dataDxfId="106"/>
    <tableColumn id="21" name="TELEFONO CONTRATISTA" dataDxfId="105"/>
    <tableColumn id="22" name="AREA" dataDxfId="104"/>
    <tableColumn id="23" name="E-MAIL" dataDxfId="103"/>
    <tableColumn id="24" name="FECHA DE INICIO" dataDxfId="102"/>
    <tableColumn id="25" name="FECHA DE FINALIZACION" dataDxfId="101"/>
    <tableColumn id="26" name=" VALOR CONTRATO " dataDxfId="100"/>
    <tableColumn id="27" name="DURACION DIAS" dataDxfId="99"/>
    <tableColumn id="28" name="ADICION DIAS" dataDxfId="98"/>
    <tableColumn id="29" name="FECHA ADICIÓN" dataDxfId="97"/>
    <tableColumn id="30" name="OBJETO" dataDxfId="96"/>
    <tableColumn id="31" name="FORMA DE PAGO" dataDxfId="95"/>
    <tableColumn id="32" name="ENTREGABLES" dataDxfId="94"/>
    <tableColumn id="33" name="SALUD" dataDxfId="93"/>
    <tableColumn id="34" name="PENSION" dataDxfId="92"/>
    <tableColumn id="35" name="ULTIMOS DIGITOS C.C." dataDxfId="91"/>
    <tableColumn id="36" name="ARL " dataDxfId="90"/>
    <tableColumn id="37" name="ACTIVACION" dataDxfId="89"/>
    <tableColumn id="38" name="ESTAMPILLAS" dataDxfId="88"/>
    <tableColumn id="39" name="ALCANCE 1" dataDxfId="87"/>
    <tableColumn id="40" name="ALCANCE 2" dataDxfId="86"/>
    <tableColumn id="41" name="ALCANCE 3" dataDxfId="85"/>
    <tableColumn id="42" name="ALCANCE 4" dataDxfId="84"/>
    <tableColumn id="43" name="ALCANCE 5" dataDxfId="83"/>
    <tableColumn id="44" name="ALCANCE 6" dataDxfId="82"/>
    <tableColumn id="45" name="ALCANCE 7" dataDxfId="81"/>
    <tableColumn id="46" name="ALCANCE 8" dataDxfId="80"/>
    <tableColumn id="47" name="ALCANCE 9" dataDxfId="79"/>
    <tableColumn id="48" name="ALCANCE 10" dataDxfId="78"/>
    <tableColumn id="49" name="ALCANCE 11" dataDxfId="77"/>
    <tableColumn id="50" name="ALCANCE 12" dataDxfId="76"/>
    <tableColumn id="51" name="ALCANCE 13" dataDxfId="75"/>
    <tableColumn id="52" name="ALCANCE 14" dataDxfId="74"/>
    <tableColumn id="53" name="ALCANCE 15" dataDxfId="73"/>
    <tableColumn id="54" name="ALCANCE 16" dataDxfId="72"/>
    <tableColumn id="55" name="ALCANCE 17" dataDxfId="71"/>
    <tableColumn id="56" name="ALCANCE 18" dataDxfId="70"/>
    <tableColumn id="57" name="REGIMEN" dataDxfId="69"/>
    <tableColumn id="58" name="MODALIDAD" dataDxfId="68"/>
    <tableColumn id="59" name="RIESGO" dataDxfId="67"/>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marcoperez59@hotmail.com" TargetMode="External"/><Relationship Id="rId13" Type="http://schemas.openxmlformats.org/officeDocument/2006/relationships/hyperlink" Target="mailto:nelsonodens@gmail.com" TargetMode="External"/><Relationship Id="rId18" Type="http://schemas.openxmlformats.org/officeDocument/2006/relationships/hyperlink" Target="mailto:SALAZARJMYRIAM@GMAIL.COM" TargetMode="External"/><Relationship Id="rId26" Type="http://schemas.openxmlformats.org/officeDocument/2006/relationships/hyperlink" Target="mailto:angarita.sandra@gmail.com" TargetMode="External"/><Relationship Id="rId39" Type="http://schemas.openxmlformats.org/officeDocument/2006/relationships/hyperlink" Target="mailto:COMERCIAL@ELSAMAN.COM.CO" TargetMode="External"/><Relationship Id="rId3" Type="http://schemas.openxmlformats.org/officeDocument/2006/relationships/hyperlink" Target="mailto:ALEXISBEIFEN@GMAIL.COM" TargetMode="External"/><Relationship Id="rId21" Type="http://schemas.openxmlformats.org/officeDocument/2006/relationships/hyperlink" Target="mailto:CARPAJACK@HOTMAIL.COM" TargetMode="External"/><Relationship Id="rId34" Type="http://schemas.openxmlformats.org/officeDocument/2006/relationships/hyperlink" Target="mailto:PAULO.CRAVAJAL@PROVEER.COM.CO" TargetMode="External"/><Relationship Id="rId7" Type="http://schemas.openxmlformats.org/officeDocument/2006/relationships/hyperlink" Target="mailto:linamaria_martinez@yahoo.com" TargetMode="External"/><Relationship Id="rId12" Type="http://schemas.openxmlformats.org/officeDocument/2006/relationships/hyperlink" Target="mailto:gegarco@hotmail.com" TargetMode="External"/><Relationship Id="rId17" Type="http://schemas.openxmlformats.org/officeDocument/2006/relationships/hyperlink" Target="mailto:REOSPINA@GMAIL.COM" TargetMode="External"/><Relationship Id="rId25" Type="http://schemas.openxmlformats.org/officeDocument/2006/relationships/hyperlink" Target="mailto:emiliaperezmariaperez@hotmail.com" TargetMode="External"/><Relationship Id="rId33" Type="http://schemas.openxmlformats.org/officeDocument/2006/relationships/hyperlink" Target="mailto:TECNITINTASPEREIRA@GMAIL.COM" TargetMode="External"/><Relationship Id="rId38" Type="http://schemas.openxmlformats.org/officeDocument/2006/relationships/hyperlink" Target="mailto:PAULA@MAISHA.COM.CO" TargetMode="External"/><Relationship Id="rId2" Type="http://schemas.openxmlformats.org/officeDocument/2006/relationships/hyperlink" Target="mailto:arabenju.elcat@hotmail.com" TargetMode="External"/><Relationship Id="rId16" Type="http://schemas.openxmlformats.org/officeDocument/2006/relationships/hyperlink" Target="mailto:OSCARURIBE20@HOTMAIL.COM" TargetMode="External"/><Relationship Id="rId20" Type="http://schemas.openxmlformats.org/officeDocument/2006/relationships/hyperlink" Target="mailto:gloriagiraldo1205@hotmail.com" TargetMode="External"/><Relationship Id="rId29" Type="http://schemas.openxmlformats.org/officeDocument/2006/relationships/hyperlink" Target="mailto:samava1095@hotmail.com" TargetMode="External"/><Relationship Id="rId41" Type="http://schemas.openxmlformats.org/officeDocument/2006/relationships/table" Target="../tables/table1.xml"/><Relationship Id="rId1" Type="http://schemas.openxmlformats.org/officeDocument/2006/relationships/hyperlink" Target="mailto:JOSEGONZALEZgallego@hotmail.com" TargetMode="External"/><Relationship Id="rId6" Type="http://schemas.openxmlformats.org/officeDocument/2006/relationships/hyperlink" Target="mailto:ANDRESURIBERAMIREZ@GMAIL.COM" TargetMode="External"/><Relationship Id="rId11" Type="http://schemas.openxmlformats.org/officeDocument/2006/relationships/hyperlink" Target="mailto:CONTABILIDAD@ELDIARIO.COM.CO" TargetMode="External"/><Relationship Id="rId24" Type="http://schemas.openxmlformats.org/officeDocument/2006/relationships/hyperlink" Target="mailto:OCAMPORMA@GMAIL.COM" TargetMode="External"/><Relationship Id="rId32" Type="http://schemas.openxmlformats.org/officeDocument/2006/relationships/hyperlink" Target="mailto:TECNITINTASPEREIRA@GMAIL.COM" TargetMode="External"/><Relationship Id="rId37" Type="http://schemas.openxmlformats.org/officeDocument/2006/relationships/hyperlink" Target="mailto:CORPOPROLONJAS@GMAIL.COM" TargetMode="External"/><Relationship Id="rId40" Type="http://schemas.openxmlformats.org/officeDocument/2006/relationships/printerSettings" Target="../printerSettings/printerSettings1.bin"/><Relationship Id="rId5" Type="http://schemas.openxmlformats.org/officeDocument/2006/relationships/hyperlink" Target="mailto:RAMIREZGOMEZALEJANDRO@HOTMAIL.COM" TargetMode="External"/><Relationship Id="rId15" Type="http://schemas.openxmlformats.org/officeDocument/2006/relationships/hyperlink" Target="mailto:HARWIN_182@HOTMAIL.COM" TargetMode="External"/><Relationship Id="rId23" Type="http://schemas.openxmlformats.org/officeDocument/2006/relationships/hyperlink" Target="mailto:NATIS0111@HOTMAIL.COM" TargetMode="External"/><Relationship Id="rId28" Type="http://schemas.openxmlformats.org/officeDocument/2006/relationships/hyperlink" Target="mailto:henryface1965@hotmail.com" TargetMode="External"/><Relationship Id="rId36" Type="http://schemas.openxmlformats.org/officeDocument/2006/relationships/hyperlink" Target="mailto:COMERCIAL@ELSAMAN.COM.CO" TargetMode="External"/><Relationship Id="rId10" Type="http://schemas.openxmlformats.org/officeDocument/2006/relationships/hyperlink" Target="mailto:DIVNACC_NAL@UNAL.EDU.CO" TargetMode="External"/><Relationship Id="rId19" Type="http://schemas.openxmlformats.org/officeDocument/2006/relationships/hyperlink" Target="mailto:EMMANUELLOPEZSALAZAR@HOTMAIL.COM" TargetMode="External"/><Relationship Id="rId31" Type="http://schemas.openxmlformats.org/officeDocument/2006/relationships/hyperlink" Target="mailto:NOTIFICACIONES@SOLIDARIA.COM.CO" TargetMode="External"/><Relationship Id="rId4" Type="http://schemas.openxmlformats.org/officeDocument/2006/relationships/hyperlink" Target="mailto:maritzamejiaj@gmail.com" TargetMode="External"/><Relationship Id="rId9" Type="http://schemas.openxmlformats.org/officeDocument/2006/relationships/hyperlink" Target="mailto:ABENJUMEA@GMAIL,COM" TargetMode="External"/><Relationship Id="rId14" Type="http://schemas.openxmlformats.org/officeDocument/2006/relationships/hyperlink" Target="mailto:ING.CARDO@HOTMAL.COM" TargetMode="External"/><Relationship Id="rId22" Type="http://schemas.openxmlformats.org/officeDocument/2006/relationships/hyperlink" Target="mailto:danielmontesb@hotmail.com" TargetMode="External"/><Relationship Id="rId27" Type="http://schemas.openxmlformats.org/officeDocument/2006/relationships/hyperlink" Target="mailto:cristina.jaramillo@hotmail.com" TargetMode="External"/><Relationship Id="rId30" Type="http://schemas.openxmlformats.org/officeDocument/2006/relationships/hyperlink" Target="mailto:CONTACTO@VISIONGRAFIC.COM.CO" TargetMode="External"/><Relationship Id="rId35" Type="http://schemas.openxmlformats.org/officeDocument/2006/relationships/hyperlink" Target="mailto:ALEJOCORREA65@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4"/>
  </sheetPr>
  <dimension ref="A2:J179"/>
  <sheetViews>
    <sheetView topLeftCell="A143" workbookViewId="0">
      <selection activeCell="I189" sqref="I189"/>
    </sheetView>
  </sheetViews>
  <sheetFormatPr baseColWidth="10" defaultRowHeight="15.75" x14ac:dyDescent="0.25"/>
  <cols>
    <col min="1" max="1" width="16.375" bestFit="1" customWidth="1"/>
    <col min="2" max="2" width="12.5" bestFit="1" customWidth="1"/>
  </cols>
  <sheetData>
    <row r="2" spans="1:3" x14ac:dyDescent="0.25">
      <c r="A2" s="1" t="s">
        <v>63</v>
      </c>
      <c r="B2" s="2" t="s">
        <v>80</v>
      </c>
      <c r="C2" s="2" t="s">
        <v>78</v>
      </c>
    </row>
    <row r="3" spans="1:3" x14ac:dyDescent="0.25">
      <c r="A3" t="s">
        <v>64</v>
      </c>
      <c r="B3" s="2" t="s">
        <v>79</v>
      </c>
      <c r="C3" s="2" t="s">
        <v>81</v>
      </c>
    </row>
    <row r="4" spans="1:3" x14ac:dyDescent="0.25">
      <c r="A4" s="1" t="s">
        <v>65</v>
      </c>
      <c r="B4" s="2" t="s">
        <v>82</v>
      </c>
      <c r="C4" s="2" t="s">
        <v>83</v>
      </c>
    </row>
    <row r="5" spans="1:3" x14ac:dyDescent="0.25">
      <c r="A5" t="s">
        <v>66</v>
      </c>
      <c r="B5" s="2" t="s">
        <v>84</v>
      </c>
      <c r="C5" s="2" t="s">
        <v>85</v>
      </c>
    </row>
    <row r="6" spans="1:3" x14ac:dyDescent="0.25">
      <c r="A6" s="1" t="s">
        <v>67</v>
      </c>
      <c r="B6" s="2" t="s">
        <v>86</v>
      </c>
      <c r="C6" s="2" t="s">
        <v>87</v>
      </c>
    </row>
    <row r="7" spans="1:3" x14ac:dyDescent="0.25">
      <c r="A7" t="s">
        <v>68</v>
      </c>
      <c r="B7" s="2" t="s">
        <v>88</v>
      </c>
      <c r="C7" s="2" t="s">
        <v>89</v>
      </c>
    </row>
    <row r="8" spans="1:3" x14ac:dyDescent="0.25">
      <c r="A8" s="1" t="s">
        <v>69</v>
      </c>
      <c r="B8" s="2" t="s">
        <v>90</v>
      </c>
      <c r="C8" s="2" t="s">
        <v>91</v>
      </c>
    </row>
    <row r="9" spans="1:3" x14ac:dyDescent="0.25">
      <c r="A9" t="s">
        <v>70</v>
      </c>
      <c r="B9" s="2" t="s">
        <v>92</v>
      </c>
      <c r="C9" s="2" t="s">
        <v>93</v>
      </c>
    </row>
    <row r="10" spans="1:3" x14ac:dyDescent="0.25">
      <c r="A10" s="1" t="s">
        <v>71</v>
      </c>
      <c r="B10" s="2" t="s">
        <v>94</v>
      </c>
      <c r="C10" s="2" t="s">
        <v>95</v>
      </c>
    </row>
    <row r="11" spans="1:3" x14ac:dyDescent="0.25">
      <c r="A11" t="s">
        <v>72</v>
      </c>
      <c r="B11" s="2" t="s">
        <v>96</v>
      </c>
      <c r="C11" s="2" t="s">
        <v>97</v>
      </c>
    </row>
    <row r="12" spans="1:3" x14ac:dyDescent="0.25">
      <c r="A12" s="1" t="s">
        <v>73</v>
      </c>
      <c r="B12" s="2" t="s">
        <v>98</v>
      </c>
      <c r="C12" s="2" t="s">
        <v>99</v>
      </c>
    </row>
    <row r="13" spans="1:3" x14ac:dyDescent="0.25">
      <c r="A13" t="s">
        <v>74</v>
      </c>
      <c r="B13" s="2" t="s">
        <v>100</v>
      </c>
      <c r="C13" s="2" t="s">
        <v>101</v>
      </c>
    </row>
    <row r="14" spans="1:3" x14ac:dyDescent="0.25">
      <c r="A14" s="1" t="s">
        <v>75</v>
      </c>
      <c r="B14" s="2" t="s">
        <v>102</v>
      </c>
      <c r="C14" s="2" t="s">
        <v>103</v>
      </c>
    </row>
    <row r="15" spans="1:3" x14ac:dyDescent="0.25">
      <c r="A15" t="s">
        <v>76</v>
      </c>
      <c r="B15" s="2" t="s">
        <v>104</v>
      </c>
      <c r="C15" s="2" t="s">
        <v>105</v>
      </c>
    </row>
    <row r="16" spans="1:3" x14ac:dyDescent="0.25">
      <c r="A16" s="1" t="s">
        <v>77</v>
      </c>
      <c r="B16" s="2" t="s">
        <v>106</v>
      </c>
      <c r="C16" s="2" t="s">
        <v>107</v>
      </c>
    </row>
    <row r="20" spans="1:4" x14ac:dyDescent="0.25">
      <c r="A20" s="2" t="s">
        <v>43</v>
      </c>
      <c r="B20" s="7">
        <v>5.2199999999999998E-3</v>
      </c>
      <c r="C20">
        <v>5.1999999999999998E-3</v>
      </c>
      <c r="D20" t="s">
        <v>8</v>
      </c>
    </row>
    <row r="21" spans="1:4" x14ac:dyDescent="0.25">
      <c r="A21" s="2" t="s">
        <v>108</v>
      </c>
      <c r="B21" s="7">
        <v>0</v>
      </c>
      <c r="C21">
        <v>1.04E-2</v>
      </c>
      <c r="D21" t="s">
        <v>8</v>
      </c>
    </row>
    <row r="22" spans="1:4" x14ac:dyDescent="0.25">
      <c r="A22" s="2" t="s">
        <v>109</v>
      </c>
      <c r="B22" s="7">
        <v>0</v>
      </c>
      <c r="C22">
        <v>2.4400000000000002E-2</v>
      </c>
      <c r="D22" t="s">
        <v>8</v>
      </c>
    </row>
    <row r="23" spans="1:4" x14ac:dyDescent="0.25">
      <c r="A23" s="2" t="s">
        <v>110</v>
      </c>
      <c r="B23" s="7">
        <v>0</v>
      </c>
      <c r="C23">
        <v>4.3499999999999997E-2</v>
      </c>
      <c r="D23" t="s">
        <v>8</v>
      </c>
    </row>
    <row r="24" spans="1:4" x14ac:dyDescent="0.25">
      <c r="A24" s="2" t="s">
        <v>111</v>
      </c>
      <c r="B24" s="7">
        <v>6.9599999999999995E-2</v>
      </c>
      <c r="C24" s="3">
        <v>0.69599999999999995</v>
      </c>
      <c r="D24" t="s">
        <v>289</v>
      </c>
    </row>
    <row r="27" spans="1:4" x14ac:dyDescent="0.25">
      <c r="A27" t="s">
        <v>127</v>
      </c>
      <c r="C27" s="4">
        <v>781242</v>
      </c>
    </row>
    <row r="28" spans="1:4" x14ac:dyDescent="0.25">
      <c r="A28" t="s">
        <v>128</v>
      </c>
      <c r="B28" s="5">
        <v>0.125</v>
      </c>
      <c r="C28" s="4">
        <f>+B28*C27</f>
        <v>97655.25</v>
      </c>
    </row>
    <row r="29" spans="1:4" x14ac:dyDescent="0.25">
      <c r="A29" t="s">
        <v>129</v>
      </c>
      <c r="B29" s="6">
        <v>0.16</v>
      </c>
      <c r="C29" s="4">
        <f>+B29*C27</f>
        <v>124998.72</v>
      </c>
      <c r="D29" s="4">
        <f>+C29/B30</f>
        <v>4166.6239999999998</v>
      </c>
    </row>
    <row r="30" spans="1:4" x14ac:dyDescent="0.25">
      <c r="A30" t="s">
        <v>48</v>
      </c>
      <c r="B30">
        <v>30</v>
      </c>
      <c r="C30" s="4">
        <f>+C28/B30</f>
        <v>3255.1750000000002</v>
      </c>
    </row>
    <row r="31" spans="1:4" x14ac:dyDescent="0.25">
      <c r="A31" t="s">
        <v>130</v>
      </c>
      <c r="B31">
        <v>8</v>
      </c>
      <c r="C31" s="4">
        <f>+B31*C27</f>
        <v>6249936</v>
      </c>
    </row>
    <row r="32" spans="1:4" x14ac:dyDescent="0.25">
      <c r="C32" s="4">
        <f>+C27/B30</f>
        <v>26041.4</v>
      </c>
    </row>
    <row r="34" spans="1:5" x14ac:dyDescent="0.25">
      <c r="A34" t="s">
        <v>131</v>
      </c>
    </row>
    <row r="37" spans="1:5" x14ac:dyDescent="0.25">
      <c r="A37" s="2" t="s">
        <v>132</v>
      </c>
      <c r="B37" s="6">
        <v>0</v>
      </c>
    </row>
    <row r="38" spans="1:5" x14ac:dyDescent="0.25">
      <c r="A38" s="8" t="s">
        <v>263</v>
      </c>
      <c r="B38" s="5">
        <v>2.5000000000000001E-2</v>
      </c>
    </row>
    <row r="42" spans="1:5" x14ac:dyDescent="0.25">
      <c r="A42" t="s">
        <v>257</v>
      </c>
    </row>
    <row r="43" spans="1:5" x14ac:dyDescent="0.25">
      <c r="A43" t="s">
        <v>140</v>
      </c>
    </row>
    <row r="44" spans="1:5" x14ac:dyDescent="0.25">
      <c r="A44" t="s">
        <v>141</v>
      </c>
    </row>
    <row r="48" spans="1:5" x14ac:dyDescent="0.25">
      <c r="A48" t="s">
        <v>146</v>
      </c>
      <c r="C48">
        <f>+'ACTA PARCIAL '!F66</f>
        <v>1500000</v>
      </c>
      <c r="E48" t="s">
        <v>147</v>
      </c>
    </row>
    <row r="50" spans="1:10" x14ac:dyDescent="0.25">
      <c r="A50" t="s">
        <v>148</v>
      </c>
      <c r="C50" t="str">
        <f>TRIM(D72)</f>
        <v>Un Millón Quinientos Mil Pesos M/Cte</v>
      </c>
    </row>
    <row r="53" spans="1:10" x14ac:dyDescent="0.25">
      <c r="A53">
        <v>1</v>
      </c>
      <c r="B53" t="s">
        <v>149</v>
      </c>
      <c r="C53" t="s">
        <v>150</v>
      </c>
      <c r="E53">
        <f>INT((C48-(INT(C48/1000000000000000)*1000000000000000))/1000000000000)</f>
        <v>0</v>
      </c>
      <c r="F53" t="s">
        <v>151</v>
      </c>
      <c r="G53">
        <f>INT(E53/100)*100</f>
        <v>0</v>
      </c>
      <c r="H53" t="str">
        <f>IF(AND(G53=100,G54=0,G55=0),IF(G53=0," ",LOOKUP(G53,A52:C97,B52:B97)),IF(G53=0," ",LOOKUP(G53,A52:C97,C52:C97)))</f>
        <v xml:space="preserve"> </v>
      </c>
      <c r="J53" t="s">
        <v>152</v>
      </c>
    </row>
    <row r="54" spans="1:10" x14ac:dyDescent="0.25">
      <c r="A54">
        <v>2</v>
      </c>
      <c r="B54" t="s">
        <v>153</v>
      </c>
      <c r="C54" t="s">
        <v>153</v>
      </c>
      <c r="E54">
        <f>+E53-G53</f>
        <v>0</v>
      </c>
      <c r="F54" t="s">
        <v>154</v>
      </c>
      <c r="G54">
        <f>INT(E54/10)*10</f>
        <v>0</v>
      </c>
      <c r="H54" t="str">
        <f>IF(OR(G54=10,G54=20),LOOKUP(E54,A52:C97,C52:C97),IF(AND(G54=100,G55=0,G56=0),IF(G54=0," ",LOOKUP(G54,A52:C97,B52:B97)),IF(G54=0," ",LOOKUP(G54,A52:C97,C52:C97))))</f>
        <v xml:space="preserve"> </v>
      </c>
      <c r="I54" t="str">
        <f>IF(G55=0," ",IF(AND(G54&gt;20,G54&lt;=90),"y"," "))</f>
        <v xml:space="preserve"> </v>
      </c>
    </row>
    <row r="55" spans="1:10" x14ac:dyDescent="0.25">
      <c r="A55">
        <v>3</v>
      </c>
      <c r="B55" t="s">
        <v>155</v>
      </c>
      <c r="C55" t="s">
        <v>155</v>
      </c>
      <c r="E55">
        <f>+E54-G54</f>
        <v>0</v>
      </c>
      <c r="F55" t="s">
        <v>156</v>
      </c>
      <c r="G55">
        <f>INT(E55)</f>
        <v>0</v>
      </c>
      <c r="H55" t="str">
        <f>IF(OR(G54=10,G54=20)," ",IF(AND(G55=100,G56=0,G57=0),IF(G55=0," ",LOOKUP(G55,A52:C97,B52:B97)),IF(G55=0," ",LOOKUP(G55,A52:C97,B52:B97))))</f>
        <v xml:space="preserve"> </v>
      </c>
      <c r="I55" t="str">
        <f>IF(AND(G53=0,G54=0,G55=1),"Billón",IF(SUM(G53:G55)=0," ","Billones"))</f>
        <v xml:space="preserve"> </v>
      </c>
    </row>
    <row r="56" spans="1:10" x14ac:dyDescent="0.25">
      <c r="A56">
        <v>4</v>
      </c>
      <c r="B56" t="s">
        <v>157</v>
      </c>
      <c r="C56" t="s">
        <v>157</v>
      </c>
      <c r="E56">
        <f>INT((C48-(INT(C48/1000000000000)*1000000000000))/1000000000)</f>
        <v>0</v>
      </c>
      <c r="F56" t="s">
        <v>151</v>
      </c>
      <c r="G56">
        <f>INT(E56/100)*100</f>
        <v>0</v>
      </c>
      <c r="H56" t="str">
        <f>IF(AND(G56=100,G57=0,G58=0),IF(G56=0," ",LOOKUP(G56,A52:C97,B52:B97)),IF(G56=0," ",LOOKUP(G56,A52:C97,C52:C97)))</f>
        <v xml:space="preserve"> </v>
      </c>
      <c r="J56" t="s">
        <v>158</v>
      </c>
    </row>
    <row r="57" spans="1:10" x14ac:dyDescent="0.25">
      <c r="A57">
        <v>5</v>
      </c>
      <c r="B57" t="s">
        <v>159</v>
      </c>
      <c r="C57" t="s">
        <v>159</v>
      </c>
      <c r="E57">
        <f>+E56-G56</f>
        <v>0</v>
      </c>
      <c r="F57" t="s">
        <v>154</v>
      </c>
      <c r="G57">
        <f>INT(E57/10)*10</f>
        <v>0</v>
      </c>
      <c r="H57" t="str">
        <f>IF(OR(G57=10,G57=20),LOOKUP(E57,A52:C97,C52:C97),IF(AND(G57=100,G58=0,G59=0),IF(G57=0," ",LOOKUP(G57,A52:C97,B52:B97)),IF(G57=0," ",LOOKUP(G57,A52:C97,C52:C97))))</f>
        <v xml:space="preserve"> </v>
      </c>
      <c r="I57" t="str">
        <f>IF(G58=0," ",IF(AND(G57&gt;20,G57&lt;=90),"y"," "))</f>
        <v xml:space="preserve"> </v>
      </c>
    </row>
    <row r="58" spans="1:10" x14ac:dyDescent="0.25">
      <c r="A58">
        <v>6</v>
      </c>
      <c r="B58" t="s">
        <v>160</v>
      </c>
      <c r="C58" t="s">
        <v>160</v>
      </c>
      <c r="E58">
        <f>+E57-G57</f>
        <v>0</v>
      </c>
      <c r="F58" t="s">
        <v>156</v>
      </c>
      <c r="G58">
        <f>INT(E58)</f>
        <v>0</v>
      </c>
      <c r="H58" t="str">
        <f>IF(AND(G56=0,G57=0,G58=1)," ",IF(AND(G53=0,G54=0,G55=0,G56=0,G57=0,G58=1)," ",IF(OR(G57=10,G57=20)," ",IF(AND(G58=100,G59=0,G60=0),IF(G58=0," ",LOOKUP(G58,A52:C97,B52:B97)),IF(G58=0," ",LOOKUP(G58,A52:C97,B52:B97))))))</f>
        <v xml:space="preserve"> </v>
      </c>
      <c r="I58" t="str">
        <f>IF(AND(G56=0,G57=0,G58=1),"Mil",IF(SUM(G56:G58)=0," ","Mil"))</f>
        <v xml:space="preserve"> </v>
      </c>
    </row>
    <row r="59" spans="1:10" x14ac:dyDescent="0.25">
      <c r="A59">
        <v>7</v>
      </c>
      <c r="B59" t="s">
        <v>161</v>
      </c>
      <c r="C59" t="s">
        <v>161</v>
      </c>
      <c r="E59">
        <f>INT((C48-(INT(C48/1000000000)*1000000000))/1000000)</f>
        <v>1</v>
      </c>
      <c r="F59" t="s">
        <v>151</v>
      </c>
      <c r="G59">
        <f>INT(E59/100)*100</f>
        <v>0</v>
      </c>
      <c r="H59" t="str">
        <f>IF(AND(G59=100,G60=0,G61=0),IF(G59=0," ",LOOKUP(G59,A52:C97,B52:B97)),IF(G59=0," ",LOOKUP(G59,A52:C97,C52:C97)))</f>
        <v xml:space="preserve"> </v>
      </c>
      <c r="J59" t="s">
        <v>162</v>
      </c>
    </row>
    <row r="60" spans="1:10" x14ac:dyDescent="0.25">
      <c r="A60">
        <v>8</v>
      </c>
      <c r="B60" t="s">
        <v>163</v>
      </c>
      <c r="C60" t="s">
        <v>163</v>
      </c>
      <c r="E60">
        <f>+E59-G59</f>
        <v>1</v>
      </c>
      <c r="F60" t="s">
        <v>154</v>
      </c>
      <c r="G60">
        <f>INT(E60/10)*10</f>
        <v>0</v>
      </c>
      <c r="H60" t="str">
        <f>IF(OR(G60=10,G60=20),LOOKUP(E60,A52:C97,C52:C97),IF(AND(G60=100,G61=0,G65=0),IF(G60=0," ",LOOKUP(G60,A52:C97,B52:B97)),IF(G60=0," ",LOOKUP(G60,A52:C97,C52:C97))))</f>
        <v xml:space="preserve"> </v>
      </c>
      <c r="I60" t="str">
        <f>IF(G61=0," ",IF(AND(G60&gt;20,G60&lt;=90),"y"," "))</f>
        <v xml:space="preserve"> </v>
      </c>
    </row>
    <row r="61" spans="1:10" x14ac:dyDescent="0.25">
      <c r="A61">
        <v>9</v>
      </c>
      <c r="B61" t="s">
        <v>164</v>
      </c>
      <c r="C61" t="s">
        <v>164</v>
      </c>
      <c r="E61">
        <f>+E60-G60</f>
        <v>1</v>
      </c>
      <c r="F61" t="s">
        <v>156</v>
      </c>
      <c r="G61">
        <f>INT(E61)</f>
        <v>1</v>
      </c>
      <c r="H61" t="str">
        <f>IF(AND(G59=0,G60=0,G61=1),"Un",IF(AND(G56=0,G57=0,G58=0,G59=0,G60=0,G61=1)," ",IF(OR(G60=10,G60=20)," ",IF(AND(G61=100,G65=0,G72=0),IF(G61=0," ",LOOKUP(G61,A52:C97,B52:B97)),IF(G61=0," ",LOOKUP(G61,A52:C97,B52:B97))))))</f>
        <v>Un</v>
      </c>
      <c r="I61" t="str">
        <f>IF(AND(OR(G56&gt;0,G57&gt;0,G58&gt;0),G59=0,G60=0,G61=0),"Millones",IF(AND(G56=0,G57=0,G58=0,G59=0,G60=0,G61=1),"Millón",IF(SUM(G59:G61)=0," ","Millones")))</f>
        <v>Millón</v>
      </c>
    </row>
    <row r="62" spans="1:10" x14ac:dyDescent="0.25">
      <c r="A62">
        <v>10</v>
      </c>
      <c r="B62" t="s">
        <v>165</v>
      </c>
      <c r="C62" t="s">
        <v>165</v>
      </c>
      <c r="E62">
        <f>INT((C48-(INT(C48/1000000)*1000000))/1000)</f>
        <v>500</v>
      </c>
      <c r="F62" t="s">
        <v>151</v>
      </c>
      <c r="G62">
        <f>INT(E62/100)*100</f>
        <v>500</v>
      </c>
      <c r="H62" t="str">
        <f>IF(AND(G62=100,G63=0,G64=0),IF(G62=0," ",LOOKUP(G62,A52:C97,B52:B97)),IF(G62=0," ",LOOKUP(G62,A52:C97,C52:C97)))</f>
        <v>Quinientos</v>
      </c>
      <c r="J62" t="s">
        <v>166</v>
      </c>
    </row>
    <row r="63" spans="1:10" x14ac:dyDescent="0.25">
      <c r="A63">
        <v>11</v>
      </c>
      <c r="B63" t="s">
        <v>167</v>
      </c>
      <c r="C63" t="s">
        <v>167</v>
      </c>
      <c r="E63">
        <f>+E62-G62</f>
        <v>0</v>
      </c>
      <c r="F63" t="s">
        <v>154</v>
      </c>
      <c r="G63">
        <f>INT(E63/10)*10</f>
        <v>0</v>
      </c>
      <c r="H63" t="str">
        <f>IF(OR(G63=10,G63=20),LOOKUP(E63,A52:C97,C52:C97),IF(AND(G63=100,G64=0,F70=0),IF(G63=0," ",LOOKUP(G63,A52:C97,B52:B97)),IF(G63=0," ",LOOKUP(G63,A52:C97,C52:C97))))</f>
        <v xml:space="preserve"> </v>
      </c>
      <c r="I63" t="str">
        <f>IF(G64=0," ",IF(AND(G63&gt;20,G63&lt;=90),"y"," "))</f>
        <v xml:space="preserve"> </v>
      </c>
    </row>
    <row r="64" spans="1:10" x14ac:dyDescent="0.25">
      <c r="A64">
        <v>12</v>
      </c>
      <c r="B64" t="s">
        <v>168</v>
      </c>
      <c r="C64" t="s">
        <v>168</v>
      </c>
      <c r="E64">
        <f>+E63-G63</f>
        <v>0</v>
      </c>
      <c r="F64" t="s">
        <v>156</v>
      </c>
      <c r="G64">
        <f>INT(E64)</f>
        <v>0</v>
      </c>
      <c r="H64" t="str">
        <f>IF(AND(G62=0,G63=0,G64=1)," ",IF(AND(G59=0,G60=0,G61=0,G62=0,G63=0,G64=1)," ",IF(OR(G63=10,G63=20)," ",IF(AND(G64=100,F70=0,F71=0),IF(G64=0," ",LOOKUP(G64,A52:C97,B52:B97)),IF(G64=0," ",LOOKUP(G64,A52:C97,B52:B97))))))</f>
        <v xml:space="preserve"> </v>
      </c>
      <c r="I64" t="str">
        <f>IF(AND(G62=0,G63=0,G64=1),"Mil",IF(SUM(G62:G64)=0," ","Mil"))</f>
        <v>Mil</v>
      </c>
    </row>
    <row r="65" spans="1:10" x14ac:dyDescent="0.25">
      <c r="A65">
        <v>13</v>
      </c>
      <c r="B65" t="s">
        <v>169</v>
      </c>
      <c r="C65" t="s">
        <v>169</v>
      </c>
      <c r="E65">
        <f>INT((C48-(INT(C48/1000)*1000))/1)</f>
        <v>0</v>
      </c>
      <c r="F65" t="s">
        <v>151</v>
      </c>
      <c r="G65">
        <f>INT(E65/100)*100</f>
        <v>0</v>
      </c>
      <c r="H65" t="str">
        <f>IF(AND(G65=100,G66=0,G67=0),IF(G65=0," ",LOOKUP(G65,A52:C97,B52:B97)),IF(G65=0," ",LOOKUP(G65,A52:C97,C52:C97)))</f>
        <v xml:space="preserve"> </v>
      </c>
      <c r="J65" t="s">
        <v>170</v>
      </c>
    </row>
    <row r="66" spans="1:10" x14ac:dyDescent="0.25">
      <c r="A66">
        <v>14</v>
      </c>
      <c r="B66" t="s">
        <v>171</v>
      </c>
      <c r="C66" t="s">
        <v>171</v>
      </c>
      <c r="E66">
        <f>+E65-G65</f>
        <v>0</v>
      </c>
      <c r="F66" t="s">
        <v>154</v>
      </c>
      <c r="G66">
        <f>INT(E66/10)*10</f>
        <v>0</v>
      </c>
      <c r="H66" t="str">
        <f>IF(OR(G66=10,G66=20),LOOKUP(E66,A52:C97,C52:C97),IF(AND(G66=100,G67=0,G77=0),IF(G66=0," ",LOOKUP(G66,A52:C97,B52:B97)),IF(G66=0," ",LOOKUP(G66,A52:C97,C52:C97))))</f>
        <v xml:space="preserve"> </v>
      </c>
      <c r="I66" t="str">
        <f>IF(G67=0," ",IF(AND(G66&gt;20,G66&lt;=90),"y"," "))</f>
        <v xml:space="preserve"> </v>
      </c>
    </row>
    <row r="67" spans="1:10" x14ac:dyDescent="0.25">
      <c r="A67">
        <v>15</v>
      </c>
      <c r="B67" t="s">
        <v>172</v>
      </c>
      <c r="C67" t="s">
        <v>172</v>
      </c>
      <c r="E67">
        <f>+E66-G66</f>
        <v>0</v>
      </c>
      <c r="F67" t="s">
        <v>156</v>
      </c>
      <c r="G67">
        <f>INT(E67)</f>
        <v>0</v>
      </c>
      <c r="H67" t="str">
        <f>IF(AND(G65=0,G66=0,G67=1),"Un",IF(AND(G62=0,G63=0,G64=0,G65=0,G66=0,G67=1)," ",IF(OR(G66=10,G66=20)," ",IF(AND(G67=100,G77=0,G78=0),IF(G67=0," ",LOOKUP(G67,A52:C97,B52:B97)),IF(G67=0," ",LOOKUP(G67,A52:C97,B52:B97))))))</f>
        <v xml:space="preserve"> </v>
      </c>
    </row>
    <row r="68" spans="1:10" x14ac:dyDescent="0.25">
      <c r="A68">
        <v>16</v>
      </c>
      <c r="B68" t="s">
        <v>173</v>
      </c>
      <c r="C68" t="s">
        <v>173</v>
      </c>
    </row>
    <row r="69" spans="1:10" x14ac:dyDescent="0.25">
      <c r="A69">
        <v>17</v>
      </c>
      <c r="B69" t="s">
        <v>174</v>
      </c>
      <c r="C69" t="s">
        <v>174</v>
      </c>
    </row>
    <row r="70" spans="1:10" x14ac:dyDescent="0.25">
      <c r="A70">
        <v>18</v>
      </c>
      <c r="B70" t="s">
        <v>175</v>
      </c>
      <c r="C70" t="s">
        <v>175</v>
      </c>
    </row>
    <row r="71" spans="1:10" x14ac:dyDescent="0.25">
      <c r="A71">
        <v>19</v>
      </c>
      <c r="B71" t="s">
        <v>176</v>
      </c>
      <c r="C71" t="s">
        <v>176</v>
      </c>
    </row>
    <row r="72" spans="1:10" x14ac:dyDescent="0.25">
      <c r="A72">
        <v>20</v>
      </c>
      <c r="B72" t="s">
        <v>177</v>
      </c>
      <c r="C72" t="s">
        <v>177</v>
      </c>
      <c r="D72" t="str">
        <f>H53&amp;" "&amp;H54&amp;" "&amp;I54&amp;" "&amp;" "&amp;H55&amp;" "&amp;I55&amp;" "&amp;H56&amp;" "&amp;H57&amp;" "&amp;I57&amp;" "&amp;" "&amp;H58&amp;" "&amp;I58&amp;" "&amp;H59&amp;" "&amp;H60&amp;" "&amp;I60&amp;" "&amp;H61&amp;" "&amp;I61&amp;" "&amp;H62&amp;" "&amp;H63&amp;" "&amp;I63&amp;" "&amp;H64&amp;" "&amp;I64&amp;" "&amp;H65&amp;" "&amp;H66&amp;" "&amp;I66&amp;" "&amp;H67&amp;" "&amp;H74</f>
        <v xml:space="preserve">                            Un Millón Quinientos       Mil         Pesos M/Cte</v>
      </c>
    </row>
    <row r="73" spans="1:10" x14ac:dyDescent="0.25">
      <c r="A73">
        <v>21</v>
      </c>
      <c r="B73" t="s">
        <v>178</v>
      </c>
      <c r="C73" t="s">
        <v>179</v>
      </c>
    </row>
    <row r="74" spans="1:10" x14ac:dyDescent="0.25">
      <c r="A74">
        <v>22</v>
      </c>
      <c r="B74" t="s">
        <v>180</v>
      </c>
      <c r="C74" t="s">
        <v>180</v>
      </c>
      <c r="H74" t="str">
        <f>IF(F75&lt;&gt;0,"de Pesos M/Cte",IF(C48=1,"Peso M/Cte","Pesos M/Cte"))</f>
        <v>Pesos M/Cte</v>
      </c>
    </row>
    <row r="75" spans="1:10" x14ac:dyDescent="0.25">
      <c r="A75">
        <v>23</v>
      </c>
      <c r="B75" t="s">
        <v>181</v>
      </c>
      <c r="C75" t="s">
        <v>181</v>
      </c>
      <c r="E75">
        <f>C48/1000000</f>
        <v>1.5</v>
      </c>
      <c r="F75">
        <f>IF(E75=INT(E75),"De Pesos M/Cte",0)</f>
        <v>0</v>
      </c>
    </row>
    <row r="76" spans="1:10" x14ac:dyDescent="0.25">
      <c r="A76">
        <v>24</v>
      </c>
      <c r="B76" t="s">
        <v>182</v>
      </c>
      <c r="C76" t="s">
        <v>182</v>
      </c>
    </row>
    <row r="77" spans="1:10" x14ac:dyDescent="0.25">
      <c r="A77">
        <v>25</v>
      </c>
      <c r="B77" t="s">
        <v>183</v>
      </c>
      <c r="C77" t="s">
        <v>183</v>
      </c>
    </row>
    <row r="78" spans="1:10" x14ac:dyDescent="0.25">
      <c r="A78">
        <v>26</v>
      </c>
      <c r="B78" t="s">
        <v>184</v>
      </c>
      <c r="C78" t="s">
        <v>184</v>
      </c>
    </row>
    <row r="79" spans="1:10" x14ac:dyDescent="0.25">
      <c r="A79">
        <v>27</v>
      </c>
      <c r="B79" t="s">
        <v>185</v>
      </c>
      <c r="C79" t="s">
        <v>185</v>
      </c>
    </row>
    <row r="80" spans="1:10" x14ac:dyDescent="0.25">
      <c r="A80">
        <v>28</v>
      </c>
      <c r="B80" t="s">
        <v>186</v>
      </c>
      <c r="C80" t="s">
        <v>186</v>
      </c>
    </row>
    <row r="81" spans="1:3" x14ac:dyDescent="0.25">
      <c r="A81">
        <v>29</v>
      </c>
      <c r="B81" t="s">
        <v>187</v>
      </c>
      <c r="C81" t="s">
        <v>187</v>
      </c>
    </row>
    <row r="82" spans="1:3" x14ac:dyDescent="0.25">
      <c r="A82">
        <v>30</v>
      </c>
      <c r="B82" t="s">
        <v>188</v>
      </c>
      <c r="C82" t="s">
        <v>188</v>
      </c>
    </row>
    <row r="83" spans="1:3" x14ac:dyDescent="0.25">
      <c r="A83">
        <v>40</v>
      </c>
      <c r="B83" t="s">
        <v>189</v>
      </c>
      <c r="C83" t="s">
        <v>189</v>
      </c>
    </row>
    <row r="84" spans="1:3" x14ac:dyDescent="0.25">
      <c r="A84">
        <v>50</v>
      </c>
      <c r="B84" t="s">
        <v>190</v>
      </c>
      <c r="C84" t="s">
        <v>190</v>
      </c>
    </row>
    <row r="85" spans="1:3" x14ac:dyDescent="0.25">
      <c r="A85">
        <v>60</v>
      </c>
      <c r="B85" t="s">
        <v>191</v>
      </c>
      <c r="C85" t="s">
        <v>191</v>
      </c>
    </row>
    <row r="86" spans="1:3" x14ac:dyDescent="0.25">
      <c r="A86">
        <v>70</v>
      </c>
      <c r="B86" t="s">
        <v>192</v>
      </c>
      <c r="C86" t="s">
        <v>192</v>
      </c>
    </row>
    <row r="87" spans="1:3" x14ac:dyDescent="0.25">
      <c r="A87">
        <v>80</v>
      </c>
      <c r="B87" t="s">
        <v>193</v>
      </c>
      <c r="C87" t="s">
        <v>193</v>
      </c>
    </row>
    <row r="88" spans="1:3" x14ac:dyDescent="0.25">
      <c r="A88">
        <v>90</v>
      </c>
      <c r="B88" t="s">
        <v>194</v>
      </c>
      <c r="C88" t="s">
        <v>194</v>
      </c>
    </row>
    <row r="89" spans="1:3" x14ac:dyDescent="0.25">
      <c r="A89">
        <v>100</v>
      </c>
      <c r="B89" t="s">
        <v>195</v>
      </c>
      <c r="C89" t="s">
        <v>196</v>
      </c>
    </row>
    <row r="90" spans="1:3" x14ac:dyDescent="0.25">
      <c r="A90">
        <v>200</v>
      </c>
      <c r="B90" t="s">
        <v>197</v>
      </c>
      <c r="C90" t="s">
        <v>197</v>
      </c>
    </row>
    <row r="91" spans="1:3" x14ac:dyDescent="0.25">
      <c r="A91">
        <v>300</v>
      </c>
      <c r="B91" t="s">
        <v>198</v>
      </c>
      <c r="C91" t="s">
        <v>198</v>
      </c>
    </row>
    <row r="92" spans="1:3" x14ac:dyDescent="0.25">
      <c r="A92">
        <v>400</v>
      </c>
      <c r="B92" t="s">
        <v>199</v>
      </c>
      <c r="C92" t="s">
        <v>199</v>
      </c>
    </row>
    <row r="93" spans="1:3" x14ac:dyDescent="0.25">
      <c r="A93">
        <v>500</v>
      </c>
      <c r="B93" t="s">
        <v>200</v>
      </c>
      <c r="C93" t="s">
        <v>200</v>
      </c>
    </row>
    <row r="94" spans="1:3" x14ac:dyDescent="0.25">
      <c r="A94">
        <v>600</v>
      </c>
      <c r="B94" t="s">
        <v>201</v>
      </c>
      <c r="C94" t="s">
        <v>201</v>
      </c>
    </row>
    <row r="95" spans="1:3" x14ac:dyDescent="0.25">
      <c r="A95">
        <v>700</v>
      </c>
      <c r="B95" t="s">
        <v>202</v>
      </c>
      <c r="C95" t="s">
        <v>202</v>
      </c>
    </row>
    <row r="96" spans="1:3" x14ac:dyDescent="0.25">
      <c r="A96">
        <v>800</v>
      </c>
      <c r="B96" t="s">
        <v>203</v>
      </c>
      <c r="C96" t="s">
        <v>203</v>
      </c>
    </row>
    <row r="97" spans="1:3" x14ac:dyDescent="0.25">
      <c r="A97">
        <v>900</v>
      </c>
      <c r="B97" t="s">
        <v>204</v>
      </c>
      <c r="C97" t="s">
        <v>204</v>
      </c>
    </row>
    <row r="100" spans="1:3" x14ac:dyDescent="0.25">
      <c r="A100" t="s">
        <v>132</v>
      </c>
    </row>
    <row r="101" spans="1:3" x14ac:dyDescent="0.25">
      <c r="A101" t="s">
        <v>136</v>
      </c>
    </row>
    <row r="102" spans="1:3" x14ac:dyDescent="0.25">
      <c r="A102" t="s">
        <v>219</v>
      </c>
    </row>
    <row r="103" spans="1:3" x14ac:dyDescent="0.25">
      <c r="A103" t="s">
        <v>56</v>
      </c>
    </row>
    <row r="104" spans="1:3" x14ac:dyDescent="0.25">
      <c r="A104" t="s">
        <v>274</v>
      </c>
    </row>
    <row r="106" spans="1:3" x14ac:dyDescent="0.25">
      <c r="A106" t="s">
        <v>17</v>
      </c>
    </row>
    <row r="107" spans="1:3" x14ac:dyDescent="0.25">
      <c r="A107" t="s">
        <v>264</v>
      </c>
    </row>
    <row r="108" spans="1:3" x14ac:dyDescent="0.25">
      <c r="A108" t="s">
        <v>265</v>
      </c>
    </row>
    <row r="109" spans="1:3" x14ac:dyDescent="0.25">
      <c r="A109" t="s">
        <v>266</v>
      </c>
    </row>
    <row r="110" spans="1:3" x14ac:dyDescent="0.25">
      <c r="A110" t="s">
        <v>267</v>
      </c>
    </row>
    <row r="111" spans="1:3" x14ac:dyDescent="0.25">
      <c r="A111" t="s">
        <v>268</v>
      </c>
    </row>
    <row r="112" spans="1:3" x14ac:dyDescent="0.25">
      <c r="A112" t="s">
        <v>8</v>
      </c>
    </row>
    <row r="115" spans="1:3" x14ac:dyDescent="0.25">
      <c r="A115" t="s">
        <v>20</v>
      </c>
    </row>
    <row r="116" spans="1:3" x14ac:dyDescent="0.25">
      <c r="A116" t="s">
        <v>260</v>
      </c>
    </row>
    <row r="120" spans="1:3" x14ac:dyDescent="0.25">
      <c r="A120" t="s">
        <v>14</v>
      </c>
    </row>
    <row r="121" spans="1:3" x14ac:dyDescent="0.25">
      <c r="A121" t="s">
        <v>269</v>
      </c>
    </row>
    <row r="122" spans="1:3" x14ac:dyDescent="0.25">
      <c r="A122" t="s">
        <v>261</v>
      </c>
    </row>
    <row r="125" spans="1:3" x14ac:dyDescent="0.25">
      <c r="A125" s="2" t="s">
        <v>80</v>
      </c>
      <c r="B125" s="2" t="s">
        <v>78</v>
      </c>
      <c r="C125" t="s">
        <v>112</v>
      </c>
    </row>
    <row r="126" spans="1:3" x14ac:dyDescent="0.25">
      <c r="A126" s="2" t="s">
        <v>79</v>
      </c>
      <c r="B126" s="2" t="s">
        <v>81</v>
      </c>
      <c r="C126" t="s">
        <v>113</v>
      </c>
    </row>
    <row r="127" spans="1:3" x14ac:dyDescent="0.25">
      <c r="A127" s="2" t="s">
        <v>82</v>
      </c>
      <c r="B127" s="2" t="s">
        <v>83</v>
      </c>
      <c r="C127" t="s">
        <v>114</v>
      </c>
    </row>
    <row r="128" spans="1:3" x14ac:dyDescent="0.25">
      <c r="A128" s="2" t="s">
        <v>84</v>
      </c>
      <c r="B128" s="2" t="s">
        <v>85</v>
      </c>
      <c r="C128" t="s">
        <v>115</v>
      </c>
    </row>
    <row r="129" spans="1:3" x14ac:dyDescent="0.25">
      <c r="A129" s="2" t="s">
        <v>86</v>
      </c>
      <c r="B129" s="2" t="s">
        <v>87</v>
      </c>
      <c r="C129" t="s">
        <v>116</v>
      </c>
    </row>
    <row r="130" spans="1:3" x14ac:dyDescent="0.25">
      <c r="A130" s="2" t="s">
        <v>88</v>
      </c>
      <c r="B130" s="2" t="s">
        <v>89</v>
      </c>
      <c r="C130" t="s">
        <v>117</v>
      </c>
    </row>
    <row r="131" spans="1:3" x14ac:dyDescent="0.25">
      <c r="A131" s="2" t="s">
        <v>90</v>
      </c>
      <c r="B131" s="2" t="s">
        <v>91</v>
      </c>
      <c r="C131" t="s">
        <v>118</v>
      </c>
    </row>
    <row r="132" spans="1:3" x14ac:dyDescent="0.25">
      <c r="A132" s="2" t="s">
        <v>92</v>
      </c>
      <c r="B132" s="2" t="s">
        <v>93</v>
      </c>
      <c r="C132" t="s">
        <v>119</v>
      </c>
    </row>
    <row r="133" spans="1:3" x14ac:dyDescent="0.25">
      <c r="A133" s="2" t="s">
        <v>94</v>
      </c>
      <c r="B133" s="2" t="s">
        <v>95</v>
      </c>
      <c r="C133" t="s">
        <v>120</v>
      </c>
    </row>
    <row r="134" spans="1:3" x14ac:dyDescent="0.25">
      <c r="A134" s="2" t="s">
        <v>96</v>
      </c>
      <c r="B134" s="2" t="s">
        <v>97</v>
      </c>
      <c r="C134" t="s">
        <v>121</v>
      </c>
    </row>
    <row r="135" spans="1:3" x14ac:dyDescent="0.25">
      <c r="A135" s="2" t="s">
        <v>98</v>
      </c>
      <c r="B135" s="2" t="s">
        <v>99</v>
      </c>
      <c r="C135" t="s">
        <v>122</v>
      </c>
    </row>
    <row r="136" spans="1:3" x14ac:dyDescent="0.25">
      <c r="A136" s="2" t="s">
        <v>100</v>
      </c>
      <c r="B136" s="2" t="s">
        <v>101</v>
      </c>
      <c r="C136" t="s">
        <v>123</v>
      </c>
    </row>
    <row r="137" spans="1:3" x14ac:dyDescent="0.25">
      <c r="A137" s="2" t="s">
        <v>102</v>
      </c>
      <c r="B137" s="2" t="s">
        <v>103</v>
      </c>
      <c r="C137" t="s">
        <v>124</v>
      </c>
    </row>
    <row r="138" spans="1:3" x14ac:dyDescent="0.25">
      <c r="A138" s="2" t="s">
        <v>104</v>
      </c>
      <c r="B138" s="2" t="s">
        <v>105</v>
      </c>
      <c r="C138" t="s">
        <v>125</v>
      </c>
    </row>
    <row r="139" spans="1:3" x14ac:dyDescent="0.25">
      <c r="A139" s="2" t="s">
        <v>106</v>
      </c>
      <c r="B139" s="2" t="s">
        <v>107</v>
      </c>
      <c r="C139" t="s">
        <v>126</v>
      </c>
    </row>
    <row r="140" spans="1:3" x14ac:dyDescent="0.25">
      <c r="A140" s="2"/>
    </row>
    <row r="141" spans="1:3" x14ac:dyDescent="0.25">
      <c r="A141" s="2"/>
    </row>
    <row r="143" spans="1:3" x14ac:dyDescent="0.25">
      <c r="A143" s="2" t="s">
        <v>276</v>
      </c>
    </row>
    <row r="144" spans="1:3" x14ac:dyDescent="0.25">
      <c r="A144" s="2" t="s">
        <v>277</v>
      </c>
    </row>
    <row r="147" spans="1:3" x14ac:dyDescent="0.25">
      <c r="A147" t="s">
        <v>141</v>
      </c>
    </row>
    <row r="148" spans="1:3" x14ac:dyDescent="0.25">
      <c r="A148" t="s">
        <v>140</v>
      </c>
    </row>
    <row r="149" spans="1:3" x14ac:dyDescent="0.25">
      <c r="A149" t="s">
        <v>278</v>
      </c>
    </row>
    <row r="150" spans="1:3" x14ac:dyDescent="0.25">
      <c r="A150" t="s">
        <v>279</v>
      </c>
    </row>
    <row r="151" spans="1:3" x14ac:dyDescent="0.25">
      <c r="A151" t="s">
        <v>280</v>
      </c>
    </row>
    <row r="152" spans="1:3" x14ac:dyDescent="0.25">
      <c r="A152" t="s">
        <v>281</v>
      </c>
    </row>
    <row r="153" spans="1:3" x14ac:dyDescent="0.25">
      <c r="A153" t="s">
        <v>257</v>
      </c>
    </row>
    <row r="157" spans="1:3" x14ac:dyDescent="0.25">
      <c r="A157" s="9" t="s">
        <v>43</v>
      </c>
      <c r="B157" s="53" t="s">
        <v>8</v>
      </c>
      <c r="C157" s="53"/>
    </row>
    <row r="158" spans="1:3" x14ac:dyDescent="0.25">
      <c r="A158" s="9" t="s">
        <v>108</v>
      </c>
      <c r="B158" s="53" t="s">
        <v>8</v>
      </c>
      <c r="C158" s="53"/>
    </row>
    <row r="159" spans="1:3" x14ac:dyDescent="0.25">
      <c r="A159" s="9" t="s">
        <v>109</v>
      </c>
      <c r="B159" s="53" t="s">
        <v>8</v>
      </c>
      <c r="C159" s="53"/>
    </row>
    <row r="160" spans="1:3" x14ac:dyDescent="0.25">
      <c r="A160" s="9" t="s">
        <v>110</v>
      </c>
      <c r="B160" s="53" t="s">
        <v>8</v>
      </c>
      <c r="C160" s="53"/>
    </row>
    <row r="161" spans="1:3" x14ac:dyDescent="0.25">
      <c r="A161" s="9" t="s">
        <v>111</v>
      </c>
      <c r="B161" s="53" t="s">
        <v>289</v>
      </c>
      <c r="C161" s="54"/>
    </row>
    <row r="164" spans="1:3" x14ac:dyDescent="0.25">
      <c r="A164" s="9" t="s">
        <v>139</v>
      </c>
      <c r="B164" s="9" t="s">
        <v>43</v>
      </c>
    </row>
    <row r="165" spans="1:3" x14ac:dyDescent="0.25">
      <c r="A165" s="9" t="s">
        <v>261</v>
      </c>
      <c r="B165" s="9" t="s">
        <v>111</v>
      </c>
    </row>
    <row r="168" spans="1:3" x14ac:dyDescent="0.25">
      <c r="A168" t="s">
        <v>1385</v>
      </c>
    </row>
    <row r="169" spans="1:3" x14ac:dyDescent="0.25">
      <c r="A169" t="s">
        <v>1386</v>
      </c>
    </row>
    <row r="170" spans="1:3" x14ac:dyDescent="0.25">
      <c r="A170" t="s">
        <v>1387</v>
      </c>
    </row>
    <row r="171" spans="1:3" x14ac:dyDescent="0.25">
      <c r="A171" t="s">
        <v>1388</v>
      </c>
    </row>
    <row r="172" spans="1:3" x14ac:dyDescent="0.25">
      <c r="A172" t="s">
        <v>1389</v>
      </c>
    </row>
    <row r="173" spans="1:3" x14ac:dyDescent="0.25">
      <c r="A173" t="s">
        <v>1390</v>
      </c>
    </row>
    <row r="174" spans="1:3" x14ac:dyDescent="0.25">
      <c r="A174" t="s">
        <v>1391</v>
      </c>
    </row>
    <row r="175" spans="1:3" x14ac:dyDescent="0.25">
      <c r="A175" t="s">
        <v>1392</v>
      </c>
    </row>
    <row r="176" spans="1:3" x14ac:dyDescent="0.25">
      <c r="A176" t="s">
        <v>1393</v>
      </c>
    </row>
    <row r="177" spans="1:1" x14ac:dyDescent="0.25">
      <c r="A177" t="s">
        <v>1394</v>
      </c>
    </row>
    <row r="178" spans="1:1" x14ac:dyDescent="0.25">
      <c r="A178" t="s">
        <v>1395</v>
      </c>
    </row>
    <row r="179" spans="1:1" x14ac:dyDescent="0.25">
      <c r="A179" t="s">
        <v>1396</v>
      </c>
    </row>
  </sheetData>
  <sheetProtection password="CCE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AJ147"/>
  <sheetViews>
    <sheetView topLeftCell="A15" zoomScale="120" zoomScaleNormal="120" workbookViewId="0">
      <selection activeCell="L28" sqref="L28:M28"/>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1415</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273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285" t="s">
        <v>1415</v>
      </c>
      <c r="G6" s="285"/>
      <c r="H6" s="285"/>
      <c r="I6" s="285"/>
      <c r="J6" s="285"/>
      <c r="K6" s="285"/>
      <c r="L6" s="285"/>
      <c r="M6" s="285"/>
      <c r="N6" s="285"/>
      <c r="O6" s="285"/>
      <c r="P6" s="374" t="s">
        <v>60</v>
      </c>
      <c r="Q6" s="374"/>
      <c r="R6" s="374"/>
      <c r="S6" s="374"/>
      <c r="T6" s="374"/>
      <c r="U6" s="374"/>
      <c r="V6" s="374"/>
      <c r="W6" s="375" t="s">
        <v>61</v>
      </c>
      <c r="X6" s="375"/>
      <c r="Y6" s="375"/>
      <c r="Z6" s="376">
        <v>1</v>
      </c>
      <c r="AA6" s="376"/>
    </row>
    <row r="7" spans="1:28" ht="15.95" customHeight="1" x14ac:dyDescent="0.3">
      <c r="A7" s="374" t="s">
        <v>6</v>
      </c>
      <c r="B7" s="374"/>
      <c r="C7" s="374"/>
      <c r="D7" s="374"/>
      <c r="E7" s="374"/>
      <c r="F7" s="377" t="str">
        <f>VLOOKUP($F$14,CONTRA,58,FALSE)</f>
        <v>PRESTACION DE SERVICIOS</v>
      </c>
      <c r="G7" s="377"/>
      <c r="H7" s="377"/>
      <c r="I7" s="377"/>
      <c r="J7" s="377"/>
      <c r="K7" s="377"/>
      <c r="L7" s="377"/>
      <c r="M7" s="377"/>
      <c r="N7" s="377"/>
      <c r="O7" s="377"/>
      <c r="P7" s="378">
        <f ca="1">NOW()</f>
        <v>43405.671954050929</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20</v>
      </c>
      <c r="AA9" s="369"/>
    </row>
    <row r="10" spans="1:28" ht="14.1" customHeight="1" x14ac:dyDescent="0.3">
      <c r="A10" s="325" t="s">
        <v>13</v>
      </c>
      <c r="B10" s="325"/>
      <c r="C10" s="325"/>
      <c r="D10" s="325"/>
      <c r="E10" s="325"/>
      <c r="F10" s="308" t="str">
        <f>VLOOKUP($F$14,CONTRA,2,FALSE)</f>
        <v>32-408</v>
      </c>
      <c r="G10" s="308"/>
      <c r="H10" s="19" t="s">
        <v>25</v>
      </c>
      <c r="I10" s="308" t="str">
        <f>VLOOKUP($F$14,CONTRA,3,FALSE)</f>
        <v>32-438</v>
      </c>
      <c r="J10" s="308"/>
      <c r="K10" s="19" t="s">
        <v>26</v>
      </c>
      <c r="L10" s="20"/>
      <c r="M10" s="308" t="str">
        <f>VLOOKUP($F$14,CONTRA,4,FALSE)</f>
        <v>2.3.1.1.01</v>
      </c>
      <c r="N10" s="308"/>
      <c r="O10" s="308"/>
      <c r="P10" s="325" t="s">
        <v>12</v>
      </c>
      <c r="Q10" s="325"/>
      <c r="R10" s="325"/>
      <c r="S10" s="325"/>
      <c r="T10" s="333">
        <f>VLOOKUP($F$14,CONTRA,5,FALSE)</f>
        <v>2018</v>
      </c>
      <c r="U10" s="333"/>
      <c r="V10" s="333"/>
      <c r="W10" s="325" t="s">
        <v>138</v>
      </c>
      <c r="X10" s="325"/>
      <c r="Y10" s="325"/>
      <c r="Z10" s="370"/>
      <c r="AA10" s="371"/>
    </row>
    <row r="11" spans="1:28"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14-56</v>
      </c>
      <c r="U11" s="333"/>
      <c r="V11" s="333"/>
      <c r="W11" s="333"/>
      <c r="X11" s="333"/>
      <c r="Y11" s="333"/>
      <c r="Z11" s="333"/>
      <c r="AA11" s="333"/>
    </row>
    <row r="12" spans="1:28"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customHeight="1" x14ac:dyDescent="0.3">
      <c r="A13" s="325" t="s">
        <v>10</v>
      </c>
      <c r="B13" s="325"/>
      <c r="C13" s="325"/>
      <c r="D13" s="325"/>
      <c r="E13" s="325"/>
      <c r="F13" s="333" t="str">
        <f>VLOOKUP($F$14,CONTRA,12,FALSE)</f>
        <v>RIGOBERTO LOPERA MUÑOZ</v>
      </c>
      <c r="G13" s="333"/>
      <c r="H13" s="333"/>
      <c r="I13" s="333"/>
      <c r="J13" s="333"/>
      <c r="K13" s="19" t="s">
        <v>16</v>
      </c>
      <c r="L13" s="20"/>
      <c r="M13" s="333" t="str">
        <f>VLOOKUP($F$14,CONTRA,13,FALSE)</f>
        <v>P.UNIVERSITARIO</v>
      </c>
      <c r="N13" s="333"/>
      <c r="O13" s="333"/>
      <c r="P13" s="325" t="s">
        <v>24</v>
      </c>
      <c r="Q13" s="325"/>
      <c r="R13" s="325"/>
      <c r="S13" s="325"/>
      <c r="T13" s="364" t="str">
        <f>VLOOKUP($F$14,CONTRA,14,FALSE)</f>
        <v>23 DE ENERO DE 2018</v>
      </c>
      <c r="U13" s="364"/>
      <c r="V13" s="364"/>
      <c r="W13" s="364"/>
      <c r="X13" s="364"/>
      <c r="Y13" s="364"/>
      <c r="Z13" s="365" t="str">
        <f>VLOOKUP($F$14,CONTRA,15,FALSE)</f>
        <v>037-18</v>
      </c>
      <c r="AA13" s="366"/>
    </row>
    <row r="14" spans="1:28" ht="15.95" customHeight="1" x14ac:dyDescent="0.3">
      <c r="A14" s="325" t="s">
        <v>8</v>
      </c>
      <c r="B14" s="325"/>
      <c r="C14" s="325"/>
      <c r="D14" s="325"/>
      <c r="E14" s="325"/>
      <c r="F14" s="363" t="s">
        <v>658</v>
      </c>
      <c r="G14" s="363"/>
      <c r="H14" s="363"/>
      <c r="I14" s="363"/>
      <c r="J14" s="363"/>
      <c r="K14" s="363"/>
      <c r="L14" s="363"/>
      <c r="M14" s="363"/>
      <c r="N14" s="363"/>
      <c r="O14" s="363"/>
      <c r="P14" s="325" t="s">
        <v>11</v>
      </c>
      <c r="Q14" s="325"/>
      <c r="R14" s="325"/>
      <c r="S14" s="325"/>
      <c r="T14" s="362">
        <f>VLOOKUP($F$14,CONTRA,16,FALSE)</f>
        <v>1088010135</v>
      </c>
      <c r="U14" s="362"/>
      <c r="V14" s="362"/>
      <c r="W14" s="325" t="s">
        <v>18</v>
      </c>
      <c r="X14" s="325"/>
      <c r="Y14" s="325"/>
      <c r="Z14" s="356">
        <f>VLOOKUP($F$14,CONTRA,17,FALSE)</f>
        <v>33661</v>
      </c>
      <c r="AA14" s="356"/>
    </row>
    <row r="15" spans="1:28" ht="15.95" customHeight="1" x14ac:dyDescent="0.3">
      <c r="A15" s="325" t="s">
        <v>19</v>
      </c>
      <c r="B15" s="325"/>
      <c r="C15" s="325"/>
      <c r="D15" s="325"/>
      <c r="E15" s="325"/>
      <c r="F15" s="312" t="str">
        <f>VLOOKUP($F$14,CONTRA,18,FALSE)</f>
        <v>NATURAL</v>
      </c>
      <c r="G15" s="314"/>
      <c r="H15" s="312" t="str">
        <f>VLOOKUP($F$14,CONTRA,57,FALSE)</f>
        <v>SIMPLIFICADO</v>
      </c>
      <c r="I15" s="313"/>
      <c r="J15" s="314"/>
      <c r="K15" s="19" t="s">
        <v>15</v>
      </c>
      <c r="L15" s="20"/>
      <c r="M15" s="333" t="str">
        <f>VLOOKUP($F$14,CONTRA,19,FALSE)</f>
        <v>TECNICA</v>
      </c>
      <c r="N15" s="333"/>
      <c r="O15" s="333"/>
      <c r="P15" s="325" t="s">
        <v>14</v>
      </c>
      <c r="Q15" s="325"/>
      <c r="R15" s="325"/>
      <c r="S15" s="325"/>
      <c r="T15" s="333" t="str">
        <f>VLOOKUP($F$14,CONTRA,20,FALSE)</f>
        <v>CLL 30 N° 6-49 2 PISO</v>
      </c>
      <c r="U15" s="333"/>
      <c r="V15" s="333"/>
      <c r="W15" s="333"/>
      <c r="X15" s="333"/>
      <c r="Y15" s="333"/>
      <c r="Z15" s="333"/>
      <c r="AA15" s="333"/>
    </row>
    <row r="16" spans="1:28" x14ac:dyDescent="0.3">
      <c r="A16" s="325" t="s">
        <v>21</v>
      </c>
      <c r="B16" s="325"/>
      <c r="C16" s="325"/>
      <c r="D16" s="325"/>
      <c r="E16" s="325"/>
      <c r="F16" s="361">
        <f>VLOOKUP($F$14,CONTRA,21,FALSE)</f>
        <v>3122510820</v>
      </c>
      <c r="G16" s="362"/>
      <c r="H16" s="362"/>
      <c r="I16" s="362"/>
      <c r="J16" s="362"/>
      <c r="K16" s="325" t="s">
        <v>22</v>
      </c>
      <c r="L16" s="325"/>
      <c r="M16" s="333" t="str">
        <f>VLOOKUP($F$14,CONTRA,22,FALSE)</f>
        <v>TECNICA</v>
      </c>
      <c r="N16" s="333"/>
      <c r="O16" s="333"/>
      <c r="P16" s="325" t="s">
        <v>23</v>
      </c>
      <c r="Q16" s="325"/>
      <c r="R16" s="325"/>
      <c r="S16" s="325"/>
      <c r="T16" s="333" t="str">
        <f>VLOOKUP($F$14,CONTRA,23,FALSE)</f>
        <v>yohana27778@gmail.com</v>
      </c>
      <c r="U16" s="333"/>
      <c r="V16" s="333"/>
      <c r="W16" s="333"/>
      <c r="X16" s="333"/>
      <c r="Y16" s="333"/>
      <c r="Z16" s="333"/>
      <c r="AA16" s="333"/>
    </row>
    <row r="17" spans="1:34" ht="3.95"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4" ht="15.95" customHeight="1" x14ac:dyDescent="0.3">
      <c r="A18" s="325" t="s">
        <v>30</v>
      </c>
      <c r="B18" s="325"/>
      <c r="C18" s="325"/>
      <c r="D18" s="325"/>
      <c r="E18" s="325"/>
      <c r="F18" s="358" t="str">
        <f>VLOOKUP($F$14,CONTRA,24,FALSE)</f>
        <v>23 de enero de 2018</v>
      </c>
      <c r="G18" s="359"/>
      <c r="H18" s="359"/>
      <c r="I18" s="359"/>
      <c r="J18" s="360"/>
      <c r="K18" s="308"/>
      <c r="L18" s="308"/>
      <c r="M18" s="308"/>
      <c r="N18" s="308"/>
      <c r="O18" s="308"/>
      <c r="P18" s="325" t="s">
        <v>34</v>
      </c>
      <c r="Q18" s="325"/>
      <c r="R18" s="325"/>
      <c r="S18" s="325"/>
      <c r="T18" s="358" t="str">
        <f>VLOOKUP($F$14,CONTRA,25,FALSE)</f>
        <v>30 de diciembre de 2018</v>
      </c>
      <c r="U18" s="359"/>
      <c r="V18" s="359"/>
      <c r="W18" s="359"/>
      <c r="X18" s="359"/>
      <c r="Y18" s="359"/>
      <c r="Z18" s="359"/>
      <c r="AA18" s="360"/>
    </row>
    <row r="19" spans="1:34" x14ac:dyDescent="0.3">
      <c r="A19" s="325" t="s">
        <v>31</v>
      </c>
      <c r="B19" s="325"/>
      <c r="C19" s="325"/>
      <c r="D19" s="325"/>
      <c r="E19" s="325"/>
      <c r="F19" s="320">
        <f>VLOOKUP($F$14,CONTRA,26,FALSE)</f>
        <v>14400000</v>
      </c>
      <c r="G19" s="320"/>
      <c r="H19" s="320"/>
      <c r="I19" s="320"/>
      <c r="J19" s="320"/>
      <c r="K19" s="308"/>
      <c r="L19" s="308"/>
      <c r="M19" s="308"/>
      <c r="N19" s="308"/>
      <c r="O19" s="308"/>
      <c r="P19" s="325" t="s">
        <v>35</v>
      </c>
      <c r="Q19" s="325"/>
      <c r="R19" s="325"/>
      <c r="S19" s="325"/>
      <c r="T19" s="308">
        <f>VLOOKUP($F$14,CONTRA,27,FALSE)</f>
        <v>240</v>
      </c>
      <c r="U19" s="308"/>
      <c r="V19" s="308"/>
      <c r="W19" s="308"/>
      <c r="X19" s="308"/>
      <c r="Y19" s="308"/>
      <c r="Z19" s="308"/>
      <c r="AA19" s="308"/>
    </row>
    <row r="20" spans="1:34" x14ac:dyDescent="0.3">
      <c r="A20" s="325" t="s">
        <v>32</v>
      </c>
      <c r="B20" s="325"/>
      <c r="C20" s="325"/>
      <c r="D20" s="325"/>
      <c r="E20" s="325"/>
      <c r="F20" s="320">
        <f>+Z21*T20</f>
        <v>5880000</v>
      </c>
      <c r="G20" s="320"/>
      <c r="H20" s="320"/>
      <c r="I20" s="320"/>
      <c r="J20" s="320"/>
      <c r="K20" s="19" t="s">
        <v>0</v>
      </c>
      <c r="L20" s="20"/>
      <c r="M20" s="356">
        <f>VLOOKUP($F$14,CONTRA,29,FALSE)</f>
        <v>43364</v>
      </c>
      <c r="N20" s="356"/>
      <c r="O20" s="356"/>
      <c r="P20" s="325" t="s">
        <v>36</v>
      </c>
      <c r="Q20" s="325"/>
      <c r="R20" s="325"/>
      <c r="S20" s="325"/>
      <c r="T20" s="308">
        <f>VLOOKUP($F$14,CONTRA,28,FALSE)</f>
        <v>98</v>
      </c>
      <c r="U20" s="308"/>
      <c r="V20" s="308"/>
      <c r="W20" s="308"/>
      <c r="X20" s="308"/>
      <c r="Y20" s="308"/>
      <c r="Z20" s="308"/>
      <c r="AA20" s="308"/>
    </row>
    <row r="21" spans="1:34" ht="15.95" customHeight="1" x14ac:dyDescent="0.3">
      <c r="A21" s="325" t="s">
        <v>33</v>
      </c>
      <c r="B21" s="325"/>
      <c r="C21" s="325"/>
      <c r="D21" s="325"/>
      <c r="E21" s="325"/>
      <c r="F21" s="309">
        <f>SUM(F19:J20)</f>
        <v>20280000</v>
      </c>
      <c r="G21" s="353"/>
      <c r="H21" s="353"/>
      <c r="I21" s="353"/>
      <c r="J21" s="354"/>
      <c r="K21" s="308"/>
      <c r="L21" s="308"/>
      <c r="M21" s="308"/>
      <c r="N21" s="308"/>
      <c r="O21" s="308"/>
      <c r="P21" s="325" t="s">
        <v>38</v>
      </c>
      <c r="Q21" s="325"/>
      <c r="R21" s="325"/>
      <c r="S21" s="325"/>
      <c r="T21" s="355">
        <f>+T19+T20</f>
        <v>338</v>
      </c>
      <c r="U21" s="353"/>
      <c r="V21" s="354"/>
      <c r="W21" s="325" t="s">
        <v>37</v>
      </c>
      <c r="X21" s="325"/>
      <c r="Y21" s="325"/>
      <c r="Z21" s="309">
        <f>+F19/T19</f>
        <v>60000</v>
      </c>
      <c r="AA21" s="311"/>
    </row>
    <row r="22" spans="1:34" ht="39.950000000000003" customHeight="1" x14ac:dyDescent="0.3">
      <c r="A22" s="349" t="s">
        <v>27</v>
      </c>
      <c r="B22" s="349"/>
      <c r="C22" s="349"/>
      <c r="D22" s="349"/>
      <c r="E22" s="349"/>
      <c r="F22" s="350" t="str">
        <f>VLOOKUP($F$14,CONTRA,30,FALSE)</f>
        <v>PRESTAR SERVICIOS DE APOYO A LA GESTION A LA SUBDIRECCION TECNICA, EN LOS PROCESOS DE COMERCIALIZACION DE LOS PROYECTOS DE VIVIENDA QUE ADELANTA EL INSTITUTO</v>
      </c>
      <c r="G22" s="351"/>
      <c r="H22" s="351"/>
      <c r="I22" s="351"/>
      <c r="J22" s="351"/>
      <c r="K22" s="351"/>
      <c r="L22" s="351"/>
      <c r="M22" s="351"/>
      <c r="N22" s="351"/>
      <c r="O22" s="351"/>
      <c r="P22" s="351"/>
      <c r="Q22" s="351"/>
      <c r="R22" s="351"/>
      <c r="S22" s="351"/>
      <c r="T22" s="351"/>
      <c r="U22" s="351"/>
      <c r="V22" s="351"/>
      <c r="W22" s="351"/>
      <c r="X22" s="351"/>
      <c r="Y22" s="351"/>
      <c r="Z22" s="351"/>
      <c r="AA22" s="352"/>
    </row>
    <row r="23" spans="1:34" ht="39.950000000000003" customHeight="1" x14ac:dyDescent="0.3">
      <c r="A23" s="349" t="s">
        <v>28</v>
      </c>
      <c r="B23" s="349"/>
      <c r="C23" s="349"/>
      <c r="D23" s="349"/>
      <c r="E23" s="349"/>
      <c r="F23" s="350"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4" ht="39.950000000000003" customHeight="1" x14ac:dyDescent="0.3">
      <c r="A24" s="349" t="s">
        <v>29</v>
      </c>
      <c r="B24" s="349"/>
      <c r="C24" s="349"/>
      <c r="D24" s="349"/>
      <c r="E24" s="349"/>
      <c r="F24" s="350"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4" ht="15.95" customHeight="1" x14ac:dyDescent="0.3">
      <c r="A25" s="18">
        <v>2</v>
      </c>
      <c r="B25" s="323" t="s">
        <v>59</v>
      </c>
      <c r="C25" s="323"/>
      <c r="D25" s="323"/>
      <c r="E25" s="323"/>
      <c r="F25" s="323"/>
      <c r="G25" s="323"/>
      <c r="H25" s="323"/>
      <c r="I25" s="323"/>
      <c r="J25" s="323"/>
      <c r="K25" s="323"/>
      <c r="L25" s="323"/>
      <c r="M25" s="323"/>
      <c r="N25" s="323"/>
      <c r="O25" s="323"/>
      <c r="P25" s="84"/>
      <c r="Q25" s="85"/>
      <c r="R25" s="85"/>
      <c r="S25" s="85"/>
      <c r="T25" s="346" t="s">
        <v>1381</v>
      </c>
      <c r="U25" s="346"/>
      <c r="V25" s="346"/>
      <c r="W25" s="346"/>
      <c r="X25" s="346" t="s">
        <v>270</v>
      </c>
      <c r="Y25" s="346"/>
      <c r="Z25" s="346" t="s">
        <v>283</v>
      </c>
      <c r="AA25" s="347"/>
      <c r="AF25" s="12"/>
    </row>
    <row r="26" spans="1:34" ht="15.95" customHeight="1" x14ac:dyDescent="0.3">
      <c r="A26" s="325" t="s">
        <v>292</v>
      </c>
      <c r="B26" s="325"/>
      <c r="C26" s="325"/>
      <c r="D26" s="325"/>
      <c r="E26" s="325"/>
      <c r="F26" s="308"/>
      <c r="G26" s="308"/>
      <c r="H26" s="308"/>
      <c r="I26" s="308"/>
      <c r="J26" s="308"/>
      <c r="K26" s="308"/>
      <c r="L26" s="308"/>
      <c r="M26" s="308"/>
      <c r="N26" s="308"/>
      <c r="O26" s="308"/>
      <c r="P26" s="348" t="str">
        <f>VLOOKUP($F$14,CONTRA,59,FALSE)</f>
        <v>RIESGO V</v>
      </c>
      <c r="Q26" s="348"/>
      <c r="R26" s="341">
        <v>0.4</v>
      </c>
      <c r="S26" s="341"/>
      <c r="T26" s="320">
        <f>+R26*F21</f>
        <v>8112000</v>
      </c>
      <c r="U26" s="320"/>
      <c r="V26" s="320"/>
      <c r="W26" s="320"/>
      <c r="X26" s="320">
        <f>IF(R26*Z21&lt;DATOS!C32,DATOS!C32,R26*Z21)</f>
        <v>26041.4</v>
      </c>
      <c r="Y26" s="320"/>
      <c r="Z26" s="320">
        <f>+X26*J49</f>
        <v>781242</v>
      </c>
      <c r="AA26" s="320"/>
      <c r="AB26" s="12"/>
      <c r="AD26"/>
      <c r="AE26"/>
      <c r="AF26" s="4"/>
      <c r="AG26" s="4"/>
    </row>
    <row r="27" spans="1:34" ht="15.95" customHeight="1" x14ac:dyDescent="0.3">
      <c r="A27" s="325" t="s">
        <v>39</v>
      </c>
      <c r="B27" s="325"/>
      <c r="C27" s="325"/>
      <c r="D27" s="325"/>
      <c r="E27" s="325"/>
      <c r="F27" s="333" t="str">
        <f>VLOOKUP($F$14,CONTRA,33,FALSE)</f>
        <v xml:space="preserve">SALUD TOTAL </v>
      </c>
      <c r="G27" s="333"/>
      <c r="H27" s="333"/>
      <c r="I27" s="87" t="s">
        <v>133</v>
      </c>
      <c r="J27" s="87"/>
      <c r="K27" s="87"/>
      <c r="L27" s="345" t="str">
        <f>+VLOOKUP(L28,DATOS!A125:D139,3)</f>
        <v>6º</v>
      </c>
      <c r="M27" s="345"/>
      <c r="N27" s="345"/>
      <c r="O27" s="345"/>
      <c r="P27" s="348"/>
      <c r="Q27" s="348"/>
      <c r="R27" s="335">
        <v>0.125</v>
      </c>
      <c r="S27" s="335"/>
      <c r="T27" s="320">
        <f>+T26*R27</f>
        <v>1014000</v>
      </c>
      <c r="U27" s="320"/>
      <c r="V27" s="320"/>
      <c r="W27" s="320"/>
      <c r="X27" s="320">
        <f>+$X$26*R27</f>
        <v>3255.1750000000002</v>
      </c>
      <c r="Y27" s="320"/>
      <c r="Z27" s="320">
        <f>ROUNDUP(X27*J49,-2)</f>
        <v>97700</v>
      </c>
      <c r="AA27" s="320"/>
      <c r="AB27" s="12"/>
      <c r="AD27" s="12"/>
      <c r="AE27" s="4"/>
      <c r="AF27" s="166"/>
      <c r="AG27"/>
      <c r="AH27" s="12"/>
    </row>
    <row r="28" spans="1:34" ht="15.95" customHeight="1" x14ac:dyDescent="0.3">
      <c r="A28" s="325" t="s">
        <v>40</v>
      </c>
      <c r="B28" s="325"/>
      <c r="C28" s="325"/>
      <c r="D28" s="325"/>
      <c r="E28" s="325"/>
      <c r="F28" s="333" t="str">
        <f>VLOOKUP($F$14,CONTRA,34,FALSE)</f>
        <v xml:space="preserve">PORVENIR </v>
      </c>
      <c r="G28" s="333"/>
      <c r="H28" s="333"/>
      <c r="I28" s="19" t="s">
        <v>134</v>
      </c>
      <c r="J28" s="19"/>
      <c r="K28" s="19"/>
      <c r="L28" s="343" t="str">
        <f>RIGHT(T14,2)</f>
        <v>35</v>
      </c>
      <c r="M28" s="343"/>
      <c r="N28" s="344" t="s">
        <v>270</v>
      </c>
      <c r="O28" s="344"/>
      <c r="P28" s="348"/>
      <c r="Q28" s="348"/>
      <c r="R28" s="341">
        <v>0.16</v>
      </c>
      <c r="S28" s="341"/>
      <c r="T28" s="320">
        <f>+T26*R28</f>
        <v>1297920</v>
      </c>
      <c r="U28" s="320"/>
      <c r="V28" s="320"/>
      <c r="W28" s="320"/>
      <c r="X28" s="320">
        <f>+$X$26*R28</f>
        <v>4166.6240000000007</v>
      </c>
      <c r="Y28" s="320"/>
      <c r="Z28" s="320">
        <f>ROUNDUP(X28*J49,-2)</f>
        <v>125000</v>
      </c>
      <c r="AA28" s="320"/>
      <c r="AB28" s="12"/>
      <c r="AD28" s="4"/>
      <c r="AE28" s="4"/>
      <c r="AF28" s="4"/>
      <c r="AG28" s="4"/>
    </row>
    <row r="29" spans="1:34" ht="15.95" customHeight="1" x14ac:dyDescent="0.3">
      <c r="A29" s="325" t="s">
        <v>41</v>
      </c>
      <c r="B29" s="325"/>
      <c r="C29" s="325"/>
      <c r="D29" s="325"/>
      <c r="E29" s="325"/>
      <c r="F29" s="333" t="str">
        <f>VLOOKUP($F$14,CONTRA,36,FALSE)</f>
        <v>SURA</v>
      </c>
      <c r="G29" s="333"/>
      <c r="H29" s="333"/>
      <c r="I29" s="325" t="s">
        <v>135</v>
      </c>
      <c r="J29" s="325"/>
      <c r="K29" s="325"/>
      <c r="L29" s="319" t="str">
        <f>VLOOKUP($F$14,CONTRA,37,FALSE)</f>
        <v>23 de enero de 2018</v>
      </c>
      <c r="M29" s="319"/>
      <c r="N29" s="319"/>
      <c r="O29" s="319"/>
      <c r="P29" s="348"/>
      <c r="Q29" s="348"/>
      <c r="R29" s="342">
        <f>+VLOOKUP(P26,DATOS!A20:B24,2,FALSE)</f>
        <v>6.9599999999999995E-2</v>
      </c>
      <c r="S29" s="342"/>
      <c r="T29" s="320">
        <f>+T26*R29</f>
        <v>564595.19999999995</v>
      </c>
      <c r="U29" s="320"/>
      <c r="V29" s="320"/>
      <c r="W29" s="320"/>
      <c r="X29" s="320">
        <f>+R29*X26</f>
        <v>1812.48144</v>
      </c>
      <c r="Y29" s="320"/>
      <c r="Z29" s="320">
        <f>ROUNDUP(X29*J49,-2)</f>
        <v>54400</v>
      </c>
      <c r="AA29" s="320"/>
      <c r="AD29" s="4"/>
      <c r="AE29" s="4"/>
      <c r="AF29" s="4"/>
      <c r="AG29"/>
    </row>
    <row r="30" spans="1:34" ht="15.95" customHeight="1" x14ac:dyDescent="0.3">
      <c r="A30" s="325" t="s">
        <v>290</v>
      </c>
      <c r="B30" s="325"/>
      <c r="C30" s="325"/>
      <c r="D30" s="325"/>
      <c r="E30" s="325"/>
      <c r="F30" s="336" t="s">
        <v>288</v>
      </c>
      <c r="G30" s="336"/>
      <c r="H30" s="336"/>
      <c r="I30" s="336"/>
      <c r="J30" s="336"/>
      <c r="K30" s="336"/>
      <c r="L30" s="308" t="str">
        <f>+VLOOKUP(P26,DATOS!A157:B161,2,FALSE)</f>
        <v>PATRONAL</v>
      </c>
      <c r="M30" s="308"/>
      <c r="N30" s="308"/>
      <c r="O30" s="308"/>
      <c r="P30" s="337" t="s">
        <v>49</v>
      </c>
      <c r="Q30" s="338"/>
      <c r="R30" s="341"/>
      <c r="S30" s="341"/>
      <c r="T30" s="320">
        <f>SUM(T27:W29)</f>
        <v>2876515.2</v>
      </c>
      <c r="U30" s="341"/>
      <c r="V30" s="341"/>
      <c r="W30" s="341"/>
      <c r="X30" s="320">
        <f>SUM(X27:Y29)</f>
        <v>9234.2804400000005</v>
      </c>
      <c r="Y30" s="320"/>
      <c r="Z30" s="320">
        <f>IF(P26="RIESGO V",Z27+Z28,Z27+Z28+Z29)</f>
        <v>222700</v>
      </c>
      <c r="AA30" s="320"/>
      <c r="AD30" s="4"/>
      <c r="AE30" s="4"/>
      <c r="AF30" s="4"/>
      <c r="AG30"/>
    </row>
    <row r="31" spans="1:34" ht="15.95" customHeight="1" x14ac:dyDescent="0.3">
      <c r="A31" s="325" t="s">
        <v>42</v>
      </c>
      <c r="B31" s="325"/>
      <c r="C31" s="325"/>
      <c r="D31" s="325"/>
      <c r="E31" s="325"/>
      <c r="F31" s="333" t="s">
        <v>142</v>
      </c>
      <c r="G31" s="333"/>
      <c r="H31" s="333"/>
      <c r="I31" s="333"/>
      <c r="J31" s="333"/>
      <c r="K31" s="333"/>
      <c r="L31" s="334" t="str">
        <f>VLOOKUP($F$14,CONTRA,38,FALSE)</f>
        <v>PAGADO</v>
      </c>
      <c r="M31" s="334"/>
      <c r="N31" s="334"/>
      <c r="O31" s="334"/>
      <c r="P31" s="339"/>
      <c r="Q31" s="340"/>
      <c r="R31" s="335">
        <f>VLOOKUP(L31,DATOS!A37:B38,2,FALSE)</f>
        <v>0</v>
      </c>
      <c r="S31" s="335"/>
      <c r="T31" s="320">
        <f>+R31*$F$21</f>
        <v>0</v>
      </c>
      <c r="U31" s="320"/>
      <c r="V31" s="320"/>
      <c r="W31" s="320"/>
      <c r="X31" s="320">
        <f>+T31/T21</f>
        <v>0</v>
      </c>
      <c r="Y31" s="320"/>
      <c r="Z31" s="320">
        <f>+X31*J49</f>
        <v>0</v>
      </c>
      <c r="AA31" s="320"/>
      <c r="AE31" s="13"/>
      <c r="AF31" s="12"/>
    </row>
    <row r="32" spans="1:34" ht="15.95" customHeight="1" x14ac:dyDescent="0.3">
      <c r="A32" s="165">
        <v>3</v>
      </c>
      <c r="B32" s="390" t="s">
        <v>44</v>
      </c>
      <c r="C32" s="391"/>
      <c r="D32" s="391"/>
      <c r="E32" s="391"/>
      <c r="F32" s="391"/>
      <c r="G32" s="391"/>
      <c r="H32" s="391"/>
      <c r="I32" s="391"/>
      <c r="J32" s="391"/>
      <c r="K32" s="391"/>
      <c r="L32" s="391"/>
      <c r="M32" s="391"/>
      <c r="N32" s="391"/>
      <c r="O32" s="392"/>
      <c r="P32" s="59">
        <v>1</v>
      </c>
      <c r="Q32" s="59">
        <v>2</v>
      </c>
      <c r="R32" s="59">
        <v>3</v>
      </c>
      <c r="S32" s="59">
        <v>4</v>
      </c>
      <c r="T32" s="59">
        <v>5</v>
      </c>
      <c r="U32" s="59">
        <v>6</v>
      </c>
      <c r="V32" s="59">
        <v>7</v>
      </c>
      <c r="W32" s="59">
        <v>8</v>
      </c>
      <c r="X32" s="59">
        <v>9</v>
      </c>
      <c r="Y32" s="59">
        <v>10</v>
      </c>
      <c r="Z32" s="59">
        <v>11</v>
      </c>
      <c r="AA32" s="59">
        <v>12</v>
      </c>
      <c r="AF32" s="4"/>
    </row>
    <row r="33" spans="1:36" ht="24.95" customHeight="1" x14ac:dyDescent="0.3">
      <c r="A33" s="172">
        <v>1</v>
      </c>
      <c r="B33" s="286" t="str">
        <f>VLOOKUP($F$14,CONTRA,39,FALSE)</f>
        <v xml:space="preserve">Apoyar en la gestión las solicitudes de renuncias o aplicación de subsidios de vivienda MI CASA YA y demás que se requieran. </v>
      </c>
      <c r="C33" s="287"/>
      <c r="D33" s="287"/>
      <c r="E33" s="287"/>
      <c r="F33" s="287"/>
      <c r="G33" s="287"/>
      <c r="H33" s="287"/>
      <c r="I33" s="287"/>
      <c r="J33" s="287"/>
      <c r="K33" s="287"/>
      <c r="L33" s="287"/>
      <c r="M33" s="287"/>
      <c r="N33" s="287"/>
      <c r="O33" s="288"/>
      <c r="P33" s="51"/>
      <c r="Q33" s="51"/>
      <c r="R33" s="51"/>
      <c r="S33" s="51"/>
      <c r="T33" s="51"/>
      <c r="U33" s="51"/>
      <c r="V33" s="51"/>
      <c r="W33" s="51"/>
      <c r="X33" s="51"/>
      <c r="Y33" s="51"/>
      <c r="Z33" s="51"/>
      <c r="AA33" s="51"/>
    </row>
    <row r="34" spans="1:36" ht="24.95" customHeight="1" x14ac:dyDescent="0.3">
      <c r="A34" s="172">
        <v>2</v>
      </c>
      <c r="B34" s="286" t="str">
        <f>VLOOKUP($F$14,CONTRA,40,FALSE)</f>
        <v>Apoyar en los cierres financieros de los proyectos MI CASA YA que tenga a cargo el instituto</v>
      </c>
      <c r="C34" s="287"/>
      <c r="D34" s="287"/>
      <c r="E34" s="287"/>
      <c r="F34" s="287"/>
      <c r="G34" s="287"/>
      <c r="H34" s="287"/>
      <c r="I34" s="287"/>
      <c r="J34" s="287"/>
      <c r="K34" s="287"/>
      <c r="L34" s="287"/>
      <c r="M34" s="287"/>
      <c r="N34" s="287"/>
      <c r="O34" s="288"/>
      <c r="P34" s="51"/>
      <c r="Q34" s="51"/>
      <c r="R34" s="51"/>
      <c r="S34" s="51"/>
      <c r="T34" s="51"/>
      <c r="U34" s="51"/>
      <c r="V34" s="51"/>
      <c r="W34" s="51"/>
      <c r="X34" s="51"/>
      <c r="Y34" s="51"/>
      <c r="Z34" s="51"/>
      <c r="AA34" s="51"/>
    </row>
    <row r="35" spans="1:36" ht="24.95" customHeight="1" x14ac:dyDescent="0.3">
      <c r="A35" s="172">
        <v>3</v>
      </c>
      <c r="B35" s="286" t="str">
        <f>VLOOKUP($F$14,CONTRA,41,FALSE)</f>
        <v>Apoyar el seguimiento a las promesas de compraventa de los proyectos MI CASA YA a cargo del instituto</v>
      </c>
      <c r="C35" s="287"/>
      <c r="D35" s="287"/>
      <c r="E35" s="287"/>
      <c r="F35" s="287"/>
      <c r="G35" s="287"/>
      <c r="H35" s="287"/>
      <c r="I35" s="287"/>
      <c r="J35" s="287"/>
      <c r="K35" s="287"/>
      <c r="L35" s="287"/>
      <c r="M35" s="287"/>
      <c r="N35" s="287"/>
      <c r="O35" s="288"/>
      <c r="P35" s="51"/>
      <c r="Q35" s="51"/>
      <c r="R35" s="51"/>
      <c r="S35" s="51"/>
      <c r="T35" s="51"/>
      <c r="U35" s="51"/>
      <c r="V35" s="51"/>
      <c r="W35" s="51"/>
      <c r="X35" s="51"/>
      <c r="Y35" s="51"/>
      <c r="Z35" s="51"/>
      <c r="AA35" s="51"/>
      <c r="AE35" s="12"/>
    </row>
    <row r="36" spans="1:36" ht="24.95" customHeight="1" x14ac:dyDescent="0.3">
      <c r="A36" s="172">
        <v>4</v>
      </c>
      <c r="B36" s="286" t="str">
        <f>VLOOKUP($F$14,CONTRA,42,FALSE)</f>
        <v>Acompañamiento en la postulación de sustitutos de los proyectos MI CASA YA  a cargo del instituto</v>
      </c>
      <c r="C36" s="287"/>
      <c r="D36" s="287"/>
      <c r="E36" s="287"/>
      <c r="F36" s="287"/>
      <c r="G36" s="287"/>
      <c r="H36" s="287"/>
      <c r="I36" s="287"/>
      <c r="J36" s="287"/>
      <c r="K36" s="287"/>
      <c r="L36" s="287"/>
      <c r="M36" s="287"/>
      <c r="N36" s="287"/>
      <c r="O36" s="288"/>
      <c r="P36" s="51"/>
      <c r="Q36" s="51"/>
      <c r="R36" s="51"/>
      <c r="S36" s="51"/>
      <c r="T36" s="51"/>
      <c r="U36" s="51"/>
      <c r="V36" s="51"/>
      <c r="W36" s="51"/>
      <c r="X36" s="51"/>
      <c r="Y36" s="51"/>
      <c r="Z36" s="51"/>
      <c r="AA36" s="51"/>
    </row>
    <row r="37" spans="1:36" ht="24.95" customHeight="1" x14ac:dyDescent="0.3">
      <c r="A37" s="172">
        <v>5</v>
      </c>
      <c r="B37" s="286" t="str">
        <f>VLOOKUP($F$14,CONTRA,43,FALSE)</f>
        <v>Apoyo en las remisiones y solicitudes a fiduciaria Bogotá, CAVIS, Comfamiliar y entre otras instituciones que tengan injerencia con subsidios de vivienda a nivel Nacional</v>
      </c>
      <c r="C37" s="287"/>
      <c r="D37" s="287"/>
      <c r="E37" s="287"/>
      <c r="F37" s="287"/>
      <c r="G37" s="287"/>
      <c r="H37" s="287"/>
      <c r="I37" s="287"/>
      <c r="J37" s="287"/>
      <c r="K37" s="287"/>
      <c r="L37" s="287"/>
      <c r="M37" s="287"/>
      <c r="N37" s="287"/>
      <c r="O37" s="288"/>
      <c r="P37" s="51"/>
      <c r="Q37" s="51"/>
      <c r="R37" s="51"/>
      <c r="S37" s="51"/>
      <c r="T37" s="51"/>
      <c r="U37" s="51"/>
      <c r="V37" s="51"/>
      <c r="W37" s="51"/>
      <c r="X37" s="51"/>
      <c r="Y37" s="51"/>
      <c r="Z37" s="51"/>
      <c r="AA37" s="51"/>
      <c r="AE37" s="12"/>
      <c r="AH37" s="12"/>
      <c r="AI37" s="86"/>
    </row>
    <row r="38" spans="1:36" ht="24.95" customHeight="1" x14ac:dyDescent="0.3">
      <c r="A38" s="172">
        <v>6</v>
      </c>
      <c r="B38" s="286" t="str">
        <f>VLOOKUP($F$14,CONTRA,44,FALSE)</f>
        <v>Acompañamiento en el desarrollo de las actividades necesarias y compartidas con las constructoras de los proyectos MI CASA YA</v>
      </c>
      <c r="C38" s="287"/>
      <c r="D38" s="287"/>
      <c r="E38" s="287"/>
      <c r="F38" s="287"/>
      <c r="G38" s="287"/>
      <c r="H38" s="287"/>
      <c r="I38" s="287"/>
      <c r="J38" s="287"/>
      <c r="K38" s="287"/>
      <c r="L38" s="287"/>
      <c r="M38" s="287"/>
      <c r="N38" s="287"/>
      <c r="O38" s="288"/>
      <c r="P38" s="51"/>
      <c r="Q38" s="51"/>
      <c r="R38" s="51"/>
      <c r="S38" s="51"/>
      <c r="T38" s="51"/>
      <c r="U38" s="51"/>
      <c r="V38" s="51"/>
      <c r="W38" s="51"/>
      <c r="X38" s="51"/>
      <c r="Y38" s="51"/>
      <c r="Z38" s="51"/>
      <c r="AA38" s="51"/>
      <c r="AD38" s="52"/>
      <c r="AE38" s="12"/>
      <c r="AF38" s="12"/>
      <c r="AG38" s="12"/>
      <c r="AH38" s="12"/>
      <c r="AI38" s="12"/>
      <c r="AJ38" s="12"/>
    </row>
    <row r="39" spans="1:36" ht="24.95" customHeight="1" x14ac:dyDescent="0.3">
      <c r="A39" s="172">
        <v>7</v>
      </c>
      <c r="B39" s="286" t="str">
        <f>VLOOKUP($F$14,CONTRA,45,FALSE)</f>
        <v xml:space="preserve"> Apoyo en la gestión en las actividades notariales y de oficina de registro de instrumentos públicos de los proyectos MI CASA YA a cargo del instituto.</v>
      </c>
      <c r="C39" s="287"/>
      <c r="D39" s="287"/>
      <c r="E39" s="287"/>
      <c r="F39" s="287"/>
      <c r="G39" s="287"/>
      <c r="H39" s="287"/>
      <c r="I39" s="287"/>
      <c r="J39" s="287"/>
      <c r="K39" s="287"/>
      <c r="L39" s="287"/>
      <c r="M39" s="287"/>
      <c r="N39" s="287"/>
      <c r="O39" s="288"/>
      <c r="P39" s="51"/>
      <c r="Q39" s="51"/>
      <c r="R39" s="51"/>
      <c r="S39" s="51"/>
      <c r="T39" s="51"/>
      <c r="U39" s="51"/>
      <c r="V39" s="51"/>
      <c r="W39" s="51"/>
      <c r="X39" s="51"/>
      <c r="Y39" s="51"/>
      <c r="Z39" s="51"/>
      <c r="AA39" s="51"/>
      <c r="AD39" s="52"/>
      <c r="AE39" s="12"/>
      <c r="AF39" s="12"/>
      <c r="AG39" s="12"/>
      <c r="AH39" s="12"/>
      <c r="AI39" s="12"/>
      <c r="AJ39" s="12"/>
    </row>
    <row r="40" spans="1:36" ht="24.95" customHeight="1" x14ac:dyDescent="0.3">
      <c r="A40" s="172">
        <v>8</v>
      </c>
      <c r="B40" s="286">
        <f>VLOOKUP($F$14,CONTRA,46,FALSE)</f>
        <v>0</v>
      </c>
      <c r="C40" s="287"/>
      <c r="D40" s="287"/>
      <c r="E40" s="287"/>
      <c r="F40" s="287"/>
      <c r="G40" s="287"/>
      <c r="H40" s="287"/>
      <c r="I40" s="287"/>
      <c r="J40" s="287"/>
      <c r="K40" s="287"/>
      <c r="L40" s="287"/>
      <c r="M40" s="287"/>
      <c r="N40" s="287"/>
      <c r="O40" s="288"/>
      <c r="P40" s="51"/>
      <c r="Q40" s="51"/>
      <c r="R40" s="51"/>
      <c r="S40" s="51"/>
      <c r="T40" s="51"/>
      <c r="U40" s="51"/>
      <c r="V40" s="51"/>
      <c r="W40" s="51"/>
      <c r="X40" s="51"/>
      <c r="Y40" s="51"/>
      <c r="Z40" s="51"/>
      <c r="AA40" s="51"/>
      <c r="AE40" s="12"/>
      <c r="AG40" s="12"/>
    </row>
    <row r="41" spans="1:36" ht="24.95" customHeight="1" x14ac:dyDescent="0.3">
      <c r="A41" s="172">
        <v>9</v>
      </c>
      <c r="B41" s="286">
        <f>VLOOKUP($F$14,CONTRA,47,FALSE)</f>
        <v>0</v>
      </c>
      <c r="C41" s="287"/>
      <c r="D41" s="287"/>
      <c r="E41" s="287"/>
      <c r="F41" s="287"/>
      <c r="G41" s="287"/>
      <c r="H41" s="287"/>
      <c r="I41" s="287"/>
      <c r="J41" s="287"/>
      <c r="K41" s="287"/>
      <c r="L41" s="287"/>
      <c r="M41" s="287"/>
      <c r="N41" s="287"/>
      <c r="O41" s="288"/>
      <c r="P41" s="51"/>
      <c r="Q41" s="51"/>
      <c r="R41" s="51"/>
      <c r="S41" s="51"/>
      <c r="T41" s="51"/>
      <c r="U41" s="51"/>
      <c r="V41" s="51"/>
      <c r="W41" s="51"/>
      <c r="X41" s="51"/>
      <c r="Y41" s="51"/>
      <c r="Z41" s="51"/>
      <c r="AA41" s="51"/>
    </row>
    <row r="42" spans="1:36" ht="24.95" customHeight="1" x14ac:dyDescent="0.3">
      <c r="A42" s="172">
        <v>10</v>
      </c>
      <c r="B42" s="286">
        <f>VLOOKUP($F$14,CONTRA,48,FALSE)</f>
        <v>0</v>
      </c>
      <c r="C42" s="287"/>
      <c r="D42" s="287"/>
      <c r="E42" s="287"/>
      <c r="F42" s="287"/>
      <c r="G42" s="287"/>
      <c r="H42" s="287"/>
      <c r="I42" s="287"/>
      <c r="J42" s="287"/>
      <c r="K42" s="287"/>
      <c r="L42" s="287"/>
      <c r="M42" s="287"/>
      <c r="N42" s="287"/>
      <c r="O42" s="288"/>
      <c r="P42" s="51"/>
      <c r="Q42" s="51"/>
      <c r="R42" s="51"/>
      <c r="S42" s="51"/>
      <c r="T42" s="51"/>
      <c r="U42" s="51"/>
      <c r="V42" s="51"/>
      <c r="W42" s="51"/>
      <c r="X42" s="51"/>
      <c r="Y42" s="51"/>
      <c r="Z42" s="51"/>
      <c r="AA42" s="51"/>
      <c r="AE42" s="12"/>
    </row>
    <row r="43" spans="1:36" ht="24.95" customHeight="1" x14ac:dyDescent="0.3">
      <c r="A43" s="172">
        <v>11</v>
      </c>
      <c r="B43" s="286">
        <f>VLOOKUP($F$14,CONTRA,49,FALSE)</f>
        <v>0</v>
      </c>
      <c r="C43" s="287"/>
      <c r="D43" s="287"/>
      <c r="E43" s="287"/>
      <c r="F43" s="287"/>
      <c r="G43" s="287"/>
      <c r="H43" s="287"/>
      <c r="I43" s="287"/>
      <c r="J43" s="287"/>
      <c r="K43" s="287"/>
      <c r="L43" s="287"/>
      <c r="M43" s="287"/>
      <c r="N43" s="287"/>
      <c r="O43" s="288"/>
      <c r="P43" s="51"/>
      <c r="Q43" s="51"/>
      <c r="R43" s="51"/>
      <c r="S43" s="51"/>
      <c r="T43" s="51"/>
      <c r="U43" s="51"/>
      <c r="V43" s="51"/>
      <c r="W43" s="51"/>
      <c r="X43" s="51"/>
      <c r="Y43" s="51"/>
      <c r="Z43" s="51"/>
      <c r="AA43" s="51"/>
    </row>
    <row r="44" spans="1:36" ht="24.95" customHeight="1" x14ac:dyDescent="0.3">
      <c r="A44" s="172">
        <v>12</v>
      </c>
      <c r="B44" s="286">
        <f>VLOOKUP($F$14,CONTRA,50,FALSE)</f>
        <v>0</v>
      </c>
      <c r="C44" s="287"/>
      <c r="D44" s="287"/>
      <c r="E44" s="287"/>
      <c r="F44" s="287"/>
      <c r="G44" s="287"/>
      <c r="H44" s="287"/>
      <c r="I44" s="287"/>
      <c r="J44" s="287"/>
      <c r="K44" s="287"/>
      <c r="L44" s="287"/>
      <c r="M44" s="287"/>
      <c r="N44" s="287"/>
      <c r="O44" s="288"/>
      <c r="P44" s="51"/>
      <c r="Q44" s="51"/>
      <c r="R44" s="51"/>
      <c r="S44" s="51"/>
      <c r="T44" s="51"/>
      <c r="U44" s="51"/>
      <c r="V44" s="51"/>
      <c r="W44" s="51"/>
      <c r="X44" s="51"/>
      <c r="Y44" s="51"/>
      <c r="Z44" s="51"/>
      <c r="AA44" s="51"/>
    </row>
    <row r="45" spans="1:36" x14ac:dyDescent="0.3">
      <c r="A45" s="332" t="s">
        <v>45</v>
      </c>
      <c r="B45" s="332"/>
      <c r="C45" s="332"/>
      <c r="D45" s="326"/>
      <c r="E45" s="326"/>
      <c r="F45" s="326"/>
      <c r="G45" s="326"/>
      <c r="H45" s="326"/>
      <c r="I45" s="326"/>
      <c r="J45" s="326"/>
      <c r="K45" s="326"/>
      <c r="L45" s="326"/>
      <c r="M45" s="326"/>
      <c r="N45" s="326"/>
      <c r="O45" s="326"/>
      <c r="P45" s="326"/>
      <c r="Q45" s="326"/>
      <c r="R45" s="326"/>
      <c r="S45" s="326"/>
      <c r="T45" s="326"/>
      <c r="U45" s="326"/>
      <c r="V45" s="326"/>
      <c r="W45" s="326"/>
      <c r="X45" s="326"/>
      <c r="Y45" s="326"/>
      <c r="Z45" s="326"/>
      <c r="AA45" s="326"/>
    </row>
    <row r="46" spans="1:36" x14ac:dyDescent="0.3">
      <c r="A46" s="332"/>
      <c r="B46" s="332"/>
      <c r="C46" s="332"/>
      <c r="D46" s="326"/>
      <c r="E46" s="326"/>
      <c r="F46" s="326"/>
      <c r="G46" s="326"/>
      <c r="H46" s="326"/>
      <c r="I46" s="326"/>
      <c r="J46" s="326"/>
      <c r="K46" s="326"/>
      <c r="L46" s="326"/>
      <c r="M46" s="326"/>
      <c r="N46" s="326"/>
      <c r="O46" s="326"/>
      <c r="P46" s="326"/>
      <c r="Q46" s="326"/>
      <c r="R46" s="326"/>
      <c r="S46" s="326"/>
      <c r="T46" s="326"/>
      <c r="U46" s="326"/>
      <c r="V46" s="326"/>
      <c r="W46" s="326"/>
      <c r="X46" s="326"/>
      <c r="Y46" s="326"/>
      <c r="Z46" s="326"/>
      <c r="AA46" s="326"/>
    </row>
    <row r="47" spans="1:36" ht="15.95" customHeight="1" x14ac:dyDescent="0.3">
      <c r="A47" s="18">
        <v>4</v>
      </c>
      <c r="B47" s="323" t="s">
        <v>46</v>
      </c>
      <c r="C47" s="323"/>
      <c r="D47" s="323"/>
      <c r="E47" s="323"/>
      <c r="F47" s="323"/>
      <c r="G47" s="323"/>
      <c r="H47" s="323"/>
      <c r="I47" s="323"/>
      <c r="J47" s="323"/>
      <c r="K47" s="323"/>
      <c r="L47" s="323"/>
      <c r="M47" s="323"/>
      <c r="N47" s="323"/>
      <c r="O47" s="323"/>
      <c r="P47" s="324"/>
      <c r="Q47" s="324"/>
      <c r="R47" s="324"/>
      <c r="S47" s="324"/>
      <c r="T47" s="324"/>
      <c r="U47" s="324"/>
      <c r="V47" s="324"/>
      <c r="W47" s="324"/>
      <c r="X47" s="324"/>
      <c r="Y47" s="324"/>
      <c r="Z47" s="324"/>
      <c r="AA47" s="324"/>
    </row>
    <row r="48" spans="1:36" ht="15.95" customHeight="1" x14ac:dyDescent="0.3">
      <c r="A48" s="20"/>
      <c r="B48" s="308" t="s">
        <v>47</v>
      </c>
      <c r="C48" s="308"/>
      <c r="D48" s="308"/>
      <c r="E48" s="308"/>
      <c r="F48" s="308"/>
      <c r="G48" s="308"/>
      <c r="H48" s="308"/>
      <c r="I48" s="308"/>
      <c r="J48" s="170" t="s">
        <v>48</v>
      </c>
      <c r="K48" s="308" t="s">
        <v>49</v>
      </c>
      <c r="L48" s="308"/>
      <c r="M48" s="308"/>
      <c r="N48" s="308" t="s">
        <v>220</v>
      </c>
      <c r="O48" s="308"/>
      <c r="P48" s="308" t="s">
        <v>50</v>
      </c>
      <c r="Q48" s="308"/>
      <c r="R48" s="308"/>
      <c r="S48" s="308" t="s">
        <v>51</v>
      </c>
      <c r="T48" s="308"/>
      <c r="U48" s="308"/>
      <c r="V48" s="308" t="s">
        <v>52</v>
      </c>
      <c r="W48" s="308"/>
      <c r="X48" s="308"/>
      <c r="Y48" s="308" t="s">
        <v>137</v>
      </c>
      <c r="Z48" s="308"/>
      <c r="AA48" s="308"/>
    </row>
    <row r="49" spans="1:27" ht="15.95" customHeight="1" x14ac:dyDescent="0.3">
      <c r="A49" s="64">
        <v>1</v>
      </c>
      <c r="B49" s="331" t="str">
        <f>+F18</f>
        <v>23 de enero de 2018</v>
      </c>
      <c r="C49" s="331"/>
      <c r="D49" s="331"/>
      <c r="E49" s="331"/>
      <c r="F49" s="329">
        <v>43145</v>
      </c>
      <c r="G49" s="329"/>
      <c r="H49" s="329"/>
      <c r="I49" s="329"/>
      <c r="J49" s="14">
        <v>30</v>
      </c>
      <c r="K49" s="320">
        <f>+J49*$Z$21</f>
        <v>1800000</v>
      </c>
      <c r="L49" s="320"/>
      <c r="M49" s="320"/>
      <c r="N49" s="330"/>
      <c r="O49" s="330"/>
      <c r="P49" s="309">
        <f>IF(J49=0," ",K49)</f>
        <v>1800000</v>
      </c>
      <c r="Q49" s="310"/>
      <c r="R49" s="311"/>
      <c r="S49" s="309">
        <f>+IF(J49=0," ",F21-K49)</f>
        <v>18480000</v>
      </c>
      <c r="T49" s="310"/>
      <c r="U49" s="311"/>
      <c r="V49" s="320">
        <f>IF($H$15="COMUN",$Z$30/1.19,$Z$30)</f>
        <v>222700</v>
      </c>
      <c r="W49" s="320"/>
      <c r="X49" s="320"/>
      <c r="Y49" s="327" t="s">
        <v>291</v>
      </c>
      <c r="Z49" s="327"/>
      <c r="AA49" s="327"/>
    </row>
    <row r="50" spans="1:27" x14ac:dyDescent="0.3">
      <c r="A50" s="64">
        <v>2</v>
      </c>
      <c r="B50" s="328">
        <v>43146</v>
      </c>
      <c r="C50" s="328"/>
      <c r="D50" s="328"/>
      <c r="E50" s="328"/>
      <c r="F50" s="329">
        <v>43173</v>
      </c>
      <c r="G50" s="329"/>
      <c r="H50" s="329"/>
      <c r="I50" s="329"/>
      <c r="J50" s="14">
        <v>30</v>
      </c>
      <c r="K50" s="320">
        <f t="shared" ref="K50:K60" si="0">+J50*$Z$21</f>
        <v>1800000</v>
      </c>
      <c r="L50" s="320"/>
      <c r="M50" s="320"/>
      <c r="N50" s="330"/>
      <c r="O50" s="330"/>
      <c r="P50" s="309">
        <f>IF(J50=0," ",K50+P49)</f>
        <v>3600000</v>
      </c>
      <c r="Q50" s="310"/>
      <c r="R50" s="311"/>
      <c r="S50" s="309">
        <f>IF(J50=0," ",$F$21-P50)</f>
        <v>16680000</v>
      </c>
      <c r="T50" s="310"/>
      <c r="U50" s="311"/>
      <c r="V50" s="320">
        <f t="shared" ref="V50:V60" si="1">IF($H$15="COMUN",$Z$30/1.19,$Z$30)</f>
        <v>222700</v>
      </c>
      <c r="W50" s="320"/>
      <c r="X50" s="320"/>
      <c r="Y50" s="327" t="s">
        <v>291</v>
      </c>
      <c r="Z50" s="327"/>
      <c r="AA50" s="327"/>
    </row>
    <row r="51" spans="1:27" x14ac:dyDescent="0.3">
      <c r="A51" s="64">
        <v>3</v>
      </c>
      <c r="B51" s="328">
        <v>43174</v>
      </c>
      <c r="C51" s="328"/>
      <c r="D51" s="328"/>
      <c r="E51" s="328"/>
      <c r="F51" s="329">
        <v>43204</v>
      </c>
      <c r="G51" s="329"/>
      <c r="H51" s="329"/>
      <c r="I51" s="329"/>
      <c r="J51" s="14">
        <v>30</v>
      </c>
      <c r="K51" s="320">
        <f t="shared" si="0"/>
        <v>1800000</v>
      </c>
      <c r="L51" s="320"/>
      <c r="M51" s="320"/>
      <c r="N51" s="330"/>
      <c r="O51" s="330"/>
      <c r="P51" s="309">
        <f t="shared" ref="P51:P60" si="2">IF(J51=0," ",K51+P50)</f>
        <v>5400000</v>
      </c>
      <c r="Q51" s="310"/>
      <c r="R51" s="311"/>
      <c r="S51" s="309">
        <f t="shared" ref="S51:S60" si="3">IF(J51=0," ",$F$21-P51)</f>
        <v>14880000</v>
      </c>
      <c r="T51" s="310"/>
      <c r="U51" s="311"/>
      <c r="V51" s="320">
        <f t="shared" si="1"/>
        <v>222700</v>
      </c>
      <c r="W51" s="320"/>
      <c r="X51" s="320"/>
      <c r="Y51" s="327" t="s">
        <v>291</v>
      </c>
      <c r="Z51" s="327"/>
      <c r="AA51" s="327"/>
    </row>
    <row r="52" spans="1:27" x14ac:dyDescent="0.3">
      <c r="A52" s="64">
        <v>4</v>
      </c>
      <c r="B52" s="328">
        <v>43205</v>
      </c>
      <c r="C52" s="328"/>
      <c r="D52" s="328"/>
      <c r="E52" s="328"/>
      <c r="F52" s="329">
        <v>43234</v>
      </c>
      <c r="G52" s="329"/>
      <c r="H52" s="329"/>
      <c r="I52" s="329"/>
      <c r="J52" s="14">
        <v>30</v>
      </c>
      <c r="K52" s="320">
        <f t="shared" si="0"/>
        <v>1800000</v>
      </c>
      <c r="L52" s="320"/>
      <c r="M52" s="320"/>
      <c r="N52" s="330"/>
      <c r="O52" s="330"/>
      <c r="P52" s="309">
        <f t="shared" si="2"/>
        <v>7200000</v>
      </c>
      <c r="Q52" s="310"/>
      <c r="R52" s="311"/>
      <c r="S52" s="309">
        <f t="shared" si="3"/>
        <v>13080000</v>
      </c>
      <c r="T52" s="310"/>
      <c r="U52" s="311"/>
      <c r="V52" s="320">
        <f t="shared" si="1"/>
        <v>222700</v>
      </c>
      <c r="W52" s="320"/>
      <c r="X52" s="320"/>
      <c r="Y52" s="327" t="s">
        <v>291</v>
      </c>
      <c r="Z52" s="327"/>
      <c r="AA52" s="327"/>
    </row>
    <row r="53" spans="1:27" x14ac:dyDescent="0.3">
      <c r="A53" s="64">
        <v>5</v>
      </c>
      <c r="B53" s="328">
        <v>43235</v>
      </c>
      <c r="C53" s="328"/>
      <c r="D53" s="328"/>
      <c r="E53" s="328"/>
      <c r="F53" s="329">
        <v>43265</v>
      </c>
      <c r="G53" s="329"/>
      <c r="H53" s="329"/>
      <c r="I53" s="329"/>
      <c r="J53" s="14">
        <v>30</v>
      </c>
      <c r="K53" s="320">
        <f t="shared" si="0"/>
        <v>1800000</v>
      </c>
      <c r="L53" s="320"/>
      <c r="M53" s="320"/>
      <c r="N53" s="330"/>
      <c r="O53" s="330"/>
      <c r="P53" s="309">
        <f t="shared" si="2"/>
        <v>9000000</v>
      </c>
      <c r="Q53" s="310"/>
      <c r="R53" s="311"/>
      <c r="S53" s="309">
        <f t="shared" si="3"/>
        <v>11280000</v>
      </c>
      <c r="T53" s="310"/>
      <c r="U53" s="311"/>
      <c r="V53" s="320">
        <f t="shared" si="1"/>
        <v>222700</v>
      </c>
      <c r="W53" s="320"/>
      <c r="X53" s="320"/>
      <c r="Y53" s="327" t="s">
        <v>291</v>
      </c>
      <c r="Z53" s="327"/>
      <c r="AA53" s="327"/>
    </row>
    <row r="54" spans="1:27" x14ac:dyDescent="0.3">
      <c r="A54" s="64">
        <v>6</v>
      </c>
      <c r="B54" s="328">
        <v>43266</v>
      </c>
      <c r="C54" s="328"/>
      <c r="D54" s="328"/>
      <c r="E54" s="328"/>
      <c r="F54" s="329">
        <v>43295</v>
      </c>
      <c r="G54" s="329"/>
      <c r="H54" s="329"/>
      <c r="I54" s="329"/>
      <c r="J54" s="14">
        <v>30</v>
      </c>
      <c r="K54" s="320">
        <f t="shared" si="0"/>
        <v>1800000</v>
      </c>
      <c r="L54" s="320"/>
      <c r="M54" s="320"/>
      <c r="N54" s="330"/>
      <c r="O54" s="330"/>
      <c r="P54" s="309">
        <f t="shared" si="2"/>
        <v>10800000</v>
      </c>
      <c r="Q54" s="310"/>
      <c r="R54" s="311"/>
      <c r="S54" s="309">
        <f t="shared" si="3"/>
        <v>9480000</v>
      </c>
      <c r="T54" s="310"/>
      <c r="U54" s="311"/>
      <c r="V54" s="320">
        <f t="shared" si="1"/>
        <v>222700</v>
      </c>
      <c r="W54" s="320"/>
      <c r="X54" s="320"/>
      <c r="Y54" s="327" t="s">
        <v>291</v>
      </c>
      <c r="Z54" s="327"/>
      <c r="AA54" s="327"/>
    </row>
    <row r="55" spans="1:27" x14ac:dyDescent="0.3">
      <c r="A55" s="64">
        <v>7</v>
      </c>
      <c r="B55" s="328">
        <v>43296</v>
      </c>
      <c r="C55" s="328"/>
      <c r="D55" s="328"/>
      <c r="E55" s="328"/>
      <c r="F55" s="329">
        <v>43326</v>
      </c>
      <c r="G55" s="329"/>
      <c r="H55" s="329"/>
      <c r="I55" s="329"/>
      <c r="J55" s="14">
        <v>30</v>
      </c>
      <c r="K55" s="320">
        <f t="shared" si="0"/>
        <v>1800000</v>
      </c>
      <c r="L55" s="320"/>
      <c r="M55" s="320"/>
      <c r="N55" s="330"/>
      <c r="O55" s="330"/>
      <c r="P55" s="309">
        <f t="shared" si="2"/>
        <v>12600000</v>
      </c>
      <c r="Q55" s="310"/>
      <c r="R55" s="311"/>
      <c r="S55" s="309">
        <f t="shared" si="3"/>
        <v>7680000</v>
      </c>
      <c r="T55" s="310"/>
      <c r="U55" s="311"/>
      <c r="V55" s="320">
        <f t="shared" si="1"/>
        <v>222700</v>
      </c>
      <c r="W55" s="320"/>
      <c r="X55" s="320"/>
      <c r="Y55" s="327" t="s">
        <v>291</v>
      </c>
      <c r="Z55" s="327"/>
      <c r="AA55" s="327"/>
    </row>
    <row r="56" spans="1:27" x14ac:dyDescent="0.3">
      <c r="A56" s="64">
        <v>8</v>
      </c>
      <c r="B56" s="328">
        <v>43327</v>
      </c>
      <c r="C56" s="328"/>
      <c r="D56" s="328"/>
      <c r="E56" s="328"/>
      <c r="F56" s="329">
        <v>43357</v>
      </c>
      <c r="G56" s="329"/>
      <c r="H56" s="329"/>
      <c r="I56" s="329"/>
      <c r="J56" s="14">
        <v>30</v>
      </c>
      <c r="K56" s="320">
        <f t="shared" si="0"/>
        <v>1800000</v>
      </c>
      <c r="L56" s="320"/>
      <c r="M56" s="320"/>
      <c r="N56" s="330"/>
      <c r="O56" s="330"/>
      <c r="P56" s="309">
        <f t="shared" si="2"/>
        <v>14400000</v>
      </c>
      <c r="Q56" s="310"/>
      <c r="R56" s="311"/>
      <c r="S56" s="309">
        <f t="shared" si="3"/>
        <v>5880000</v>
      </c>
      <c r="T56" s="310"/>
      <c r="U56" s="311"/>
      <c r="V56" s="320">
        <f t="shared" si="1"/>
        <v>222700</v>
      </c>
      <c r="W56" s="320"/>
      <c r="X56" s="320"/>
      <c r="Y56" s="327" t="s">
        <v>291</v>
      </c>
      <c r="Z56" s="327"/>
      <c r="AA56" s="327"/>
    </row>
    <row r="57" spans="1:27" x14ac:dyDescent="0.3">
      <c r="A57" s="64">
        <v>9</v>
      </c>
      <c r="B57" s="328">
        <v>43358</v>
      </c>
      <c r="C57" s="328"/>
      <c r="D57" s="328"/>
      <c r="E57" s="328"/>
      <c r="F57" s="329">
        <v>43387</v>
      </c>
      <c r="G57" s="329"/>
      <c r="H57" s="329"/>
      <c r="I57" s="329"/>
      <c r="J57" s="14">
        <v>30</v>
      </c>
      <c r="K57" s="320">
        <f t="shared" si="0"/>
        <v>1800000</v>
      </c>
      <c r="L57" s="320"/>
      <c r="M57" s="320"/>
      <c r="N57" s="330"/>
      <c r="O57" s="330"/>
      <c r="P57" s="309">
        <f t="shared" si="2"/>
        <v>16200000</v>
      </c>
      <c r="Q57" s="310"/>
      <c r="R57" s="311"/>
      <c r="S57" s="309">
        <f t="shared" si="3"/>
        <v>4080000</v>
      </c>
      <c r="T57" s="310"/>
      <c r="U57" s="311"/>
      <c r="V57" s="320">
        <f t="shared" si="1"/>
        <v>222700</v>
      </c>
      <c r="W57" s="320"/>
      <c r="X57" s="320"/>
      <c r="Y57" s="327" t="s">
        <v>291</v>
      </c>
      <c r="Z57" s="327"/>
      <c r="AA57" s="327"/>
    </row>
    <row r="58" spans="1:27" x14ac:dyDescent="0.3">
      <c r="A58" s="64">
        <v>10</v>
      </c>
      <c r="B58" s="328">
        <v>43388</v>
      </c>
      <c r="C58" s="328"/>
      <c r="D58" s="328"/>
      <c r="E58" s="328"/>
      <c r="F58" s="329">
        <v>43418</v>
      </c>
      <c r="G58" s="329"/>
      <c r="H58" s="329"/>
      <c r="I58" s="329"/>
      <c r="J58" s="14">
        <v>30</v>
      </c>
      <c r="K58" s="320">
        <f t="shared" si="0"/>
        <v>1800000</v>
      </c>
      <c r="L58" s="320"/>
      <c r="M58" s="320"/>
      <c r="N58" s="330"/>
      <c r="O58" s="330"/>
      <c r="P58" s="309">
        <f t="shared" si="2"/>
        <v>18000000</v>
      </c>
      <c r="Q58" s="310"/>
      <c r="R58" s="311"/>
      <c r="S58" s="309">
        <f t="shared" si="3"/>
        <v>2280000</v>
      </c>
      <c r="T58" s="310"/>
      <c r="U58" s="311"/>
      <c r="V58" s="320">
        <f t="shared" si="1"/>
        <v>222700</v>
      </c>
      <c r="W58" s="320"/>
      <c r="X58" s="320"/>
      <c r="Y58" s="327" t="s">
        <v>291</v>
      </c>
      <c r="Z58" s="327"/>
      <c r="AA58" s="327"/>
    </row>
    <row r="59" spans="1:27" x14ac:dyDescent="0.3">
      <c r="A59" s="64">
        <v>11</v>
      </c>
      <c r="B59" s="328">
        <v>43419</v>
      </c>
      <c r="C59" s="328"/>
      <c r="D59" s="328"/>
      <c r="E59" s="328"/>
      <c r="F59" s="329">
        <v>43448</v>
      </c>
      <c r="G59" s="329"/>
      <c r="H59" s="329"/>
      <c r="I59" s="329"/>
      <c r="J59" s="14">
        <v>30</v>
      </c>
      <c r="K59" s="320">
        <f t="shared" si="0"/>
        <v>1800000</v>
      </c>
      <c r="L59" s="320"/>
      <c r="M59" s="320"/>
      <c r="N59" s="330"/>
      <c r="O59" s="330"/>
      <c r="P59" s="309">
        <f t="shared" si="2"/>
        <v>19800000</v>
      </c>
      <c r="Q59" s="310"/>
      <c r="R59" s="311"/>
      <c r="S59" s="309">
        <f t="shared" si="3"/>
        <v>480000</v>
      </c>
      <c r="T59" s="310"/>
      <c r="U59" s="311"/>
      <c r="V59" s="320">
        <f t="shared" si="1"/>
        <v>222700</v>
      </c>
      <c r="W59" s="320"/>
      <c r="X59" s="320"/>
      <c r="Y59" s="327" t="s">
        <v>291</v>
      </c>
      <c r="Z59" s="327"/>
      <c r="AA59" s="327"/>
    </row>
    <row r="60" spans="1:27" x14ac:dyDescent="0.3">
      <c r="A60" s="64">
        <v>12</v>
      </c>
      <c r="B60" s="328">
        <v>43449</v>
      </c>
      <c r="C60" s="328"/>
      <c r="D60" s="328"/>
      <c r="E60" s="328"/>
      <c r="F60" s="329">
        <v>43465</v>
      </c>
      <c r="G60" s="329"/>
      <c r="H60" s="329"/>
      <c r="I60" s="329"/>
      <c r="J60" s="14">
        <v>8</v>
      </c>
      <c r="K60" s="320">
        <f t="shared" si="0"/>
        <v>480000</v>
      </c>
      <c r="L60" s="320"/>
      <c r="M60" s="320"/>
      <c r="N60" s="330"/>
      <c r="O60" s="330"/>
      <c r="P60" s="309">
        <f t="shared" si="2"/>
        <v>20280000</v>
      </c>
      <c r="Q60" s="310"/>
      <c r="R60" s="311"/>
      <c r="S60" s="309">
        <f t="shared" si="3"/>
        <v>0</v>
      </c>
      <c r="T60" s="310"/>
      <c r="U60" s="311"/>
      <c r="V60" s="320">
        <f t="shared" si="1"/>
        <v>222700</v>
      </c>
      <c r="W60" s="320"/>
      <c r="X60" s="320"/>
      <c r="Y60" s="327" t="s">
        <v>291</v>
      </c>
      <c r="Z60" s="327"/>
      <c r="AA60" s="327"/>
    </row>
    <row r="61" spans="1:27" x14ac:dyDescent="0.3">
      <c r="A61" s="20"/>
      <c r="B61" s="308" t="s">
        <v>53</v>
      </c>
      <c r="C61" s="308"/>
      <c r="D61" s="308"/>
      <c r="E61" s="308"/>
      <c r="F61" s="308"/>
      <c r="G61" s="308"/>
      <c r="H61" s="308"/>
      <c r="I61" s="308"/>
      <c r="J61" s="171">
        <f>SUM(J49:J60)</f>
        <v>338</v>
      </c>
      <c r="K61" s="320">
        <f>SUM(K49:O60)</f>
        <v>20280000</v>
      </c>
      <c r="L61" s="320"/>
      <c r="M61" s="320"/>
      <c r="N61" s="309"/>
      <c r="O61" s="311"/>
      <c r="P61" s="308"/>
      <c r="Q61" s="308"/>
      <c r="R61" s="308"/>
      <c r="S61" s="308"/>
      <c r="T61" s="308"/>
      <c r="U61" s="308"/>
      <c r="V61" s="308"/>
      <c r="W61" s="308"/>
      <c r="X61" s="308"/>
      <c r="Y61" s="308"/>
      <c r="Z61" s="308"/>
      <c r="AA61" s="308"/>
    </row>
    <row r="62" spans="1:27" x14ac:dyDescent="0.3">
      <c r="A62" s="325" t="s">
        <v>54</v>
      </c>
      <c r="B62" s="325"/>
      <c r="C62" s="325"/>
      <c r="D62" s="325"/>
      <c r="E62" s="325"/>
      <c r="F62" s="326"/>
      <c r="G62" s="326"/>
      <c r="H62" s="326"/>
      <c r="I62" s="326"/>
      <c r="J62" s="326"/>
      <c r="K62" s="326"/>
      <c r="L62" s="326"/>
      <c r="M62" s="326"/>
      <c r="N62" s="326"/>
      <c r="O62" s="326"/>
      <c r="P62" s="326"/>
      <c r="Q62" s="326"/>
      <c r="R62" s="326"/>
      <c r="S62" s="326" t="s">
        <v>136</v>
      </c>
      <c r="T62" s="326"/>
      <c r="U62" s="326"/>
      <c r="V62" s="326" t="s">
        <v>55</v>
      </c>
      <c r="W62" s="326"/>
      <c r="X62" s="326"/>
      <c r="Y62" s="326" t="s">
        <v>56</v>
      </c>
      <c r="Z62" s="326"/>
      <c r="AA62" s="326"/>
    </row>
    <row r="63" spans="1:27" ht="15.95" customHeight="1" x14ac:dyDescent="0.3">
      <c r="A63" s="322">
        <f>+Z6</f>
        <v>1</v>
      </c>
      <c r="B63" s="323" t="s">
        <v>57</v>
      </c>
      <c r="C63" s="323"/>
      <c r="D63" s="323"/>
      <c r="E63" s="323"/>
      <c r="F63" s="323"/>
      <c r="G63" s="323"/>
      <c r="H63" s="323"/>
      <c r="I63" s="323"/>
      <c r="J63" s="323"/>
      <c r="K63" s="323"/>
      <c r="L63" s="323"/>
      <c r="M63" s="323"/>
      <c r="N63" s="323"/>
      <c r="O63" s="323"/>
      <c r="P63" s="324"/>
      <c r="Q63" s="324"/>
      <c r="R63" s="324"/>
      <c r="S63" s="324"/>
      <c r="T63" s="324"/>
      <c r="U63" s="324"/>
      <c r="V63" s="324"/>
      <c r="W63" s="324"/>
      <c r="X63" s="324"/>
      <c r="Y63" s="324"/>
      <c r="Z63" s="324"/>
      <c r="AA63" s="324"/>
    </row>
    <row r="64" spans="1:27" ht="14.1" customHeight="1" x14ac:dyDescent="0.3">
      <c r="A64" s="322"/>
      <c r="B64" s="308" t="s">
        <v>47</v>
      </c>
      <c r="C64" s="308"/>
      <c r="D64" s="308"/>
      <c r="E64" s="308"/>
      <c r="F64" s="308"/>
      <c r="G64" s="308"/>
      <c r="H64" s="308"/>
      <c r="I64" s="308"/>
      <c r="J64" s="170" t="s">
        <v>48</v>
      </c>
      <c r="K64" s="308" t="s">
        <v>49</v>
      </c>
      <c r="L64" s="308"/>
      <c r="M64" s="308"/>
      <c r="N64" s="308"/>
      <c r="O64" s="308"/>
      <c r="P64" s="308" t="s">
        <v>50</v>
      </c>
      <c r="Q64" s="308"/>
      <c r="R64" s="308"/>
      <c r="S64" s="308" t="s">
        <v>51</v>
      </c>
      <c r="T64" s="308"/>
      <c r="U64" s="308"/>
      <c r="V64" s="308" t="s">
        <v>52</v>
      </c>
      <c r="W64" s="308"/>
      <c r="X64" s="308"/>
      <c r="Y64" s="308" t="s">
        <v>137</v>
      </c>
      <c r="Z64" s="308"/>
      <c r="AA64" s="308"/>
    </row>
    <row r="65" spans="1:35" ht="14.1" customHeight="1" x14ac:dyDescent="0.3">
      <c r="A65" s="322"/>
      <c r="B65" s="319" t="str">
        <f>VLOOKUP(A63,A49:AA60,2)</f>
        <v>23 de enero de 2018</v>
      </c>
      <c r="C65" s="319"/>
      <c r="D65" s="319"/>
      <c r="E65" s="319"/>
      <c r="F65" s="319">
        <f>VLOOKUP(A63,A49:AA60,6)</f>
        <v>43145</v>
      </c>
      <c r="G65" s="319"/>
      <c r="H65" s="319"/>
      <c r="I65" s="319"/>
      <c r="J65" s="171">
        <f>VLOOKUP(A63,A49:AA60,10)</f>
        <v>30</v>
      </c>
      <c r="K65" s="320">
        <f>VLOOKUP(A63,A49:AA60,11)</f>
        <v>1800000</v>
      </c>
      <c r="L65" s="320"/>
      <c r="M65" s="320"/>
      <c r="N65" s="320"/>
      <c r="O65" s="320"/>
      <c r="P65" s="320">
        <f>VLOOKUP(A63,A49:AA60,16)</f>
        <v>1800000</v>
      </c>
      <c r="Q65" s="320"/>
      <c r="R65" s="320"/>
      <c r="S65" s="320">
        <f>VLOOKUP(A63,A49:AA60,19)</f>
        <v>18480000</v>
      </c>
      <c r="T65" s="320"/>
      <c r="U65" s="320"/>
      <c r="V65" s="320">
        <f>VLOOKUP(A63,A49:AA60,22)</f>
        <v>222700</v>
      </c>
      <c r="W65" s="320"/>
      <c r="X65" s="320"/>
      <c r="Y65" s="321" t="str">
        <f>VLOOKUP(A63,A49:AA60,25)</f>
        <v># Planilla Seg. Soc.</v>
      </c>
      <c r="Z65" s="321"/>
      <c r="AA65" s="321"/>
    </row>
    <row r="66" spans="1:35" ht="14.1" customHeight="1" x14ac:dyDescent="0.3">
      <c r="A66" s="322"/>
      <c r="B66" s="308" t="s">
        <v>284</v>
      </c>
      <c r="C66" s="308"/>
      <c r="D66" s="308"/>
      <c r="E66" s="308"/>
      <c r="F66" s="309">
        <f>+K65</f>
        <v>1800000</v>
      </c>
      <c r="G66" s="310"/>
      <c r="H66" s="310"/>
      <c r="I66" s="311"/>
      <c r="J66" s="312" t="str">
        <f>+D100</f>
        <v>Un Millón Ochocientos Mil Pesos M/Cte</v>
      </c>
      <c r="K66" s="313"/>
      <c r="L66" s="313"/>
      <c r="M66" s="313"/>
      <c r="N66" s="313"/>
      <c r="O66" s="313"/>
      <c r="P66" s="313"/>
      <c r="Q66" s="313"/>
      <c r="R66" s="313"/>
      <c r="S66" s="313"/>
      <c r="T66" s="313"/>
      <c r="U66" s="313"/>
      <c r="V66" s="313"/>
      <c r="W66" s="313"/>
      <c r="X66" s="313"/>
      <c r="Y66" s="313"/>
      <c r="Z66" s="313"/>
      <c r="AA66" s="314"/>
    </row>
    <row r="67" spans="1:35" ht="3.95" customHeight="1" x14ac:dyDescent="0.3">
      <c r="A67" s="315"/>
      <c r="B67" s="315"/>
      <c r="C67" s="315"/>
      <c r="D67" s="315"/>
      <c r="E67" s="315"/>
      <c r="F67" s="315"/>
      <c r="G67" s="315"/>
      <c r="H67" s="315"/>
      <c r="I67" s="315"/>
      <c r="J67" s="315"/>
      <c r="K67" s="315"/>
      <c r="L67" s="315"/>
      <c r="M67" s="315"/>
      <c r="N67" s="315"/>
      <c r="O67" s="315"/>
      <c r="P67" s="315"/>
      <c r="Q67" s="315"/>
      <c r="R67" s="315"/>
      <c r="S67" s="315"/>
      <c r="T67" s="315"/>
      <c r="U67" s="315"/>
      <c r="V67" s="315"/>
      <c r="W67" s="315"/>
      <c r="X67" s="315"/>
      <c r="Y67" s="315"/>
      <c r="Z67" s="315"/>
      <c r="AA67" s="315"/>
    </row>
    <row r="68" spans="1:35" ht="15.95" customHeight="1" x14ac:dyDescent="0.3">
      <c r="A68" s="467"/>
      <c r="B68" s="467"/>
      <c r="C68" s="467"/>
      <c r="D68" s="467"/>
      <c r="E68" s="467"/>
      <c r="F68" s="467"/>
      <c r="G68" s="467"/>
      <c r="H68" s="467"/>
      <c r="I68" s="467"/>
      <c r="J68" s="467"/>
      <c r="K68" s="467"/>
      <c r="L68" s="467"/>
      <c r="M68" s="467"/>
      <c r="N68" s="467"/>
      <c r="O68" s="467"/>
      <c r="P68" s="467"/>
      <c r="Q68" s="467"/>
      <c r="R68" s="467"/>
      <c r="S68" s="467"/>
      <c r="T68" s="467"/>
      <c r="U68" s="467"/>
      <c r="V68" s="467"/>
      <c r="W68" s="467"/>
      <c r="X68" s="467"/>
      <c r="Y68" s="467"/>
      <c r="Z68" s="467"/>
      <c r="AA68" s="467"/>
    </row>
    <row r="69" spans="1:35" ht="14.1" customHeight="1" x14ac:dyDescent="0.3">
      <c r="A69" s="35" t="s">
        <v>227</v>
      </c>
      <c r="B69" s="24"/>
      <c r="C69" s="24"/>
      <c r="D69" s="24"/>
      <c r="E69" s="24"/>
      <c r="F69" s="24"/>
      <c r="G69" s="24"/>
      <c r="H69" s="24"/>
      <c r="I69" s="27"/>
      <c r="J69" s="27"/>
      <c r="K69" s="27"/>
      <c r="L69" s="27"/>
      <c r="M69" s="169"/>
      <c r="N69" s="27"/>
      <c r="O69" s="27"/>
      <c r="P69" s="27"/>
      <c r="Q69" s="27"/>
      <c r="R69" s="28"/>
      <c r="S69" s="28"/>
      <c r="T69" s="28"/>
      <c r="U69" s="28"/>
      <c r="V69" s="28"/>
      <c r="W69" s="28"/>
      <c r="X69" s="28"/>
      <c r="Y69" s="28"/>
      <c r="Z69" s="28"/>
      <c r="AA69" s="29"/>
    </row>
    <row r="70" spans="1:35" x14ac:dyDescent="0.3">
      <c r="A70" s="36" t="s">
        <v>228</v>
      </c>
      <c r="B70" s="30"/>
      <c r="C70" s="30"/>
      <c r="D70" s="30"/>
      <c r="E70" s="30"/>
      <c r="F70" s="30"/>
      <c r="G70" s="30"/>
      <c r="H70" s="468" t="str">
        <f>+F18</f>
        <v>23 de enero de 2018</v>
      </c>
      <c r="I70" s="468"/>
      <c r="J70" s="468"/>
      <c r="K70" s="174" t="s">
        <v>229</v>
      </c>
      <c r="L70" s="468" t="str">
        <f>+T18</f>
        <v>30 de diciembre de 2018</v>
      </c>
      <c r="M70" s="468"/>
      <c r="N70" s="468"/>
      <c r="O70" s="468"/>
      <c r="P70" s="37" t="s">
        <v>230</v>
      </c>
      <c r="Q70" s="30"/>
      <c r="R70" s="30"/>
      <c r="S70" s="30"/>
      <c r="T70" s="30"/>
      <c r="U70" s="30"/>
      <c r="V70" s="30"/>
      <c r="W70" s="30"/>
      <c r="X70" s="30"/>
      <c r="Y70" s="30"/>
      <c r="Z70" s="30"/>
      <c r="AA70" s="31"/>
    </row>
    <row r="71" spans="1:35" x14ac:dyDescent="0.3">
      <c r="A71" s="34" t="s">
        <v>231</v>
      </c>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1"/>
    </row>
    <row r="72" spans="1:35" x14ac:dyDescent="0.3">
      <c r="A72" s="60"/>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3"/>
    </row>
    <row r="73" spans="1:35" x14ac:dyDescent="0.3">
      <c r="A73" s="6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3"/>
    </row>
    <row r="74" spans="1:35" x14ac:dyDescent="0.3">
      <c r="A74" s="61"/>
      <c r="B74" s="62"/>
      <c r="C74" s="62"/>
      <c r="D74" s="62"/>
      <c r="E74" s="62"/>
      <c r="F74" s="32"/>
      <c r="G74" s="32"/>
      <c r="H74" s="32"/>
      <c r="I74" s="32"/>
      <c r="J74" s="32"/>
      <c r="K74" s="62"/>
      <c r="L74" s="62"/>
      <c r="M74" s="62"/>
      <c r="N74" s="62"/>
      <c r="O74" s="62"/>
      <c r="P74" s="62"/>
      <c r="Q74" s="32"/>
      <c r="R74" s="32"/>
      <c r="S74" s="32"/>
      <c r="T74" s="32"/>
      <c r="U74" s="62"/>
      <c r="V74" s="62"/>
      <c r="W74" s="62"/>
      <c r="X74" s="62"/>
      <c r="Y74" s="62"/>
      <c r="Z74" s="62"/>
      <c r="AA74" s="33"/>
    </row>
    <row r="75" spans="1:35" x14ac:dyDescent="0.3">
      <c r="A75" s="60" t="str">
        <f>+F12</f>
        <v>JUAN DAVID VILLA ROMERO</v>
      </c>
      <c r="B75" s="32"/>
      <c r="C75" s="32"/>
      <c r="D75" s="32"/>
      <c r="E75" s="32"/>
      <c r="F75" s="32"/>
      <c r="G75" s="32"/>
      <c r="H75" s="32"/>
      <c r="I75" s="32"/>
      <c r="J75" s="32"/>
      <c r="K75" s="32" t="str">
        <f>+F14</f>
        <v>LEIDY YOHANA HERNANDEZ BETANCUR</v>
      </c>
      <c r="L75" s="32"/>
      <c r="M75" s="32"/>
      <c r="N75" s="32"/>
      <c r="O75" s="32"/>
      <c r="P75" s="32"/>
      <c r="Q75" s="32"/>
      <c r="R75" s="32"/>
      <c r="S75" s="32"/>
      <c r="T75" s="32"/>
      <c r="U75" s="32" t="str">
        <f>+F13</f>
        <v>RIGOBERTO LOPERA MUÑOZ</v>
      </c>
      <c r="V75" s="32"/>
      <c r="W75" s="32"/>
      <c r="X75" s="32"/>
      <c r="Y75" s="32"/>
      <c r="Z75" s="32"/>
      <c r="AA75" s="33"/>
    </row>
    <row r="76" spans="1:35" x14ac:dyDescent="0.3">
      <c r="A76" s="61" t="str">
        <f>+A12</f>
        <v>ORDENADOR DEL GASTO</v>
      </c>
      <c r="B76" s="62"/>
      <c r="C76" s="62"/>
      <c r="D76" s="62"/>
      <c r="E76" s="62"/>
      <c r="F76" s="62"/>
      <c r="G76" s="62"/>
      <c r="H76" s="62"/>
      <c r="I76" s="62"/>
      <c r="J76" s="62"/>
      <c r="K76" s="62" t="str">
        <f>+A14</f>
        <v>CONTRATISTA</v>
      </c>
      <c r="L76" s="62"/>
      <c r="M76" s="62"/>
      <c r="N76" s="62"/>
      <c r="O76" s="62"/>
      <c r="P76" s="62"/>
      <c r="Q76" s="62"/>
      <c r="R76" s="62"/>
      <c r="S76" s="62"/>
      <c r="T76" s="62"/>
      <c r="U76" s="62" t="s">
        <v>246</v>
      </c>
      <c r="V76" s="62"/>
      <c r="W76" s="62"/>
      <c r="X76" s="62"/>
      <c r="Y76" s="62"/>
      <c r="Z76" s="62"/>
      <c r="AA76" s="63"/>
    </row>
    <row r="78" spans="1:35" x14ac:dyDescent="0.3">
      <c r="AF78" s="12"/>
    </row>
    <row r="79" spans="1:35" x14ac:dyDescent="0.3">
      <c r="AG79" s="52"/>
      <c r="AH79" s="12"/>
      <c r="AI79" s="12"/>
    </row>
    <row r="80" spans="1:35" x14ac:dyDescent="0.3">
      <c r="AH80" s="12"/>
    </row>
    <row r="81" spans="1:35" x14ac:dyDescent="0.3">
      <c r="A81" s="217"/>
      <c r="B81" s="217"/>
      <c r="C81" s="217"/>
      <c r="D81" s="217"/>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G81" s="52"/>
      <c r="AH81" s="12"/>
      <c r="AI81" s="12"/>
    </row>
    <row r="82" spans="1:35" x14ac:dyDescent="0.3">
      <c r="A82" s="217"/>
      <c r="B82" s="217"/>
      <c r="C82" s="217"/>
      <c r="D82" s="217"/>
      <c r="E82" s="217"/>
      <c r="F82" s="217"/>
      <c r="G82" s="217"/>
      <c r="H82" s="217"/>
      <c r="I82" s="217"/>
      <c r="J82" s="217"/>
      <c r="K82" s="217"/>
      <c r="L82" s="217"/>
      <c r="M82" s="217"/>
      <c r="N82" s="217"/>
      <c r="O82" s="217"/>
      <c r="P82" s="217"/>
      <c r="Q82" s="217"/>
      <c r="R82" s="217"/>
      <c r="S82" s="217"/>
      <c r="T82" s="217"/>
      <c r="U82" s="217"/>
      <c r="V82" s="217"/>
      <c r="W82" s="217"/>
      <c r="X82" s="217"/>
      <c r="Y82" s="217"/>
      <c r="Z82" s="217"/>
      <c r="AA82" s="217"/>
      <c r="AB82" s="217"/>
      <c r="AG82" s="52"/>
      <c r="AH82" s="12"/>
      <c r="AI82" s="12"/>
    </row>
    <row r="83" spans="1:35" x14ac:dyDescent="0.3">
      <c r="A83" s="217"/>
      <c r="B83" s="217"/>
      <c r="C83" s="217"/>
      <c r="D83" s="217"/>
      <c r="E83" s="217"/>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H83" s="12"/>
      <c r="AI83" s="12"/>
    </row>
    <row r="84" spans="1:35" x14ac:dyDescent="0.3">
      <c r="A84" s="217"/>
      <c r="B84" s="217"/>
      <c r="C84" s="217"/>
      <c r="D84" s="217"/>
      <c r="E84" s="217"/>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I84" s="12"/>
    </row>
    <row r="85" spans="1:35" x14ac:dyDescent="0.3">
      <c r="A85" s="217"/>
      <c r="B85" s="217"/>
      <c r="C85" s="217"/>
      <c r="D85" s="217"/>
      <c r="E85" s="217"/>
      <c r="F85" s="217"/>
      <c r="G85" s="217"/>
      <c r="H85" s="217"/>
      <c r="I85" s="217"/>
      <c r="J85" s="217"/>
      <c r="K85" s="217"/>
      <c r="L85" s="217"/>
      <c r="M85" s="217"/>
      <c r="N85" s="217"/>
      <c r="O85" s="217"/>
      <c r="P85" s="217"/>
      <c r="Q85" s="217"/>
      <c r="R85" s="217"/>
      <c r="S85" s="217"/>
      <c r="T85" s="217"/>
      <c r="U85" s="217"/>
      <c r="V85" s="217"/>
      <c r="W85" s="217"/>
      <c r="X85" s="217"/>
      <c r="Y85" s="217"/>
      <c r="Z85" s="217"/>
      <c r="AA85" s="217"/>
      <c r="AB85" s="217"/>
    </row>
    <row r="86" spans="1:35" x14ac:dyDescent="0.3">
      <c r="A86" s="217"/>
      <c r="B86" s="217"/>
      <c r="C86" s="217"/>
      <c r="D86" s="217"/>
      <c r="E86" s="217"/>
      <c r="F86" s="217"/>
      <c r="G86" s="217"/>
      <c r="H86" s="217"/>
      <c r="I86" s="217"/>
      <c r="J86" s="217"/>
      <c r="K86" s="217"/>
      <c r="L86" s="217"/>
      <c r="M86" s="217"/>
      <c r="N86" s="217"/>
      <c r="O86" s="217"/>
      <c r="P86" s="217"/>
      <c r="Q86" s="217"/>
      <c r="R86" s="217"/>
      <c r="S86" s="217"/>
      <c r="T86" s="217"/>
      <c r="U86" s="217"/>
      <c r="V86" s="217"/>
      <c r="W86" s="217"/>
      <c r="X86" s="217"/>
      <c r="Y86" s="217"/>
      <c r="Z86" s="217"/>
      <c r="AA86" s="217"/>
      <c r="AB86" s="217"/>
    </row>
    <row r="87" spans="1:35" x14ac:dyDescent="0.3">
      <c r="A87" s="217"/>
      <c r="B87" s="217"/>
      <c r="C87" s="217"/>
      <c r="D87" s="217"/>
      <c r="E87" s="217"/>
      <c r="F87" s="217"/>
      <c r="G87" s="217"/>
      <c r="H87" s="217"/>
      <c r="I87" s="217"/>
      <c r="J87" s="217"/>
      <c r="K87" s="217"/>
      <c r="L87" s="217"/>
      <c r="M87" s="217"/>
      <c r="N87" s="217"/>
      <c r="O87" s="217"/>
      <c r="P87" s="217"/>
      <c r="Q87" s="217"/>
      <c r="R87" s="217"/>
      <c r="S87" s="217"/>
      <c r="T87" s="217"/>
      <c r="U87" s="217"/>
      <c r="V87" s="217"/>
      <c r="W87" s="217"/>
      <c r="X87" s="217"/>
      <c r="Y87" s="217"/>
      <c r="Z87" s="217"/>
      <c r="AA87" s="217"/>
      <c r="AB87" s="217"/>
    </row>
    <row r="88" spans="1:35" x14ac:dyDescent="0.3">
      <c r="A88" s="217"/>
      <c r="B88" s="217"/>
      <c r="C88" s="217"/>
      <c r="D88" s="217"/>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row>
    <row r="89" spans="1:35" x14ac:dyDescent="0.3">
      <c r="A89" s="217"/>
      <c r="B89" s="217"/>
      <c r="C89" s="217"/>
      <c r="D89" s="217"/>
      <c r="E89" s="217"/>
      <c r="F89" s="217"/>
      <c r="G89" s="217"/>
      <c r="H89" s="217"/>
      <c r="I89" s="217"/>
      <c r="J89" s="217"/>
      <c r="K89" s="217"/>
      <c r="L89" s="217"/>
      <c r="M89" s="217"/>
      <c r="N89" s="217"/>
      <c r="O89" s="217"/>
      <c r="P89" s="217"/>
      <c r="Q89" s="217"/>
      <c r="R89" s="217"/>
      <c r="S89" s="217"/>
      <c r="T89" s="217"/>
      <c r="U89" s="217"/>
      <c r="V89" s="217"/>
      <c r="W89" s="217"/>
      <c r="X89" s="217"/>
      <c r="Y89" s="217"/>
      <c r="Z89" s="217"/>
      <c r="AA89" s="217"/>
      <c r="AB89" s="217"/>
    </row>
    <row r="98" spans="1:12" hidden="1" x14ac:dyDescent="0.3">
      <c r="A98" s="57" t="s">
        <v>146</v>
      </c>
      <c r="B98" s="57"/>
      <c r="D98" s="293">
        <f>+F66</f>
        <v>1800000</v>
      </c>
      <c r="E98" s="293"/>
      <c r="F98" s="293"/>
      <c r="G98" s="57" t="s">
        <v>147</v>
      </c>
      <c r="H98" s="57"/>
      <c r="I98" s="57"/>
      <c r="J98" s="57"/>
      <c r="K98" s="57"/>
      <c r="L98" s="57"/>
    </row>
    <row r="99" spans="1:12" hidden="1" x14ac:dyDescent="0.3">
      <c r="A99" s="57"/>
      <c r="B99" s="57"/>
      <c r="C99" s="57"/>
      <c r="D99" s="57"/>
      <c r="E99" s="57"/>
      <c r="F99" s="57"/>
      <c r="G99" s="57"/>
      <c r="H99" s="57"/>
      <c r="I99" s="57"/>
      <c r="J99" s="57"/>
      <c r="K99" s="57"/>
      <c r="L99" s="57"/>
    </row>
    <row r="100" spans="1:12" hidden="1" x14ac:dyDescent="0.3">
      <c r="A100" s="57" t="s">
        <v>148</v>
      </c>
      <c r="B100" s="57"/>
      <c r="D100" s="57" t="str">
        <f>TRIM(D122)</f>
        <v>Un Millón Ochocientos Mil Pesos M/Cte</v>
      </c>
      <c r="E100" s="57"/>
      <c r="F100" s="57"/>
      <c r="G100" s="57"/>
      <c r="H100" s="57"/>
      <c r="I100" s="57"/>
      <c r="J100" s="57"/>
      <c r="K100" s="57"/>
      <c r="L100" s="57"/>
    </row>
    <row r="101" spans="1:12" hidden="1" x14ac:dyDescent="0.3">
      <c r="A101" s="57"/>
      <c r="B101" s="57"/>
      <c r="C101" s="57"/>
      <c r="D101" s="57"/>
      <c r="E101" s="57"/>
      <c r="F101" s="57"/>
      <c r="G101" s="57"/>
      <c r="H101" s="57"/>
      <c r="I101" s="57"/>
      <c r="J101" s="57"/>
      <c r="K101" s="57"/>
      <c r="L101" s="57"/>
    </row>
    <row r="102" spans="1:12" hidden="1" x14ac:dyDescent="0.3">
      <c r="A102" s="57"/>
      <c r="B102" s="57"/>
      <c r="C102" s="57"/>
      <c r="D102" s="57"/>
      <c r="E102" s="57"/>
      <c r="F102" s="57"/>
      <c r="G102" s="57"/>
      <c r="H102" s="57"/>
      <c r="I102" s="57"/>
      <c r="J102" s="57"/>
      <c r="K102" s="57"/>
      <c r="L102" s="57"/>
    </row>
    <row r="103" spans="1:12" hidden="1" x14ac:dyDescent="0.3">
      <c r="A103" s="57">
        <v>1</v>
      </c>
      <c r="B103" s="57" t="s">
        <v>149</v>
      </c>
      <c r="C103" s="57" t="s">
        <v>150</v>
      </c>
      <c r="D103" s="57"/>
      <c r="E103" s="57">
        <f>INT((D98-(INT(D98/1000000000000000)*1000000000000000))/1000000000000)</f>
        <v>0</v>
      </c>
      <c r="F103" s="57" t="s">
        <v>151</v>
      </c>
      <c r="G103" s="57">
        <f>INT(E103/100)*100</f>
        <v>0</v>
      </c>
      <c r="H103" s="57" t="str">
        <f>IF(AND(G103=100,G104=0,G105=0),IF(G103=0," ",LOOKUP(G103,A102:C147,B102:B147)),IF(G103=0," ",LOOKUP(G103,A102:C147,C102:C147)))</f>
        <v xml:space="preserve"> </v>
      </c>
      <c r="I103" s="57"/>
      <c r="J103" s="57" t="s">
        <v>152</v>
      </c>
      <c r="K103" s="57"/>
      <c r="L103" s="57"/>
    </row>
    <row r="104" spans="1:12" hidden="1" x14ac:dyDescent="0.3">
      <c r="A104" s="57">
        <v>2</v>
      </c>
      <c r="B104" s="57" t="s">
        <v>153</v>
      </c>
      <c r="C104" s="57" t="s">
        <v>153</v>
      </c>
      <c r="D104" s="57"/>
      <c r="E104" s="57">
        <f>+E103-G103</f>
        <v>0</v>
      </c>
      <c r="F104" s="57" t="s">
        <v>154</v>
      </c>
      <c r="G104" s="57">
        <f>INT(E104/10)*10</f>
        <v>0</v>
      </c>
      <c r="H104" s="57" t="str">
        <f>IF(OR(G104=10,G104=20),LOOKUP(E104,A102:C147,C102:C147),IF(AND(G104=100,G105=0,G106=0),IF(G104=0," ",LOOKUP(G104,A102:C147,B102:B147)),IF(G104=0," ",LOOKUP(G104,A102:C147,C102:C147))))</f>
        <v xml:space="preserve"> </v>
      </c>
      <c r="I104" s="57" t="str">
        <f>IF(G105=0," ",IF(AND(G104&gt;20,G104&lt;=90),"y"," "))</f>
        <v xml:space="preserve"> </v>
      </c>
      <c r="J104" s="57"/>
      <c r="K104" s="57"/>
      <c r="L104" s="57"/>
    </row>
    <row r="105" spans="1:12" hidden="1" x14ac:dyDescent="0.3">
      <c r="A105" s="57">
        <v>3</v>
      </c>
      <c r="B105" s="57" t="s">
        <v>155</v>
      </c>
      <c r="C105" s="57" t="s">
        <v>155</v>
      </c>
      <c r="D105" s="57"/>
      <c r="E105" s="57">
        <f>+E104-G104</f>
        <v>0</v>
      </c>
      <c r="F105" s="57" t="s">
        <v>156</v>
      </c>
      <c r="G105" s="57">
        <f>INT(E105)</f>
        <v>0</v>
      </c>
      <c r="H105" s="57" t="str">
        <f>IF(OR(G104=10,G104=20)," ",IF(AND(G105=100,G106=0,G107=0),IF(G105=0," ",LOOKUP(G105,A102:C147,B102:B147)),IF(G105=0," ",LOOKUP(G105,A102:C147,B102:B147))))</f>
        <v xml:space="preserve"> </v>
      </c>
      <c r="I105" s="57" t="str">
        <f>IF(AND(G103=0,G104=0,G105=1),"Billón",IF(SUM(G103:G105)=0," ","Billones"))</f>
        <v xml:space="preserve"> </v>
      </c>
      <c r="J105" s="57"/>
      <c r="K105" s="57"/>
      <c r="L105" s="57"/>
    </row>
    <row r="106" spans="1:12" hidden="1" x14ac:dyDescent="0.3">
      <c r="A106" s="57">
        <v>4</v>
      </c>
      <c r="B106" s="57" t="s">
        <v>157</v>
      </c>
      <c r="C106" s="57" t="s">
        <v>157</v>
      </c>
      <c r="D106" s="57"/>
      <c r="E106" s="57">
        <f>INT((D98-(INT(D98/1000000000000)*1000000000000))/1000000000)</f>
        <v>0</v>
      </c>
      <c r="F106" s="57" t="s">
        <v>151</v>
      </c>
      <c r="G106" s="57">
        <f>INT(E106/100)*100</f>
        <v>0</v>
      </c>
      <c r="H106" s="57" t="str">
        <f>IF(AND(G106=100,G107=0,G108=0),IF(G106=0," ",LOOKUP(G106,A102:C147,B102:B147)),IF(G106=0," ",LOOKUP(G106,A102:C147,C102:C147)))</f>
        <v xml:space="preserve"> </v>
      </c>
      <c r="I106" s="57"/>
      <c r="J106" s="57" t="s">
        <v>158</v>
      </c>
      <c r="K106" s="57"/>
      <c r="L106" s="57"/>
    </row>
    <row r="107" spans="1:12" hidden="1" x14ac:dyDescent="0.3">
      <c r="A107" s="57">
        <v>5</v>
      </c>
      <c r="B107" s="57" t="s">
        <v>159</v>
      </c>
      <c r="C107" s="57" t="s">
        <v>159</v>
      </c>
      <c r="D107" s="57"/>
      <c r="E107" s="57">
        <f>+E106-G106</f>
        <v>0</v>
      </c>
      <c r="F107" s="57" t="s">
        <v>154</v>
      </c>
      <c r="G107" s="57">
        <f>INT(E107/10)*10</f>
        <v>0</v>
      </c>
      <c r="H107" s="57" t="str">
        <f>IF(OR(G107=10,G107=20),LOOKUP(E107,A102:C147,C102:C147),IF(AND(G107=100,G108=0,G109=0),IF(G107=0," ",LOOKUP(G107,A102:C147,B102:B147)),IF(G107=0," ",LOOKUP(G107,A102:C147,C102:C147))))</f>
        <v xml:space="preserve"> </v>
      </c>
      <c r="I107" s="57" t="str">
        <f>IF(G108=0," ",IF(AND(G107&gt;20,G107&lt;=90),"y"," "))</f>
        <v xml:space="preserve"> </v>
      </c>
      <c r="J107" s="57"/>
      <c r="K107" s="57"/>
      <c r="L107" s="57"/>
    </row>
    <row r="108" spans="1:12" hidden="1" x14ac:dyDescent="0.3">
      <c r="A108" s="57">
        <v>6</v>
      </c>
      <c r="B108" s="57" t="s">
        <v>160</v>
      </c>
      <c r="C108" s="57" t="s">
        <v>160</v>
      </c>
      <c r="D108" s="57"/>
      <c r="E108" s="57">
        <f>+E107-G107</f>
        <v>0</v>
      </c>
      <c r="F108" s="57" t="s">
        <v>156</v>
      </c>
      <c r="G108" s="57">
        <f>INT(E108)</f>
        <v>0</v>
      </c>
      <c r="H108" s="57" t="str">
        <f>IF(AND(G106=0,G107=0,G108=1)," ",IF(AND(G103=0,G104=0,G105=0,G106=0,G107=0,G108=1)," ",IF(OR(G107=10,G107=20)," ",IF(AND(G108=100,G109=0,G110=0),IF(G108=0," ",LOOKUP(G108,A102:C147,B102:B147)),IF(G108=0," ",LOOKUP(G108,A102:C147,B102:B147))))))</f>
        <v xml:space="preserve"> </v>
      </c>
      <c r="I108" s="57" t="str">
        <f>IF(AND(G106=0,G107=0,G108=1),"Mil",IF(SUM(G106:G108)=0," ","Mil"))</f>
        <v xml:space="preserve"> </v>
      </c>
      <c r="J108" s="57"/>
      <c r="K108" s="57"/>
      <c r="L108" s="57"/>
    </row>
    <row r="109" spans="1:12" hidden="1" x14ac:dyDescent="0.3">
      <c r="A109" s="57">
        <v>7</v>
      </c>
      <c r="B109" s="57" t="s">
        <v>161</v>
      </c>
      <c r="C109" s="57" t="s">
        <v>161</v>
      </c>
      <c r="D109" s="57"/>
      <c r="E109" s="57">
        <f>INT((D98-(INT(D98/1000000000)*1000000000))/1000000)</f>
        <v>1</v>
      </c>
      <c r="F109" s="57" t="s">
        <v>151</v>
      </c>
      <c r="G109" s="57">
        <f>INT(E109/100)*100</f>
        <v>0</v>
      </c>
      <c r="H109" s="57" t="str">
        <f>IF(AND(G109=100,G110=0,G111=0),IF(G109=0," ",LOOKUP(G109,A102:C147,B102:B147)),IF(G109=0," ",LOOKUP(G109,A102:C147,C102:C147)))</f>
        <v xml:space="preserve"> </v>
      </c>
      <c r="I109" s="57"/>
      <c r="J109" s="57" t="s">
        <v>162</v>
      </c>
      <c r="K109" s="57"/>
      <c r="L109" s="57"/>
    </row>
    <row r="110" spans="1:12" hidden="1" x14ac:dyDescent="0.3">
      <c r="A110" s="57">
        <v>8</v>
      </c>
      <c r="B110" s="57" t="s">
        <v>163</v>
      </c>
      <c r="C110" s="57" t="s">
        <v>163</v>
      </c>
      <c r="D110" s="57"/>
      <c r="E110" s="57">
        <f>+E109-G109</f>
        <v>1</v>
      </c>
      <c r="F110" s="57" t="s">
        <v>154</v>
      </c>
      <c r="G110" s="57">
        <f>INT(E110/10)*10</f>
        <v>0</v>
      </c>
      <c r="H110" s="57" t="str">
        <f>IF(OR(G110=10,G110=20),LOOKUP(E110,A102:C147,C102:C147),IF(AND(G110=100,G111=0,G115=0),IF(G110=0," ",LOOKUP(G110,A102:C147,B102:B147)),IF(G110=0," ",LOOKUP(G110,A102:C147,C102:C147))))</f>
        <v xml:space="preserve"> </v>
      </c>
      <c r="I110" s="57" t="str">
        <f>IF(G111=0," ",IF(AND(G110&gt;20,G110&lt;=90),"y"," "))</f>
        <v xml:space="preserve"> </v>
      </c>
      <c r="J110" s="57"/>
      <c r="K110" s="57"/>
      <c r="L110" s="57"/>
    </row>
    <row r="111" spans="1:12" hidden="1" x14ac:dyDescent="0.3">
      <c r="A111" s="57">
        <v>9</v>
      </c>
      <c r="B111" s="57" t="s">
        <v>164</v>
      </c>
      <c r="C111" s="57" t="s">
        <v>164</v>
      </c>
      <c r="D111" s="57"/>
      <c r="E111" s="57">
        <f>+E110-G110</f>
        <v>1</v>
      </c>
      <c r="F111" s="57" t="s">
        <v>156</v>
      </c>
      <c r="G111" s="57">
        <f>INT(E111)</f>
        <v>1</v>
      </c>
      <c r="H111" s="57" t="str">
        <f>IF(AND(G109=0,G110=0,G111=1),"Un",IF(AND(G106=0,G107=0,G108=0,G109=0,G110=0,G111=1)," ",IF(OR(G110=10,G110=20)," ",IF(AND(G111=100,G115=0,G122=0),IF(G111=0," ",LOOKUP(G111,A102:C147,B102:B147)),IF(G111=0," ",LOOKUP(G111,A102:C147,B102:B147))))))</f>
        <v>Un</v>
      </c>
      <c r="I111" s="57" t="str">
        <f>IF(AND(OR(G106&gt;0,G107&gt;0,G108&gt;0),G109=0,G110=0,G111=0),"Millones",IF(AND(G106=0,G107=0,G108=0,G109=0,G110=0,G111=1),"Millón",IF(SUM(G109:G111)=0," ","Millones")))</f>
        <v>Millón</v>
      </c>
      <c r="J111" s="57"/>
      <c r="K111" s="57"/>
      <c r="L111" s="57"/>
    </row>
    <row r="112" spans="1:12" hidden="1" x14ac:dyDescent="0.3">
      <c r="A112" s="57">
        <v>10</v>
      </c>
      <c r="B112" s="57" t="s">
        <v>165</v>
      </c>
      <c r="C112" s="57" t="s">
        <v>165</v>
      </c>
      <c r="D112" s="57"/>
      <c r="E112" s="57">
        <f>INT((D98-(INT(D98/1000000)*1000000))/1000)</f>
        <v>800</v>
      </c>
      <c r="F112" s="57" t="s">
        <v>151</v>
      </c>
      <c r="G112" s="57">
        <f>INT(E112/100)*100</f>
        <v>800</v>
      </c>
      <c r="H112" s="57" t="str">
        <f>IF(AND(G112=100,G113=0,G114=0),IF(G112=0," ",LOOKUP(G112,A102:C147,B102:B147)),IF(G112=0," ",LOOKUP(G112,A102:C147,C102:C147)))</f>
        <v>Ochocientos</v>
      </c>
      <c r="I112" s="57"/>
      <c r="J112" s="57" t="s">
        <v>166</v>
      </c>
      <c r="K112" s="57"/>
      <c r="L112" s="57"/>
    </row>
    <row r="113" spans="1:12" hidden="1" x14ac:dyDescent="0.3">
      <c r="A113" s="57">
        <v>11</v>
      </c>
      <c r="B113" s="57" t="s">
        <v>167</v>
      </c>
      <c r="C113" s="57" t="s">
        <v>167</v>
      </c>
      <c r="D113" s="57"/>
      <c r="E113" s="57">
        <f>+E112-G112</f>
        <v>0</v>
      </c>
      <c r="F113" s="57" t="s">
        <v>154</v>
      </c>
      <c r="G113" s="57">
        <f>INT(E113/10)*10</f>
        <v>0</v>
      </c>
      <c r="H113" s="57" t="str">
        <f>IF(OR(G113=10,G113=20),LOOKUP(E113,A102:C147,C102:C147),IF(AND(G113=100,G114=0,F120=0),IF(G113=0," ",LOOKUP(G113,A102:C147,B102:B147)),IF(G113=0," ",LOOKUP(G113,A102:C147,C102:C147))))</f>
        <v xml:space="preserve"> </v>
      </c>
      <c r="I113" s="57" t="str">
        <f>IF(G114=0," ",IF(AND(G113&gt;20,G113&lt;=90),"y"," "))</f>
        <v xml:space="preserve"> </v>
      </c>
      <c r="J113" s="57"/>
      <c r="K113" s="57"/>
      <c r="L113" s="57"/>
    </row>
    <row r="114" spans="1:12" hidden="1" x14ac:dyDescent="0.3">
      <c r="A114" s="57">
        <v>12</v>
      </c>
      <c r="B114" s="57" t="s">
        <v>168</v>
      </c>
      <c r="C114" s="57" t="s">
        <v>168</v>
      </c>
      <c r="D114" s="57"/>
      <c r="E114" s="57">
        <f>+E113-G113</f>
        <v>0</v>
      </c>
      <c r="F114" s="57" t="s">
        <v>156</v>
      </c>
      <c r="G114" s="57">
        <f>INT(E114)</f>
        <v>0</v>
      </c>
      <c r="H114" s="57" t="str">
        <f>IF(AND(G112=0,G113=0,G114=1)," ",IF(AND(G109=0,G110=0,G111=0,G112=0,G113=0,G114=1)," ",IF(OR(G113=10,G113=20)," ",IF(AND(G114=100,F120=0,F121=0),IF(G114=0," ",LOOKUP(G114,A102:C147,B102:B147)),IF(G114=0," ",LOOKUP(G114,A102:C147,B102:B147))))))</f>
        <v xml:space="preserve"> </v>
      </c>
      <c r="I114" s="57" t="str">
        <f>IF(AND(G112=0,G113=0,G114=1),"Mil",IF(SUM(G112:G114)=0," ","Mil"))</f>
        <v>Mil</v>
      </c>
      <c r="J114" s="57"/>
      <c r="K114" s="57"/>
      <c r="L114" s="57"/>
    </row>
    <row r="115" spans="1:12" hidden="1" x14ac:dyDescent="0.3">
      <c r="A115" s="57">
        <v>13</v>
      </c>
      <c r="B115" s="57" t="s">
        <v>169</v>
      </c>
      <c r="C115" s="57" t="s">
        <v>169</v>
      </c>
      <c r="D115" s="57"/>
      <c r="E115" s="57">
        <f>INT((D98-(INT(D98/1000)*1000))/1)</f>
        <v>0</v>
      </c>
      <c r="F115" s="57" t="s">
        <v>151</v>
      </c>
      <c r="G115" s="57">
        <f>INT(E115/100)*100</f>
        <v>0</v>
      </c>
      <c r="H115" s="57" t="str">
        <f>IF(AND(G115=100,G116=0,G117=0),IF(G115=0," ",LOOKUP(G115,A102:C147,B102:B147)),IF(G115=0," ",LOOKUP(G115,A102:C147,C102:C147)))</f>
        <v xml:space="preserve"> </v>
      </c>
      <c r="I115" s="57"/>
      <c r="J115" s="57" t="s">
        <v>170</v>
      </c>
      <c r="K115" s="57"/>
      <c r="L115" s="57"/>
    </row>
    <row r="116" spans="1:12" hidden="1" x14ac:dyDescent="0.3">
      <c r="A116" s="57">
        <v>14</v>
      </c>
      <c r="B116" s="57" t="s">
        <v>171</v>
      </c>
      <c r="C116" s="57" t="s">
        <v>171</v>
      </c>
      <c r="D116" s="57"/>
      <c r="E116" s="57">
        <f>+E115-G115</f>
        <v>0</v>
      </c>
      <c r="F116" s="57" t="s">
        <v>154</v>
      </c>
      <c r="G116" s="57">
        <f>INT(E116/10)*10</f>
        <v>0</v>
      </c>
      <c r="H116" s="57" t="str">
        <f>IF(OR(G116=10,G116=20),LOOKUP(E116,A102:C147,C102:C147),IF(AND(G116=100,G117=0,G127=0),IF(G116=0," ",LOOKUP(G116,A102:C147,B102:B147)),IF(G116=0," ",LOOKUP(G116,A102:C147,C102:C147))))</f>
        <v xml:space="preserve"> </v>
      </c>
      <c r="I116" s="57" t="str">
        <f>IF(G117=0," ",IF(AND(G116&gt;20,G116&lt;=90),"y"," "))</f>
        <v xml:space="preserve"> </v>
      </c>
      <c r="J116" s="57"/>
      <c r="K116" s="57"/>
      <c r="L116" s="57"/>
    </row>
    <row r="117" spans="1:12" hidden="1" x14ac:dyDescent="0.3">
      <c r="A117" s="57">
        <v>15</v>
      </c>
      <c r="B117" s="57" t="s">
        <v>172</v>
      </c>
      <c r="C117" s="57" t="s">
        <v>172</v>
      </c>
      <c r="D117" s="57"/>
      <c r="E117" s="57">
        <f>+E116-G116</f>
        <v>0</v>
      </c>
      <c r="F117" s="57" t="s">
        <v>156</v>
      </c>
      <c r="G117" s="57">
        <f>INT(E117)</f>
        <v>0</v>
      </c>
      <c r="H117" s="57" t="str">
        <f>IF(AND(G115=0,G116=0,G117=1),"Un",IF(AND(G112=0,G113=0,G114=0,G115=0,G116=0,G117=1)," ",IF(OR(G116=10,G116=20)," ",IF(AND(G117=100,G127=0,G128=0),IF(G117=0," ",LOOKUP(G117,A102:C147,B102:B147)),IF(G117=0," ",LOOKUP(G117,A102:C147,B102:B147))))))</f>
        <v xml:space="preserve"> </v>
      </c>
      <c r="I117" s="57"/>
      <c r="J117" s="57"/>
      <c r="K117" s="57"/>
      <c r="L117" s="57"/>
    </row>
    <row r="118" spans="1:12" hidden="1" x14ac:dyDescent="0.3">
      <c r="A118" s="57">
        <v>16</v>
      </c>
      <c r="B118" s="57" t="s">
        <v>173</v>
      </c>
      <c r="C118" s="57" t="s">
        <v>173</v>
      </c>
      <c r="D118" s="57"/>
      <c r="E118" s="57"/>
      <c r="F118" s="57"/>
      <c r="G118" s="57"/>
      <c r="H118" s="57"/>
      <c r="I118" s="57"/>
      <c r="J118" s="57"/>
      <c r="K118" s="57"/>
      <c r="L118" s="57"/>
    </row>
    <row r="119" spans="1:12" hidden="1" x14ac:dyDescent="0.3">
      <c r="A119" s="57">
        <v>17</v>
      </c>
      <c r="B119" s="57" t="s">
        <v>174</v>
      </c>
      <c r="C119" s="57" t="s">
        <v>174</v>
      </c>
      <c r="D119" s="57"/>
      <c r="E119" s="57"/>
      <c r="F119" s="57"/>
      <c r="G119" s="57"/>
      <c r="H119" s="57"/>
      <c r="I119" s="57"/>
      <c r="J119" s="57"/>
      <c r="K119" s="57"/>
      <c r="L119" s="57"/>
    </row>
    <row r="120" spans="1:12" hidden="1" x14ac:dyDescent="0.3">
      <c r="A120" s="57">
        <v>18</v>
      </c>
      <c r="B120" s="57" t="s">
        <v>175</v>
      </c>
      <c r="C120" s="57" t="s">
        <v>175</v>
      </c>
      <c r="D120" s="57"/>
      <c r="E120" s="57"/>
      <c r="F120" s="57"/>
      <c r="G120" s="57"/>
      <c r="H120" s="57"/>
      <c r="I120" s="57"/>
      <c r="J120" s="57"/>
      <c r="K120" s="57"/>
      <c r="L120" s="57"/>
    </row>
    <row r="121" spans="1:12" hidden="1" x14ac:dyDescent="0.3">
      <c r="A121" s="57">
        <v>19</v>
      </c>
      <c r="B121" s="57" t="s">
        <v>176</v>
      </c>
      <c r="C121" s="57" t="s">
        <v>176</v>
      </c>
      <c r="D121" s="57"/>
      <c r="E121" s="57"/>
      <c r="F121" s="57"/>
      <c r="G121" s="57"/>
      <c r="H121" s="57"/>
      <c r="I121" s="57"/>
      <c r="J121" s="57"/>
      <c r="K121" s="57"/>
      <c r="L121" s="57"/>
    </row>
    <row r="122" spans="1:12" hidden="1" x14ac:dyDescent="0.3">
      <c r="A122" s="57">
        <v>20</v>
      </c>
      <c r="B122" s="57" t="s">
        <v>177</v>
      </c>
      <c r="C122" s="57" t="s">
        <v>177</v>
      </c>
      <c r="D122" s="57" t="str">
        <f>H103&amp;" "&amp;H104&amp;" "&amp;I104&amp;" "&amp;" "&amp;H105&amp;" "&amp;I105&amp;" "&amp;H106&amp;" "&amp;H107&amp;" "&amp;I107&amp;" "&amp;" "&amp;H108&amp;" "&amp;I108&amp;" "&amp;H109&amp;" "&amp;H110&amp;" "&amp;I110&amp;" "&amp;H111&amp;" "&amp;I111&amp;" "&amp;H112&amp;" "&amp;H113&amp;" "&amp;I113&amp;" "&amp;H114&amp;" "&amp;I114&amp;" "&amp;H115&amp;" "&amp;H116&amp;" "&amp;I116&amp;" "&amp;H117&amp;" "&amp;H124</f>
        <v xml:space="preserve">                            Un Millón Ochocientos       Mil         Pesos M/Cte</v>
      </c>
      <c r="E122" s="57"/>
      <c r="F122" s="57"/>
      <c r="G122" s="57"/>
      <c r="H122" s="57"/>
      <c r="I122" s="57"/>
      <c r="J122" s="57"/>
      <c r="K122" s="57"/>
      <c r="L122" s="57"/>
    </row>
    <row r="123" spans="1:12" hidden="1" x14ac:dyDescent="0.3">
      <c r="A123" s="57">
        <v>21</v>
      </c>
      <c r="B123" s="57" t="s">
        <v>178</v>
      </c>
      <c r="C123" s="57" t="s">
        <v>179</v>
      </c>
      <c r="D123" s="57"/>
      <c r="E123" s="57"/>
      <c r="F123" s="57"/>
      <c r="G123" s="57"/>
      <c r="H123" s="57"/>
      <c r="I123" s="57"/>
      <c r="J123" s="57"/>
      <c r="K123" s="57"/>
      <c r="L123" s="57"/>
    </row>
    <row r="124" spans="1:12" hidden="1" x14ac:dyDescent="0.3">
      <c r="A124" s="57">
        <v>22</v>
      </c>
      <c r="B124" s="57" t="s">
        <v>180</v>
      </c>
      <c r="C124" s="57" t="s">
        <v>180</v>
      </c>
      <c r="D124" s="57"/>
      <c r="E124" s="57"/>
      <c r="F124" s="57"/>
      <c r="G124" s="57"/>
      <c r="H124" s="57" t="str">
        <f>IF(F125&lt;&gt;0,"de Pesos M/Cte",IF(D98=1,"Peso M/Cte","Pesos M/Cte"))</f>
        <v>Pesos M/Cte</v>
      </c>
      <c r="I124" s="57"/>
      <c r="J124" s="57"/>
      <c r="K124" s="57"/>
      <c r="L124" s="57"/>
    </row>
    <row r="125" spans="1:12" hidden="1" x14ac:dyDescent="0.3">
      <c r="A125" s="57">
        <v>23</v>
      </c>
      <c r="B125" s="57" t="s">
        <v>181</v>
      </c>
      <c r="C125" s="57" t="s">
        <v>181</v>
      </c>
      <c r="D125" s="57"/>
      <c r="E125" s="57">
        <f>D98/1000000</f>
        <v>1.8</v>
      </c>
      <c r="F125" s="57">
        <f>IF(E125=INT(E125),"De Pesos M/Cte",0)</f>
        <v>0</v>
      </c>
      <c r="G125" s="57"/>
      <c r="H125" s="57"/>
      <c r="I125" s="57"/>
      <c r="J125" s="57"/>
      <c r="K125" s="57"/>
      <c r="L125" s="57"/>
    </row>
    <row r="126" spans="1:12" hidden="1" x14ac:dyDescent="0.3">
      <c r="A126" s="57">
        <v>24</v>
      </c>
      <c r="B126" s="57" t="s">
        <v>182</v>
      </c>
      <c r="C126" s="57" t="s">
        <v>182</v>
      </c>
      <c r="D126" s="57"/>
      <c r="E126" s="57"/>
      <c r="F126" s="57"/>
      <c r="G126" s="57"/>
      <c r="H126" s="57"/>
      <c r="I126" s="57"/>
      <c r="J126" s="57"/>
      <c r="K126" s="57"/>
      <c r="L126" s="57"/>
    </row>
    <row r="127" spans="1:12" hidden="1" x14ac:dyDescent="0.3">
      <c r="A127" s="57">
        <v>25</v>
      </c>
      <c r="B127" s="57" t="s">
        <v>183</v>
      </c>
      <c r="C127" s="57" t="s">
        <v>183</v>
      </c>
      <c r="D127" s="57"/>
      <c r="E127" s="57"/>
      <c r="F127" s="57"/>
      <c r="G127" s="57"/>
      <c r="H127" s="57"/>
      <c r="I127" s="57"/>
      <c r="J127" s="57"/>
      <c r="K127" s="57"/>
      <c r="L127" s="57"/>
    </row>
    <row r="128" spans="1:12" hidden="1" x14ac:dyDescent="0.3">
      <c r="A128" s="57">
        <v>26</v>
      </c>
      <c r="B128" s="57" t="s">
        <v>184</v>
      </c>
      <c r="C128" s="57" t="s">
        <v>184</v>
      </c>
      <c r="D128" s="57"/>
      <c r="E128" s="57"/>
      <c r="F128" s="57"/>
      <c r="G128" s="57"/>
      <c r="H128" s="57"/>
      <c r="I128" s="57"/>
      <c r="J128" s="57"/>
      <c r="K128" s="57"/>
      <c r="L128" s="57"/>
    </row>
    <row r="129" spans="1:12" hidden="1" x14ac:dyDescent="0.3">
      <c r="A129" s="57">
        <v>27</v>
      </c>
      <c r="B129" s="57" t="s">
        <v>185</v>
      </c>
      <c r="C129" s="57" t="s">
        <v>185</v>
      </c>
      <c r="D129" s="57"/>
      <c r="E129" s="57"/>
      <c r="F129" s="57"/>
      <c r="G129" s="57"/>
      <c r="H129" s="57"/>
      <c r="I129" s="57"/>
      <c r="J129" s="57"/>
      <c r="K129" s="57"/>
      <c r="L129" s="57"/>
    </row>
    <row r="130" spans="1:12" hidden="1" x14ac:dyDescent="0.3">
      <c r="A130" s="57">
        <v>28</v>
      </c>
      <c r="B130" s="57" t="s">
        <v>186</v>
      </c>
      <c r="C130" s="57" t="s">
        <v>186</v>
      </c>
      <c r="D130" s="57"/>
      <c r="E130" s="57"/>
      <c r="F130" s="57"/>
      <c r="G130" s="57"/>
      <c r="H130" s="57"/>
      <c r="I130" s="57"/>
      <c r="J130" s="57"/>
      <c r="K130" s="57"/>
      <c r="L130" s="57"/>
    </row>
    <row r="131" spans="1:12" hidden="1" x14ac:dyDescent="0.3">
      <c r="A131" s="57">
        <v>29</v>
      </c>
      <c r="B131" s="57" t="s">
        <v>187</v>
      </c>
      <c r="C131" s="57" t="s">
        <v>187</v>
      </c>
      <c r="D131" s="57"/>
      <c r="E131" s="57"/>
      <c r="F131" s="57"/>
      <c r="G131" s="57"/>
      <c r="H131" s="57"/>
      <c r="I131" s="57"/>
      <c r="J131" s="57"/>
      <c r="K131" s="57"/>
      <c r="L131" s="57"/>
    </row>
    <row r="132" spans="1:12" hidden="1" x14ac:dyDescent="0.3">
      <c r="A132" s="57">
        <v>30</v>
      </c>
      <c r="B132" s="57" t="s">
        <v>188</v>
      </c>
      <c r="C132" s="57" t="s">
        <v>188</v>
      </c>
      <c r="D132" s="57"/>
      <c r="E132" s="57"/>
      <c r="F132" s="57"/>
      <c r="G132" s="57"/>
      <c r="H132" s="57"/>
      <c r="I132" s="57"/>
      <c r="J132" s="57"/>
      <c r="K132" s="57"/>
      <c r="L132" s="57"/>
    </row>
    <row r="133" spans="1:12" hidden="1" x14ac:dyDescent="0.3">
      <c r="A133" s="57">
        <v>40</v>
      </c>
      <c r="B133" s="57" t="s">
        <v>189</v>
      </c>
      <c r="C133" s="57" t="s">
        <v>189</v>
      </c>
      <c r="D133" s="57"/>
      <c r="E133" s="57"/>
      <c r="F133" s="57"/>
      <c r="G133" s="57"/>
      <c r="H133" s="57"/>
      <c r="I133" s="57"/>
      <c r="J133" s="57"/>
      <c r="K133" s="57"/>
      <c r="L133" s="57"/>
    </row>
    <row r="134" spans="1:12" hidden="1" x14ac:dyDescent="0.3">
      <c r="A134" s="57">
        <v>50</v>
      </c>
      <c r="B134" s="57" t="s">
        <v>190</v>
      </c>
      <c r="C134" s="57" t="s">
        <v>190</v>
      </c>
      <c r="D134" s="57"/>
      <c r="E134" s="57"/>
      <c r="F134" s="57"/>
      <c r="G134" s="57"/>
      <c r="H134" s="57"/>
      <c r="I134" s="57"/>
      <c r="J134" s="57"/>
      <c r="K134" s="57"/>
      <c r="L134" s="57"/>
    </row>
    <row r="135" spans="1:12" hidden="1" x14ac:dyDescent="0.3">
      <c r="A135" s="57">
        <v>60</v>
      </c>
      <c r="B135" s="57" t="s">
        <v>191</v>
      </c>
      <c r="C135" s="57" t="s">
        <v>191</v>
      </c>
      <c r="D135" s="57"/>
      <c r="E135" s="57"/>
      <c r="F135" s="57"/>
      <c r="G135" s="57"/>
      <c r="H135" s="57"/>
      <c r="I135" s="57"/>
      <c r="J135" s="57"/>
      <c r="K135" s="57"/>
      <c r="L135" s="57"/>
    </row>
    <row r="136" spans="1:12" hidden="1" x14ac:dyDescent="0.3">
      <c r="A136" s="57">
        <v>70</v>
      </c>
      <c r="B136" s="57" t="s">
        <v>192</v>
      </c>
      <c r="C136" s="57" t="s">
        <v>192</v>
      </c>
      <c r="D136" s="57"/>
      <c r="E136" s="57"/>
      <c r="F136" s="57"/>
      <c r="G136" s="57"/>
      <c r="H136" s="57"/>
      <c r="I136" s="57"/>
      <c r="J136" s="57"/>
      <c r="K136" s="57"/>
      <c r="L136" s="57"/>
    </row>
    <row r="137" spans="1:12" hidden="1" x14ac:dyDescent="0.3">
      <c r="A137" s="57">
        <v>80</v>
      </c>
      <c r="B137" s="57" t="s">
        <v>193</v>
      </c>
      <c r="C137" s="57" t="s">
        <v>193</v>
      </c>
      <c r="D137" s="57"/>
      <c r="E137" s="57"/>
      <c r="F137" s="57"/>
      <c r="G137" s="57"/>
      <c r="H137" s="57"/>
      <c r="I137" s="57"/>
      <c r="J137" s="57"/>
      <c r="K137" s="57"/>
      <c r="L137" s="57"/>
    </row>
    <row r="138" spans="1:12" hidden="1" x14ac:dyDescent="0.3">
      <c r="A138" s="57">
        <v>90</v>
      </c>
      <c r="B138" s="57" t="s">
        <v>194</v>
      </c>
      <c r="C138" s="57" t="s">
        <v>194</v>
      </c>
      <c r="D138" s="57"/>
      <c r="E138" s="57"/>
      <c r="F138" s="57"/>
      <c r="G138" s="57"/>
      <c r="H138" s="57"/>
      <c r="I138" s="57"/>
      <c r="J138" s="57"/>
      <c r="K138" s="57"/>
      <c r="L138" s="57"/>
    </row>
    <row r="139" spans="1:12" hidden="1" x14ac:dyDescent="0.3">
      <c r="A139" s="57">
        <v>100</v>
      </c>
      <c r="B139" s="57" t="s">
        <v>195</v>
      </c>
      <c r="C139" s="57" t="s">
        <v>196</v>
      </c>
      <c r="D139" s="57"/>
      <c r="E139" s="57"/>
      <c r="F139" s="57"/>
      <c r="G139" s="57"/>
      <c r="H139" s="57"/>
      <c r="I139" s="57"/>
      <c r="J139" s="57"/>
      <c r="K139" s="57"/>
      <c r="L139" s="57"/>
    </row>
    <row r="140" spans="1:12" hidden="1" x14ac:dyDescent="0.3">
      <c r="A140" s="57">
        <v>200</v>
      </c>
      <c r="B140" s="57" t="s">
        <v>197</v>
      </c>
      <c r="C140" s="57" t="s">
        <v>197</v>
      </c>
      <c r="D140" s="57"/>
      <c r="E140" s="57"/>
      <c r="F140" s="57"/>
      <c r="G140" s="57"/>
      <c r="H140" s="57"/>
      <c r="I140" s="57"/>
      <c r="J140" s="57"/>
      <c r="K140" s="57"/>
      <c r="L140" s="57"/>
    </row>
    <row r="141" spans="1:12" hidden="1" x14ac:dyDescent="0.3">
      <c r="A141" s="57">
        <v>300</v>
      </c>
      <c r="B141" s="57" t="s">
        <v>198</v>
      </c>
      <c r="C141" s="57" t="s">
        <v>198</v>
      </c>
      <c r="D141" s="57"/>
      <c r="E141" s="57"/>
      <c r="F141" s="57"/>
      <c r="G141" s="57"/>
      <c r="H141" s="57"/>
      <c r="I141" s="57"/>
      <c r="J141" s="57"/>
      <c r="K141" s="57"/>
      <c r="L141" s="57"/>
    </row>
    <row r="142" spans="1:12" hidden="1" x14ac:dyDescent="0.3">
      <c r="A142" s="57">
        <v>400</v>
      </c>
      <c r="B142" s="57" t="s">
        <v>199</v>
      </c>
      <c r="C142" s="57" t="s">
        <v>199</v>
      </c>
      <c r="D142" s="57"/>
      <c r="E142" s="57"/>
      <c r="F142" s="57"/>
      <c r="G142" s="57"/>
      <c r="H142" s="57"/>
      <c r="I142" s="57"/>
      <c r="J142" s="57"/>
      <c r="K142" s="57"/>
      <c r="L142" s="57"/>
    </row>
    <row r="143" spans="1:12" hidden="1" x14ac:dyDescent="0.3">
      <c r="A143" s="57">
        <v>500</v>
      </c>
      <c r="B143" s="57" t="s">
        <v>200</v>
      </c>
      <c r="C143" s="57" t="s">
        <v>200</v>
      </c>
      <c r="D143" s="57"/>
      <c r="E143" s="57"/>
      <c r="F143" s="57"/>
      <c r="G143" s="57"/>
      <c r="H143" s="57"/>
      <c r="I143" s="57"/>
      <c r="J143" s="57"/>
      <c r="K143" s="57"/>
      <c r="L143" s="57"/>
    </row>
    <row r="144" spans="1:12" hidden="1" x14ac:dyDescent="0.3">
      <c r="A144" s="57">
        <v>600</v>
      </c>
      <c r="B144" s="57" t="s">
        <v>201</v>
      </c>
      <c r="C144" s="57" t="s">
        <v>201</v>
      </c>
      <c r="D144" s="57"/>
      <c r="E144" s="57"/>
      <c r="F144" s="57"/>
      <c r="G144" s="57"/>
      <c r="H144" s="57"/>
      <c r="I144" s="57"/>
      <c r="J144" s="57"/>
      <c r="K144" s="57"/>
      <c r="L144" s="57"/>
    </row>
    <row r="145" spans="1:12" hidden="1" x14ac:dyDescent="0.3">
      <c r="A145" s="57">
        <v>700</v>
      </c>
      <c r="B145" s="57" t="s">
        <v>202</v>
      </c>
      <c r="C145" s="57" t="s">
        <v>202</v>
      </c>
      <c r="D145" s="57"/>
      <c r="E145" s="57"/>
      <c r="F145" s="57"/>
      <c r="G145" s="57"/>
      <c r="H145" s="57"/>
      <c r="I145" s="57"/>
      <c r="J145" s="57"/>
      <c r="K145" s="57"/>
      <c r="L145" s="57"/>
    </row>
    <row r="146" spans="1:12" hidden="1" x14ac:dyDescent="0.3">
      <c r="A146" s="57">
        <v>800</v>
      </c>
      <c r="B146" s="57" t="s">
        <v>203</v>
      </c>
      <c r="C146" s="57" t="s">
        <v>203</v>
      </c>
      <c r="D146" s="57"/>
      <c r="E146" s="57"/>
      <c r="F146" s="57"/>
      <c r="G146" s="57"/>
      <c r="H146" s="57"/>
      <c r="I146" s="57"/>
      <c r="J146" s="57"/>
      <c r="K146" s="57"/>
      <c r="L146" s="57"/>
    </row>
    <row r="147" spans="1:12" hidden="1" x14ac:dyDescent="0.3">
      <c r="A147" s="57">
        <v>900</v>
      </c>
      <c r="B147" s="57" t="s">
        <v>204</v>
      </c>
      <c r="C147" s="57" t="s">
        <v>204</v>
      </c>
      <c r="D147" s="57"/>
      <c r="E147" s="57"/>
      <c r="F147" s="57"/>
      <c r="G147" s="57"/>
      <c r="H147" s="57"/>
      <c r="I147" s="57"/>
      <c r="J147" s="57"/>
      <c r="K147" s="57"/>
      <c r="L147" s="57"/>
    </row>
  </sheetData>
  <sheetProtection password="CCE3" sheet="1" objects="1" scenarios="1" formatCells="0" insertRows="0"/>
  <mergeCells count="296">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B38:O38"/>
    <mergeCell ref="B39:O39"/>
    <mergeCell ref="B40:O40"/>
    <mergeCell ref="B41:O41"/>
    <mergeCell ref="B42:O42"/>
    <mergeCell ref="B43:O43"/>
    <mergeCell ref="B32:O32"/>
    <mergeCell ref="B33:O33"/>
    <mergeCell ref="B34:O34"/>
    <mergeCell ref="B35:O35"/>
    <mergeCell ref="B36:O36"/>
    <mergeCell ref="B37:O37"/>
    <mergeCell ref="B44:O44"/>
    <mergeCell ref="A45:C46"/>
    <mergeCell ref="D45:AA46"/>
    <mergeCell ref="B47:O47"/>
    <mergeCell ref="P47:AA47"/>
    <mergeCell ref="B48:I48"/>
    <mergeCell ref="K48:M48"/>
    <mergeCell ref="N48:O48"/>
    <mergeCell ref="P48:R48"/>
    <mergeCell ref="S48:U48"/>
    <mergeCell ref="V48:X48"/>
    <mergeCell ref="Y48:AA48"/>
    <mergeCell ref="B49:E49"/>
    <mergeCell ref="F49:I49"/>
    <mergeCell ref="K49:M49"/>
    <mergeCell ref="N49:O49"/>
    <mergeCell ref="P49:R49"/>
    <mergeCell ref="S49:U49"/>
    <mergeCell ref="V49:X49"/>
    <mergeCell ref="Y49:AA49"/>
    <mergeCell ref="V50:X50"/>
    <mergeCell ref="Y50:AA50"/>
    <mergeCell ref="B51:E51"/>
    <mergeCell ref="F51:I51"/>
    <mergeCell ref="K51:M51"/>
    <mergeCell ref="N51:O51"/>
    <mergeCell ref="P51:R51"/>
    <mergeCell ref="S51:U51"/>
    <mergeCell ref="V51:X51"/>
    <mergeCell ref="Y51:AA51"/>
    <mergeCell ref="B50:E50"/>
    <mergeCell ref="F50:I50"/>
    <mergeCell ref="K50:M50"/>
    <mergeCell ref="N50:O50"/>
    <mergeCell ref="P50:R50"/>
    <mergeCell ref="S50:U50"/>
    <mergeCell ref="V52:X52"/>
    <mergeCell ref="Y52:AA52"/>
    <mergeCell ref="B53:E53"/>
    <mergeCell ref="F53:I53"/>
    <mergeCell ref="K53:M53"/>
    <mergeCell ref="N53:O53"/>
    <mergeCell ref="P53:R53"/>
    <mergeCell ref="S53:U53"/>
    <mergeCell ref="V53:X53"/>
    <mergeCell ref="Y53:AA53"/>
    <mergeCell ref="B52:E52"/>
    <mergeCell ref="F52:I52"/>
    <mergeCell ref="K52:M52"/>
    <mergeCell ref="N52:O52"/>
    <mergeCell ref="P52:R52"/>
    <mergeCell ref="S52:U52"/>
    <mergeCell ref="V54:X54"/>
    <mergeCell ref="Y54:AA54"/>
    <mergeCell ref="B55:E55"/>
    <mergeCell ref="F55:I55"/>
    <mergeCell ref="K55:M55"/>
    <mergeCell ref="N55:O55"/>
    <mergeCell ref="P55:R55"/>
    <mergeCell ref="S55:U55"/>
    <mergeCell ref="V55:X55"/>
    <mergeCell ref="Y55:AA55"/>
    <mergeCell ref="B54:E54"/>
    <mergeCell ref="F54:I54"/>
    <mergeCell ref="K54:M54"/>
    <mergeCell ref="N54:O54"/>
    <mergeCell ref="P54:R54"/>
    <mergeCell ref="S54:U54"/>
    <mergeCell ref="V56:X56"/>
    <mergeCell ref="Y56:AA56"/>
    <mergeCell ref="B57:E57"/>
    <mergeCell ref="F57:I57"/>
    <mergeCell ref="K57:M57"/>
    <mergeCell ref="N57:O57"/>
    <mergeCell ref="P57:R57"/>
    <mergeCell ref="S57:U57"/>
    <mergeCell ref="V57:X57"/>
    <mergeCell ref="Y57:AA57"/>
    <mergeCell ref="B56:E56"/>
    <mergeCell ref="F56:I56"/>
    <mergeCell ref="K56:M56"/>
    <mergeCell ref="N56:O56"/>
    <mergeCell ref="P56:R56"/>
    <mergeCell ref="S56:U56"/>
    <mergeCell ref="V58:X58"/>
    <mergeCell ref="Y58:AA58"/>
    <mergeCell ref="B59:E59"/>
    <mergeCell ref="F59:I59"/>
    <mergeCell ref="K59:M59"/>
    <mergeCell ref="N59:O59"/>
    <mergeCell ref="P59:R59"/>
    <mergeCell ref="S59:U59"/>
    <mergeCell ref="V59:X59"/>
    <mergeCell ref="Y59:AA59"/>
    <mergeCell ref="B58:E58"/>
    <mergeCell ref="F58:I58"/>
    <mergeCell ref="K58:M58"/>
    <mergeCell ref="N58:O58"/>
    <mergeCell ref="P58:R58"/>
    <mergeCell ref="S58:U58"/>
    <mergeCell ref="A62:E62"/>
    <mergeCell ref="F62:O62"/>
    <mergeCell ref="P62:R62"/>
    <mergeCell ref="S62:U62"/>
    <mergeCell ref="V62:X62"/>
    <mergeCell ref="Y62:AA62"/>
    <mergeCell ref="V60:X60"/>
    <mergeCell ref="Y60:AA60"/>
    <mergeCell ref="B61:I61"/>
    <mergeCell ref="K61:M61"/>
    <mergeCell ref="N61:O61"/>
    <mergeCell ref="P61:R61"/>
    <mergeCell ref="S61:U61"/>
    <mergeCell ref="V61:X61"/>
    <mergeCell ref="Y61:AA61"/>
    <mergeCell ref="B60:E60"/>
    <mergeCell ref="F60:I60"/>
    <mergeCell ref="K60:M60"/>
    <mergeCell ref="N60:O60"/>
    <mergeCell ref="P60:R60"/>
    <mergeCell ref="S60:U60"/>
    <mergeCell ref="D98:F98"/>
    <mergeCell ref="A68:AA68"/>
    <mergeCell ref="H70:J70"/>
    <mergeCell ref="L70:O70"/>
    <mergeCell ref="B66:E66"/>
    <mergeCell ref="F66:I66"/>
    <mergeCell ref="J66:AA66"/>
    <mergeCell ref="A67:AA67"/>
    <mergeCell ref="F65:I65"/>
    <mergeCell ref="K65:O65"/>
    <mergeCell ref="P65:R65"/>
    <mergeCell ref="S65:U65"/>
    <mergeCell ref="V65:X65"/>
    <mergeCell ref="Y65:AA65"/>
    <mergeCell ref="A63:A66"/>
    <mergeCell ref="B63:O63"/>
    <mergeCell ref="P63:AA63"/>
    <mergeCell ref="B64:I64"/>
    <mergeCell ref="K64:O64"/>
    <mergeCell ref="P64:R64"/>
    <mergeCell ref="S64:U64"/>
    <mergeCell ref="V64:X64"/>
    <mergeCell ref="Y64:AA64"/>
    <mergeCell ref="B65:E65"/>
  </mergeCells>
  <phoneticPr fontId="9" type="noConversion"/>
  <conditionalFormatting sqref="L31">
    <cfRule type="containsText" dxfId="12" priority="11" operator="containsText" text="PAGO MENSUAL">
      <formula>NOT(ISERROR(SEARCH("PAGO MENSUAL",L31)))</formula>
    </cfRule>
  </conditionalFormatting>
  <conditionalFormatting sqref="A49:A60">
    <cfRule type="cellIs" dxfId="11" priority="9" operator="greaterThan">
      <formula>$A$63</formula>
    </cfRule>
    <cfRule type="cellIs" dxfId="10" priority="10" operator="equal">
      <formula>$A$63</formula>
    </cfRule>
  </conditionalFormatting>
  <conditionalFormatting sqref="J61">
    <cfRule type="cellIs" dxfId="9" priority="8" operator="notEqual">
      <formula>$T$21</formula>
    </cfRule>
  </conditionalFormatting>
  <conditionalFormatting sqref="P32:AA32">
    <cfRule type="cellIs" dxfId="8" priority="6" operator="equal">
      <formula>$A$63</formula>
    </cfRule>
    <cfRule type="cellIs" dxfId="7" priority="7" operator="equal">
      <formula>$A$63</formula>
    </cfRule>
  </conditionalFormatting>
  <conditionalFormatting sqref="K61:M61">
    <cfRule type="cellIs" dxfId="6" priority="5" operator="notEqual">
      <formula>$F$21</formula>
    </cfRule>
  </conditionalFormatting>
  <conditionalFormatting sqref="P49:R49">
    <cfRule type="expression" dxfId="5" priority="4">
      <formula>$P$49=0</formula>
    </cfRule>
  </conditionalFormatting>
  <conditionalFormatting sqref="P50:R60">
    <cfRule type="expression" dxfId="4" priority="3">
      <formula>$J$50=0</formula>
    </cfRule>
  </conditionalFormatting>
  <conditionalFormatting sqref="S49:U49">
    <cfRule type="expression" dxfId="3" priority="2">
      <formula>$P$49=0</formula>
    </cfRule>
  </conditionalFormatting>
  <conditionalFormatting sqref="S50:U60">
    <cfRule type="expression" dxfId="2" priority="1">
      <formula>$J$50=0</formula>
    </cfRule>
  </conditionalFormatting>
  <pageMargins left="0.7" right="0.7" top="0.75" bottom="0.75" header="0.3" footer="0.3"/>
  <pageSetup scale="53" orientation="portrait" horizontalDpi="0" verticalDpi="0"/>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DATOS!$A$99:$A$103</xm:f>
          </x14:formula1>
          <xm:sqref>N49:O61</xm:sqref>
        </x14:dataValidation>
        <x14:dataValidation type="list" allowBlank="1" showInputMessage="1" showErrorMessage="1">
          <x14:formula1>
            <xm:f>BDC!$A$3:$A$258</xm:f>
          </x14:formula1>
          <xm:sqref>F14:O14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AJ147"/>
  <sheetViews>
    <sheetView topLeftCell="A15" zoomScale="120" zoomScaleNormal="120" workbookViewId="0">
      <selection activeCell="L28" sqref="L28:M28"/>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1416</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273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285" t="s">
        <v>1416</v>
      </c>
      <c r="G6" s="285"/>
      <c r="H6" s="285"/>
      <c r="I6" s="285"/>
      <c r="J6" s="285"/>
      <c r="K6" s="285"/>
      <c r="L6" s="285"/>
      <c r="M6" s="285"/>
      <c r="N6" s="285"/>
      <c r="O6" s="285"/>
      <c r="P6" s="374" t="s">
        <v>60</v>
      </c>
      <c r="Q6" s="374"/>
      <c r="R6" s="374"/>
      <c r="S6" s="374"/>
      <c r="T6" s="374"/>
      <c r="U6" s="374"/>
      <c r="V6" s="374"/>
      <c r="W6" s="375" t="s">
        <v>61</v>
      </c>
      <c r="X6" s="375"/>
      <c r="Y6" s="375"/>
      <c r="Z6" s="376">
        <v>1</v>
      </c>
      <c r="AA6" s="376"/>
    </row>
    <row r="7" spans="1:28" ht="15.95" customHeight="1" x14ac:dyDescent="0.3">
      <c r="A7" s="374" t="s">
        <v>6</v>
      </c>
      <c r="B7" s="374"/>
      <c r="C7" s="374"/>
      <c r="D7" s="374"/>
      <c r="E7" s="374"/>
      <c r="F7" s="377" t="str">
        <f>VLOOKUP($F$14,CONTRA,58,FALSE)</f>
        <v>PRESTACION DE SERVICIOS</v>
      </c>
      <c r="G7" s="377"/>
      <c r="H7" s="377"/>
      <c r="I7" s="377"/>
      <c r="J7" s="377"/>
      <c r="K7" s="377"/>
      <c r="L7" s="377"/>
      <c r="M7" s="377"/>
      <c r="N7" s="377"/>
      <c r="O7" s="377"/>
      <c r="P7" s="378">
        <f ca="1">NOW()</f>
        <v>43405.671954050929</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20</v>
      </c>
      <c r="AA9" s="369"/>
    </row>
    <row r="10" spans="1:28" ht="14.1" customHeight="1" x14ac:dyDescent="0.3">
      <c r="A10" s="325" t="s">
        <v>13</v>
      </c>
      <c r="B10" s="325"/>
      <c r="C10" s="325"/>
      <c r="D10" s="325"/>
      <c r="E10" s="325"/>
      <c r="F10" s="308" t="str">
        <f>VLOOKUP($F$14,CONTRA,2,FALSE)</f>
        <v>32-408</v>
      </c>
      <c r="G10" s="308"/>
      <c r="H10" s="19" t="s">
        <v>25</v>
      </c>
      <c r="I10" s="308" t="str">
        <f>VLOOKUP($F$14,CONTRA,3,FALSE)</f>
        <v>32-438</v>
      </c>
      <c r="J10" s="308"/>
      <c r="K10" s="19" t="s">
        <v>26</v>
      </c>
      <c r="L10" s="20"/>
      <c r="M10" s="308" t="str">
        <f>VLOOKUP($F$14,CONTRA,4,FALSE)</f>
        <v>2.3.1.1.01</v>
      </c>
      <c r="N10" s="308"/>
      <c r="O10" s="308"/>
      <c r="P10" s="325" t="s">
        <v>12</v>
      </c>
      <c r="Q10" s="325"/>
      <c r="R10" s="325"/>
      <c r="S10" s="325"/>
      <c r="T10" s="333">
        <f>VLOOKUP($F$14,CONTRA,5,FALSE)</f>
        <v>2018</v>
      </c>
      <c r="U10" s="333"/>
      <c r="V10" s="333"/>
      <c r="W10" s="325" t="s">
        <v>138</v>
      </c>
      <c r="X10" s="325"/>
      <c r="Y10" s="325"/>
      <c r="Z10" s="370"/>
      <c r="AA10" s="371"/>
    </row>
    <row r="11" spans="1:28"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14-56</v>
      </c>
      <c r="U11" s="333"/>
      <c r="V11" s="333"/>
      <c r="W11" s="333"/>
      <c r="X11" s="333"/>
      <c r="Y11" s="333"/>
      <c r="Z11" s="333"/>
      <c r="AA11" s="333"/>
    </row>
    <row r="12" spans="1:28"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customHeight="1" x14ac:dyDescent="0.3">
      <c r="A13" s="325" t="s">
        <v>10</v>
      </c>
      <c r="B13" s="325"/>
      <c r="C13" s="325"/>
      <c r="D13" s="325"/>
      <c r="E13" s="325"/>
      <c r="F13" s="333" t="str">
        <f>VLOOKUP($F$14,CONTRA,12,FALSE)</f>
        <v>RIGOBERTO LOPERA MUÑOZ</v>
      </c>
      <c r="G13" s="333"/>
      <c r="H13" s="333"/>
      <c r="I13" s="333"/>
      <c r="J13" s="333"/>
      <c r="K13" s="19" t="s">
        <v>16</v>
      </c>
      <c r="L13" s="20"/>
      <c r="M13" s="333" t="str">
        <f>VLOOKUP($F$14,CONTRA,13,FALSE)</f>
        <v>P.UNIVERSITARIO</v>
      </c>
      <c r="N13" s="333"/>
      <c r="O13" s="333"/>
      <c r="P13" s="325" t="s">
        <v>24</v>
      </c>
      <c r="Q13" s="325"/>
      <c r="R13" s="325"/>
      <c r="S13" s="325"/>
      <c r="T13" s="364" t="str">
        <f>VLOOKUP($F$14,CONTRA,14,FALSE)</f>
        <v>23 DE ENERO DE 2018</v>
      </c>
      <c r="U13" s="364"/>
      <c r="V13" s="364"/>
      <c r="W13" s="364"/>
      <c r="X13" s="364"/>
      <c r="Y13" s="364"/>
      <c r="Z13" s="365" t="str">
        <f>VLOOKUP($F$14,CONTRA,15,FALSE)</f>
        <v>037-18</v>
      </c>
      <c r="AA13" s="366"/>
    </row>
    <row r="14" spans="1:28" ht="15.95" customHeight="1" x14ac:dyDescent="0.3">
      <c r="A14" s="325" t="s">
        <v>8</v>
      </c>
      <c r="B14" s="325"/>
      <c r="C14" s="325"/>
      <c r="D14" s="325"/>
      <c r="E14" s="325"/>
      <c r="F14" s="363" t="s">
        <v>658</v>
      </c>
      <c r="G14" s="363"/>
      <c r="H14" s="363"/>
      <c r="I14" s="363"/>
      <c r="J14" s="363"/>
      <c r="K14" s="363"/>
      <c r="L14" s="363"/>
      <c r="M14" s="363"/>
      <c r="N14" s="363"/>
      <c r="O14" s="363"/>
      <c r="P14" s="325" t="s">
        <v>11</v>
      </c>
      <c r="Q14" s="325"/>
      <c r="R14" s="325"/>
      <c r="S14" s="325"/>
      <c r="T14" s="362">
        <f>VLOOKUP($F$14,CONTRA,16,FALSE)</f>
        <v>1088010135</v>
      </c>
      <c r="U14" s="362"/>
      <c r="V14" s="362"/>
      <c r="W14" s="325" t="s">
        <v>18</v>
      </c>
      <c r="X14" s="325"/>
      <c r="Y14" s="325"/>
      <c r="Z14" s="356">
        <f>VLOOKUP($F$14,CONTRA,17,FALSE)</f>
        <v>33661</v>
      </c>
      <c r="AA14" s="356"/>
    </row>
    <row r="15" spans="1:28" ht="15.95" customHeight="1" x14ac:dyDescent="0.3">
      <c r="A15" s="325" t="s">
        <v>19</v>
      </c>
      <c r="B15" s="325"/>
      <c r="C15" s="325"/>
      <c r="D15" s="325"/>
      <c r="E15" s="325"/>
      <c r="F15" s="312" t="str">
        <f>VLOOKUP($F$14,CONTRA,18,FALSE)</f>
        <v>NATURAL</v>
      </c>
      <c r="G15" s="314"/>
      <c r="H15" s="312" t="str">
        <f>VLOOKUP($F$14,CONTRA,57,FALSE)</f>
        <v>SIMPLIFICADO</v>
      </c>
      <c r="I15" s="313"/>
      <c r="J15" s="314"/>
      <c r="K15" s="19" t="s">
        <v>15</v>
      </c>
      <c r="L15" s="20"/>
      <c r="M15" s="333" t="str">
        <f>VLOOKUP($F$14,CONTRA,19,FALSE)</f>
        <v>TECNICA</v>
      </c>
      <c r="N15" s="333"/>
      <c r="O15" s="333"/>
      <c r="P15" s="325" t="s">
        <v>14</v>
      </c>
      <c r="Q15" s="325"/>
      <c r="R15" s="325"/>
      <c r="S15" s="325"/>
      <c r="T15" s="333" t="str">
        <f>VLOOKUP($F$14,CONTRA,20,FALSE)</f>
        <v>CLL 30 N° 6-49 2 PISO</v>
      </c>
      <c r="U15" s="333"/>
      <c r="V15" s="333"/>
      <c r="W15" s="333"/>
      <c r="X15" s="333"/>
      <c r="Y15" s="333"/>
      <c r="Z15" s="333"/>
      <c r="AA15" s="333"/>
    </row>
    <row r="16" spans="1:28" x14ac:dyDescent="0.3">
      <c r="A16" s="325" t="s">
        <v>21</v>
      </c>
      <c r="B16" s="325"/>
      <c r="C16" s="325"/>
      <c r="D16" s="325"/>
      <c r="E16" s="325"/>
      <c r="F16" s="361">
        <f>VLOOKUP($F$14,CONTRA,21,FALSE)</f>
        <v>3122510820</v>
      </c>
      <c r="G16" s="362"/>
      <c r="H16" s="362"/>
      <c r="I16" s="362"/>
      <c r="J16" s="362"/>
      <c r="K16" s="325" t="s">
        <v>22</v>
      </c>
      <c r="L16" s="325"/>
      <c r="M16" s="333" t="str">
        <f>VLOOKUP($F$14,CONTRA,22,FALSE)</f>
        <v>TECNICA</v>
      </c>
      <c r="N16" s="333"/>
      <c r="O16" s="333"/>
      <c r="P16" s="325" t="s">
        <v>23</v>
      </c>
      <c r="Q16" s="325"/>
      <c r="R16" s="325"/>
      <c r="S16" s="325"/>
      <c r="T16" s="333" t="str">
        <f>VLOOKUP($F$14,CONTRA,23,FALSE)</f>
        <v>yohana27778@gmail.com</v>
      </c>
      <c r="U16" s="333"/>
      <c r="V16" s="333"/>
      <c r="W16" s="333"/>
      <c r="X16" s="333"/>
      <c r="Y16" s="333"/>
      <c r="Z16" s="333"/>
      <c r="AA16" s="333"/>
    </row>
    <row r="17" spans="1:34" ht="3.95"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4" ht="15.95" customHeight="1" x14ac:dyDescent="0.3">
      <c r="A18" s="325" t="s">
        <v>30</v>
      </c>
      <c r="B18" s="325"/>
      <c r="C18" s="325"/>
      <c r="D18" s="325"/>
      <c r="E18" s="325"/>
      <c r="F18" s="358" t="str">
        <f>VLOOKUP($F$14,CONTRA,24,FALSE)</f>
        <v>23 de enero de 2018</v>
      </c>
      <c r="G18" s="359"/>
      <c r="H18" s="359"/>
      <c r="I18" s="359"/>
      <c r="J18" s="360"/>
      <c r="K18" s="308"/>
      <c r="L18" s="308"/>
      <c r="M18" s="308"/>
      <c r="N18" s="308"/>
      <c r="O18" s="308"/>
      <c r="P18" s="325" t="s">
        <v>34</v>
      </c>
      <c r="Q18" s="325"/>
      <c r="R18" s="325"/>
      <c r="S18" s="325"/>
      <c r="T18" s="358" t="str">
        <f>VLOOKUP($F$14,CONTRA,25,FALSE)</f>
        <v>30 de diciembre de 2018</v>
      </c>
      <c r="U18" s="359"/>
      <c r="V18" s="359"/>
      <c r="W18" s="359"/>
      <c r="X18" s="359"/>
      <c r="Y18" s="359"/>
      <c r="Z18" s="359"/>
      <c r="AA18" s="360"/>
    </row>
    <row r="19" spans="1:34" x14ac:dyDescent="0.3">
      <c r="A19" s="325" t="s">
        <v>31</v>
      </c>
      <c r="B19" s="325"/>
      <c r="C19" s="325"/>
      <c r="D19" s="325"/>
      <c r="E19" s="325"/>
      <c r="F19" s="320">
        <f>VLOOKUP($F$14,CONTRA,26,FALSE)</f>
        <v>14400000</v>
      </c>
      <c r="G19" s="320"/>
      <c r="H19" s="320"/>
      <c r="I19" s="320"/>
      <c r="J19" s="320"/>
      <c r="K19" s="308"/>
      <c r="L19" s="308"/>
      <c r="M19" s="308"/>
      <c r="N19" s="308"/>
      <c r="O19" s="308"/>
      <c r="P19" s="325" t="s">
        <v>35</v>
      </c>
      <c r="Q19" s="325"/>
      <c r="R19" s="325"/>
      <c r="S19" s="325"/>
      <c r="T19" s="308">
        <f>VLOOKUP($F$14,CONTRA,27,FALSE)</f>
        <v>240</v>
      </c>
      <c r="U19" s="308"/>
      <c r="V19" s="308"/>
      <c r="W19" s="308"/>
      <c r="X19" s="308"/>
      <c r="Y19" s="308"/>
      <c r="Z19" s="308"/>
      <c r="AA19" s="308"/>
    </row>
    <row r="20" spans="1:34" x14ac:dyDescent="0.3">
      <c r="A20" s="325" t="s">
        <v>32</v>
      </c>
      <c r="B20" s="325"/>
      <c r="C20" s="325"/>
      <c r="D20" s="325"/>
      <c r="E20" s="325"/>
      <c r="F20" s="320">
        <f>+Z21*T20</f>
        <v>5880000</v>
      </c>
      <c r="G20" s="320"/>
      <c r="H20" s="320"/>
      <c r="I20" s="320"/>
      <c r="J20" s="320"/>
      <c r="K20" s="19" t="s">
        <v>0</v>
      </c>
      <c r="L20" s="20"/>
      <c r="M20" s="356">
        <f>VLOOKUP($F$14,CONTRA,29,FALSE)</f>
        <v>43364</v>
      </c>
      <c r="N20" s="356"/>
      <c r="O20" s="356"/>
      <c r="P20" s="325" t="s">
        <v>36</v>
      </c>
      <c r="Q20" s="325"/>
      <c r="R20" s="325"/>
      <c r="S20" s="325"/>
      <c r="T20" s="308">
        <f>VLOOKUP($F$14,CONTRA,28,FALSE)</f>
        <v>98</v>
      </c>
      <c r="U20" s="308"/>
      <c r="V20" s="308"/>
      <c r="W20" s="308"/>
      <c r="X20" s="308"/>
      <c r="Y20" s="308"/>
      <c r="Z20" s="308"/>
      <c r="AA20" s="308"/>
    </row>
    <row r="21" spans="1:34" ht="15.95" customHeight="1" x14ac:dyDescent="0.3">
      <c r="A21" s="325" t="s">
        <v>33</v>
      </c>
      <c r="B21" s="325"/>
      <c r="C21" s="325"/>
      <c r="D21" s="325"/>
      <c r="E21" s="325"/>
      <c r="F21" s="309">
        <f>SUM(F19:J20)</f>
        <v>20280000</v>
      </c>
      <c r="G21" s="353"/>
      <c r="H21" s="353"/>
      <c r="I21" s="353"/>
      <c r="J21" s="354"/>
      <c r="K21" s="308"/>
      <c r="L21" s="308"/>
      <c r="M21" s="308"/>
      <c r="N21" s="308"/>
      <c r="O21" s="308"/>
      <c r="P21" s="325" t="s">
        <v>38</v>
      </c>
      <c r="Q21" s="325"/>
      <c r="R21" s="325"/>
      <c r="S21" s="325"/>
      <c r="T21" s="355">
        <f>+T19+T20</f>
        <v>338</v>
      </c>
      <c r="U21" s="353"/>
      <c r="V21" s="354"/>
      <c r="W21" s="325" t="s">
        <v>37</v>
      </c>
      <c r="X21" s="325"/>
      <c r="Y21" s="325"/>
      <c r="Z21" s="309">
        <f>+F19/T19</f>
        <v>60000</v>
      </c>
      <c r="AA21" s="311"/>
    </row>
    <row r="22" spans="1:34" ht="39.950000000000003" customHeight="1" x14ac:dyDescent="0.3">
      <c r="A22" s="349" t="s">
        <v>27</v>
      </c>
      <c r="B22" s="349"/>
      <c r="C22" s="349"/>
      <c r="D22" s="349"/>
      <c r="E22" s="349"/>
      <c r="F22" s="350" t="str">
        <f>VLOOKUP($F$14,CONTRA,30,FALSE)</f>
        <v>PRESTAR SERVICIOS DE APOYO A LA GESTION A LA SUBDIRECCION TECNICA, EN LOS PROCESOS DE COMERCIALIZACION DE LOS PROYECTOS DE VIVIENDA QUE ADELANTA EL INSTITUTO</v>
      </c>
      <c r="G22" s="351"/>
      <c r="H22" s="351"/>
      <c r="I22" s="351"/>
      <c r="J22" s="351"/>
      <c r="K22" s="351"/>
      <c r="L22" s="351"/>
      <c r="M22" s="351"/>
      <c r="N22" s="351"/>
      <c r="O22" s="351"/>
      <c r="P22" s="351"/>
      <c r="Q22" s="351"/>
      <c r="R22" s="351"/>
      <c r="S22" s="351"/>
      <c r="T22" s="351"/>
      <c r="U22" s="351"/>
      <c r="V22" s="351"/>
      <c r="W22" s="351"/>
      <c r="X22" s="351"/>
      <c r="Y22" s="351"/>
      <c r="Z22" s="351"/>
      <c r="AA22" s="352"/>
    </row>
    <row r="23" spans="1:34" ht="39.950000000000003" customHeight="1" x14ac:dyDescent="0.3">
      <c r="A23" s="349" t="s">
        <v>28</v>
      </c>
      <c r="B23" s="349"/>
      <c r="C23" s="349"/>
      <c r="D23" s="349"/>
      <c r="E23" s="349"/>
      <c r="F23" s="350"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4" ht="39.950000000000003" customHeight="1" x14ac:dyDescent="0.3">
      <c r="A24" s="349" t="s">
        <v>29</v>
      </c>
      <c r="B24" s="349"/>
      <c r="C24" s="349"/>
      <c r="D24" s="349"/>
      <c r="E24" s="349"/>
      <c r="F24" s="350"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4" ht="15.95" customHeight="1" x14ac:dyDescent="0.3">
      <c r="A25" s="18">
        <v>2</v>
      </c>
      <c r="B25" s="323" t="s">
        <v>59</v>
      </c>
      <c r="C25" s="323"/>
      <c r="D25" s="323"/>
      <c r="E25" s="323"/>
      <c r="F25" s="323"/>
      <c r="G25" s="323"/>
      <c r="H25" s="323"/>
      <c r="I25" s="323"/>
      <c r="J25" s="323"/>
      <c r="K25" s="323"/>
      <c r="L25" s="323"/>
      <c r="M25" s="323"/>
      <c r="N25" s="323"/>
      <c r="O25" s="323"/>
      <c r="P25" s="84"/>
      <c r="Q25" s="85"/>
      <c r="R25" s="85"/>
      <c r="S25" s="85"/>
      <c r="T25" s="346" t="s">
        <v>1381</v>
      </c>
      <c r="U25" s="346"/>
      <c r="V25" s="346"/>
      <c r="W25" s="346"/>
      <c r="X25" s="346" t="s">
        <v>270</v>
      </c>
      <c r="Y25" s="346"/>
      <c r="Z25" s="346" t="s">
        <v>283</v>
      </c>
      <c r="AA25" s="347"/>
      <c r="AF25" s="12"/>
    </row>
    <row r="26" spans="1:34" ht="15.95" customHeight="1" x14ac:dyDescent="0.3">
      <c r="A26" s="325" t="s">
        <v>292</v>
      </c>
      <c r="B26" s="325"/>
      <c r="C26" s="325"/>
      <c r="D26" s="325"/>
      <c r="E26" s="325"/>
      <c r="F26" s="308"/>
      <c r="G26" s="308"/>
      <c r="H26" s="308"/>
      <c r="I26" s="308"/>
      <c r="J26" s="308"/>
      <c r="K26" s="308"/>
      <c r="L26" s="308"/>
      <c r="M26" s="308"/>
      <c r="N26" s="308"/>
      <c r="O26" s="308"/>
      <c r="P26" s="348" t="str">
        <f>VLOOKUP($F$14,CONTRA,59,FALSE)</f>
        <v>RIESGO V</v>
      </c>
      <c r="Q26" s="348"/>
      <c r="R26" s="341">
        <v>0.4</v>
      </c>
      <c r="S26" s="341"/>
      <c r="T26" s="320">
        <f>+R26*F21</f>
        <v>8112000</v>
      </c>
      <c r="U26" s="320"/>
      <c r="V26" s="320"/>
      <c r="W26" s="320"/>
      <c r="X26" s="320">
        <f>IF(R26*Z21&lt;DATOS!C32,DATOS!C32,R26*Z21)</f>
        <v>26041.4</v>
      </c>
      <c r="Y26" s="320"/>
      <c r="Z26" s="320">
        <f>+X26*J49</f>
        <v>0</v>
      </c>
      <c r="AA26" s="320"/>
      <c r="AB26" s="12"/>
      <c r="AD26"/>
      <c r="AE26"/>
      <c r="AF26" s="4"/>
      <c r="AG26" s="4"/>
    </row>
    <row r="27" spans="1:34" ht="15.95" customHeight="1" x14ac:dyDescent="0.3">
      <c r="A27" s="325" t="s">
        <v>39</v>
      </c>
      <c r="B27" s="325"/>
      <c r="C27" s="325"/>
      <c r="D27" s="325"/>
      <c r="E27" s="325"/>
      <c r="F27" s="333" t="str">
        <f>VLOOKUP($F$14,CONTRA,33,FALSE)</f>
        <v xml:space="preserve">SALUD TOTAL </v>
      </c>
      <c r="G27" s="333"/>
      <c r="H27" s="333"/>
      <c r="I27" s="87" t="s">
        <v>133</v>
      </c>
      <c r="J27" s="87"/>
      <c r="K27" s="87"/>
      <c r="L27" s="345" t="str">
        <f>+VLOOKUP(L28,DATOS!A125:D139,3)</f>
        <v>6º</v>
      </c>
      <c r="M27" s="345"/>
      <c r="N27" s="345"/>
      <c r="O27" s="345"/>
      <c r="P27" s="348"/>
      <c r="Q27" s="348"/>
      <c r="R27" s="335">
        <v>0.125</v>
      </c>
      <c r="S27" s="335"/>
      <c r="T27" s="320">
        <f>+T26*R27</f>
        <v>1014000</v>
      </c>
      <c r="U27" s="320"/>
      <c r="V27" s="320"/>
      <c r="W27" s="320"/>
      <c r="X27" s="320">
        <f>+$X$26*R27</f>
        <v>3255.1750000000002</v>
      </c>
      <c r="Y27" s="320"/>
      <c r="Z27" s="320">
        <f>ROUNDUP(X27*J49,-2)</f>
        <v>0</v>
      </c>
      <c r="AA27" s="320"/>
      <c r="AB27" s="12"/>
      <c r="AD27" s="12"/>
      <c r="AE27" s="4"/>
      <c r="AF27" s="166"/>
      <c r="AG27"/>
      <c r="AH27" s="12"/>
    </row>
    <row r="28" spans="1:34" ht="15.95" customHeight="1" x14ac:dyDescent="0.3">
      <c r="A28" s="325" t="s">
        <v>40</v>
      </c>
      <c r="B28" s="325"/>
      <c r="C28" s="325"/>
      <c r="D28" s="325"/>
      <c r="E28" s="325"/>
      <c r="F28" s="333" t="str">
        <f>VLOOKUP($F$14,CONTRA,34,FALSE)</f>
        <v xml:space="preserve">PORVENIR </v>
      </c>
      <c r="G28" s="333"/>
      <c r="H28" s="333"/>
      <c r="I28" s="19" t="s">
        <v>134</v>
      </c>
      <c r="J28" s="19"/>
      <c r="K28" s="19"/>
      <c r="L28" s="343" t="str">
        <f>RIGHT(T14,2)</f>
        <v>35</v>
      </c>
      <c r="M28" s="343"/>
      <c r="N28" s="344" t="s">
        <v>270</v>
      </c>
      <c r="O28" s="344"/>
      <c r="P28" s="348"/>
      <c r="Q28" s="348"/>
      <c r="R28" s="341">
        <v>0.16</v>
      </c>
      <c r="S28" s="341"/>
      <c r="T28" s="320">
        <f>+T26*R28</f>
        <v>1297920</v>
      </c>
      <c r="U28" s="320"/>
      <c r="V28" s="320"/>
      <c r="W28" s="320"/>
      <c r="X28" s="320">
        <f>+$X$26*R28</f>
        <v>4166.6240000000007</v>
      </c>
      <c r="Y28" s="320"/>
      <c r="Z28" s="320">
        <f>ROUNDUP(X28*J49,-2)</f>
        <v>0</v>
      </c>
      <c r="AA28" s="320"/>
      <c r="AB28" s="12"/>
      <c r="AD28" s="4"/>
      <c r="AE28" s="4"/>
      <c r="AF28" s="4"/>
      <c r="AG28" s="4"/>
    </row>
    <row r="29" spans="1:34" ht="15.95" customHeight="1" x14ac:dyDescent="0.3">
      <c r="A29" s="325" t="s">
        <v>41</v>
      </c>
      <c r="B29" s="325"/>
      <c r="C29" s="325"/>
      <c r="D29" s="325"/>
      <c r="E29" s="325"/>
      <c r="F29" s="333" t="str">
        <f>VLOOKUP($F$14,CONTRA,36,FALSE)</f>
        <v>SURA</v>
      </c>
      <c r="G29" s="333"/>
      <c r="H29" s="333"/>
      <c r="I29" s="325" t="s">
        <v>135</v>
      </c>
      <c r="J29" s="325"/>
      <c r="K29" s="325"/>
      <c r="L29" s="319" t="str">
        <f>VLOOKUP($F$14,CONTRA,37,FALSE)</f>
        <v>23 de enero de 2018</v>
      </c>
      <c r="M29" s="319"/>
      <c r="N29" s="319"/>
      <c r="O29" s="319"/>
      <c r="P29" s="348"/>
      <c r="Q29" s="348"/>
      <c r="R29" s="342">
        <f>+VLOOKUP(P26,DATOS!A20:B24,2,FALSE)</f>
        <v>6.9599999999999995E-2</v>
      </c>
      <c r="S29" s="342"/>
      <c r="T29" s="320">
        <f>+T26*R29</f>
        <v>564595.19999999995</v>
      </c>
      <c r="U29" s="320"/>
      <c r="V29" s="320"/>
      <c r="W29" s="320"/>
      <c r="X29" s="320">
        <f>+R29*X26</f>
        <v>1812.48144</v>
      </c>
      <c r="Y29" s="320"/>
      <c r="Z29" s="320">
        <f>ROUNDUP(X29*J49,-2)</f>
        <v>0</v>
      </c>
      <c r="AA29" s="320"/>
      <c r="AD29" s="4"/>
      <c r="AE29" s="4"/>
      <c r="AF29" s="4"/>
      <c r="AG29"/>
    </row>
    <row r="30" spans="1:34" ht="15.95" customHeight="1" x14ac:dyDescent="0.3">
      <c r="A30" s="325" t="s">
        <v>290</v>
      </c>
      <c r="B30" s="325"/>
      <c r="C30" s="325"/>
      <c r="D30" s="325"/>
      <c r="E30" s="325"/>
      <c r="F30" s="336" t="s">
        <v>288</v>
      </c>
      <c r="G30" s="336"/>
      <c r="H30" s="336"/>
      <c r="I30" s="336"/>
      <c r="J30" s="336"/>
      <c r="K30" s="336"/>
      <c r="L30" s="308" t="str">
        <f>+VLOOKUP(P26,DATOS!A157:B161,2,FALSE)</f>
        <v>PATRONAL</v>
      </c>
      <c r="M30" s="308"/>
      <c r="N30" s="308"/>
      <c r="O30" s="308"/>
      <c r="P30" s="337" t="s">
        <v>49</v>
      </c>
      <c r="Q30" s="338"/>
      <c r="R30" s="341"/>
      <c r="S30" s="341"/>
      <c r="T30" s="320">
        <f>SUM(T27:W29)</f>
        <v>2876515.2</v>
      </c>
      <c r="U30" s="341"/>
      <c r="V30" s="341"/>
      <c r="W30" s="341"/>
      <c r="X30" s="320">
        <f>SUM(X27:Y29)</f>
        <v>9234.2804400000005</v>
      </c>
      <c r="Y30" s="320"/>
      <c r="Z30" s="320">
        <f>IF(P26="RIESGO V",Z27+Z28,Z27+Z28+Z29)</f>
        <v>0</v>
      </c>
      <c r="AA30" s="320"/>
      <c r="AD30" s="4"/>
      <c r="AE30" s="4"/>
      <c r="AF30" s="4"/>
      <c r="AG30"/>
    </row>
    <row r="31" spans="1:34" ht="15.95" customHeight="1" x14ac:dyDescent="0.3">
      <c r="A31" s="325" t="s">
        <v>42</v>
      </c>
      <c r="B31" s="325"/>
      <c r="C31" s="325"/>
      <c r="D31" s="325"/>
      <c r="E31" s="325"/>
      <c r="F31" s="333" t="s">
        <v>142</v>
      </c>
      <c r="G31" s="333"/>
      <c r="H31" s="333"/>
      <c r="I31" s="333"/>
      <c r="J31" s="333"/>
      <c r="K31" s="333"/>
      <c r="L31" s="334" t="str">
        <f>VLOOKUP($F$14,CONTRA,38,FALSE)</f>
        <v>PAGADO</v>
      </c>
      <c r="M31" s="334"/>
      <c r="N31" s="334"/>
      <c r="O31" s="334"/>
      <c r="P31" s="339"/>
      <c r="Q31" s="340"/>
      <c r="R31" s="335">
        <f>VLOOKUP(L31,DATOS!A37:B38,2,FALSE)</f>
        <v>0</v>
      </c>
      <c r="S31" s="335"/>
      <c r="T31" s="320">
        <f>+R31*$F$21</f>
        <v>0</v>
      </c>
      <c r="U31" s="320"/>
      <c r="V31" s="320"/>
      <c r="W31" s="320"/>
      <c r="X31" s="320">
        <f>+T31/T21</f>
        <v>0</v>
      </c>
      <c r="Y31" s="320"/>
      <c r="Z31" s="320">
        <f>+X31*J49</f>
        <v>0</v>
      </c>
      <c r="AA31" s="320"/>
      <c r="AE31" s="13"/>
      <c r="AF31" s="12"/>
    </row>
    <row r="32" spans="1:34" ht="15.95" customHeight="1" x14ac:dyDescent="0.3">
      <c r="A32" s="165">
        <v>3</v>
      </c>
      <c r="B32" s="390" t="s">
        <v>44</v>
      </c>
      <c r="C32" s="391"/>
      <c r="D32" s="391"/>
      <c r="E32" s="391"/>
      <c r="F32" s="391"/>
      <c r="G32" s="391"/>
      <c r="H32" s="391"/>
      <c r="I32" s="391"/>
      <c r="J32" s="391"/>
      <c r="K32" s="391"/>
      <c r="L32" s="391"/>
      <c r="M32" s="391"/>
      <c r="N32" s="391"/>
      <c r="O32" s="392"/>
      <c r="P32" s="59">
        <v>1</v>
      </c>
      <c r="Q32" s="59">
        <v>2</v>
      </c>
      <c r="R32" s="59">
        <v>3</v>
      </c>
      <c r="S32" s="59">
        <v>4</v>
      </c>
      <c r="T32" s="59">
        <v>5</v>
      </c>
      <c r="U32" s="59">
        <v>6</v>
      </c>
      <c r="V32" s="59">
        <v>7</v>
      </c>
      <c r="W32" s="59">
        <v>8</v>
      </c>
      <c r="X32" s="59">
        <v>9</v>
      </c>
      <c r="Y32" s="59">
        <v>10</v>
      </c>
      <c r="Z32" s="59">
        <v>11</v>
      </c>
      <c r="AA32" s="59">
        <v>12</v>
      </c>
      <c r="AF32" s="4"/>
    </row>
    <row r="33" spans="1:36" ht="24.95" customHeight="1" x14ac:dyDescent="0.3">
      <c r="A33" s="172">
        <v>1</v>
      </c>
      <c r="B33" s="286" t="str">
        <f>VLOOKUP($F$14,CONTRA,39,FALSE)</f>
        <v xml:space="preserve">Apoyar en la gestión las solicitudes de renuncias o aplicación de subsidios de vivienda MI CASA YA y demás que se requieran. </v>
      </c>
      <c r="C33" s="287"/>
      <c r="D33" s="287"/>
      <c r="E33" s="287"/>
      <c r="F33" s="287"/>
      <c r="G33" s="287"/>
      <c r="H33" s="287"/>
      <c r="I33" s="287"/>
      <c r="J33" s="287"/>
      <c r="K33" s="287"/>
      <c r="L33" s="287"/>
      <c r="M33" s="287"/>
      <c r="N33" s="287"/>
      <c r="O33" s="288"/>
      <c r="P33" s="51"/>
      <c r="Q33" s="51"/>
      <c r="R33" s="51"/>
      <c r="S33" s="51"/>
      <c r="T33" s="51"/>
      <c r="U33" s="51"/>
      <c r="V33" s="51"/>
      <c r="W33" s="51"/>
      <c r="X33" s="51"/>
      <c r="Y33" s="51"/>
      <c r="Z33" s="51"/>
      <c r="AA33" s="51"/>
    </row>
    <row r="34" spans="1:36" ht="24.95" customHeight="1" x14ac:dyDescent="0.3">
      <c r="A34" s="172">
        <v>2</v>
      </c>
      <c r="B34" s="286" t="str">
        <f>VLOOKUP($F$14,CONTRA,40,FALSE)</f>
        <v>Apoyar en los cierres financieros de los proyectos MI CASA YA que tenga a cargo el instituto</v>
      </c>
      <c r="C34" s="287"/>
      <c r="D34" s="287"/>
      <c r="E34" s="287"/>
      <c r="F34" s="287"/>
      <c r="G34" s="287"/>
      <c r="H34" s="287"/>
      <c r="I34" s="287"/>
      <c r="J34" s="287"/>
      <c r="K34" s="287"/>
      <c r="L34" s="287"/>
      <c r="M34" s="287"/>
      <c r="N34" s="287"/>
      <c r="O34" s="288"/>
      <c r="P34" s="51"/>
      <c r="Q34" s="51"/>
      <c r="R34" s="51"/>
      <c r="S34" s="51"/>
      <c r="T34" s="51"/>
      <c r="U34" s="51"/>
      <c r="V34" s="51"/>
      <c r="W34" s="51"/>
      <c r="X34" s="51"/>
      <c r="Y34" s="51"/>
      <c r="Z34" s="51"/>
      <c r="AA34" s="51"/>
    </row>
    <row r="35" spans="1:36" ht="24.95" customHeight="1" x14ac:dyDescent="0.3">
      <c r="A35" s="172">
        <v>3</v>
      </c>
      <c r="B35" s="286" t="str">
        <f>VLOOKUP($F$14,CONTRA,41,FALSE)</f>
        <v>Apoyar el seguimiento a las promesas de compraventa de los proyectos MI CASA YA a cargo del instituto</v>
      </c>
      <c r="C35" s="287"/>
      <c r="D35" s="287"/>
      <c r="E35" s="287"/>
      <c r="F35" s="287"/>
      <c r="G35" s="287"/>
      <c r="H35" s="287"/>
      <c r="I35" s="287"/>
      <c r="J35" s="287"/>
      <c r="K35" s="287"/>
      <c r="L35" s="287"/>
      <c r="M35" s="287"/>
      <c r="N35" s="287"/>
      <c r="O35" s="288"/>
      <c r="P35" s="51"/>
      <c r="Q35" s="51"/>
      <c r="R35" s="51"/>
      <c r="S35" s="51"/>
      <c r="T35" s="51"/>
      <c r="U35" s="51"/>
      <c r="V35" s="51"/>
      <c r="W35" s="51"/>
      <c r="X35" s="51"/>
      <c r="Y35" s="51"/>
      <c r="Z35" s="51"/>
      <c r="AA35" s="51"/>
      <c r="AE35" s="12"/>
    </row>
    <row r="36" spans="1:36" ht="24.95" customHeight="1" x14ac:dyDescent="0.3">
      <c r="A36" s="172">
        <v>4</v>
      </c>
      <c r="B36" s="286" t="str">
        <f>VLOOKUP($F$14,CONTRA,42,FALSE)</f>
        <v>Acompañamiento en la postulación de sustitutos de los proyectos MI CASA YA  a cargo del instituto</v>
      </c>
      <c r="C36" s="287"/>
      <c r="D36" s="287"/>
      <c r="E36" s="287"/>
      <c r="F36" s="287"/>
      <c r="G36" s="287"/>
      <c r="H36" s="287"/>
      <c r="I36" s="287"/>
      <c r="J36" s="287"/>
      <c r="K36" s="287"/>
      <c r="L36" s="287"/>
      <c r="M36" s="287"/>
      <c r="N36" s="287"/>
      <c r="O36" s="288"/>
      <c r="P36" s="51"/>
      <c r="Q36" s="51"/>
      <c r="R36" s="51"/>
      <c r="S36" s="51"/>
      <c r="T36" s="51"/>
      <c r="U36" s="51"/>
      <c r="V36" s="51"/>
      <c r="W36" s="51"/>
      <c r="X36" s="51"/>
      <c r="Y36" s="51"/>
      <c r="Z36" s="51"/>
      <c r="AA36" s="51"/>
    </row>
    <row r="37" spans="1:36" ht="24.95" customHeight="1" x14ac:dyDescent="0.3">
      <c r="A37" s="172">
        <v>5</v>
      </c>
      <c r="B37" s="286" t="str">
        <f>VLOOKUP($F$14,CONTRA,43,FALSE)</f>
        <v>Apoyo en las remisiones y solicitudes a fiduciaria Bogotá, CAVIS, Comfamiliar y entre otras instituciones que tengan injerencia con subsidios de vivienda a nivel Nacional</v>
      </c>
      <c r="C37" s="287"/>
      <c r="D37" s="287"/>
      <c r="E37" s="287"/>
      <c r="F37" s="287"/>
      <c r="G37" s="287"/>
      <c r="H37" s="287"/>
      <c r="I37" s="287"/>
      <c r="J37" s="287"/>
      <c r="K37" s="287"/>
      <c r="L37" s="287"/>
      <c r="M37" s="287"/>
      <c r="N37" s="287"/>
      <c r="O37" s="288"/>
      <c r="P37" s="51"/>
      <c r="Q37" s="51"/>
      <c r="R37" s="51"/>
      <c r="S37" s="51"/>
      <c r="T37" s="51"/>
      <c r="U37" s="51"/>
      <c r="V37" s="51"/>
      <c r="W37" s="51"/>
      <c r="X37" s="51"/>
      <c r="Y37" s="51"/>
      <c r="Z37" s="51"/>
      <c r="AA37" s="51"/>
      <c r="AE37" s="12"/>
      <c r="AH37" s="12"/>
      <c r="AI37" s="86"/>
    </row>
    <row r="38" spans="1:36" ht="24.95" customHeight="1" x14ac:dyDescent="0.3">
      <c r="A38" s="172">
        <v>6</v>
      </c>
      <c r="B38" s="286" t="str">
        <f>VLOOKUP($F$14,CONTRA,44,FALSE)</f>
        <v>Acompañamiento en el desarrollo de las actividades necesarias y compartidas con las constructoras de los proyectos MI CASA YA</v>
      </c>
      <c r="C38" s="287"/>
      <c r="D38" s="287"/>
      <c r="E38" s="287"/>
      <c r="F38" s="287"/>
      <c r="G38" s="287"/>
      <c r="H38" s="287"/>
      <c r="I38" s="287"/>
      <c r="J38" s="287"/>
      <c r="K38" s="287"/>
      <c r="L38" s="287"/>
      <c r="M38" s="287"/>
      <c r="N38" s="287"/>
      <c r="O38" s="288"/>
      <c r="P38" s="51"/>
      <c r="Q38" s="51"/>
      <c r="R38" s="51"/>
      <c r="S38" s="51"/>
      <c r="T38" s="51"/>
      <c r="U38" s="51"/>
      <c r="V38" s="51"/>
      <c r="W38" s="51"/>
      <c r="X38" s="51"/>
      <c r="Y38" s="51"/>
      <c r="Z38" s="51"/>
      <c r="AA38" s="51"/>
      <c r="AD38" s="52"/>
      <c r="AE38" s="12"/>
      <c r="AF38" s="12"/>
      <c r="AG38" s="12"/>
      <c r="AH38" s="12"/>
      <c r="AI38" s="12"/>
      <c r="AJ38" s="12"/>
    </row>
    <row r="39" spans="1:36" ht="24.95" customHeight="1" x14ac:dyDescent="0.3">
      <c r="A39" s="172">
        <v>7</v>
      </c>
      <c r="B39" s="286" t="str">
        <f>VLOOKUP($F$14,CONTRA,45,FALSE)</f>
        <v xml:space="preserve"> Apoyo en la gestión en las actividades notariales y de oficina de registro de instrumentos públicos de los proyectos MI CASA YA a cargo del instituto.</v>
      </c>
      <c r="C39" s="287"/>
      <c r="D39" s="287"/>
      <c r="E39" s="287"/>
      <c r="F39" s="287"/>
      <c r="G39" s="287"/>
      <c r="H39" s="287"/>
      <c r="I39" s="287"/>
      <c r="J39" s="287"/>
      <c r="K39" s="287"/>
      <c r="L39" s="287"/>
      <c r="M39" s="287"/>
      <c r="N39" s="287"/>
      <c r="O39" s="288"/>
      <c r="P39" s="51"/>
      <c r="Q39" s="51"/>
      <c r="R39" s="51"/>
      <c r="S39" s="51"/>
      <c r="T39" s="51"/>
      <c r="U39" s="51"/>
      <c r="V39" s="51"/>
      <c r="W39" s="51"/>
      <c r="X39" s="51"/>
      <c r="Y39" s="51"/>
      <c r="Z39" s="51"/>
      <c r="AA39" s="51"/>
      <c r="AD39" s="52"/>
      <c r="AE39" s="12"/>
      <c r="AF39" s="12"/>
      <c r="AG39" s="12"/>
      <c r="AH39" s="12"/>
      <c r="AI39" s="12"/>
      <c r="AJ39" s="12"/>
    </row>
    <row r="40" spans="1:36" ht="24.95" customHeight="1" x14ac:dyDescent="0.3">
      <c r="A40" s="172">
        <v>8</v>
      </c>
      <c r="B40" s="286">
        <f>VLOOKUP($F$14,CONTRA,46,FALSE)</f>
        <v>0</v>
      </c>
      <c r="C40" s="287"/>
      <c r="D40" s="287"/>
      <c r="E40" s="287"/>
      <c r="F40" s="287"/>
      <c r="G40" s="287"/>
      <c r="H40" s="287"/>
      <c r="I40" s="287"/>
      <c r="J40" s="287"/>
      <c r="K40" s="287"/>
      <c r="L40" s="287"/>
      <c r="M40" s="287"/>
      <c r="N40" s="287"/>
      <c r="O40" s="288"/>
      <c r="P40" s="51"/>
      <c r="Q40" s="51"/>
      <c r="R40" s="51"/>
      <c r="S40" s="51"/>
      <c r="T40" s="51"/>
      <c r="U40" s="51"/>
      <c r="V40" s="51"/>
      <c r="W40" s="51"/>
      <c r="X40" s="51"/>
      <c r="Y40" s="51"/>
      <c r="Z40" s="51"/>
      <c r="AA40" s="51"/>
      <c r="AE40" s="12"/>
      <c r="AG40" s="12"/>
    </row>
    <row r="41" spans="1:36" ht="24.95" customHeight="1" x14ac:dyDescent="0.3">
      <c r="A41" s="172">
        <v>9</v>
      </c>
      <c r="B41" s="286">
        <f>VLOOKUP($F$14,CONTRA,47,FALSE)</f>
        <v>0</v>
      </c>
      <c r="C41" s="287"/>
      <c r="D41" s="287"/>
      <c r="E41" s="287"/>
      <c r="F41" s="287"/>
      <c r="G41" s="287"/>
      <c r="H41" s="287"/>
      <c r="I41" s="287"/>
      <c r="J41" s="287"/>
      <c r="K41" s="287"/>
      <c r="L41" s="287"/>
      <c r="M41" s="287"/>
      <c r="N41" s="287"/>
      <c r="O41" s="288"/>
      <c r="P41" s="51"/>
      <c r="Q41" s="51"/>
      <c r="R41" s="51"/>
      <c r="S41" s="51"/>
      <c r="T41" s="51"/>
      <c r="U41" s="51"/>
      <c r="V41" s="51"/>
      <c r="W41" s="51"/>
      <c r="X41" s="51"/>
      <c r="Y41" s="51"/>
      <c r="Z41" s="51"/>
      <c r="AA41" s="51"/>
    </row>
    <row r="42" spans="1:36" ht="24.95" customHeight="1" x14ac:dyDescent="0.3">
      <c r="A42" s="172">
        <v>10</v>
      </c>
      <c r="B42" s="286">
        <f>VLOOKUP($F$14,CONTRA,48,FALSE)</f>
        <v>0</v>
      </c>
      <c r="C42" s="287"/>
      <c r="D42" s="287"/>
      <c r="E42" s="287"/>
      <c r="F42" s="287"/>
      <c r="G42" s="287"/>
      <c r="H42" s="287"/>
      <c r="I42" s="287"/>
      <c r="J42" s="287"/>
      <c r="K42" s="287"/>
      <c r="L42" s="287"/>
      <c r="M42" s="287"/>
      <c r="N42" s="287"/>
      <c r="O42" s="288"/>
      <c r="P42" s="51"/>
      <c r="Q42" s="51"/>
      <c r="R42" s="51"/>
      <c r="S42" s="51"/>
      <c r="T42" s="51"/>
      <c r="U42" s="51"/>
      <c r="V42" s="51"/>
      <c r="W42" s="51"/>
      <c r="X42" s="51"/>
      <c r="Y42" s="51"/>
      <c r="Z42" s="51"/>
      <c r="AA42" s="51"/>
      <c r="AE42" s="12"/>
    </row>
    <row r="43" spans="1:36" ht="24.95" customHeight="1" x14ac:dyDescent="0.3">
      <c r="A43" s="172">
        <v>11</v>
      </c>
      <c r="B43" s="286">
        <f>VLOOKUP($F$14,CONTRA,49,FALSE)</f>
        <v>0</v>
      </c>
      <c r="C43" s="287"/>
      <c r="D43" s="287"/>
      <c r="E43" s="287"/>
      <c r="F43" s="287"/>
      <c r="G43" s="287"/>
      <c r="H43" s="287"/>
      <c r="I43" s="287"/>
      <c r="J43" s="287"/>
      <c r="K43" s="287"/>
      <c r="L43" s="287"/>
      <c r="M43" s="287"/>
      <c r="N43" s="287"/>
      <c r="O43" s="288"/>
      <c r="P43" s="51"/>
      <c r="Q43" s="51"/>
      <c r="R43" s="51"/>
      <c r="S43" s="51"/>
      <c r="T43" s="51"/>
      <c r="U43" s="51"/>
      <c r="V43" s="51"/>
      <c r="W43" s="51"/>
      <c r="X43" s="51"/>
      <c r="Y43" s="51"/>
      <c r="Z43" s="51"/>
      <c r="AA43" s="51"/>
    </row>
    <row r="44" spans="1:36" ht="24.95" customHeight="1" x14ac:dyDescent="0.3">
      <c r="A44" s="172">
        <v>12</v>
      </c>
      <c r="B44" s="286">
        <f>VLOOKUP($F$14,CONTRA,50,FALSE)</f>
        <v>0</v>
      </c>
      <c r="C44" s="287"/>
      <c r="D44" s="287"/>
      <c r="E44" s="287"/>
      <c r="F44" s="287"/>
      <c r="G44" s="287"/>
      <c r="H44" s="287"/>
      <c r="I44" s="287"/>
      <c r="J44" s="287"/>
      <c r="K44" s="287"/>
      <c r="L44" s="287"/>
      <c r="M44" s="287"/>
      <c r="N44" s="287"/>
      <c r="O44" s="288"/>
      <c r="P44" s="51"/>
      <c r="Q44" s="51"/>
      <c r="R44" s="51"/>
      <c r="S44" s="51"/>
      <c r="T44" s="51"/>
      <c r="U44" s="51"/>
      <c r="V44" s="51"/>
      <c r="W44" s="51"/>
      <c r="X44" s="51"/>
      <c r="Y44" s="51"/>
      <c r="Z44" s="51"/>
      <c r="AA44" s="51"/>
    </row>
    <row r="45" spans="1:36" x14ac:dyDescent="0.3">
      <c r="A45" s="332" t="s">
        <v>45</v>
      </c>
      <c r="B45" s="332"/>
      <c r="C45" s="332"/>
      <c r="D45" s="326"/>
      <c r="E45" s="326"/>
      <c r="F45" s="326"/>
      <c r="G45" s="326"/>
      <c r="H45" s="326"/>
      <c r="I45" s="326"/>
      <c r="J45" s="326"/>
      <c r="K45" s="326"/>
      <c r="L45" s="326"/>
      <c r="M45" s="326"/>
      <c r="N45" s="326"/>
      <c r="O45" s="326"/>
      <c r="P45" s="326"/>
      <c r="Q45" s="326"/>
      <c r="R45" s="326"/>
      <c r="S45" s="326"/>
      <c r="T45" s="326"/>
      <c r="U45" s="326"/>
      <c r="V45" s="326"/>
      <c r="W45" s="326"/>
      <c r="X45" s="326"/>
      <c r="Y45" s="326"/>
      <c r="Z45" s="326"/>
      <c r="AA45" s="326"/>
    </row>
    <row r="46" spans="1:36" x14ac:dyDescent="0.3">
      <c r="A46" s="332"/>
      <c r="B46" s="332"/>
      <c r="C46" s="332"/>
      <c r="D46" s="326"/>
      <c r="E46" s="326"/>
      <c r="F46" s="326"/>
      <c r="G46" s="326"/>
      <c r="H46" s="326"/>
      <c r="I46" s="326"/>
      <c r="J46" s="326"/>
      <c r="K46" s="326"/>
      <c r="L46" s="326"/>
      <c r="M46" s="326"/>
      <c r="N46" s="326"/>
      <c r="O46" s="326"/>
      <c r="P46" s="326"/>
      <c r="Q46" s="326"/>
      <c r="R46" s="326"/>
      <c r="S46" s="326"/>
      <c r="T46" s="326"/>
      <c r="U46" s="326"/>
      <c r="V46" s="326"/>
      <c r="W46" s="326"/>
      <c r="X46" s="326"/>
      <c r="Y46" s="326"/>
      <c r="Z46" s="326"/>
      <c r="AA46" s="326"/>
    </row>
    <row r="47" spans="1:36" ht="15.95" customHeight="1" x14ac:dyDescent="0.3">
      <c r="A47" s="18">
        <v>4</v>
      </c>
      <c r="B47" s="323" t="s">
        <v>232</v>
      </c>
      <c r="C47" s="323"/>
      <c r="D47" s="323"/>
      <c r="E47" s="323"/>
      <c r="F47" s="323"/>
      <c r="G47" s="323"/>
      <c r="H47" s="323"/>
      <c r="I47" s="323"/>
      <c r="J47" s="323"/>
      <c r="K47" s="323"/>
      <c r="L47" s="323"/>
      <c r="M47" s="323"/>
      <c r="N47" s="323"/>
      <c r="O47" s="323"/>
      <c r="P47" s="498"/>
      <c r="Q47" s="499"/>
      <c r="R47" s="499"/>
      <c r="S47" s="499"/>
      <c r="T47" s="499"/>
      <c r="U47" s="499"/>
      <c r="V47" s="499"/>
      <c r="W47" s="499"/>
      <c r="X47" s="499"/>
      <c r="Y47" s="499"/>
      <c r="Z47" s="499"/>
      <c r="AA47" s="500"/>
    </row>
    <row r="48" spans="1:36" ht="15.95" customHeight="1" x14ac:dyDescent="0.3">
      <c r="A48" s="353"/>
      <c r="B48" s="353"/>
      <c r="C48" s="353"/>
      <c r="D48" s="353"/>
      <c r="E48" s="353"/>
      <c r="F48" s="353"/>
      <c r="G48" s="353"/>
      <c r="H48" s="353"/>
      <c r="I48" s="353"/>
      <c r="J48" s="353"/>
      <c r="K48" s="482" t="s">
        <v>218</v>
      </c>
      <c r="L48" s="482"/>
      <c r="M48" s="482"/>
      <c r="N48" s="482"/>
      <c r="O48" s="483"/>
      <c r="P48" s="82">
        <v>0.05</v>
      </c>
      <c r="Q48" s="82">
        <v>0.1</v>
      </c>
      <c r="R48" s="82">
        <v>0.15</v>
      </c>
      <c r="S48" s="82">
        <v>0.2</v>
      </c>
      <c r="T48" s="82">
        <v>0.3</v>
      </c>
      <c r="U48" s="82">
        <v>0.4</v>
      </c>
      <c r="V48" s="82">
        <v>0.5</v>
      </c>
      <c r="W48" s="82">
        <v>0.6</v>
      </c>
      <c r="X48" s="82">
        <v>0.7</v>
      </c>
      <c r="Y48" s="82">
        <v>0.8</v>
      </c>
      <c r="Z48" s="82">
        <v>0.9</v>
      </c>
      <c r="AA48" s="82">
        <v>1</v>
      </c>
    </row>
    <row r="49" spans="1:27" ht="15.95" customHeight="1" x14ac:dyDescent="0.3">
      <c r="A49" s="172">
        <v>1</v>
      </c>
      <c r="B49" s="79" t="s">
        <v>216</v>
      </c>
      <c r="C49" s="80"/>
      <c r="D49" s="80"/>
      <c r="E49" s="81"/>
      <c r="F49" s="477">
        <v>43212</v>
      </c>
      <c r="G49" s="478"/>
      <c r="H49" s="478"/>
      <c r="I49" s="478"/>
      <c r="J49" s="478"/>
      <c r="K49" s="333" t="s">
        <v>221</v>
      </c>
      <c r="L49" s="333"/>
      <c r="M49" s="484" t="s">
        <v>224</v>
      </c>
      <c r="N49" s="485"/>
      <c r="O49" s="486"/>
      <c r="P49" s="487"/>
      <c r="Q49" s="488"/>
      <c r="R49" s="488"/>
      <c r="S49" s="488"/>
      <c r="T49" s="488"/>
      <c r="U49" s="488"/>
      <c r="V49" s="488"/>
      <c r="W49" s="488"/>
      <c r="X49" s="488"/>
      <c r="Y49" s="488"/>
      <c r="Z49" s="488"/>
      <c r="AA49" s="489"/>
    </row>
    <row r="50" spans="1:27" x14ac:dyDescent="0.3">
      <c r="A50" s="172">
        <v>2</v>
      </c>
      <c r="B50" s="474" t="s">
        <v>217</v>
      </c>
      <c r="C50" s="475"/>
      <c r="D50" s="475"/>
      <c r="E50" s="476"/>
      <c r="F50" s="477">
        <v>43243</v>
      </c>
      <c r="G50" s="478"/>
      <c r="H50" s="478"/>
      <c r="I50" s="478"/>
      <c r="J50" s="478"/>
      <c r="K50" s="485"/>
      <c r="L50" s="485"/>
      <c r="M50" s="485"/>
      <c r="N50" s="485"/>
      <c r="O50" s="486"/>
      <c r="P50" s="490"/>
      <c r="Q50" s="491"/>
      <c r="R50" s="491"/>
      <c r="S50" s="491"/>
      <c r="T50" s="491"/>
      <c r="U50" s="491"/>
      <c r="V50" s="491"/>
      <c r="W50" s="491"/>
      <c r="X50" s="491"/>
      <c r="Y50" s="491"/>
      <c r="Z50" s="491"/>
      <c r="AA50" s="492"/>
    </row>
    <row r="51" spans="1:27" x14ac:dyDescent="0.3">
      <c r="A51" s="172">
        <v>3</v>
      </c>
      <c r="B51" s="474" t="s">
        <v>222</v>
      </c>
      <c r="C51" s="475"/>
      <c r="D51" s="475"/>
      <c r="E51" s="476"/>
      <c r="F51" s="477">
        <v>43153</v>
      </c>
      <c r="G51" s="478"/>
      <c r="H51" s="478"/>
      <c r="I51" s="478"/>
      <c r="J51" s="478"/>
      <c r="K51" s="333" t="s">
        <v>49</v>
      </c>
      <c r="L51" s="333"/>
      <c r="M51" s="479" t="e">
        <f>+#REF!</f>
        <v>#REF!</v>
      </c>
      <c r="N51" s="480"/>
      <c r="O51" s="481"/>
      <c r="P51" s="490"/>
      <c r="Q51" s="491"/>
      <c r="R51" s="491"/>
      <c r="S51" s="491"/>
      <c r="T51" s="491"/>
      <c r="U51" s="491"/>
      <c r="V51" s="491"/>
      <c r="W51" s="491"/>
      <c r="X51" s="491"/>
      <c r="Y51" s="491"/>
      <c r="Z51" s="491"/>
      <c r="AA51" s="492"/>
    </row>
    <row r="52" spans="1:27" x14ac:dyDescent="0.3">
      <c r="A52" s="172">
        <v>4</v>
      </c>
      <c r="B52" s="474" t="s">
        <v>223</v>
      </c>
      <c r="C52" s="475"/>
      <c r="D52" s="475"/>
      <c r="E52" s="476"/>
      <c r="F52" s="477">
        <v>43181</v>
      </c>
      <c r="G52" s="478"/>
      <c r="H52" s="478"/>
      <c r="I52" s="478"/>
      <c r="J52" s="478"/>
      <c r="K52" s="333" t="s">
        <v>49</v>
      </c>
      <c r="L52" s="333"/>
      <c r="M52" s="479" t="e">
        <f>+#REF!</f>
        <v>#REF!</v>
      </c>
      <c r="N52" s="480"/>
      <c r="O52" s="481"/>
      <c r="P52" s="490"/>
      <c r="Q52" s="491"/>
      <c r="R52" s="491"/>
      <c r="S52" s="491"/>
      <c r="T52" s="491"/>
      <c r="U52" s="491"/>
      <c r="V52" s="491"/>
      <c r="W52" s="491"/>
      <c r="X52" s="491"/>
      <c r="Y52" s="491"/>
      <c r="Z52" s="491"/>
      <c r="AA52" s="492"/>
    </row>
    <row r="53" spans="1:27" x14ac:dyDescent="0.3">
      <c r="A53" s="172">
        <v>3</v>
      </c>
      <c r="B53" s="474" t="s">
        <v>247</v>
      </c>
      <c r="C53" s="475"/>
      <c r="D53" s="475"/>
      <c r="E53" s="476"/>
      <c r="F53" s="477">
        <v>43212</v>
      </c>
      <c r="G53" s="478"/>
      <c r="H53" s="478"/>
      <c r="I53" s="478"/>
      <c r="J53" s="478"/>
      <c r="K53" s="333" t="s">
        <v>49</v>
      </c>
      <c r="L53" s="333"/>
      <c r="M53" s="479" t="e">
        <f>+#REF!</f>
        <v>#REF!</v>
      </c>
      <c r="N53" s="480"/>
      <c r="O53" s="481"/>
      <c r="P53" s="490"/>
      <c r="Q53" s="491"/>
      <c r="R53" s="491"/>
      <c r="S53" s="491"/>
      <c r="T53" s="491"/>
      <c r="U53" s="491"/>
      <c r="V53" s="491"/>
      <c r="W53" s="491"/>
      <c r="X53" s="491"/>
      <c r="Y53" s="491"/>
      <c r="Z53" s="491"/>
      <c r="AA53" s="492"/>
    </row>
    <row r="54" spans="1:27" x14ac:dyDescent="0.3">
      <c r="A54" s="172">
        <v>4</v>
      </c>
      <c r="B54" s="474" t="s">
        <v>248</v>
      </c>
      <c r="C54" s="475"/>
      <c r="D54" s="475"/>
      <c r="E54" s="476"/>
      <c r="F54" s="477">
        <v>43242</v>
      </c>
      <c r="G54" s="478"/>
      <c r="H54" s="478"/>
      <c r="I54" s="478"/>
      <c r="J54" s="478"/>
      <c r="K54" s="333" t="s">
        <v>49</v>
      </c>
      <c r="L54" s="333"/>
      <c r="M54" s="479" t="e">
        <f>+#REF!</f>
        <v>#REF!</v>
      </c>
      <c r="N54" s="480"/>
      <c r="O54" s="481"/>
      <c r="P54" s="490"/>
      <c r="Q54" s="491"/>
      <c r="R54" s="491"/>
      <c r="S54" s="491"/>
      <c r="T54" s="491"/>
      <c r="U54" s="491"/>
      <c r="V54" s="491"/>
      <c r="W54" s="491"/>
      <c r="X54" s="491"/>
      <c r="Y54" s="491"/>
      <c r="Z54" s="491"/>
      <c r="AA54" s="492"/>
    </row>
    <row r="55" spans="1:27" x14ac:dyDescent="0.3">
      <c r="A55" s="172">
        <v>3</v>
      </c>
      <c r="B55" s="474" t="s">
        <v>249</v>
      </c>
      <c r="C55" s="475"/>
      <c r="D55" s="475"/>
      <c r="E55" s="476"/>
      <c r="F55" s="477">
        <v>43273</v>
      </c>
      <c r="G55" s="478"/>
      <c r="H55" s="478"/>
      <c r="I55" s="478"/>
      <c r="J55" s="478"/>
      <c r="K55" s="333" t="s">
        <v>49</v>
      </c>
      <c r="L55" s="333"/>
      <c r="M55" s="479" t="e">
        <f>+#REF!</f>
        <v>#REF!</v>
      </c>
      <c r="N55" s="480"/>
      <c r="O55" s="481"/>
      <c r="P55" s="490"/>
      <c r="Q55" s="491"/>
      <c r="R55" s="491"/>
      <c r="S55" s="491"/>
      <c r="T55" s="491"/>
      <c r="U55" s="491"/>
      <c r="V55" s="491"/>
      <c r="W55" s="491"/>
      <c r="X55" s="491"/>
      <c r="Y55" s="491"/>
      <c r="Z55" s="491"/>
      <c r="AA55" s="492"/>
    </row>
    <row r="56" spans="1:27" x14ac:dyDescent="0.3">
      <c r="A56" s="172">
        <v>4</v>
      </c>
      <c r="B56" s="474" t="s">
        <v>250</v>
      </c>
      <c r="C56" s="475"/>
      <c r="D56" s="475"/>
      <c r="E56" s="476"/>
      <c r="F56" s="477">
        <v>43303</v>
      </c>
      <c r="G56" s="478"/>
      <c r="H56" s="478"/>
      <c r="I56" s="478"/>
      <c r="J56" s="478"/>
      <c r="K56" s="333" t="s">
        <v>49</v>
      </c>
      <c r="L56" s="333"/>
      <c r="M56" s="479" t="e">
        <f>+#REF!</f>
        <v>#REF!</v>
      </c>
      <c r="N56" s="480"/>
      <c r="O56" s="481"/>
      <c r="P56" s="490"/>
      <c r="Q56" s="491"/>
      <c r="R56" s="491"/>
      <c r="S56" s="491"/>
      <c r="T56" s="491"/>
      <c r="U56" s="491"/>
      <c r="V56" s="491"/>
      <c r="W56" s="491"/>
      <c r="X56" s="491"/>
      <c r="Y56" s="491"/>
      <c r="Z56" s="491"/>
      <c r="AA56" s="492"/>
    </row>
    <row r="57" spans="1:27" x14ac:dyDescent="0.3">
      <c r="A57" s="172">
        <v>3</v>
      </c>
      <c r="B57" s="474" t="s">
        <v>251</v>
      </c>
      <c r="C57" s="475"/>
      <c r="D57" s="475"/>
      <c r="E57" s="476"/>
      <c r="F57" s="477">
        <v>43334</v>
      </c>
      <c r="G57" s="478"/>
      <c r="H57" s="478"/>
      <c r="I57" s="478"/>
      <c r="J57" s="478"/>
      <c r="K57" s="333" t="s">
        <v>49</v>
      </c>
      <c r="L57" s="333"/>
      <c r="M57" s="479" t="e">
        <f>+#REF!</f>
        <v>#REF!</v>
      </c>
      <c r="N57" s="480"/>
      <c r="O57" s="481"/>
      <c r="P57" s="490"/>
      <c r="Q57" s="491"/>
      <c r="R57" s="491"/>
      <c r="S57" s="491"/>
      <c r="T57" s="491"/>
      <c r="U57" s="491"/>
      <c r="V57" s="491"/>
      <c r="W57" s="491"/>
      <c r="X57" s="491"/>
      <c r="Y57" s="491"/>
      <c r="Z57" s="491"/>
      <c r="AA57" s="492"/>
    </row>
    <row r="58" spans="1:27" x14ac:dyDescent="0.3">
      <c r="A58" s="172">
        <v>4</v>
      </c>
      <c r="B58" s="474" t="s">
        <v>252</v>
      </c>
      <c r="C58" s="475"/>
      <c r="D58" s="475"/>
      <c r="E58" s="476"/>
      <c r="F58" s="477">
        <v>43365</v>
      </c>
      <c r="G58" s="478"/>
      <c r="H58" s="478"/>
      <c r="I58" s="478"/>
      <c r="J58" s="478"/>
      <c r="K58" s="333" t="s">
        <v>49</v>
      </c>
      <c r="L58" s="333"/>
      <c r="M58" s="479" t="e">
        <f>+#REF!</f>
        <v>#REF!</v>
      </c>
      <c r="N58" s="480"/>
      <c r="O58" s="481"/>
      <c r="P58" s="490"/>
      <c r="Q58" s="491"/>
      <c r="R58" s="491"/>
      <c r="S58" s="491"/>
      <c r="T58" s="491"/>
      <c r="U58" s="491"/>
      <c r="V58" s="491"/>
      <c r="W58" s="491"/>
      <c r="X58" s="491"/>
      <c r="Y58" s="491"/>
      <c r="Z58" s="491"/>
      <c r="AA58" s="492"/>
    </row>
    <row r="59" spans="1:27" x14ac:dyDescent="0.3">
      <c r="A59" s="172">
        <v>3</v>
      </c>
      <c r="B59" s="474" t="s">
        <v>253</v>
      </c>
      <c r="C59" s="475"/>
      <c r="D59" s="475"/>
      <c r="E59" s="476"/>
      <c r="F59" s="477">
        <v>43395</v>
      </c>
      <c r="G59" s="478"/>
      <c r="H59" s="478"/>
      <c r="I59" s="478"/>
      <c r="J59" s="478"/>
      <c r="K59" s="333" t="s">
        <v>49</v>
      </c>
      <c r="L59" s="333"/>
      <c r="M59" s="479" t="e">
        <f>+#REF!</f>
        <v>#REF!</v>
      </c>
      <c r="N59" s="480"/>
      <c r="O59" s="481"/>
      <c r="P59" s="490"/>
      <c r="Q59" s="491"/>
      <c r="R59" s="491"/>
      <c r="S59" s="491"/>
      <c r="T59" s="491"/>
      <c r="U59" s="491"/>
      <c r="V59" s="491"/>
      <c r="W59" s="491"/>
      <c r="X59" s="491"/>
      <c r="Y59" s="491"/>
      <c r="Z59" s="491"/>
      <c r="AA59" s="492"/>
    </row>
    <row r="60" spans="1:27" x14ac:dyDescent="0.3">
      <c r="A60" s="172">
        <v>4</v>
      </c>
      <c r="B60" s="474" t="s">
        <v>254</v>
      </c>
      <c r="C60" s="475"/>
      <c r="D60" s="475"/>
      <c r="E60" s="476"/>
      <c r="F60" s="477">
        <v>43426</v>
      </c>
      <c r="G60" s="478"/>
      <c r="H60" s="478"/>
      <c r="I60" s="478"/>
      <c r="J60" s="478"/>
      <c r="K60" s="333" t="s">
        <v>49</v>
      </c>
      <c r="L60" s="333"/>
      <c r="M60" s="479" t="e">
        <f>+#REF!</f>
        <v>#REF!</v>
      </c>
      <c r="N60" s="480"/>
      <c r="O60" s="481"/>
      <c r="P60" s="490"/>
      <c r="Q60" s="491"/>
      <c r="R60" s="491"/>
      <c r="S60" s="491"/>
      <c r="T60" s="491"/>
      <c r="U60" s="491"/>
      <c r="V60" s="491"/>
      <c r="W60" s="491"/>
      <c r="X60" s="491"/>
      <c r="Y60" s="491"/>
      <c r="Z60" s="491"/>
      <c r="AA60" s="492"/>
    </row>
    <row r="61" spans="1:27" x14ac:dyDescent="0.3">
      <c r="A61" s="172">
        <v>3</v>
      </c>
      <c r="B61" s="474" t="s">
        <v>255</v>
      </c>
      <c r="C61" s="475"/>
      <c r="D61" s="475"/>
      <c r="E61" s="476"/>
      <c r="F61" s="477">
        <v>43456</v>
      </c>
      <c r="G61" s="478"/>
      <c r="H61" s="478"/>
      <c r="I61" s="478"/>
      <c r="J61" s="478"/>
      <c r="K61" s="333" t="s">
        <v>49</v>
      </c>
      <c r="L61" s="333"/>
      <c r="M61" s="479" t="e">
        <f>+#REF!</f>
        <v>#REF!</v>
      </c>
      <c r="N61" s="480"/>
      <c r="O61" s="481"/>
      <c r="P61" s="490"/>
      <c r="Q61" s="491"/>
      <c r="R61" s="491"/>
      <c r="S61" s="491"/>
      <c r="T61" s="491"/>
      <c r="U61" s="491"/>
      <c r="V61" s="491"/>
      <c r="W61" s="491"/>
      <c r="X61" s="491"/>
      <c r="Y61" s="491"/>
      <c r="Z61" s="491"/>
      <c r="AA61" s="492"/>
    </row>
    <row r="62" spans="1:27" x14ac:dyDescent="0.3">
      <c r="A62" s="172">
        <v>4</v>
      </c>
      <c r="B62" s="474" t="s">
        <v>256</v>
      </c>
      <c r="C62" s="475"/>
      <c r="D62" s="475"/>
      <c r="E62" s="476"/>
      <c r="F62" s="477">
        <v>43465</v>
      </c>
      <c r="G62" s="478"/>
      <c r="H62" s="478"/>
      <c r="I62" s="478"/>
      <c r="J62" s="478"/>
      <c r="K62" s="333" t="s">
        <v>49</v>
      </c>
      <c r="L62" s="333"/>
      <c r="M62" s="479" t="e">
        <f>+#REF!</f>
        <v>#REF!</v>
      </c>
      <c r="N62" s="480"/>
      <c r="O62" s="481"/>
      <c r="P62" s="490"/>
      <c r="Q62" s="491"/>
      <c r="R62" s="491"/>
      <c r="S62" s="491"/>
      <c r="T62" s="491"/>
      <c r="U62" s="491"/>
      <c r="V62" s="491"/>
      <c r="W62" s="491"/>
      <c r="X62" s="491"/>
      <c r="Y62" s="491"/>
      <c r="Z62" s="491"/>
      <c r="AA62" s="492"/>
    </row>
    <row r="63" spans="1:27" ht="15.95" customHeight="1" x14ac:dyDescent="0.3">
      <c r="A63" s="172">
        <v>5</v>
      </c>
      <c r="B63" s="474" t="s">
        <v>50</v>
      </c>
      <c r="C63" s="475"/>
      <c r="D63" s="475"/>
      <c r="E63" s="476"/>
      <c r="F63" s="477"/>
      <c r="G63" s="478"/>
      <c r="H63" s="478"/>
      <c r="I63" s="478"/>
      <c r="J63" s="478"/>
      <c r="K63" s="333" t="s">
        <v>49</v>
      </c>
      <c r="L63" s="333"/>
      <c r="M63" s="479" t="e">
        <f>+#REF!</f>
        <v>#REF!</v>
      </c>
      <c r="N63" s="480"/>
      <c r="O63" s="481"/>
      <c r="P63" s="490"/>
      <c r="Q63" s="491"/>
      <c r="R63" s="491"/>
      <c r="S63" s="491"/>
      <c r="T63" s="491"/>
      <c r="U63" s="491"/>
      <c r="V63" s="491"/>
      <c r="W63" s="491"/>
      <c r="X63" s="491"/>
      <c r="Y63" s="491"/>
      <c r="Z63" s="491"/>
      <c r="AA63" s="492"/>
    </row>
    <row r="64" spans="1:27" ht="14.1" customHeight="1" x14ac:dyDescent="0.3">
      <c r="A64" s="172">
        <v>6</v>
      </c>
      <c r="B64" s="474" t="s">
        <v>51</v>
      </c>
      <c r="C64" s="475"/>
      <c r="D64" s="475"/>
      <c r="E64" s="476"/>
      <c r="F64" s="477"/>
      <c r="G64" s="478"/>
      <c r="H64" s="478"/>
      <c r="I64" s="478"/>
      <c r="J64" s="478"/>
      <c r="K64" s="333" t="s">
        <v>49</v>
      </c>
      <c r="L64" s="333"/>
      <c r="M64" s="479" t="e">
        <f>+F21-M63</f>
        <v>#REF!</v>
      </c>
      <c r="N64" s="480"/>
      <c r="O64" s="481"/>
      <c r="P64" s="493"/>
      <c r="Q64" s="494"/>
      <c r="R64" s="494"/>
      <c r="S64" s="494"/>
      <c r="T64" s="494"/>
      <c r="U64" s="494"/>
      <c r="V64" s="494"/>
      <c r="W64" s="494"/>
      <c r="X64" s="494"/>
      <c r="Y64" s="494"/>
      <c r="Z64" s="494"/>
      <c r="AA64" s="495"/>
    </row>
    <row r="65" spans="1:35" ht="14.1" customHeight="1" x14ac:dyDescent="0.3">
      <c r="A65" s="496" t="s">
        <v>45</v>
      </c>
      <c r="B65" s="496"/>
      <c r="C65" s="496"/>
      <c r="D65" s="326"/>
      <c r="E65" s="326"/>
      <c r="F65" s="326"/>
      <c r="G65" s="326"/>
      <c r="H65" s="326"/>
      <c r="I65" s="326"/>
      <c r="J65" s="326"/>
      <c r="K65" s="326"/>
      <c r="L65" s="326"/>
      <c r="M65" s="326"/>
      <c r="N65" s="326"/>
      <c r="O65" s="326"/>
      <c r="P65" s="326"/>
      <c r="Q65" s="326"/>
      <c r="R65" s="326"/>
      <c r="S65" s="326"/>
      <c r="T65" s="326"/>
      <c r="U65" s="326"/>
      <c r="V65" s="326"/>
      <c r="W65" s="326"/>
      <c r="X65" s="326"/>
      <c r="Y65" s="326"/>
      <c r="Z65" s="326"/>
      <c r="AA65" s="326"/>
    </row>
    <row r="66" spans="1:35" ht="14.1" customHeight="1" x14ac:dyDescent="0.3">
      <c r="A66" s="496"/>
      <c r="B66" s="496"/>
      <c r="C66" s="496"/>
      <c r="D66" s="326"/>
      <c r="E66" s="326"/>
      <c r="F66" s="326"/>
      <c r="G66" s="326"/>
      <c r="H66" s="326"/>
      <c r="I66" s="326"/>
      <c r="J66" s="326"/>
      <c r="K66" s="326"/>
      <c r="L66" s="326"/>
      <c r="M66" s="326"/>
      <c r="N66" s="326"/>
      <c r="O66" s="326"/>
      <c r="P66" s="326"/>
      <c r="Q66" s="326"/>
      <c r="R66" s="326"/>
      <c r="S66" s="326"/>
      <c r="T66" s="326"/>
      <c r="U66" s="326"/>
      <c r="V66" s="326"/>
      <c r="W66" s="326"/>
      <c r="X66" s="326"/>
      <c r="Y66" s="326"/>
      <c r="Z66" s="326"/>
      <c r="AA66" s="326"/>
    </row>
    <row r="67" spans="1:35" ht="3.95" customHeight="1" x14ac:dyDescent="0.3">
      <c r="A67" s="467"/>
      <c r="B67" s="467"/>
      <c r="C67" s="467"/>
      <c r="D67" s="467"/>
      <c r="E67" s="467"/>
      <c r="F67" s="467"/>
      <c r="G67" s="467"/>
      <c r="H67" s="467"/>
      <c r="I67" s="467"/>
      <c r="J67" s="467"/>
      <c r="K67" s="467"/>
      <c r="L67" s="467"/>
      <c r="M67" s="467"/>
      <c r="N67" s="467"/>
      <c r="O67" s="467"/>
      <c r="P67" s="467"/>
      <c r="Q67" s="467"/>
      <c r="R67" s="467"/>
      <c r="S67" s="467"/>
      <c r="T67" s="467"/>
      <c r="U67" s="467"/>
      <c r="V67" s="467"/>
      <c r="W67" s="467"/>
      <c r="X67" s="467"/>
      <c r="Y67" s="467"/>
      <c r="Z67" s="467"/>
      <c r="AA67" s="467"/>
    </row>
    <row r="68" spans="1:35" ht="15.95" customHeight="1" x14ac:dyDescent="0.3">
      <c r="A68" s="38"/>
      <c r="B68" s="39" t="s">
        <v>205</v>
      </c>
      <c r="C68" s="497">
        <v>43457</v>
      </c>
      <c r="D68" s="497"/>
      <c r="E68" s="497"/>
      <c r="F68" s="497"/>
      <c r="G68" s="40" t="s">
        <v>212</v>
      </c>
      <c r="H68" s="40"/>
      <c r="I68" s="40"/>
      <c r="J68" s="40"/>
      <c r="K68" s="40"/>
      <c r="L68" s="40"/>
      <c r="M68" s="40"/>
      <c r="N68" s="40"/>
      <c r="O68" s="40"/>
      <c r="P68" s="40"/>
      <c r="Q68" s="40"/>
      <c r="R68" s="40"/>
      <c r="S68" s="40"/>
      <c r="T68" s="40"/>
      <c r="U68" s="40"/>
      <c r="V68" s="40"/>
      <c r="W68" s="40"/>
      <c r="X68" s="40"/>
      <c r="Y68" s="40"/>
      <c r="Z68" s="40"/>
      <c r="AA68" s="41"/>
    </row>
    <row r="69" spans="1:35" ht="14.1" customHeight="1" x14ac:dyDescent="0.3">
      <c r="A69" s="469" t="str">
        <f>+F12</f>
        <v>JUAN DAVID VILLA ROMERO</v>
      </c>
      <c r="B69" s="470"/>
      <c r="C69" s="470"/>
      <c r="D69" s="470"/>
      <c r="E69" s="470"/>
      <c r="F69" s="471" t="s">
        <v>207</v>
      </c>
      <c r="G69" s="471"/>
      <c r="H69" s="471"/>
      <c r="I69" s="471" t="str">
        <f>+F14</f>
        <v>LEIDY YOHANA HERNANDEZ BETANCUR</v>
      </c>
      <c r="J69" s="471"/>
      <c r="K69" s="471"/>
      <c r="L69" s="471"/>
      <c r="M69" s="471"/>
      <c r="N69" s="42" t="s">
        <v>233</v>
      </c>
      <c r="O69" s="42"/>
      <c r="P69" s="42"/>
      <c r="Q69" s="42"/>
      <c r="R69" s="42"/>
      <c r="S69" s="42"/>
      <c r="T69" s="42"/>
      <c r="U69" s="43" t="s">
        <v>234</v>
      </c>
      <c r="V69" s="44">
        <f>+Z9</f>
        <v>20</v>
      </c>
      <c r="W69" s="42" t="s">
        <v>235</v>
      </c>
      <c r="X69" s="42">
        <f>+T10</f>
        <v>2018</v>
      </c>
      <c r="Y69" s="42" t="s">
        <v>236</v>
      </c>
      <c r="Z69" s="42"/>
      <c r="AA69" s="45"/>
    </row>
    <row r="70" spans="1:35" x14ac:dyDescent="0.3">
      <c r="A70" s="46" t="s">
        <v>237</v>
      </c>
      <c r="B70" s="472">
        <v>43115</v>
      </c>
      <c r="C70" s="472"/>
      <c r="D70" s="472"/>
      <c r="E70" s="472"/>
      <c r="F70" s="47" t="s">
        <v>238</v>
      </c>
      <c r="G70" s="48"/>
      <c r="H70" s="48"/>
      <c r="I70" s="48"/>
      <c r="J70" s="473">
        <f>+F19</f>
        <v>14400000</v>
      </c>
      <c r="K70" s="473"/>
      <c r="L70" s="473"/>
      <c r="M70" s="49"/>
      <c r="N70" s="173"/>
      <c r="O70" s="173"/>
      <c r="P70" s="173"/>
      <c r="Q70" s="173"/>
      <c r="R70" s="173"/>
      <c r="S70" s="173"/>
      <c r="T70" s="173"/>
      <c r="U70" s="173"/>
      <c r="V70" s="173"/>
      <c r="W70" s="173"/>
      <c r="X70" s="173"/>
      <c r="Y70" s="173"/>
      <c r="Z70" s="173"/>
      <c r="AA70" s="50"/>
    </row>
    <row r="71" spans="1:35" x14ac:dyDescent="0.3">
      <c r="A71" s="60"/>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3"/>
    </row>
    <row r="72" spans="1:35" x14ac:dyDescent="0.3">
      <c r="A72" s="60"/>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3"/>
    </row>
    <row r="73" spans="1:35" x14ac:dyDescent="0.3">
      <c r="A73" s="61"/>
      <c r="B73" s="62"/>
      <c r="C73" s="62"/>
      <c r="D73" s="62"/>
      <c r="E73" s="62"/>
      <c r="F73" s="32"/>
      <c r="G73" s="32"/>
      <c r="H73" s="32"/>
      <c r="I73" s="32"/>
      <c r="J73" s="32"/>
      <c r="K73" s="62"/>
      <c r="L73" s="62"/>
      <c r="M73" s="62"/>
      <c r="N73" s="62"/>
      <c r="O73" s="62"/>
      <c r="P73" s="32"/>
      <c r="Q73" s="32"/>
      <c r="R73" s="32"/>
      <c r="S73" s="32"/>
      <c r="T73" s="32"/>
      <c r="U73" s="62"/>
      <c r="V73" s="62"/>
      <c r="W73" s="62"/>
      <c r="X73" s="62"/>
      <c r="Y73" s="62"/>
      <c r="Z73" s="62"/>
      <c r="AA73" s="33"/>
    </row>
    <row r="74" spans="1:35" x14ac:dyDescent="0.3">
      <c r="A74" s="60" t="str">
        <f>+F12</f>
        <v>JUAN DAVID VILLA ROMERO</v>
      </c>
      <c r="B74" s="32"/>
      <c r="C74" s="32"/>
      <c r="D74" s="32"/>
      <c r="E74" s="32"/>
      <c r="F74" s="32"/>
      <c r="G74" s="32"/>
      <c r="H74" s="32"/>
      <c r="I74" s="32"/>
      <c r="J74" s="32"/>
      <c r="K74" s="32" t="str">
        <f>+F14</f>
        <v>LEIDY YOHANA HERNANDEZ BETANCUR</v>
      </c>
      <c r="L74" s="32"/>
      <c r="M74" s="32"/>
      <c r="N74" s="32"/>
      <c r="O74" s="32"/>
      <c r="P74" s="32"/>
      <c r="Q74" s="32"/>
      <c r="R74" s="32"/>
      <c r="S74" s="32"/>
      <c r="T74" s="32"/>
      <c r="U74" s="32" t="str">
        <f>+F13</f>
        <v>RIGOBERTO LOPERA MUÑOZ</v>
      </c>
      <c r="V74" s="32"/>
      <c r="W74" s="32"/>
      <c r="X74" s="32"/>
      <c r="Y74" s="32"/>
      <c r="Z74" s="32"/>
      <c r="AA74" s="33"/>
    </row>
    <row r="75" spans="1:35" x14ac:dyDescent="0.3">
      <c r="A75" s="61" t="str">
        <f>+A12</f>
        <v>ORDENADOR DEL GASTO</v>
      </c>
      <c r="B75" s="62"/>
      <c r="C75" s="62"/>
      <c r="D75" s="62"/>
      <c r="E75" s="62"/>
      <c r="F75" s="62"/>
      <c r="G75" s="62"/>
      <c r="H75" s="62"/>
      <c r="I75" s="62"/>
      <c r="J75" s="62"/>
      <c r="K75" s="62" t="str">
        <f>+A14</f>
        <v>CONTRATISTA</v>
      </c>
      <c r="L75" s="62"/>
      <c r="M75" s="62"/>
      <c r="N75" s="62"/>
      <c r="O75" s="62"/>
      <c r="P75" s="62"/>
      <c r="Q75" s="62"/>
      <c r="R75" s="62"/>
      <c r="S75" s="62"/>
      <c r="T75" s="62"/>
      <c r="U75" s="62" t="s">
        <v>246</v>
      </c>
      <c r="V75" s="62"/>
      <c r="W75" s="62"/>
      <c r="X75" s="62"/>
      <c r="Y75" s="62"/>
      <c r="Z75" s="62"/>
      <c r="AA75" s="63"/>
    </row>
    <row r="78" spans="1:35" x14ac:dyDescent="0.3">
      <c r="AF78" s="12"/>
    </row>
    <row r="79" spans="1:35" x14ac:dyDescent="0.3">
      <c r="AG79" s="52"/>
      <c r="AH79" s="12"/>
      <c r="AI79" s="12"/>
    </row>
    <row r="80" spans="1:35" x14ac:dyDescent="0.3">
      <c r="Y80" s="83"/>
      <c r="Z80" s="83"/>
      <c r="AA80" s="83"/>
      <c r="AB80" s="83"/>
      <c r="AC80" s="83"/>
      <c r="AH80" s="12"/>
    </row>
    <row r="81" spans="1:35" x14ac:dyDescent="0.3">
      <c r="Y81" s="83"/>
      <c r="Z81" s="83"/>
      <c r="AA81" s="83"/>
      <c r="AB81" s="83"/>
      <c r="AC81" s="83"/>
      <c r="AG81" s="52"/>
      <c r="AH81" s="12"/>
      <c r="AI81" s="12"/>
    </row>
    <row r="82" spans="1:35" x14ac:dyDescent="0.3">
      <c r="A82" s="179"/>
      <c r="B82" s="180"/>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c r="AA82" s="180"/>
      <c r="AB82" s="83"/>
      <c r="AC82" s="83"/>
      <c r="AG82" s="52"/>
      <c r="AH82" s="12"/>
      <c r="AI82" s="12"/>
    </row>
    <row r="83" spans="1:35" x14ac:dyDescent="0.3">
      <c r="A83" s="179"/>
      <c r="B83" s="180"/>
      <c r="C83" s="180"/>
      <c r="D83" s="180"/>
      <c r="E83" s="180"/>
      <c r="F83" s="180"/>
      <c r="G83" s="180"/>
      <c r="H83" s="180"/>
      <c r="I83" s="180"/>
      <c r="J83" s="180"/>
      <c r="K83" s="180"/>
      <c r="L83" s="180"/>
      <c r="M83" s="180"/>
      <c r="N83" s="180"/>
      <c r="O83" s="180"/>
      <c r="P83" s="180"/>
      <c r="Q83" s="180"/>
      <c r="R83" s="180"/>
      <c r="S83" s="180"/>
      <c r="T83" s="180"/>
      <c r="U83" s="180"/>
      <c r="V83" s="180"/>
      <c r="W83" s="180"/>
      <c r="X83" s="180"/>
      <c r="Y83" s="180"/>
      <c r="Z83" s="180"/>
      <c r="AA83" s="180"/>
      <c r="AB83" s="83"/>
      <c r="AC83" s="83"/>
      <c r="AH83" s="12"/>
      <c r="AI83" s="12"/>
    </row>
    <row r="84" spans="1:35" x14ac:dyDescent="0.3">
      <c r="Y84" s="83"/>
      <c r="Z84" s="83"/>
      <c r="AA84" s="83"/>
      <c r="AB84" s="83"/>
      <c r="AC84" s="83"/>
      <c r="AI84" s="12"/>
    </row>
    <row r="85" spans="1:35" x14ac:dyDescent="0.3">
      <c r="Y85" s="83"/>
      <c r="Z85" s="83"/>
      <c r="AA85" s="83"/>
      <c r="AB85" s="83"/>
      <c r="AC85" s="83"/>
    </row>
    <row r="98" spans="1:12" hidden="1" x14ac:dyDescent="0.3">
      <c r="A98" s="57" t="s">
        <v>146</v>
      </c>
      <c r="B98" s="57"/>
      <c r="D98" s="293">
        <f>+F66</f>
        <v>0</v>
      </c>
      <c r="E98" s="293"/>
      <c r="F98" s="293"/>
      <c r="G98" s="57" t="s">
        <v>147</v>
      </c>
      <c r="H98" s="57"/>
      <c r="I98" s="57"/>
      <c r="J98" s="57"/>
      <c r="K98" s="57"/>
      <c r="L98" s="57"/>
    </row>
    <row r="99" spans="1:12" hidden="1" x14ac:dyDescent="0.3">
      <c r="A99" s="57"/>
      <c r="B99" s="57"/>
      <c r="C99" s="57"/>
      <c r="D99" s="57"/>
      <c r="E99" s="57"/>
      <c r="F99" s="57"/>
      <c r="G99" s="57"/>
      <c r="H99" s="57"/>
      <c r="I99" s="57"/>
      <c r="J99" s="57"/>
      <c r="K99" s="57"/>
      <c r="L99" s="57"/>
    </row>
    <row r="100" spans="1:12" hidden="1" x14ac:dyDescent="0.3">
      <c r="A100" s="57" t="s">
        <v>148</v>
      </c>
      <c r="B100" s="57"/>
      <c r="D100" s="57" t="str">
        <f>TRIM(D122)</f>
        <v>de Pesos M/Cte</v>
      </c>
      <c r="E100" s="57"/>
      <c r="F100" s="57"/>
      <c r="G100" s="57"/>
      <c r="H100" s="57"/>
      <c r="I100" s="57"/>
      <c r="J100" s="57"/>
      <c r="K100" s="57"/>
      <c r="L100" s="57"/>
    </row>
    <row r="101" spans="1:12" hidden="1" x14ac:dyDescent="0.3">
      <c r="A101" s="57"/>
      <c r="B101" s="57"/>
      <c r="C101" s="57"/>
      <c r="D101" s="57"/>
      <c r="E101" s="57"/>
      <c r="F101" s="57"/>
      <c r="G101" s="57"/>
      <c r="H101" s="57"/>
      <c r="I101" s="57"/>
      <c r="J101" s="57"/>
      <c r="K101" s="57"/>
      <c r="L101" s="57"/>
    </row>
    <row r="102" spans="1:12" hidden="1" x14ac:dyDescent="0.3">
      <c r="A102" s="57"/>
      <c r="B102" s="57"/>
      <c r="C102" s="57"/>
      <c r="D102" s="57"/>
      <c r="E102" s="57"/>
      <c r="F102" s="57"/>
      <c r="G102" s="57"/>
      <c r="H102" s="57"/>
      <c r="I102" s="57"/>
      <c r="J102" s="57"/>
      <c r="K102" s="57"/>
      <c r="L102" s="57"/>
    </row>
    <row r="103" spans="1:12" hidden="1" x14ac:dyDescent="0.3">
      <c r="A103" s="57">
        <v>1</v>
      </c>
      <c r="B103" s="57" t="s">
        <v>149</v>
      </c>
      <c r="C103" s="57" t="s">
        <v>150</v>
      </c>
      <c r="D103" s="57"/>
      <c r="E103" s="57">
        <f>INT((D98-(INT(D98/1000000000000000)*1000000000000000))/1000000000000)</f>
        <v>0</v>
      </c>
      <c r="F103" s="57" t="s">
        <v>151</v>
      </c>
      <c r="G103" s="57">
        <f>INT(E103/100)*100</f>
        <v>0</v>
      </c>
      <c r="H103" s="57" t="str">
        <f>IF(AND(G103=100,G104=0,G105=0),IF(G103=0," ",LOOKUP(G103,A102:C147,B102:B147)),IF(G103=0," ",LOOKUP(G103,A102:C147,C102:C147)))</f>
        <v xml:space="preserve"> </v>
      </c>
      <c r="I103" s="57"/>
      <c r="J103" s="57" t="s">
        <v>152</v>
      </c>
      <c r="K103" s="57"/>
      <c r="L103" s="57"/>
    </row>
    <row r="104" spans="1:12" hidden="1" x14ac:dyDescent="0.3">
      <c r="A104" s="57">
        <v>2</v>
      </c>
      <c r="B104" s="57" t="s">
        <v>153</v>
      </c>
      <c r="C104" s="57" t="s">
        <v>153</v>
      </c>
      <c r="D104" s="57"/>
      <c r="E104" s="57">
        <f>+E103-G103</f>
        <v>0</v>
      </c>
      <c r="F104" s="57" t="s">
        <v>154</v>
      </c>
      <c r="G104" s="57">
        <f>INT(E104/10)*10</f>
        <v>0</v>
      </c>
      <c r="H104" s="57" t="str">
        <f>IF(OR(G104=10,G104=20),LOOKUP(E104,A102:C147,C102:C147),IF(AND(G104=100,G105=0,G106=0),IF(G104=0," ",LOOKUP(G104,A102:C147,B102:B147)),IF(G104=0," ",LOOKUP(G104,A102:C147,C102:C147))))</f>
        <v xml:space="preserve"> </v>
      </c>
      <c r="I104" s="57" t="str">
        <f>IF(G105=0," ",IF(AND(G104&gt;20,G104&lt;=90),"y"," "))</f>
        <v xml:space="preserve"> </v>
      </c>
      <c r="J104" s="57"/>
      <c r="K104" s="57"/>
      <c r="L104" s="57"/>
    </row>
    <row r="105" spans="1:12" hidden="1" x14ac:dyDescent="0.3">
      <c r="A105" s="57">
        <v>3</v>
      </c>
      <c r="B105" s="57" t="s">
        <v>155</v>
      </c>
      <c r="C105" s="57" t="s">
        <v>155</v>
      </c>
      <c r="D105" s="57"/>
      <c r="E105" s="57">
        <f>+E104-G104</f>
        <v>0</v>
      </c>
      <c r="F105" s="57" t="s">
        <v>156</v>
      </c>
      <c r="G105" s="57">
        <f>INT(E105)</f>
        <v>0</v>
      </c>
      <c r="H105" s="57" t="str">
        <f>IF(OR(G104=10,G104=20)," ",IF(AND(G105=100,G106=0,G107=0),IF(G105=0," ",LOOKUP(G105,A102:C147,B102:B147)),IF(G105=0," ",LOOKUP(G105,A102:C147,B102:B147))))</f>
        <v xml:space="preserve"> </v>
      </c>
      <c r="I105" s="57" t="str">
        <f>IF(AND(G103=0,G104=0,G105=1),"Billón",IF(SUM(G103:G105)=0," ","Billones"))</f>
        <v xml:space="preserve"> </v>
      </c>
      <c r="J105" s="57"/>
      <c r="K105" s="57"/>
      <c r="L105" s="57"/>
    </row>
    <row r="106" spans="1:12" hidden="1" x14ac:dyDescent="0.3">
      <c r="A106" s="57">
        <v>4</v>
      </c>
      <c r="B106" s="57" t="s">
        <v>157</v>
      </c>
      <c r="C106" s="57" t="s">
        <v>157</v>
      </c>
      <c r="D106" s="57"/>
      <c r="E106" s="57">
        <f>INT((D98-(INT(D98/1000000000000)*1000000000000))/1000000000)</f>
        <v>0</v>
      </c>
      <c r="F106" s="57" t="s">
        <v>151</v>
      </c>
      <c r="G106" s="57">
        <f>INT(E106/100)*100</f>
        <v>0</v>
      </c>
      <c r="H106" s="57" t="str">
        <f>IF(AND(G106=100,G107=0,G108=0),IF(G106=0," ",LOOKUP(G106,A102:C147,B102:B147)),IF(G106=0," ",LOOKUP(G106,A102:C147,C102:C147)))</f>
        <v xml:space="preserve"> </v>
      </c>
      <c r="I106" s="57"/>
      <c r="J106" s="57" t="s">
        <v>158</v>
      </c>
      <c r="K106" s="57"/>
      <c r="L106" s="57"/>
    </row>
    <row r="107" spans="1:12" hidden="1" x14ac:dyDescent="0.3">
      <c r="A107" s="57">
        <v>5</v>
      </c>
      <c r="B107" s="57" t="s">
        <v>159</v>
      </c>
      <c r="C107" s="57" t="s">
        <v>159</v>
      </c>
      <c r="D107" s="57"/>
      <c r="E107" s="57">
        <f>+E106-G106</f>
        <v>0</v>
      </c>
      <c r="F107" s="57" t="s">
        <v>154</v>
      </c>
      <c r="G107" s="57">
        <f>INT(E107/10)*10</f>
        <v>0</v>
      </c>
      <c r="H107" s="57" t="str">
        <f>IF(OR(G107=10,G107=20),LOOKUP(E107,A102:C147,C102:C147),IF(AND(G107=100,G108=0,G109=0),IF(G107=0," ",LOOKUP(G107,A102:C147,B102:B147)),IF(G107=0," ",LOOKUP(G107,A102:C147,C102:C147))))</f>
        <v xml:space="preserve"> </v>
      </c>
      <c r="I107" s="57" t="str">
        <f>IF(G108=0," ",IF(AND(G107&gt;20,G107&lt;=90),"y"," "))</f>
        <v xml:space="preserve"> </v>
      </c>
      <c r="J107" s="57"/>
      <c r="K107" s="57"/>
      <c r="L107" s="57"/>
    </row>
    <row r="108" spans="1:12" hidden="1" x14ac:dyDescent="0.3">
      <c r="A108" s="57">
        <v>6</v>
      </c>
      <c r="B108" s="57" t="s">
        <v>160</v>
      </c>
      <c r="C108" s="57" t="s">
        <v>160</v>
      </c>
      <c r="D108" s="57"/>
      <c r="E108" s="57">
        <f>+E107-G107</f>
        <v>0</v>
      </c>
      <c r="F108" s="57" t="s">
        <v>156</v>
      </c>
      <c r="G108" s="57">
        <f>INT(E108)</f>
        <v>0</v>
      </c>
      <c r="H108" s="57" t="str">
        <f>IF(AND(G106=0,G107=0,G108=1)," ",IF(AND(G103=0,G104=0,G105=0,G106=0,G107=0,G108=1)," ",IF(OR(G107=10,G107=20)," ",IF(AND(G108=100,G109=0,G110=0),IF(G108=0," ",LOOKUP(G108,A102:C147,B102:B147)),IF(G108=0," ",LOOKUP(G108,A102:C147,B102:B147))))))</f>
        <v xml:space="preserve"> </v>
      </c>
      <c r="I108" s="57" t="str">
        <f>IF(AND(G106=0,G107=0,G108=1),"Mil",IF(SUM(G106:G108)=0," ","Mil"))</f>
        <v xml:space="preserve"> </v>
      </c>
      <c r="J108" s="57"/>
      <c r="K108" s="57"/>
      <c r="L108" s="57"/>
    </row>
    <row r="109" spans="1:12" hidden="1" x14ac:dyDescent="0.3">
      <c r="A109" s="57">
        <v>7</v>
      </c>
      <c r="B109" s="57" t="s">
        <v>161</v>
      </c>
      <c r="C109" s="57" t="s">
        <v>161</v>
      </c>
      <c r="D109" s="57"/>
      <c r="E109" s="57">
        <f>INT((D98-(INT(D98/1000000000)*1000000000))/1000000)</f>
        <v>0</v>
      </c>
      <c r="F109" s="57" t="s">
        <v>151</v>
      </c>
      <c r="G109" s="57">
        <f>INT(E109/100)*100</f>
        <v>0</v>
      </c>
      <c r="H109" s="57" t="str">
        <f>IF(AND(G109=100,G110=0,G111=0),IF(G109=0," ",LOOKUP(G109,A102:C147,B102:B147)),IF(G109=0," ",LOOKUP(G109,A102:C147,C102:C147)))</f>
        <v xml:space="preserve"> </v>
      </c>
      <c r="I109" s="57"/>
      <c r="J109" s="57" t="s">
        <v>162</v>
      </c>
      <c r="K109" s="57"/>
      <c r="L109" s="57"/>
    </row>
    <row r="110" spans="1:12" hidden="1" x14ac:dyDescent="0.3">
      <c r="A110" s="57">
        <v>8</v>
      </c>
      <c r="B110" s="57" t="s">
        <v>163</v>
      </c>
      <c r="C110" s="57" t="s">
        <v>163</v>
      </c>
      <c r="D110" s="57"/>
      <c r="E110" s="57">
        <f>+E109-G109</f>
        <v>0</v>
      </c>
      <c r="F110" s="57" t="s">
        <v>154</v>
      </c>
      <c r="G110" s="57">
        <f>INT(E110/10)*10</f>
        <v>0</v>
      </c>
      <c r="H110" s="57" t="str">
        <f>IF(OR(G110=10,G110=20),LOOKUP(E110,A102:C147,C102:C147),IF(AND(G110=100,G111=0,G115=0),IF(G110=0," ",LOOKUP(G110,A102:C147,B102:B147)),IF(G110=0," ",LOOKUP(G110,A102:C147,C102:C147))))</f>
        <v xml:space="preserve"> </v>
      </c>
      <c r="I110" s="57" t="str">
        <f>IF(G111=0," ",IF(AND(G110&gt;20,G110&lt;=90),"y"," "))</f>
        <v xml:space="preserve"> </v>
      </c>
      <c r="J110" s="57"/>
      <c r="K110" s="57"/>
      <c r="L110" s="57"/>
    </row>
    <row r="111" spans="1:12" hidden="1" x14ac:dyDescent="0.3">
      <c r="A111" s="57">
        <v>9</v>
      </c>
      <c r="B111" s="57" t="s">
        <v>164</v>
      </c>
      <c r="C111" s="57" t="s">
        <v>164</v>
      </c>
      <c r="D111" s="57"/>
      <c r="E111" s="57">
        <f>+E110-G110</f>
        <v>0</v>
      </c>
      <c r="F111" s="57" t="s">
        <v>156</v>
      </c>
      <c r="G111" s="57">
        <f>INT(E111)</f>
        <v>0</v>
      </c>
      <c r="H111" s="57" t="str">
        <f>IF(AND(G109=0,G110=0,G111=1),"Un",IF(AND(G106=0,G107=0,G108=0,G109=0,G110=0,G111=1)," ",IF(OR(G110=10,G110=20)," ",IF(AND(G111=100,G115=0,G122=0),IF(G111=0," ",LOOKUP(G111,A102:C147,B102:B147)),IF(G111=0," ",LOOKUP(G111,A102:C147,B102:B147))))))</f>
        <v xml:space="preserve"> </v>
      </c>
      <c r="I111" s="57" t="str">
        <f>IF(AND(OR(G106&gt;0,G107&gt;0,G108&gt;0),G109=0,G110=0,G111=0),"Millones",IF(AND(G106=0,G107=0,G108=0,G109=0,G110=0,G111=1),"Millón",IF(SUM(G109:G111)=0," ","Millones")))</f>
        <v xml:space="preserve"> </v>
      </c>
      <c r="J111" s="57"/>
      <c r="K111" s="57"/>
      <c r="L111" s="57"/>
    </row>
    <row r="112" spans="1:12" hidden="1" x14ac:dyDescent="0.3">
      <c r="A112" s="57">
        <v>10</v>
      </c>
      <c r="B112" s="57" t="s">
        <v>165</v>
      </c>
      <c r="C112" s="57" t="s">
        <v>165</v>
      </c>
      <c r="D112" s="57"/>
      <c r="E112" s="57">
        <f>INT((D98-(INT(D98/1000000)*1000000))/1000)</f>
        <v>0</v>
      </c>
      <c r="F112" s="57" t="s">
        <v>151</v>
      </c>
      <c r="G112" s="57">
        <f>INT(E112/100)*100</f>
        <v>0</v>
      </c>
      <c r="H112" s="57" t="str">
        <f>IF(AND(G112=100,G113=0,G114=0),IF(G112=0," ",LOOKUP(G112,A102:C147,B102:B147)),IF(G112=0," ",LOOKUP(G112,A102:C147,C102:C147)))</f>
        <v xml:space="preserve"> </v>
      </c>
      <c r="I112" s="57"/>
      <c r="J112" s="57" t="s">
        <v>166</v>
      </c>
      <c r="K112" s="57"/>
      <c r="L112" s="57"/>
    </row>
    <row r="113" spans="1:12" hidden="1" x14ac:dyDescent="0.3">
      <c r="A113" s="57">
        <v>11</v>
      </c>
      <c r="B113" s="57" t="s">
        <v>167</v>
      </c>
      <c r="C113" s="57" t="s">
        <v>167</v>
      </c>
      <c r="D113" s="57"/>
      <c r="E113" s="57">
        <f>+E112-G112</f>
        <v>0</v>
      </c>
      <c r="F113" s="57" t="s">
        <v>154</v>
      </c>
      <c r="G113" s="57">
        <f>INT(E113/10)*10</f>
        <v>0</v>
      </c>
      <c r="H113" s="57" t="str">
        <f>IF(OR(G113=10,G113=20),LOOKUP(E113,A102:C147,C102:C147),IF(AND(G113=100,G114=0,F120=0),IF(G113=0," ",LOOKUP(G113,A102:C147,B102:B147)),IF(G113=0," ",LOOKUP(G113,A102:C147,C102:C147))))</f>
        <v xml:space="preserve"> </v>
      </c>
      <c r="I113" s="57" t="str">
        <f>IF(G114=0," ",IF(AND(G113&gt;20,G113&lt;=90),"y"," "))</f>
        <v xml:space="preserve"> </v>
      </c>
      <c r="J113" s="57"/>
      <c r="K113" s="57"/>
      <c r="L113" s="57"/>
    </row>
    <row r="114" spans="1:12" hidden="1" x14ac:dyDescent="0.3">
      <c r="A114" s="57">
        <v>12</v>
      </c>
      <c r="B114" s="57" t="s">
        <v>168</v>
      </c>
      <c r="C114" s="57" t="s">
        <v>168</v>
      </c>
      <c r="D114" s="57"/>
      <c r="E114" s="57">
        <f>+E113-G113</f>
        <v>0</v>
      </c>
      <c r="F114" s="57" t="s">
        <v>156</v>
      </c>
      <c r="G114" s="57">
        <f>INT(E114)</f>
        <v>0</v>
      </c>
      <c r="H114" s="57" t="str">
        <f>IF(AND(G112=0,G113=0,G114=1)," ",IF(AND(G109=0,G110=0,G111=0,G112=0,G113=0,G114=1)," ",IF(OR(G113=10,G113=20)," ",IF(AND(G114=100,F120=0,F121=0),IF(G114=0," ",LOOKUP(G114,A102:C147,B102:B147)),IF(G114=0," ",LOOKUP(G114,A102:C147,B102:B147))))))</f>
        <v xml:space="preserve"> </v>
      </c>
      <c r="I114" s="57" t="str">
        <f>IF(AND(G112=0,G113=0,G114=1),"Mil",IF(SUM(G112:G114)=0," ","Mil"))</f>
        <v xml:space="preserve"> </v>
      </c>
      <c r="J114" s="57"/>
      <c r="K114" s="57"/>
      <c r="L114" s="57"/>
    </row>
    <row r="115" spans="1:12" hidden="1" x14ac:dyDescent="0.3">
      <c r="A115" s="57">
        <v>13</v>
      </c>
      <c r="B115" s="57" t="s">
        <v>169</v>
      </c>
      <c r="C115" s="57" t="s">
        <v>169</v>
      </c>
      <c r="D115" s="57"/>
      <c r="E115" s="57">
        <f>INT((D98-(INT(D98/1000)*1000))/1)</f>
        <v>0</v>
      </c>
      <c r="F115" s="57" t="s">
        <v>151</v>
      </c>
      <c r="G115" s="57">
        <f>INT(E115/100)*100</f>
        <v>0</v>
      </c>
      <c r="H115" s="57" t="str">
        <f>IF(AND(G115=100,G116=0,G117=0),IF(G115=0," ",LOOKUP(G115,A102:C147,B102:B147)),IF(G115=0," ",LOOKUP(G115,A102:C147,C102:C147)))</f>
        <v xml:space="preserve"> </v>
      </c>
      <c r="I115" s="57"/>
      <c r="J115" s="57" t="s">
        <v>170</v>
      </c>
      <c r="K115" s="57"/>
      <c r="L115" s="57"/>
    </row>
    <row r="116" spans="1:12" hidden="1" x14ac:dyDescent="0.3">
      <c r="A116" s="57">
        <v>14</v>
      </c>
      <c r="B116" s="57" t="s">
        <v>171</v>
      </c>
      <c r="C116" s="57" t="s">
        <v>171</v>
      </c>
      <c r="D116" s="57"/>
      <c r="E116" s="57">
        <f>+E115-G115</f>
        <v>0</v>
      </c>
      <c r="F116" s="57" t="s">
        <v>154</v>
      </c>
      <c r="G116" s="57">
        <f>INT(E116/10)*10</f>
        <v>0</v>
      </c>
      <c r="H116" s="57" t="str">
        <f>IF(OR(G116=10,G116=20),LOOKUP(E116,A102:C147,C102:C147),IF(AND(G116=100,G117=0,G127=0),IF(G116=0," ",LOOKUP(G116,A102:C147,B102:B147)),IF(G116=0," ",LOOKUP(G116,A102:C147,C102:C147))))</f>
        <v xml:space="preserve"> </v>
      </c>
      <c r="I116" s="57" t="str">
        <f>IF(G117=0," ",IF(AND(G116&gt;20,G116&lt;=90),"y"," "))</f>
        <v xml:space="preserve"> </v>
      </c>
      <c r="J116" s="57"/>
      <c r="K116" s="57"/>
      <c r="L116" s="57"/>
    </row>
    <row r="117" spans="1:12" hidden="1" x14ac:dyDescent="0.3">
      <c r="A117" s="57">
        <v>15</v>
      </c>
      <c r="B117" s="57" t="s">
        <v>172</v>
      </c>
      <c r="C117" s="57" t="s">
        <v>172</v>
      </c>
      <c r="D117" s="57"/>
      <c r="E117" s="57">
        <f>+E116-G116</f>
        <v>0</v>
      </c>
      <c r="F117" s="57" t="s">
        <v>156</v>
      </c>
      <c r="G117" s="57">
        <f>INT(E117)</f>
        <v>0</v>
      </c>
      <c r="H117" s="57" t="str">
        <f>IF(AND(G115=0,G116=0,G117=1),"Un",IF(AND(G112=0,G113=0,G114=0,G115=0,G116=0,G117=1)," ",IF(OR(G116=10,G116=20)," ",IF(AND(G117=100,G127=0,G128=0),IF(G117=0," ",LOOKUP(G117,A102:C147,B102:B147)),IF(G117=0," ",LOOKUP(G117,A102:C147,B102:B147))))))</f>
        <v xml:space="preserve"> </v>
      </c>
      <c r="I117" s="57"/>
      <c r="J117" s="57"/>
      <c r="K117" s="57"/>
      <c r="L117" s="57"/>
    </row>
    <row r="118" spans="1:12" hidden="1" x14ac:dyDescent="0.3">
      <c r="A118" s="57">
        <v>16</v>
      </c>
      <c r="B118" s="57" t="s">
        <v>173</v>
      </c>
      <c r="C118" s="57" t="s">
        <v>173</v>
      </c>
      <c r="D118" s="57"/>
      <c r="E118" s="57"/>
      <c r="F118" s="57"/>
      <c r="G118" s="57"/>
      <c r="H118" s="57"/>
      <c r="I118" s="57"/>
      <c r="J118" s="57"/>
      <c r="K118" s="57"/>
      <c r="L118" s="57"/>
    </row>
    <row r="119" spans="1:12" hidden="1" x14ac:dyDescent="0.3">
      <c r="A119" s="57">
        <v>17</v>
      </c>
      <c r="B119" s="57" t="s">
        <v>174</v>
      </c>
      <c r="C119" s="57" t="s">
        <v>174</v>
      </c>
      <c r="D119" s="57"/>
      <c r="E119" s="57"/>
      <c r="F119" s="57"/>
      <c r="G119" s="57"/>
      <c r="H119" s="57"/>
      <c r="I119" s="57"/>
      <c r="J119" s="57"/>
      <c r="K119" s="57"/>
      <c r="L119" s="57"/>
    </row>
    <row r="120" spans="1:12" hidden="1" x14ac:dyDescent="0.3">
      <c r="A120" s="57">
        <v>18</v>
      </c>
      <c r="B120" s="57" t="s">
        <v>175</v>
      </c>
      <c r="C120" s="57" t="s">
        <v>175</v>
      </c>
      <c r="D120" s="57"/>
      <c r="E120" s="57"/>
      <c r="F120" s="57"/>
      <c r="G120" s="57"/>
      <c r="H120" s="57"/>
      <c r="I120" s="57"/>
      <c r="J120" s="57"/>
      <c r="K120" s="57"/>
      <c r="L120" s="57"/>
    </row>
    <row r="121" spans="1:12" hidden="1" x14ac:dyDescent="0.3">
      <c r="A121" s="57">
        <v>19</v>
      </c>
      <c r="B121" s="57" t="s">
        <v>176</v>
      </c>
      <c r="C121" s="57" t="s">
        <v>176</v>
      </c>
      <c r="D121" s="57"/>
      <c r="E121" s="57"/>
      <c r="F121" s="57"/>
      <c r="G121" s="57"/>
      <c r="H121" s="57"/>
      <c r="I121" s="57"/>
      <c r="J121" s="57"/>
      <c r="K121" s="57"/>
      <c r="L121" s="57"/>
    </row>
    <row r="122" spans="1:12" hidden="1" x14ac:dyDescent="0.3">
      <c r="A122" s="57">
        <v>20</v>
      </c>
      <c r="B122" s="57" t="s">
        <v>177</v>
      </c>
      <c r="C122" s="57" t="s">
        <v>177</v>
      </c>
      <c r="D122" s="57" t="str">
        <f>H103&amp;" "&amp;H104&amp;" "&amp;I104&amp;" "&amp;" "&amp;H105&amp;" "&amp;I105&amp;" "&amp;H106&amp;" "&amp;H107&amp;" "&amp;I107&amp;" "&amp;" "&amp;H108&amp;" "&amp;I108&amp;" "&amp;H109&amp;" "&amp;H110&amp;" "&amp;I110&amp;" "&amp;H111&amp;" "&amp;I111&amp;" "&amp;H112&amp;" "&amp;H113&amp;" "&amp;I113&amp;" "&amp;H114&amp;" "&amp;I114&amp;" "&amp;H115&amp;" "&amp;H116&amp;" "&amp;I116&amp;" "&amp;H117&amp;" "&amp;H124</f>
        <v xml:space="preserve">                                                  de Pesos M/Cte</v>
      </c>
      <c r="E122" s="57"/>
      <c r="F122" s="57"/>
      <c r="G122" s="57"/>
      <c r="H122" s="57"/>
      <c r="I122" s="57"/>
      <c r="J122" s="57"/>
      <c r="K122" s="57"/>
      <c r="L122" s="57"/>
    </row>
    <row r="123" spans="1:12" hidden="1" x14ac:dyDescent="0.3">
      <c r="A123" s="57">
        <v>21</v>
      </c>
      <c r="B123" s="57" t="s">
        <v>178</v>
      </c>
      <c r="C123" s="57" t="s">
        <v>179</v>
      </c>
      <c r="D123" s="57"/>
      <c r="E123" s="57"/>
      <c r="F123" s="57"/>
      <c r="G123" s="57"/>
      <c r="H123" s="57"/>
      <c r="I123" s="57"/>
      <c r="J123" s="57"/>
      <c r="K123" s="57"/>
      <c r="L123" s="57"/>
    </row>
    <row r="124" spans="1:12" hidden="1" x14ac:dyDescent="0.3">
      <c r="A124" s="57">
        <v>22</v>
      </c>
      <c r="B124" s="57" t="s">
        <v>180</v>
      </c>
      <c r="C124" s="57" t="s">
        <v>180</v>
      </c>
      <c r="D124" s="57"/>
      <c r="E124" s="57"/>
      <c r="F124" s="57"/>
      <c r="G124" s="57"/>
      <c r="H124" s="57" t="str">
        <f>IF(F125&lt;&gt;0,"de Pesos M/Cte",IF(D98=1,"Peso M/Cte","Pesos M/Cte"))</f>
        <v>de Pesos M/Cte</v>
      </c>
      <c r="I124" s="57"/>
      <c r="J124" s="57"/>
      <c r="K124" s="57"/>
      <c r="L124" s="57"/>
    </row>
    <row r="125" spans="1:12" hidden="1" x14ac:dyDescent="0.3">
      <c r="A125" s="57">
        <v>23</v>
      </c>
      <c r="B125" s="57" t="s">
        <v>181</v>
      </c>
      <c r="C125" s="57" t="s">
        <v>181</v>
      </c>
      <c r="D125" s="57"/>
      <c r="E125" s="57">
        <f>D98/1000000</f>
        <v>0</v>
      </c>
      <c r="F125" s="57" t="str">
        <f>IF(E125=INT(E125),"De Pesos M/Cte",0)</f>
        <v>De Pesos M/Cte</v>
      </c>
      <c r="G125" s="57"/>
      <c r="H125" s="57"/>
      <c r="I125" s="57"/>
      <c r="J125" s="57"/>
      <c r="K125" s="57"/>
      <c r="L125" s="57"/>
    </row>
    <row r="126" spans="1:12" hidden="1" x14ac:dyDescent="0.3">
      <c r="A126" s="57">
        <v>24</v>
      </c>
      <c r="B126" s="57" t="s">
        <v>182</v>
      </c>
      <c r="C126" s="57" t="s">
        <v>182</v>
      </c>
      <c r="D126" s="57"/>
      <c r="E126" s="57"/>
      <c r="F126" s="57"/>
      <c r="G126" s="57"/>
      <c r="H126" s="57"/>
      <c r="I126" s="57"/>
      <c r="J126" s="57"/>
      <c r="K126" s="57"/>
      <c r="L126" s="57"/>
    </row>
    <row r="127" spans="1:12" hidden="1" x14ac:dyDescent="0.3">
      <c r="A127" s="57">
        <v>25</v>
      </c>
      <c r="B127" s="57" t="s">
        <v>183</v>
      </c>
      <c r="C127" s="57" t="s">
        <v>183</v>
      </c>
      <c r="D127" s="57"/>
      <c r="E127" s="57"/>
      <c r="F127" s="57"/>
      <c r="G127" s="57"/>
      <c r="H127" s="57"/>
      <c r="I127" s="57"/>
      <c r="J127" s="57"/>
      <c r="K127" s="57"/>
      <c r="L127" s="57"/>
    </row>
    <row r="128" spans="1:12" hidden="1" x14ac:dyDescent="0.3">
      <c r="A128" s="57">
        <v>26</v>
      </c>
      <c r="B128" s="57" t="s">
        <v>184</v>
      </c>
      <c r="C128" s="57" t="s">
        <v>184</v>
      </c>
      <c r="D128" s="57"/>
      <c r="E128" s="57"/>
      <c r="F128" s="57"/>
      <c r="G128" s="57"/>
      <c r="H128" s="57"/>
      <c r="I128" s="57"/>
      <c r="J128" s="57"/>
      <c r="K128" s="57"/>
      <c r="L128" s="57"/>
    </row>
    <row r="129" spans="1:12" hidden="1" x14ac:dyDescent="0.3">
      <c r="A129" s="57">
        <v>27</v>
      </c>
      <c r="B129" s="57" t="s">
        <v>185</v>
      </c>
      <c r="C129" s="57" t="s">
        <v>185</v>
      </c>
      <c r="D129" s="57"/>
      <c r="E129" s="57"/>
      <c r="F129" s="57"/>
      <c r="G129" s="57"/>
      <c r="H129" s="57"/>
      <c r="I129" s="57"/>
      <c r="J129" s="57"/>
      <c r="K129" s="57"/>
      <c r="L129" s="57"/>
    </row>
    <row r="130" spans="1:12" hidden="1" x14ac:dyDescent="0.3">
      <c r="A130" s="57">
        <v>28</v>
      </c>
      <c r="B130" s="57" t="s">
        <v>186</v>
      </c>
      <c r="C130" s="57" t="s">
        <v>186</v>
      </c>
      <c r="D130" s="57"/>
      <c r="E130" s="57"/>
      <c r="F130" s="57"/>
      <c r="G130" s="57"/>
      <c r="H130" s="57"/>
      <c r="I130" s="57"/>
      <c r="J130" s="57"/>
      <c r="K130" s="57"/>
      <c r="L130" s="57"/>
    </row>
    <row r="131" spans="1:12" hidden="1" x14ac:dyDescent="0.3">
      <c r="A131" s="57">
        <v>29</v>
      </c>
      <c r="B131" s="57" t="s">
        <v>187</v>
      </c>
      <c r="C131" s="57" t="s">
        <v>187</v>
      </c>
      <c r="D131" s="57"/>
      <c r="E131" s="57"/>
      <c r="F131" s="57"/>
      <c r="G131" s="57"/>
      <c r="H131" s="57"/>
      <c r="I131" s="57"/>
      <c r="J131" s="57"/>
      <c r="K131" s="57"/>
      <c r="L131" s="57"/>
    </row>
    <row r="132" spans="1:12" hidden="1" x14ac:dyDescent="0.3">
      <c r="A132" s="57">
        <v>30</v>
      </c>
      <c r="B132" s="57" t="s">
        <v>188</v>
      </c>
      <c r="C132" s="57" t="s">
        <v>188</v>
      </c>
      <c r="D132" s="57"/>
      <c r="E132" s="57"/>
      <c r="F132" s="57"/>
      <c r="G132" s="57"/>
      <c r="H132" s="57"/>
      <c r="I132" s="57"/>
      <c r="J132" s="57"/>
      <c r="K132" s="57"/>
      <c r="L132" s="57"/>
    </row>
    <row r="133" spans="1:12" hidden="1" x14ac:dyDescent="0.3">
      <c r="A133" s="57">
        <v>40</v>
      </c>
      <c r="B133" s="57" t="s">
        <v>189</v>
      </c>
      <c r="C133" s="57" t="s">
        <v>189</v>
      </c>
      <c r="D133" s="57"/>
      <c r="E133" s="57"/>
      <c r="F133" s="57"/>
      <c r="G133" s="57"/>
      <c r="H133" s="57"/>
      <c r="I133" s="57"/>
      <c r="J133" s="57"/>
      <c r="K133" s="57"/>
      <c r="L133" s="57"/>
    </row>
    <row r="134" spans="1:12" hidden="1" x14ac:dyDescent="0.3">
      <c r="A134" s="57">
        <v>50</v>
      </c>
      <c r="B134" s="57" t="s">
        <v>190</v>
      </c>
      <c r="C134" s="57" t="s">
        <v>190</v>
      </c>
      <c r="D134" s="57"/>
      <c r="E134" s="57"/>
      <c r="F134" s="57"/>
      <c r="G134" s="57"/>
      <c r="H134" s="57"/>
      <c r="I134" s="57"/>
      <c r="J134" s="57"/>
      <c r="K134" s="57"/>
      <c r="L134" s="57"/>
    </row>
    <row r="135" spans="1:12" hidden="1" x14ac:dyDescent="0.3">
      <c r="A135" s="57">
        <v>60</v>
      </c>
      <c r="B135" s="57" t="s">
        <v>191</v>
      </c>
      <c r="C135" s="57" t="s">
        <v>191</v>
      </c>
      <c r="D135" s="57"/>
      <c r="E135" s="57"/>
      <c r="F135" s="57"/>
      <c r="G135" s="57"/>
      <c r="H135" s="57"/>
      <c r="I135" s="57"/>
      <c r="J135" s="57"/>
      <c r="K135" s="57"/>
      <c r="L135" s="57"/>
    </row>
    <row r="136" spans="1:12" hidden="1" x14ac:dyDescent="0.3">
      <c r="A136" s="57">
        <v>70</v>
      </c>
      <c r="B136" s="57" t="s">
        <v>192</v>
      </c>
      <c r="C136" s="57" t="s">
        <v>192</v>
      </c>
      <c r="D136" s="57"/>
      <c r="E136" s="57"/>
      <c r="F136" s="57"/>
      <c r="G136" s="57"/>
      <c r="H136" s="57"/>
      <c r="I136" s="57"/>
      <c r="J136" s="57"/>
      <c r="K136" s="57"/>
      <c r="L136" s="57"/>
    </row>
    <row r="137" spans="1:12" hidden="1" x14ac:dyDescent="0.3">
      <c r="A137" s="57">
        <v>80</v>
      </c>
      <c r="B137" s="57" t="s">
        <v>193</v>
      </c>
      <c r="C137" s="57" t="s">
        <v>193</v>
      </c>
      <c r="D137" s="57"/>
      <c r="E137" s="57"/>
      <c r="F137" s="57"/>
      <c r="G137" s="57"/>
      <c r="H137" s="57"/>
      <c r="I137" s="57"/>
      <c r="J137" s="57"/>
      <c r="K137" s="57"/>
      <c r="L137" s="57"/>
    </row>
    <row r="138" spans="1:12" hidden="1" x14ac:dyDescent="0.3">
      <c r="A138" s="57">
        <v>90</v>
      </c>
      <c r="B138" s="57" t="s">
        <v>194</v>
      </c>
      <c r="C138" s="57" t="s">
        <v>194</v>
      </c>
      <c r="D138" s="57"/>
      <c r="E138" s="57"/>
      <c r="F138" s="57"/>
      <c r="G138" s="57"/>
      <c r="H138" s="57"/>
      <c r="I138" s="57"/>
      <c r="J138" s="57"/>
      <c r="K138" s="57"/>
      <c r="L138" s="57"/>
    </row>
    <row r="139" spans="1:12" hidden="1" x14ac:dyDescent="0.3">
      <c r="A139" s="57">
        <v>100</v>
      </c>
      <c r="B139" s="57" t="s">
        <v>195</v>
      </c>
      <c r="C139" s="57" t="s">
        <v>196</v>
      </c>
      <c r="D139" s="57"/>
      <c r="E139" s="57"/>
      <c r="F139" s="57"/>
      <c r="G139" s="57"/>
      <c r="H139" s="57"/>
      <c r="I139" s="57"/>
      <c r="J139" s="57"/>
      <c r="K139" s="57"/>
      <c r="L139" s="57"/>
    </row>
    <row r="140" spans="1:12" hidden="1" x14ac:dyDescent="0.3">
      <c r="A140" s="57">
        <v>200</v>
      </c>
      <c r="B140" s="57" t="s">
        <v>197</v>
      </c>
      <c r="C140" s="57" t="s">
        <v>197</v>
      </c>
      <c r="D140" s="57"/>
      <c r="E140" s="57"/>
      <c r="F140" s="57"/>
      <c r="G140" s="57"/>
      <c r="H140" s="57"/>
      <c r="I140" s="57"/>
      <c r="J140" s="57"/>
      <c r="K140" s="57"/>
      <c r="L140" s="57"/>
    </row>
    <row r="141" spans="1:12" hidden="1" x14ac:dyDescent="0.3">
      <c r="A141" s="57">
        <v>300</v>
      </c>
      <c r="B141" s="57" t="s">
        <v>198</v>
      </c>
      <c r="C141" s="57" t="s">
        <v>198</v>
      </c>
      <c r="D141" s="57"/>
      <c r="E141" s="57"/>
      <c r="F141" s="57"/>
      <c r="G141" s="57"/>
      <c r="H141" s="57"/>
      <c r="I141" s="57"/>
      <c r="J141" s="57"/>
      <c r="K141" s="57"/>
      <c r="L141" s="57"/>
    </row>
    <row r="142" spans="1:12" hidden="1" x14ac:dyDescent="0.3">
      <c r="A142" s="57">
        <v>400</v>
      </c>
      <c r="B142" s="57" t="s">
        <v>199</v>
      </c>
      <c r="C142" s="57" t="s">
        <v>199</v>
      </c>
      <c r="D142" s="57"/>
      <c r="E142" s="57"/>
      <c r="F142" s="57"/>
      <c r="G142" s="57"/>
      <c r="H142" s="57"/>
      <c r="I142" s="57"/>
      <c r="J142" s="57"/>
      <c r="K142" s="57"/>
      <c r="L142" s="57"/>
    </row>
    <row r="143" spans="1:12" hidden="1" x14ac:dyDescent="0.3">
      <c r="A143" s="57">
        <v>500</v>
      </c>
      <c r="B143" s="57" t="s">
        <v>200</v>
      </c>
      <c r="C143" s="57" t="s">
        <v>200</v>
      </c>
      <c r="D143" s="57"/>
      <c r="E143" s="57"/>
      <c r="F143" s="57"/>
      <c r="G143" s="57"/>
      <c r="H143" s="57"/>
      <c r="I143" s="57"/>
      <c r="J143" s="57"/>
      <c r="K143" s="57"/>
      <c r="L143" s="57"/>
    </row>
    <row r="144" spans="1:12" hidden="1" x14ac:dyDescent="0.3">
      <c r="A144" s="57">
        <v>600</v>
      </c>
      <c r="B144" s="57" t="s">
        <v>201</v>
      </c>
      <c r="C144" s="57" t="s">
        <v>201</v>
      </c>
      <c r="D144" s="57"/>
      <c r="E144" s="57"/>
      <c r="F144" s="57"/>
      <c r="G144" s="57"/>
      <c r="H144" s="57"/>
      <c r="I144" s="57"/>
      <c r="J144" s="57"/>
      <c r="K144" s="57"/>
      <c r="L144" s="57"/>
    </row>
    <row r="145" spans="1:12" hidden="1" x14ac:dyDescent="0.3">
      <c r="A145" s="57">
        <v>700</v>
      </c>
      <c r="B145" s="57" t="s">
        <v>202</v>
      </c>
      <c r="C145" s="57" t="s">
        <v>202</v>
      </c>
      <c r="D145" s="57"/>
      <c r="E145" s="57"/>
      <c r="F145" s="57"/>
      <c r="G145" s="57"/>
      <c r="H145" s="57"/>
      <c r="I145" s="57"/>
      <c r="J145" s="57"/>
      <c r="K145" s="57"/>
      <c r="L145" s="57"/>
    </row>
    <row r="146" spans="1:12" hidden="1" x14ac:dyDescent="0.3">
      <c r="A146" s="57">
        <v>800</v>
      </c>
      <c r="B146" s="57" t="s">
        <v>203</v>
      </c>
      <c r="C146" s="57" t="s">
        <v>203</v>
      </c>
      <c r="D146" s="57"/>
      <c r="E146" s="57"/>
      <c r="F146" s="57"/>
      <c r="G146" s="57"/>
      <c r="H146" s="57"/>
      <c r="I146" s="57"/>
      <c r="J146" s="57"/>
      <c r="K146" s="57"/>
      <c r="L146" s="57"/>
    </row>
    <row r="147" spans="1:12" hidden="1" x14ac:dyDescent="0.3">
      <c r="A147" s="57">
        <v>900</v>
      </c>
      <c r="B147" s="57" t="s">
        <v>204</v>
      </c>
      <c r="C147" s="57" t="s">
        <v>204</v>
      </c>
      <c r="D147" s="57"/>
      <c r="E147" s="57"/>
      <c r="F147" s="57"/>
      <c r="G147" s="57"/>
      <c r="H147" s="57"/>
      <c r="I147" s="57"/>
      <c r="J147" s="57"/>
      <c r="K147" s="57"/>
      <c r="L147" s="57"/>
    </row>
  </sheetData>
  <sheetProtection password="CCE3" sheet="1" objects="1" scenarios="1" formatCells="0" insertRows="0"/>
  <mergeCells count="231">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32:O32"/>
    <mergeCell ref="B33:O33"/>
    <mergeCell ref="B34:O34"/>
    <mergeCell ref="B35:O35"/>
    <mergeCell ref="B36:O36"/>
    <mergeCell ref="B37:O37"/>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K50:O50"/>
    <mergeCell ref="B44:O44"/>
    <mergeCell ref="A45:C46"/>
    <mergeCell ref="D45:AA46"/>
    <mergeCell ref="B47:O47"/>
    <mergeCell ref="P47:AA47"/>
    <mergeCell ref="B38:O38"/>
    <mergeCell ref="B39:O39"/>
    <mergeCell ref="B40:O40"/>
    <mergeCell ref="B41:O41"/>
    <mergeCell ref="B42:O42"/>
    <mergeCell ref="B43:O43"/>
    <mergeCell ref="D98:F98"/>
    <mergeCell ref="A48:J48"/>
    <mergeCell ref="K48:O48"/>
    <mergeCell ref="F49:J49"/>
    <mergeCell ref="K49:L49"/>
    <mergeCell ref="M49:O49"/>
    <mergeCell ref="P49:AA64"/>
    <mergeCell ref="F50:J50"/>
    <mergeCell ref="A67:AA67"/>
    <mergeCell ref="A65:C66"/>
    <mergeCell ref="D65:AA66"/>
    <mergeCell ref="C68:F68"/>
    <mergeCell ref="B61:E61"/>
    <mergeCell ref="B60:E60"/>
    <mergeCell ref="B59:E59"/>
    <mergeCell ref="B58:E58"/>
    <mergeCell ref="B57:E57"/>
    <mergeCell ref="B56:E56"/>
    <mergeCell ref="B55:E55"/>
    <mergeCell ref="B54:E54"/>
    <mergeCell ref="B53:E53"/>
    <mergeCell ref="B52:E52"/>
    <mergeCell ref="B51:E51"/>
    <mergeCell ref="B50:E50"/>
    <mergeCell ref="F53:J53"/>
    <mergeCell ref="K53:L53"/>
    <mergeCell ref="M53:O53"/>
    <mergeCell ref="F54:J54"/>
    <mergeCell ref="K54:L54"/>
    <mergeCell ref="M54:O54"/>
    <mergeCell ref="F51:J51"/>
    <mergeCell ref="K51:L51"/>
    <mergeCell ref="M51:O51"/>
    <mergeCell ref="F52:J52"/>
    <mergeCell ref="K52:L52"/>
    <mergeCell ref="M52:O52"/>
    <mergeCell ref="F57:J57"/>
    <mergeCell ref="K57:L57"/>
    <mergeCell ref="M57:O57"/>
    <mergeCell ref="F58:J58"/>
    <mergeCell ref="K58:L58"/>
    <mergeCell ref="M58:O58"/>
    <mergeCell ref="F55:J55"/>
    <mergeCell ref="K55:L55"/>
    <mergeCell ref="M55:O55"/>
    <mergeCell ref="F56:J56"/>
    <mergeCell ref="K56:L56"/>
    <mergeCell ref="M56:O56"/>
    <mergeCell ref="F61:J61"/>
    <mergeCell ref="K61:L61"/>
    <mergeCell ref="M61:O61"/>
    <mergeCell ref="B62:E62"/>
    <mergeCell ref="F62:J62"/>
    <mergeCell ref="K62:L62"/>
    <mergeCell ref="M62:O62"/>
    <mergeCell ref="F59:J59"/>
    <mergeCell ref="K59:L59"/>
    <mergeCell ref="M59:O59"/>
    <mergeCell ref="F60:J60"/>
    <mergeCell ref="K60:L60"/>
    <mergeCell ref="M60:O60"/>
    <mergeCell ref="A69:E69"/>
    <mergeCell ref="F69:H69"/>
    <mergeCell ref="I69:M69"/>
    <mergeCell ref="B70:E70"/>
    <mergeCell ref="J70:L70"/>
    <mergeCell ref="B63:E63"/>
    <mergeCell ref="F63:J63"/>
    <mergeCell ref="K63:L63"/>
    <mergeCell ref="M63:O63"/>
    <mergeCell ref="B64:E64"/>
    <mergeCell ref="F64:J64"/>
    <mergeCell ref="K64:L64"/>
    <mergeCell ref="M64:O64"/>
  </mergeCells>
  <phoneticPr fontId="9" type="noConversion"/>
  <conditionalFormatting sqref="L31">
    <cfRule type="containsText" dxfId="1" priority="11" operator="containsText" text="PAGO MENSUAL">
      <formula>NOT(ISERROR(SEARCH("PAGO MENSUAL",L31)))</formula>
    </cfRule>
  </conditionalFormatting>
  <pageMargins left="0.7" right="0.7" top="0.75" bottom="0.75" header="0.3" footer="0.3"/>
  <pageSetup scale="53" orientation="portrait" horizontalDpi="0"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BDC!$A$3:$A$258</xm:f>
          </x14:formula1>
          <xm:sqref>F14:O14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AJ118"/>
  <sheetViews>
    <sheetView tabSelected="1" topLeftCell="A7" zoomScale="120" zoomScaleNormal="120" workbookViewId="0">
      <selection activeCell="AB30" sqref="AB30"/>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1417</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273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285" t="s">
        <v>1417</v>
      </c>
      <c r="G6" s="285"/>
      <c r="H6" s="285"/>
      <c r="I6" s="285"/>
      <c r="J6" s="285"/>
      <c r="K6" s="285"/>
      <c r="L6" s="285"/>
      <c r="M6" s="285"/>
      <c r="N6" s="285"/>
      <c r="O6" s="285"/>
      <c r="P6" s="374" t="s">
        <v>60</v>
      </c>
      <c r="Q6" s="374"/>
      <c r="R6" s="374"/>
      <c r="S6" s="374"/>
      <c r="T6" s="374"/>
      <c r="U6" s="374"/>
      <c r="V6" s="374"/>
      <c r="W6" s="375" t="s">
        <v>61</v>
      </c>
      <c r="X6" s="375"/>
      <c r="Y6" s="375"/>
      <c r="Z6" s="376">
        <v>1</v>
      </c>
      <c r="AA6" s="376"/>
    </row>
    <row r="7" spans="1:28" ht="15.95" customHeight="1" x14ac:dyDescent="0.3">
      <c r="A7" s="374" t="s">
        <v>6</v>
      </c>
      <c r="B7" s="374"/>
      <c r="C7" s="374"/>
      <c r="D7" s="374"/>
      <c r="E7" s="374"/>
      <c r="F7" s="377" t="str">
        <f>VLOOKUP($F$14,CONTRA,58,FALSE)</f>
        <v>PRESTACION DE SERVICIOS</v>
      </c>
      <c r="G7" s="377"/>
      <c r="H7" s="377"/>
      <c r="I7" s="377"/>
      <c r="J7" s="377"/>
      <c r="K7" s="377"/>
      <c r="L7" s="377"/>
      <c r="M7" s="377"/>
      <c r="N7" s="377"/>
      <c r="O7" s="377"/>
      <c r="P7" s="378">
        <f ca="1">NOW()</f>
        <v>43405.671954050929</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20</v>
      </c>
      <c r="AA9" s="369"/>
    </row>
    <row r="10" spans="1:28" ht="14.1" customHeight="1" x14ac:dyDescent="0.3">
      <c r="A10" s="325" t="s">
        <v>13</v>
      </c>
      <c r="B10" s="325"/>
      <c r="C10" s="325"/>
      <c r="D10" s="325"/>
      <c r="E10" s="325"/>
      <c r="F10" s="308" t="str">
        <f>VLOOKUP($F$14,CONTRA,2,FALSE)</f>
        <v>32-408</v>
      </c>
      <c r="G10" s="308"/>
      <c r="H10" s="19" t="s">
        <v>25</v>
      </c>
      <c r="I10" s="308" t="str">
        <f>VLOOKUP($F$14,CONTRA,3,FALSE)</f>
        <v>32-438</v>
      </c>
      <c r="J10" s="308"/>
      <c r="K10" s="19" t="s">
        <v>26</v>
      </c>
      <c r="L10" s="20"/>
      <c r="M10" s="308" t="str">
        <f>VLOOKUP($F$14,CONTRA,4,FALSE)</f>
        <v>2.3.1.1.01</v>
      </c>
      <c r="N10" s="308"/>
      <c r="O10" s="308"/>
      <c r="P10" s="325" t="s">
        <v>12</v>
      </c>
      <c r="Q10" s="325"/>
      <c r="R10" s="325"/>
      <c r="S10" s="325"/>
      <c r="T10" s="333">
        <f>VLOOKUP($F$14,CONTRA,5,FALSE)</f>
        <v>2018</v>
      </c>
      <c r="U10" s="333"/>
      <c r="V10" s="333"/>
      <c r="W10" s="325" t="s">
        <v>138</v>
      </c>
      <c r="X10" s="325"/>
      <c r="Y10" s="325"/>
      <c r="Z10" s="370"/>
      <c r="AA10" s="371"/>
    </row>
    <row r="11" spans="1:28"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14-56</v>
      </c>
      <c r="U11" s="333"/>
      <c r="V11" s="333"/>
      <c r="W11" s="333"/>
      <c r="X11" s="333"/>
      <c r="Y11" s="333"/>
      <c r="Z11" s="333"/>
      <c r="AA11" s="333"/>
    </row>
    <row r="12" spans="1:28"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customHeight="1" x14ac:dyDescent="0.3">
      <c r="A13" s="325" t="s">
        <v>10</v>
      </c>
      <c r="B13" s="325"/>
      <c r="C13" s="325"/>
      <c r="D13" s="325"/>
      <c r="E13" s="325"/>
      <c r="F13" s="333" t="str">
        <f>VLOOKUP($F$14,CONTRA,12,FALSE)</f>
        <v>RIGOBERTO LOPERA MUÑOZ</v>
      </c>
      <c r="G13" s="333"/>
      <c r="H13" s="333"/>
      <c r="I13" s="333"/>
      <c r="J13" s="333"/>
      <c r="K13" s="19" t="s">
        <v>16</v>
      </c>
      <c r="L13" s="20"/>
      <c r="M13" s="333" t="str">
        <f>VLOOKUP($F$14,CONTRA,13,FALSE)</f>
        <v>P.UNIVERSITARIO</v>
      </c>
      <c r="N13" s="333"/>
      <c r="O13" s="333"/>
      <c r="P13" s="325" t="s">
        <v>24</v>
      </c>
      <c r="Q13" s="325"/>
      <c r="R13" s="325"/>
      <c r="S13" s="325"/>
      <c r="T13" s="364" t="str">
        <f>VLOOKUP($F$14,CONTRA,14,FALSE)</f>
        <v>23 DE ENERO DE 2018</v>
      </c>
      <c r="U13" s="364"/>
      <c r="V13" s="364"/>
      <c r="W13" s="364"/>
      <c r="X13" s="364"/>
      <c r="Y13" s="364"/>
      <c r="Z13" s="365" t="str">
        <f>VLOOKUP($F$14,CONTRA,15,FALSE)</f>
        <v>037-18</v>
      </c>
      <c r="AA13" s="366"/>
    </row>
    <row r="14" spans="1:28" ht="15.95" customHeight="1" x14ac:dyDescent="0.3">
      <c r="A14" s="325" t="s">
        <v>8</v>
      </c>
      <c r="B14" s="325"/>
      <c r="C14" s="325"/>
      <c r="D14" s="325"/>
      <c r="E14" s="325"/>
      <c r="F14" s="363" t="s">
        <v>658</v>
      </c>
      <c r="G14" s="363"/>
      <c r="H14" s="363"/>
      <c r="I14" s="363"/>
      <c r="J14" s="363"/>
      <c r="K14" s="363"/>
      <c r="L14" s="363"/>
      <c r="M14" s="363"/>
      <c r="N14" s="363"/>
      <c r="O14" s="363"/>
      <c r="P14" s="325" t="s">
        <v>11</v>
      </c>
      <c r="Q14" s="325"/>
      <c r="R14" s="325"/>
      <c r="S14" s="325"/>
      <c r="T14" s="362">
        <f>VLOOKUP($F$14,CONTRA,16,FALSE)</f>
        <v>1088010135</v>
      </c>
      <c r="U14" s="362"/>
      <c r="V14" s="362"/>
      <c r="W14" s="325" t="s">
        <v>18</v>
      </c>
      <c r="X14" s="325"/>
      <c r="Y14" s="325"/>
      <c r="Z14" s="356">
        <f>VLOOKUP($F$14,CONTRA,17,FALSE)</f>
        <v>33661</v>
      </c>
      <c r="AA14" s="356"/>
    </row>
    <row r="15" spans="1:28" ht="15.95" customHeight="1" x14ac:dyDescent="0.3">
      <c r="A15" s="325" t="s">
        <v>19</v>
      </c>
      <c r="B15" s="325"/>
      <c r="C15" s="325"/>
      <c r="D15" s="325"/>
      <c r="E15" s="325"/>
      <c r="F15" s="312" t="str">
        <f>VLOOKUP($F$14,CONTRA,18,FALSE)</f>
        <v>NATURAL</v>
      </c>
      <c r="G15" s="314"/>
      <c r="H15" s="312" t="str">
        <f>VLOOKUP($F$14,CONTRA,57,FALSE)</f>
        <v>SIMPLIFICADO</v>
      </c>
      <c r="I15" s="313"/>
      <c r="J15" s="314"/>
      <c r="K15" s="19" t="s">
        <v>15</v>
      </c>
      <c r="L15" s="20"/>
      <c r="M15" s="333" t="str">
        <f>VLOOKUP($F$14,CONTRA,19,FALSE)</f>
        <v>TECNICA</v>
      </c>
      <c r="N15" s="333"/>
      <c r="O15" s="333"/>
      <c r="P15" s="325" t="s">
        <v>14</v>
      </c>
      <c r="Q15" s="325"/>
      <c r="R15" s="325"/>
      <c r="S15" s="325"/>
      <c r="T15" s="333" t="str">
        <f>VLOOKUP($F$14,CONTRA,20,FALSE)</f>
        <v>CLL 30 N° 6-49 2 PISO</v>
      </c>
      <c r="U15" s="333"/>
      <c r="V15" s="333"/>
      <c r="W15" s="333"/>
      <c r="X15" s="333"/>
      <c r="Y15" s="333"/>
      <c r="Z15" s="333"/>
      <c r="AA15" s="333"/>
    </row>
    <row r="16" spans="1:28" x14ac:dyDescent="0.3">
      <c r="A16" s="325" t="s">
        <v>21</v>
      </c>
      <c r="B16" s="325"/>
      <c r="C16" s="325"/>
      <c r="D16" s="325"/>
      <c r="E16" s="325"/>
      <c r="F16" s="361">
        <f>VLOOKUP($F$14,CONTRA,21,FALSE)</f>
        <v>3122510820</v>
      </c>
      <c r="G16" s="362"/>
      <c r="H16" s="362"/>
      <c r="I16" s="362"/>
      <c r="J16" s="362"/>
      <c r="K16" s="325" t="s">
        <v>22</v>
      </c>
      <c r="L16" s="325"/>
      <c r="M16" s="333" t="str">
        <f>VLOOKUP($F$14,CONTRA,22,FALSE)</f>
        <v>TECNICA</v>
      </c>
      <c r="N16" s="333"/>
      <c r="O16" s="333"/>
      <c r="P16" s="325" t="s">
        <v>23</v>
      </c>
      <c r="Q16" s="325"/>
      <c r="R16" s="325"/>
      <c r="S16" s="325"/>
      <c r="T16" s="333" t="str">
        <f>VLOOKUP($F$14,CONTRA,23,FALSE)</f>
        <v>yohana27778@gmail.com</v>
      </c>
      <c r="U16" s="333"/>
      <c r="V16" s="333"/>
      <c r="W16" s="333"/>
      <c r="X16" s="333"/>
      <c r="Y16" s="333"/>
      <c r="Z16" s="333"/>
      <c r="AA16" s="333"/>
    </row>
    <row r="17" spans="1:34" ht="3.95"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4" ht="15.95" customHeight="1" x14ac:dyDescent="0.3">
      <c r="A18" s="325" t="s">
        <v>30</v>
      </c>
      <c r="B18" s="325"/>
      <c r="C18" s="325"/>
      <c r="D18" s="325"/>
      <c r="E18" s="325"/>
      <c r="F18" s="358" t="str">
        <f>VLOOKUP($F$14,CONTRA,24,FALSE)</f>
        <v>23 de enero de 2018</v>
      </c>
      <c r="G18" s="359"/>
      <c r="H18" s="359"/>
      <c r="I18" s="359"/>
      <c r="J18" s="360"/>
      <c r="K18" s="308"/>
      <c r="L18" s="308"/>
      <c r="M18" s="308"/>
      <c r="N18" s="308"/>
      <c r="O18" s="308"/>
      <c r="P18" s="325" t="s">
        <v>34</v>
      </c>
      <c r="Q18" s="325"/>
      <c r="R18" s="325"/>
      <c r="S18" s="325"/>
      <c r="T18" s="358" t="str">
        <f>VLOOKUP($F$14,CONTRA,25,FALSE)</f>
        <v>30 de diciembre de 2018</v>
      </c>
      <c r="U18" s="359"/>
      <c r="V18" s="359"/>
      <c r="W18" s="359"/>
      <c r="X18" s="359"/>
      <c r="Y18" s="359"/>
      <c r="Z18" s="359"/>
      <c r="AA18" s="360"/>
    </row>
    <row r="19" spans="1:34" x14ac:dyDescent="0.3">
      <c r="A19" s="325" t="s">
        <v>31</v>
      </c>
      <c r="B19" s="325"/>
      <c r="C19" s="325"/>
      <c r="D19" s="325"/>
      <c r="E19" s="325"/>
      <c r="F19" s="320">
        <f>VLOOKUP($F$14,CONTRA,26,FALSE)</f>
        <v>14400000</v>
      </c>
      <c r="G19" s="320"/>
      <c r="H19" s="320"/>
      <c r="I19" s="320"/>
      <c r="J19" s="320"/>
      <c r="K19" s="308"/>
      <c r="L19" s="308"/>
      <c r="M19" s="308"/>
      <c r="N19" s="308"/>
      <c r="O19" s="308"/>
      <c r="P19" s="325" t="s">
        <v>35</v>
      </c>
      <c r="Q19" s="325"/>
      <c r="R19" s="325"/>
      <c r="S19" s="325"/>
      <c r="T19" s="308">
        <f>VLOOKUP($F$14,CONTRA,27,FALSE)</f>
        <v>240</v>
      </c>
      <c r="U19" s="308"/>
      <c r="V19" s="308"/>
      <c r="W19" s="308"/>
      <c r="X19" s="308"/>
      <c r="Y19" s="308"/>
      <c r="Z19" s="308"/>
      <c r="AA19" s="308"/>
    </row>
    <row r="20" spans="1:34" x14ac:dyDescent="0.3">
      <c r="A20" s="325" t="s">
        <v>32</v>
      </c>
      <c r="B20" s="325"/>
      <c r="C20" s="325"/>
      <c r="D20" s="325"/>
      <c r="E20" s="325"/>
      <c r="F20" s="320">
        <f>+Z21*T20</f>
        <v>5880000</v>
      </c>
      <c r="G20" s="320"/>
      <c r="H20" s="320"/>
      <c r="I20" s="320"/>
      <c r="J20" s="320"/>
      <c r="K20" s="19" t="s">
        <v>0</v>
      </c>
      <c r="L20" s="20"/>
      <c r="M20" s="356">
        <f>VLOOKUP($F$14,CONTRA,29,FALSE)</f>
        <v>43364</v>
      </c>
      <c r="N20" s="356"/>
      <c r="O20" s="356"/>
      <c r="P20" s="325" t="s">
        <v>36</v>
      </c>
      <c r="Q20" s="325"/>
      <c r="R20" s="325"/>
      <c r="S20" s="325"/>
      <c r="T20" s="308">
        <f>VLOOKUP($F$14,CONTRA,28,FALSE)</f>
        <v>98</v>
      </c>
      <c r="U20" s="308"/>
      <c r="V20" s="308"/>
      <c r="W20" s="308"/>
      <c r="X20" s="308"/>
      <c r="Y20" s="308"/>
      <c r="Z20" s="308"/>
      <c r="AA20" s="308"/>
    </row>
    <row r="21" spans="1:34" ht="15.95" customHeight="1" x14ac:dyDescent="0.3">
      <c r="A21" s="325" t="s">
        <v>33</v>
      </c>
      <c r="B21" s="325"/>
      <c r="C21" s="325"/>
      <c r="D21" s="325"/>
      <c r="E21" s="325"/>
      <c r="F21" s="309">
        <f>SUM(F19:J20)</f>
        <v>20280000</v>
      </c>
      <c r="G21" s="353"/>
      <c r="H21" s="353"/>
      <c r="I21" s="353"/>
      <c r="J21" s="354"/>
      <c r="K21" s="308"/>
      <c r="L21" s="308"/>
      <c r="M21" s="308"/>
      <c r="N21" s="308"/>
      <c r="O21" s="308"/>
      <c r="P21" s="325" t="s">
        <v>38</v>
      </c>
      <c r="Q21" s="325"/>
      <c r="R21" s="325"/>
      <c r="S21" s="325"/>
      <c r="T21" s="355">
        <f>+T19+T20</f>
        <v>338</v>
      </c>
      <c r="U21" s="353"/>
      <c r="V21" s="354"/>
      <c r="W21" s="325" t="s">
        <v>37</v>
      </c>
      <c r="X21" s="325"/>
      <c r="Y21" s="325"/>
      <c r="Z21" s="309">
        <f>+F19/T19</f>
        <v>60000</v>
      </c>
      <c r="AA21" s="311"/>
    </row>
    <row r="22" spans="1:34" ht="39.950000000000003" customHeight="1" x14ac:dyDescent="0.3">
      <c r="A22" s="349" t="s">
        <v>27</v>
      </c>
      <c r="B22" s="349"/>
      <c r="C22" s="349"/>
      <c r="D22" s="349"/>
      <c r="E22" s="349"/>
      <c r="F22" s="350" t="str">
        <f>VLOOKUP($F$14,CONTRA,30,FALSE)</f>
        <v>PRESTAR SERVICIOS DE APOYO A LA GESTION A LA SUBDIRECCION TECNICA, EN LOS PROCESOS DE COMERCIALIZACION DE LOS PROYECTOS DE VIVIENDA QUE ADELANTA EL INSTITUTO</v>
      </c>
      <c r="G22" s="351"/>
      <c r="H22" s="351"/>
      <c r="I22" s="351"/>
      <c r="J22" s="351"/>
      <c r="K22" s="351"/>
      <c r="L22" s="351"/>
      <c r="M22" s="351"/>
      <c r="N22" s="351"/>
      <c r="O22" s="351"/>
      <c r="P22" s="351"/>
      <c r="Q22" s="351"/>
      <c r="R22" s="351"/>
      <c r="S22" s="351"/>
      <c r="T22" s="351"/>
      <c r="U22" s="351"/>
      <c r="V22" s="351"/>
      <c r="W22" s="351"/>
      <c r="X22" s="351"/>
      <c r="Y22" s="351"/>
      <c r="Z22" s="351"/>
      <c r="AA22" s="352"/>
    </row>
    <row r="23" spans="1:34" ht="39.950000000000003" customHeight="1" x14ac:dyDescent="0.3">
      <c r="A23" s="349" t="s">
        <v>28</v>
      </c>
      <c r="B23" s="349"/>
      <c r="C23" s="349"/>
      <c r="D23" s="349"/>
      <c r="E23" s="349"/>
      <c r="F23" s="350"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4" ht="39.950000000000003" customHeight="1" x14ac:dyDescent="0.3">
      <c r="A24" s="349" t="s">
        <v>29</v>
      </c>
      <c r="B24" s="349"/>
      <c r="C24" s="349"/>
      <c r="D24" s="349"/>
      <c r="E24" s="349"/>
      <c r="F24" s="350"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4" ht="15.95" customHeight="1" x14ac:dyDescent="0.3">
      <c r="A25" s="18">
        <v>2</v>
      </c>
      <c r="B25" s="323" t="s">
        <v>59</v>
      </c>
      <c r="C25" s="323"/>
      <c r="D25" s="323"/>
      <c r="E25" s="323"/>
      <c r="F25" s="323"/>
      <c r="G25" s="323"/>
      <c r="H25" s="323"/>
      <c r="I25" s="323"/>
      <c r="J25" s="323"/>
      <c r="K25" s="323"/>
      <c r="L25" s="323"/>
      <c r="M25" s="323"/>
      <c r="N25" s="323"/>
      <c r="O25" s="323"/>
      <c r="P25" s="84"/>
      <c r="Q25" s="85"/>
      <c r="R25" s="85"/>
      <c r="S25" s="85"/>
      <c r="T25" s="346" t="s">
        <v>1381</v>
      </c>
      <c r="U25" s="346"/>
      <c r="V25" s="346"/>
      <c r="W25" s="346"/>
      <c r="X25" s="346" t="s">
        <v>270</v>
      </c>
      <c r="Y25" s="346"/>
      <c r="Z25" s="346" t="s">
        <v>283</v>
      </c>
      <c r="AA25" s="347"/>
      <c r="AF25" s="12"/>
    </row>
    <row r="26" spans="1:34" ht="15.95" customHeight="1" x14ac:dyDescent="0.3">
      <c r="A26" s="325" t="s">
        <v>292</v>
      </c>
      <c r="B26" s="325"/>
      <c r="C26" s="325"/>
      <c r="D26" s="325"/>
      <c r="E26" s="325"/>
      <c r="F26" s="308"/>
      <c r="G26" s="308"/>
      <c r="H26" s="308"/>
      <c r="I26" s="308"/>
      <c r="J26" s="308"/>
      <c r="K26" s="308"/>
      <c r="L26" s="308"/>
      <c r="M26" s="308"/>
      <c r="N26" s="308"/>
      <c r="O26" s="308"/>
      <c r="P26" s="348" t="str">
        <f>VLOOKUP($F$14,CONTRA,59,FALSE)</f>
        <v>RIESGO V</v>
      </c>
      <c r="Q26" s="348"/>
      <c r="R26" s="341">
        <v>0.4</v>
      </c>
      <c r="S26" s="341"/>
      <c r="T26" s="320">
        <f>+R26*F21</f>
        <v>8112000</v>
      </c>
      <c r="U26" s="320"/>
      <c r="V26" s="320"/>
      <c r="W26" s="320"/>
      <c r="X26" s="320">
        <f>IF(R26*Z21&lt;DATOS!C32,DATOS!C32,R26*Z21)</f>
        <v>26041.4</v>
      </c>
      <c r="Y26" s="320"/>
      <c r="Z26" s="320">
        <f>+X26*J49</f>
        <v>0</v>
      </c>
      <c r="AA26" s="320"/>
      <c r="AB26" s="12"/>
      <c r="AD26"/>
      <c r="AE26"/>
      <c r="AF26" s="4"/>
      <c r="AG26" s="4"/>
    </row>
    <row r="27" spans="1:34" ht="15.95" customHeight="1" x14ac:dyDescent="0.3">
      <c r="A27" s="325" t="s">
        <v>39</v>
      </c>
      <c r="B27" s="325"/>
      <c r="C27" s="325"/>
      <c r="D27" s="325"/>
      <c r="E27" s="325"/>
      <c r="F27" s="333" t="str">
        <f>VLOOKUP($F$14,CONTRA,33,FALSE)</f>
        <v xml:space="preserve">SALUD TOTAL </v>
      </c>
      <c r="G27" s="333"/>
      <c r="H27" s="333"/>
      <c r="I27" s="87" t="s">
        <v>133</v>
      </c>
      <c r="J27" s="87"/>
      <c r="K27" s="87"/>
      <c r="L27" s="345" t="str">
        <f>+VLOOKUP(L28,DATOS!A125:D139,3)</f>
        <v>6º</v>
      </c>
      <c r="M27" s="345"/>
      <c r="N27" s="345"/>
      <c r="O27" s="345"/>
      <c r="P27" s="348"/>
      <c r="Q27" s="348"/>
      <c r="R27" s="335">
        <v>0.125</v>
      </c>
      <c r="S27" s="335"/>
      <c r="T27" s="320">
        <f>+T26*R27</f>
        <v>1014000</v>
      </c>
      <c r="U27" s="320"/>
      <c r="V27" s="320"/>
      <c r="W27" s="320"/>
      <c r="X27" s="320">
        <f>+$X$26*R27</f>
        <v>3255.1750000000002</v>
      </c>
      <c r="Y27" s="320"/>
      <c r="Z27" s="320">
        <f>ROUNDUP(X27*J49,-2)</f>
        <v>0</v>
      </c>
      <c r="AA27" s="320"/>
      <c r="AB27" s="12"/>
      <c r="AD27" s="12"/>
      <c r="AE27" s="4"/>
      <c r="AF27" s="166"/>
      <c r="AG27"/>
      <c r="AH27" s="12"/>
    </row>
    <row r="28" spans="1:34" ht="15.95" customHeight="1" x14ac:dyDescent="0.3">
      <c r="A28" s="325" t="s">
        <v>40</v>
      </c>
      <c r="B28" s="325"/>
      <c r="C28" s="325"/>
      <c r="D28" s="325"/>
      <c r="E28" s="325"/>
      <c r="F28" s="333" t="str">
        <f>VLOOKUP($F$14,CONTRA,34,FALSE)</f>
        <v xml:space="preserve">PORVENIR </v>
      </c>
      <c r="G28" s="333"/>
      <c r="H28" s="333"/>
      <c r="I28" s="19" t="s">
        <v>134</v>
      </c>
      <c r="J28" s="19"/>
      <c r="K28" s="19"/>
      <c r="L28" s="343" t="str">
        <f>VLOOKUP($F$14,CONTRA,35,FALSE)</f>
        <v>35</v>
      </c>
      <c r="M28" s="343"/>
      <c r="N28" s="344" t="s">
        <v>270</v>
      </c>
      <c r="O28" s="344"/>
      <c r="P28" s="348"/>
      <c r="Q28" s="348"/>
      <c r="R28" s="341">
        <v>0.16</v>
      </c>
      <c r="S28" s="341"/>
      <c r="T28" s="320">
        <f>+T26*R28</f>
        <v>1297920</v>
      </c>
      <c r="U28" s="320"/>
      <c r="V28" s="320"/>
      <c r="W28" s="320"/>
      <c r="X28" s="320">
        <f>+$X$26*R28</f>
        <v>4166.6240000000007</v>
      </c>
      <c r="Y28" s="320"/>
      <c r="Z28" s="320">
        <f>ROUNDUP(X28*J49,-2)</f>
        <v>0</v>
      </c>
      <c r="AA28" s="320"/>
      <c r="AB28" s="12"/>
      <c r="AD28" s="4"/>
      <c r="AE28" s="4"/>
      <c r="AF28" s="4"/>
      <c r="AG28" s="4"/>
    </row>
    <row r="29" spans="1:34" ht="15.95" customHeight="1" x14ac:dyDescent="0.3">
      <c r="A29" s="325" t="s">
        <v>41</v>
      </c>
      <c r="B29" s="325"/>
      <c r="C29" s="325"/>
      <c r="D29" s="325"/>
      <c r="E29" s="325"/>
      <c r="F29" s="333" t="str">
        <f>VLOOKUP($F$14,CONTRA,36,FALSE)</f>
        <v>SURA</v>
      </c>
      <c r="G29" s="333"/>
      <c r="H29" s="333"/>
      <c r="I29" s="325" t="s">
        <v>135</v>
      </c>
      <c r="J29" s="325"/>
      <c r="K29" s="325"/>
      <c r="L29" s="319" t="str">
        <f>VLOOKUP($F$14,CONTRA,37,FALSE)</f>
        <v>23 de enero de 2018</v>
      </c>
      <c r="M29" s="319"/>
      <c r="N29" s="319"/>
      <c r="O29" s="319"/>
      <c r="P29" s="348"/>
      <c r="Q29" s="348"/>
      <c r="R29" s="342">
        <f>+VLOOKUP(P26,DATOS!A20:B24,2,FALSE)</f>
        <v>6.9599999999999995E-2</v>
      </c>
      <c r="S29" s="342"/>
      <c r="T29" s="320">
        <f>+T26*R29</f>
        <v>564595.19999999995</v>
      </c>
      <c r="U29" s="320"/>
      <c r="V29" s="320"/>
      <c r="W29" s="320"/>
      <c r="X29" s="320">
        <f>+R29*X26</f>
        <v>1812.48144</v>
      </c>
      <c r="Y29" s="320"/>
      <c r="Z29" s="320">
        <f>ROUNDUP(X29*J49,-2)</f>
        <v>0</v>
      </c>
      <c r="AA29" s="320"/>
      <c r="AD29" s="4"/>
      <c r="AE29" s="4"/>
      <c r="AF29" s="4"/>
      <c r="AG29"/>
    </row>
    <row r="30" spans="1:34" ht="15.95" customHeight="1" x14ac:dyDescent="0.3">
      <c r="A30" s="325" t="s">
        <v>290</v>
      </c>
      <c r="B30" s="325"/>
      <c r="C30" s="325"/>
      <c r="D30" s="325"/>
      <c r="E30" s="325"/>
      <c r="F30" s="336" t="s">
        <v>288</v>
      </c>
      <c r="G30" s="336"/>
      <c r="H30" s="336"/>
      <c r="I30" s="336"/>
      <c r="J30" s="336"/>
      <c r="K30" s="336"/>
      <c r="L30" s="308" t="str">
        <f>+VLOOKUP(P26,DATOS!A157:B161,2,FALSE)</f>
        <v>PATRONAL</v>
      </c>
      <c r="M30" s="308"/>
      <c r="N30" s="308"/>
      <c r="O30" s="308"/>
      <c r="P30" s="337" t="s">
        <v>49</v>
      </c>
      <c r="Q30" s="338"/>
      <c r="R30" s="341"/>
      <c r="S30" s="341"/>
      <c r="T30" s="320">
        <f>SUM(T27:W29)</f>
        <v>2876515.2</v>
      </c>
      <c r="U30" s="341"/>
      <c r="V30" s="341"/>
      <c r="W30" s="341"/>
      <c r="X30" s="320">
        <f>SUM(X27:Y29)</f>
        <v>9234.2804400000005</v>
      </c>
      <c r="Y30" s="320"/>
      <c r="Z30" s="320">
        <f>IF(P26="RIESGO V",Z27+Z28,Z27+Z28+Z29)</f>
        <v>0</v>
      </c>
      <c r="AA30" s="320"/>
      <c r="AD30" s="4"/>
      <c r="AE30" s="4"/>
      <c r="AF30" s="4"/>
      <c r="AG30"/>
    </row>
    <row r="31" spans="1:34" ht="15.95" customHeight="1" x14ac:dyDescent="0.3">
      <c r="A31" s="325" t="s">
        <v>42</v>
      </c>
      <c r="B31" s="325"/>
      <c r="C31" s="325"/>
      <c r="D31" s="325"/>
      <c r="E31" s="325"/>
      <c r="F31" s="333" t="s">
        <v>142</v>
      </c>
      <c r="G31" s="333"/>
      <c r="H31" s="333"/>
      <c r="I31" s="333"/>
      <c r="J31" s="333"/>
      <c r="K31" s="333"/>
      <c r="L31" s="334" t="str">
        <f>VLOOKUP($F$14,CONTRA,38,FALSE)</f>
        <v>PAGADO</v>
      </c>
      <c r="M31" s="334"/>
      <c r="N31" s="334"/>
      <c r="O31" s="334"/>
      <c r="P31" s="339"/>
      <c r="Q31" s="340"/>
      <c r="R31" s="335">
        <f>VLOOKUP(L31,DATOS!A37:B38,2,FALSE)</f>
        <v>0</v>
      </c>
      <c r="S31" s="335"/>
      <c r="T31" s="320">
        <f>+R31*$F$21</f>
        <v>0</v>
      </c>
      <c r="U31" s="320"/>
      <c r="V31" s="320"/>
      <c r="W31" s="320"/>
      <c r="X31" s="320">
        <f>+T31/T21</f>
        <v>0</v>
      </c>
      <c r="Y31" s="320"/>
      <c r="Z31" s="320">
        <f>+X31*J49</f>
        <v>0</v>
      </c>
      <c r="AA31" s="320"/>
      <c r="AE31" s="13"/>
      <c r="AF31" s="12"/>
    </row>
    <row r="32" spans="1:34" ht="15.95" customHeight="1" x14ac:dyDescent="0.3">
      <c r="A32" s="18">
        <v>3</v>
      </c>
      <c r="B32" s="323" t="s">
        <v>239</v>
      </c>
      <c r="C32" s="323"/>
      <c r="D32" s="323"/>
      <c r="E32" s="323"/>
      <c r="F32" s="323"/>
      <c r="G32" s="323"/>
      <c r="H32" s="323"/>
      <c r="I32" s="323"/>
      <c r="J32" s="323"/>
      <c r="K32" s="323"/>
      <c r="L32" s="323"/>
      <c r="M32" s="323"/>
      <c r="N32" s="323"/>
      <c r="O32" s="323"/>
      <c r="P32" s="324"/>
      <c r="Q32" s="324"/>
      <c r="R32" s="324"/>
      <c r="S32" s="324"/>
      <c r="T32" s="324"/>
      <c r="U32" s="324"/>
      <c r="V32" s="324"/>
      <c r="W32" s="324"/>
      <c r="X32" s="324"/>
      <c r="Y32" s="324"/>
      <c r="Z32" s="324"/>
      <c r="AA32" s="324"/>
      <c r="AF32" s="4"/>
    </row>
    <row r="33" spans="1:36" ht="24.95" customHeight="1" x14ac:dyDescent="0.3">
      <c r="A33" s="175" t="s">
        <v>244</v>
      </c>
      <c r="B33" s="506" t="s">
        <v>240</v>
      </c>
      <c r="C33" s="506"/>
      <c r="D33" s="506"/>
      <c r="E33" s="506"/>
      <c r="F33" s="506"/>
      <c r="G33" s="506"/>
      <c r="H33" s="506"/>
      <c r="I33" s="506"/>
      <c r="J33" s="506"/>
      <c r="K33" s="506"/>
      <c r="L33" s="506"/>
      <c r="M33" s="506"/>
      <c r="N33" s="506"/>
      <c r="O33" s="506"/>
      <c r="P33" s="506" t="s">
        <v>241</v>
      </c>
      <c r="Q33" s="506"/>
      <c r="R33" s="506"/>
      <c r="S33" s="506" t="s">
        <v>242</v>
      </c>
      <c r="T33" s="506"/>
      <c r="U33" s="506"/>
      <c r="V33" s="506" t="s">
        <v>243</v>
      </c>
      <c r="W33" s="506"/>
      <c r="X33" s="506"/>
      <c r="Y33" s="506" t="s">
        <v>53</v>
      </c>
      <c r="Z33" s="506"/>
      <c r="AA33" s="506"/>
    </row>
    <row r="34" spans="1:36" ht="24.95" customHeight="1" x14ac:dyDescent="0.3">
      <c r="A34" s="176">
        <v>1001</v>
      </c>
      <c r="B34" s="507"/>
      <c r="C34" s="507"/>
      <c r="D34" s="507"/>
      <c r="E34" s="507"/>
      <c r="F34" s="507"/>
      <c r="G34" s="507"/>
      <c r="H34" s="507"/>
      <c r="I34" s="507"/>
      <c r="J34" s="507"/>
      <c r="K34" s="507"/>
      <c r="L34" s="507"/>
      <c r="M34" s="507"/>
      <c r="N34" s="507"/>
      <c r="O34" s="507"/>
      <c r="P34" s="505"/>
      <c r="Q34" s="505"/>
      <c r="R34" s="505"/>
      <c r="S34" s="505"/>
      <c r="T34" s="505"/>
      <c r="U34" s="505"/>
      <c r="V34" s="505"/>
      <c r="W34" s="505"/>
      <c r="X34" s="505"/>
      <c r="Y34" s="505"/>
      <c r="Z34" s="505"/>
      <c r="AA34" s="505"/>
    </row>
    <row r="35" spans="1:36" ht="24.95" customHeight="1" x14ac:dyDescent="0.3">
      <c r="A35" s="176">
        <v>1002</v>
      </c>
      <c r="B35" s="507"/>
      <c r="C35" s="507"/>
      <c r="D35" s="507"/>
      <c r="E35" s="507"/>
      <c r="F35" s="507"/>
      <c r="G35" s="507"/>
      <c r="H35" s="507"/>
      <c r="I35" s="507"/>
      <c r="J35" s="507"/>
      <c r="K35" s="507"/>
      <c r="L35" s="507"/>
      <c r="M35" s="507"/>
      <c r="N35" s="507"/>
      <c r="O35" s="507"/>
      <c r="P35" s="505"/>
      <c r="Q35" s="505"/>
      <c r="R35" s="505"/>
      <c r="S35" s="505"/>
      <c r="T35" s="505"/>
      <c r="U35" s="505"/>
      <c r="V35" s="505"/>
      <c r="W35" s="505"/>
      <c r="X35" s="505"/>
      <c r="Y35" s="505"/>
      <c r="Z35" s="505"/>
      <c r="AA35" s="505"/>
      <c r="AE35" s="12"/>
    </row>
    <row r="36" spans="1:36" ht="24.95" customHeight="1" x14ac:dyDescent="0.3">
      <c r="A36" s="176">
        <v>1003</v>
      </c>
      <c r="B36" s="507"/>
      <c r="C36" s="507"/>
      <c r="D36" s="507"/>
      <c r="E36" s="507"/>
      <c r="F36" s="507"/>
      <c r="G36" s="507"/>
      <c r="H36" s="507"/>
      <c r="I36" s="507"/>
      <c r="J36" s="507"/>
      <c r="K36" s="507"/>
      <c r="L36" s="507"/>
      <c r="M36" s="507"/>
      <c r="N36" s="507"/>
      <c r="O36" s="507"/>
      <c r="P36" s="505"/>
      <c r="Q36" s="505"/>
      <c r="R36" s="505"/>
      <c r="S36" s="505"/>
      <c r="T36" s="505"/>
      <c r="U36" s="505"/>
      <c r="V36" s="505"/>
      <c r="W36" s="505"/>
      <c r="X36" s="505"/>
      <c r="Y36" s="505"/>
      <c r="Z36" s="505"/>
      <c r="AA36" s="505"/>
    </row>
    <row r="37" spans="1:36" ht="24.95" customHeight="1" x14ac:dyDescent="0.3">
      <c r="A37" s="176">
        <v>1004</v>
      </c>
      <c r="B37" s="507"/>
      <c r="C37" s="507"/>
      <c r="D37" s="507"/>
      <c r="E37" s="507"/>
      <c r="F37" s="507"/>
      <c r="G37" s="507"/>
      <c r="H37" s="507"/>
      <c r="I37" s="507"/>
      <c r="J37" s="507"/>
      <c r="K37" s="507"/>
      <c r="L37" s="507"/>
      <c r="M37" s="507"/>
      <c r="N37" s="507"/>
      <c r="O37" s="507"/>
      <c r="P37" s="505"/>
      <c r="Q37" s="505"/>
      <c r="R37" s="505"/>
      <c r="S37" s="505"/>
      <c r="T37" s="505"/>
      <c r="U37" s="505"/>
      <c r="V37" s="505"/>
      <c r="W37" s="505"/>
      <c r="X37" s="505"/>
      <c r="Y37" s="505"/>
      <c r="Z37" s="505"/>
      <c r="AA37" s="505"/>
      <c r="AE37" s="12"/>
      <c r="AH37" s="12"/>
      <c r="AI37" s="86"/>
    </row>
    <row r="38" spans="1:36" ht="24.95" customHeight="1" x14ac:dyDescent="0.3">
      <c r="A38" s="176">
        <v>1005</v>
      </c>
      <c r="B38" s="507"/>
      <c r="C38" s="507"/>
      <c r="D38" s="507"/>
      <c r="E38" s="507"/>
      <c r="F38" s="507"/>
      <c r="G38" s="507"/>
      <c r="H38" s="507"/>
      <c r="I38" s="507"/>
      <c r="J38" s="507"/>
      <c r="K38" s="507"/>
      <c r="L38" s="507"/>
      <c r="M38" s="507"/>
      <c r="N38" s="507"/>
      <c r="O38" s="507"/>
      <c r="P38" s="505"/>
      <c r="Q38" s="505"/>
      <c r="R38" s="505"/>
      <c r="S38" s="505"/>
      <c r="T38" s="505"/>
      <c r="U38" s="505"/>
      <c r="V38" s="505"/>
      <c r="W38" s="505"/>
      <c r="X38" s="505"/>
      <c r="Y38" s="505"/>
      <c r="Z38" s="505"/>
      <c r="AA38" s="505"/>
      <c r="AD38" s="52"/>
      <c r="AE38" s="12"/>
      <c r="AF38" s="12"/>
      <c r="AG38" s="12"/>
      <c r="AH38" s="12"/>
      <c r="AI38" s="12"/>
      <c r="AJ38" s="12"/>
    </row>
    <row r="39" spans="1:36" ht="24.95" customHeight="1" x14ac:dyDescent="0.3">
      <c r="A39" s="176">
        <v>1006</v>
      </c>
      <c r="B39" s="507"/>
      <c r="C39" s="507"/>
      <c r="D39" s="507"/>
      <c r="E39" s="507"/>
      <c r="F39" s="507"/>
      <c r="G39" s="507"/>
      <c r="H39" s="507"/>
      <c r="I39" s="507"/>
      <c r="J39" s="507"/>
      <c r="K39" s="507"/>
      <c r="L39" s="507"/>
      <c r="M39" s="507"/>
      <c r="N39" s="507"/>
      <c r="O39" s="507"/>
      <c r="P39" s="505"/>
      <c r="Q39" s="505"/>
      <c r="R39" s="505"/>
      <c r="S39" s="505"/>
      <c r="T39" s="505"/>
      <c r="U39" s="505"/>
      <c r="V39" s="505"/>
      <c r="W39" s="505"/>
      <c r="X39" s="505"/>
      <c r="Y39" s="505"/>
      <c r="Z39" s="505"/>
      <c r="AA39" s="505"/>
      <c r="AD39" s="52"/>
      <c r="AE39" s="12"/>
      <c r="AF39" s="12"/>
      <c r="AG39" s="12"/>
      <c r="AH39" s="12"/>
      <c r="AI39" s="12"/>
      <c r="AJ39" s="12"/>
    </row>
    <row r="40" spans="1:36" ht="24.95" customHeight="1" x14ac:dyDescent="0.3">
      <c r="A40" s="176">
        <v>1007</v>
      </c>
      <c r="B40" s="507"/>
      <c r="C40" s="507"/>
      <c r="D40" s="507"/>
      <c r="E40" s="507"/>
      <c r="F40" s="507"/>
      <c r="G40" s="507"/>
      <c r="H40" s="507"/>
      <c r="I40" s="507"/>
      <c r="J40" s="507"/>
      <c r="K40" s="507"/>
      <c r="L40" s="507"/>
      <c r="M40" s="507"/>
      <c r="N40" s="507"/>
      <c r="O40" s="507"/>
      <c r="P40" s="505"/>
      <c r="Q40" s="505"/>
      <c r="R40" s="505"/>
      <c r="S40" s="505"/>
      <c r="T40" s="505"/>
      <c r="U40" s="505"/>
      <c r="V40" s="505"/>
      <c r="W40" s="505"/>
      <c r="X40" s="505"/>
      <c r="Y40" s="505"/>
      <c r="Z40" s="505"/>
      <c r="AA40" s="505"/>
      <c r="AE40" s="12"/>
      <c r="AG40" s="12"/>
    </row>
    <row r="41" spans="1:36" ht="24.95" customHeight="1" x14ac:dyDescent="0.3">
      <c r="A41" s="176">
        <v>1008</v>
      </c>
      <c r="B41" s="507"/>
      <c r="C41" s="507"/>
      <c r="D41" s="507"/>
      <c r="E41" s="507"/>
      <c r="F41" s="507"/>
      <c r="G41" s="507"/>
      <c r="H41" s="507"/>
      <c r="I41" s="507"/>
      <c r="J41" s="507"/>
      <c r="K41" s="507"/>
      <c r="L41" s="507"/>
      <c r="M41" s="507"/>
      <c r="N41" s="507"/>
      <c r="O41" s="507"/>
      <c r="P41" s="505"/>
      <c r="Q41" s="505"/>
      <c r="R41" s="505"/>
      <c r="S41" s="505"/>
      <c r="T41" s="505"/>
      <c r="U41" s="505"/>
      <c r="V41" s="505"/>
      <c r="W41" s="505"/>
      <c r="X41" s="505"/>
      <c r="Y41" s="505"/>
      <c r="Z41" s="505"/>
      <c r="AA41" s="505"/>
    </row>
    <row r="42" spans="1:36" ht="24.95" customHeight="1" x14ac:dyDescent="0.3">
      <c r="A42" s="508"/>
      <c r="B42" s="508"/>
      <c r="C42" s="508"/>
      <c r="D42" s="508"/>
      <c r="E42" s="508"/>
      <c r="F42" s="508"/>
      <c r="G42" s="508"/>
      <c r="H42" s="508"/>
      <c r="I42" s="508"/>
      <c r="J42" s="508"/>
      <c r="K42" s="508"/>
      <c r="L42" s="508"/>
      <c r="M42" s="508"/>
      <c r="N42" s="508"/>
      <c r="O42" s="508"/>
      <c r="P42" s="508"/>
      <c r="Q42" s="508"/>
      <c r="R42" s="508"/>
      <c r="S42" s="508"/>
      <c r="T42" s="508"/>
      <c r="U42" s="508"/>
      <c r="V42" s="508"/>
      <c r="W42" s="508"/>
      <c r="X42" s="508"/>
      <c r="Y42" s="508"/>
      <c r="Z42" s="508"/>
      <c r="AA42" s="508"/>
      <c r="AE42" s="12"/>
    </row>
    <row r="43" spans="1:36" ht="24.95" customHeight="1" x14ac:dyDescent="0.3">
      <c r="A43" s="23"/>
      <c r="B43" s="26" t="s">
        <v>205</v>
      </c>
      <c r="C43" s="316">
        <f>+F25</f>
        <v>0</v>
      </c>
      <c r="D43" s="316"/>
      <c r="E43" s="316"/>
      <c r="F43" s="316"/>
      <c r="G43" s="24" t="s">
        <v>212</v>
      </c>
      <c r="H43" s="24"/>
      <c r="I43" s="24"/>
      <c r="J43" s="24"/>
      <c r="K43" s="24"/>
      <c r="L43" s="24"/>
      <c r="M43" s="169"/>
      <c r="N43" s="27"/>
      <c r="O43" s="27"/>
      <c r="P43" s="27"/>
      <c r="Q43" s="27"/>
      <c r="R43" s="28"/>
      <c r="S43" s="28"/>
      <c r="T43" s="28"/>
      <c r="U43" s="28"/>
      <c r="V43" s="28"/>
      <c r="W43" s="28"/>
      <c r="X43" s="28"/>
      <c r="Y43" s="28"/>
      <c r="Z43" s="28"/>
      <c r="AA43" s="29"/>
    </row>
    <row r="44" spans="1:36" ht="24.95" customHeight="1" x14ac:dyDescent="0.3">
      <c r="A44" s="501" t="str">
        <f>+F12</f>
        <v>JUAN DAVID VILLA ROMERO</v>
      </c>
      <c r="B44" s="502"/>
      <c r="C44" s="502"/>
      <c r="D44" s="502"/>
      <c r="E44" s="502"/>
      <c r="F44" s="503" t="s">
        <v>207</v>
      </c>
      <c r="G44" s="503"/>
      <c r="H44" s="503"/>
      <c r="I44" s="503" t="str">
        <f>+F14</f>
        <v>LEIDY YOHANA HERNANDEZ BETANCUR</v>
      </c>
      <c r="J44" s="503"/>
      <c r="K44" s="503"/>
      <c r="L44" s="503"/>
      <c r="M44" s="503"/>
      <c r="N44" s="503"/>
      <c r="O44" s="503" t="s">
        <v>1418</v>
      </c>
      <c r="P44" s="503"/>
      <c r="Q44" s="503"/>
      <c r="R44" s="503"/>
      <c r="S44" s="503"/>
      <c r="T44" s="503"/>
      <c r="U44" s="503"/>
      <c r="V44" s="503"/>
      <c r="W44" s="503"/>
      <c r="X44" s="503"/>
      <c r="Y44" s="503"/>
      <c r="Z44" s="503"/>
      <c r="AA44" s="504"/>
    </row>
    <row r="45" spans="1:36" x14ac:dyDescent="0.3">
      <c r="A45" s="37" t="s">
        <v>1419</v>
      </c>
      <c r="B45" s="16"/>
      <c r="C45" s="30"/>
      <c r="D45" s="30"/>
      <c r="E45" s="30"/>
      <c r="F45" s="30"/>
      <c r="G45" s="30"/>
      <c r="H45" s="30"/>
      <c r="I45" s="30"/>
      <c r="J45" s="30"/>
      <c r="K45" s="30"/>
      <c r="L45" s="30"/>
      <c r="M45" s="30"/>
      <c r="N45" s="30"/>
      <c r="O45" s="30"/>
      <c r="P45" s="30"/>
      <c r="Q45" s="30"/>
      <c r="R45" s="30"/>
      <c r="S45" s="30"/>
      <c r="T45" s="30"/>
      <c r="U45" s="30"/>
      <c r="V45" s="30"/>
      <c r="W45" s="30"/>
      <c r="X45" s="30"/>
      <c r="Y45" s="30"/>
      <c r="Z45" s="30"/>
      <c r="AA45" s="31"/>
    </row>
    <row r="46" spans="1:36" x14ac:dyDescent="0.3">
      <c r="A46" s="16" t="s">
        <v>245</v>
      </c>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7"/>
    </row>
    <row r="47" spans="1:36" ht="15.95" customHeight="1" x14ac:dyDescent="0.3">
      <c r="A47" s="25">
        <v>1</v>
      </c>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7"/>
    </row>
    <row r="48" spans="1:36" ht="15.95" customHeight="1" x14ac:dyDescent="0.3">
      <c r="A48" s="25">
        <v>2</v>
      </c>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7"/>
    </row>
    <row r="49" spans="1:27" ht="15.95" customHeight="1" x14ac:dyDescent="0.3">
      <c r="A49" s="1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7"/>
    </row>
    <row r="50" spans="1:27" x14ac:dyDescent="0.3">
      <c r="A50" s="1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7"/>
    </row>
    <row r="51" spans="1:27" x14ac:dyDescent="0.3">
      <c r="A51" s="1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7"/>
    </row>
    <row r="52" spans="1:27" x14ac:dyDescent="0.3">
      <c r="A52" s="1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7"/>
    </row>
    <row r="53" spans="1:27" x14ac:dyDescent="0.3">
      <c r="A53" s="1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7"/>
    </row>
    <row r="54" spans="1:27" x14ac:dyDescent="0.3">
      <c r="A54" s="61"/>
      <c r="B54" s="62"/>
      <c r="C54" s="62"/>
      <c r="D54" s="62"/>
      <c r="E54" s="62"/>
      <c r="F54" s="32"/>
      <c r="G54" s="32"/>
      <c r="H54" s="32"/>
      <c r="I54" s="32"/>
      <c r="J54" s="32"/>
      <c r="K54" s="62"/>
      <c r="L54" s="62"/>
      <c r="M54" s="62"/>
      <c r="N54" s="62"/>
      <c r="O54" s="62"/>
      <c r="P54" s="62"/>
      <c r="Q54" s="32"/>
      <c r="R54" s="32"/>
      <c r="S54" s="32"/>
      <c r="T54" s="32"/>
      <c r="U54" s="62"/>
      <c r="V54" s="62"/>
      <c r="W54" s="62"/>
      <c r="X54" s="62"/>
      <c r="Y54" s="62"/>
      <c r="Z54" s="62"/>
      <c r="AA54" s="33"/>
    </row>
    <row r="55" spans="1:27" x14ac:dyDescent="0.3">
      <c r="A55" s="60" t="str">
        <f>+F12</f>
        <v>JUAN DAVID VILLA ROMERO</v>
      </c>
      <c r="B55" s="32"/>
      <c r="C55" s="32"/>
      <c r="D55" s="32"/>
      <c r="E55" s="32"/>
      <c r="F55" s="32"/>
      <c r="G55" s="32"/>
      <c r="H55" s="32"/>
      <c r="I55" s="32"/>
      <c r="J55" s="32"/>
      <c r="K55" s="32" t="str">
        <f>+F14</f>
        <v>LEIDY YOHANA HERNANDEZ BETANCUR</v>
      </c>
      <c r="L55" s="32"/>
      <c r="M55" s="32"/>
      <c r="N55" s="32"/>
      <c r="O55" s="32"/>
      <c r="P55" s="32"/>
      <c r="Q55" s="32"/>
      <c r="R55" s="32"/>
      <c r="S55" s="32"/>
      <c r="T55" s="32"/>
      <c r="U55" s="32" t="str">
        <f>+F13</f>
        <v>RIGOBERTO LOPERA MUÑOZ</v>
      </c>
      <c r="V55" s="32"/>
      <c r="W55" s="32"/>
      <c r="X55" s="32"/>
      <c r="Y55" s="32"/>
      <c r="Z55" s="32"/>
      <c r="AA55" s="33"/>
    </row>
    <row r="56" spans="1:27" x14ac:dyDescent="0.3">
      <c r="A56" s="61" t="str">
        <f>+A12</f>
        <v>ORDENADOR DEL GASTO</v>
      </c>
      <c r="B56" s="62"/>
      <c r="C56" s="62"/>
      <c r="D56" s="62"/>
      <c r="E56" s="62"/>
      <c r="F56" s="62"/>
      <c r="G56" s="62"/>
      <c r="H56" s="62"/>
      <c r="I56" s="62"/>
      <c r="J56" s="62"/>
      <c r="K56" s="62" t="str">
        <f>+A14</f>
        <v>CONTRATISTA</v>
      </c>
      <c r="L56" s="62"/>
      <c r="M56" s="62"/>
      <c r="N56" s="62"/>
      <c r="O56" s="62"/>
      <c r="P56" s="62"/>
      <c r="Q56" s="62"/>
      <c r="R56" s="62"/>
      <c r="S56" s="62"/>
      <c r="T56" s="62"/>
      <c r="U56" s="62" t="s">
        <v>246</v>
      </c>
      <c r="V56" s="62"/>
      <c r="W56" s="62" t="str">
        <f>+A13</f>
        <v>SUPERVISOR</v>
      </c>
      <c r="X56" s="62"/>
      <c r="Y56" s="62"/>
      <c r="Z56" s="62"/>
      <c r="AA56" s="63"/>
    </row>
    <row r="69" spans="1:12" hidden="1" x14ac:dyDescent="0.3">
      <c r="A69" s="57" t="s">
        <v>146</v>
      </c>
      <c r="B69" s="57"/>
      <c r="D69" s="293" t="e">
        <f>+#REF!</f>
        <v>#REF!</v>
      </c>
      <c r="E69" s="293"/>
      <c r="F69" s="293"/>
      <c r="G69" s="57" t="s">
        <v>147</v>
      </c>
      <c r="H69" s="57"/>
      <c r="I69" s="57"/>
      <c r="J69" s="57"/>
      <c r="K69" s="57"/>
      <c r="L69" s="57"/>
    </row>
    <row r="70" spans="1:12" hidden="1" x14ac:dyDescent="0.3">
      <c r="A70" s="57"/>
      <c r="B70" s="57"/>
      <c r="C70" s="57"/>
      <c r="D70" s="57"/>
      <c r="E70" s="57"/>
      <c r="F70" s="57"/>
      <c r="G70" s="57"/>
      <c r="H70" s="57"/>
      <c r="I70" s="57"/>
      <c r="J70" s="57"/>
      <c r="K70" s="57"/>
      <c r="L70" s="57"/>
    </row>
    <row r="71" spans="1:12" hidden="1" x14ac:dyDescent="0.3">
      <c r="A71" s="57" t="s">
        <v>148</v>
      </c>
      <c r="B71" s="57"/>
      <c r="D71" s="57" t="e">
        <f>TRIM(D93)</f>
        <v>#REF!</v>
      </c>
      <c r="E71" s="57"/>
      <c r="F71" s="57"/>
      <c r="G71" s="57"/>
      <c r="H71" s="57"/>
      <c r="I71" s="57"/>
      <c r="J71" s="57"/>
      <c r="K71" s="57"/>
      <c r="L71" s="57"/>
    </row>
    <row r="72" spans="1:12" hidden="1" x14ac:dyDescent="0.3">
      <c r="A72" s="57"/>
      <c r="B72" s="57"/>
      <c r="C72" s="57"/>
      <c r="D72" s="57"/>
      <c r="E72" s="57"/>
      <c r="F72" s="57"/>
      <c r="G72" s="57"/>
      <c r="H72" s="57"/>
      <c r="I72" s="57"/>
      <c r="J72" s="57"/>
      <c r="K72" s="57"/>
      <c r="L72" s="57"/>
    </row>
    <row r="73" spans="1:12" hidden="1" x14ac:dyDescent="0.3">
      <c r="A73" s="57"/>
      <c r="B73" s="57"/>
      <c r="C73" s="57"/>
      <c r="D73" s="57"/>
      <c r="E73" s="57"/>
      <c r="F73" s="57"/>
      <c r="G73" s="57"/>
      <c r="H73" s="57"/>
      <c r="I73" s="57"/>
      <c r="J73" s="57"/>
      <c r="K73" s="57"/>
      <c r="L73" s="57"/>
    </row>
    <row r="74" spans="1:12" hidden="1" x14ac:dyDescent="0.3">
      <c r="A74" s="57">
        <v>1</v>
      </c>
      <c r="B74" s="57" t="s">
        <v>149</v>
      </c>
      <c r="C74" s="57" t="s">
        <v>150</v>
      </c>
      <c r="D74" s="57"/>
      <c r="E74" s="57" t="e">
        <f>INT((D69-(INT(D69/1000000000000000)*1000000000000000))/1000000000000)</f>
        <v>#REF!</v>
      </c>
      <c r="F74" s="57" t="s">
        <v>151</v>
      </c>
      <c r="G74" s="57" t="e">
        <f>INT(E74/100)*100</f>
        <v>#REF!</v>
      </c>
      <c r="H74" s="57" t="e">
        <f>IF(AND(G74=100,G75=0,G76=0),IF(G74=0," ",LOOKUP(G74,A73:C118,B73:B118)),IF(G74=0," ",LOOKUP(G74,A73:C118,C73:C118)))</f>
        <v>#REF!</v>
      </c>
      <c r="I74" s="57"/>
      <c r="J74" s="57" t="s">
        <v>152</v>
      </c>
      <c r="K74" s="57"/>
      <c r="L74" s="57"/>
    </row>
    <row r="75" spans="1:12" hidden="1" x14ac:dyDescent="0.3">
      <c r="A75" s="57">
        <v>2</v>
      </c>
      <c r="B75" s="57" t="s">
        <v>153</v>
      </c>
      <c r="C75" s="57" t="s">
        <v>153</v>
      </c>
      <c r="D75" s="57"/>
      <c r="E75" s="57" t="e">
        <f>+E74-G74</f>
        <v>#REF!</v>
      </c>
      <c r="F75" s="57" t="s">
        <v>154</v>
      </c>
      <c r="G75" s="57" t="e">
        <f>INT(E75/10)*10</f>
        <v>#REF!</v>
      </c>
      <c r="H75" s="57" t="e">
        <f>IF(OR(G75=10,G75=20),LOOKUP(E75,A73:C118,C73:C118),IF(AND(G75=100,G76=0,G77=0),IF(G75=0," ",LOOKUP(G75,A73:C118,B73:B118)),IF(G75=0," ",LOOKUP(G75,A73:C118,C73:C118))))</f>
        <v>#REF!</v>
      </c>
      <c r="I75" s="57" t="e">
        <f>IF(G76=0," ",IF(AND(G75&gt;20,G75&lt;=90),"y"," "))</f>
        <v>#REF!</v>
      </c>
      <c r="J75" s="57"/>
      <c r="K75" s="57"/>
      <c r="L75" s="57"/>
    </row>
    <row r="76" spans="1:12" hidden="1" x14ac:dyDescent="0.3">
      <c r="A76" s="57">
        <v>3</v>
      </c>
      <c r="B76" s="57" t="s">
        <v>155</v>
      </c>
      <c r="C76" s="57" t="s">
        <v>155</v>
      </c>
      <c r="D76" s="57"/>
      <c r="E76" s="57" t="e">
        <f>+E75-G75</f>
        <v>#REF!</v>
      </c>
      <c r="F76" s="57" t="s">
        <v>156</v>
      </c>
      <c r="G76" s="57" t="e">
        <f>INT(E76)</f>
        <v>#REF!</v>
      </c>
      <c r="H76" s="57" t="e">
        <f>IF(OR(G75=10,G75=20)," ",IF(AND(G76=100,G77=0,G78=0),IF(G76=0," ",LOOKUP(G76,A73:C118,B73:B118)),IF(G76=0," ",LOOKUP(G76,A73:C118,B73:B118))))</f>
        <v>#REF!</v>
      </c>
      <c r="I76" s="57" t="e">
        <f>IF(AND(G74=0,G75=0,G76=1),"Billón",IF(SUM(G74:G76)=0," ","Billones"))</f>
        <v>#REF!</v>
      </c>
      <c r="J76" s="57"/>
      <c r="K76" s="57"/>
      <c r="L76" s="57"/>
    </row>
    <row r="77" spans="1:12" hidden="1" x14ac:dyDescent="0.3">
      <c r="A77" s="57">
        <v>4</v>
      </c>
      <c r="B77" s="57" t="s">
        <v>157</v>
      </c>
      <c r="C77" s="57" t="s">
        <v>157</v>
      </c>
      <c r="D77" s="57"/>
      <c r="E77" s="57" t="e">
        <f>INT((D69-(INT(D69/1000000000000)*1000000000000))/1000000000)</f>
        <v>#REF!</v>
      </c>
      <c r="F77" s="57" t="s">
        <v>151</v>
      </c>
      <c r="G77" s="57" t="e">
        <f>INT(E77/100)*100</f>
        <v>#REF!</v>
      </c>
      <c r="H77" s="57" t="e">
        <f>IF(AND(G77=100,G78=0,G79=0),IF(G77=0," ",LOOKUP(G77,A73:C118,B73:B118)),IF(G77=0," ",LOOKUP(G77,A73:C118,C73:C118)))</f>
        <v>#REF!</v>
      </c>
      <c r="I77" s="57"/>
      <c r="J77" s="57" t="s">
        <v>158</v>
      </c>
      <c r="K77" s="57"/>
      <c r="L77" s="57"/>
    </row>
    <row r="78" spans="1:12" hidden="1" x14ac:dyDescent="0.3">
      <c r="A78" s="57">
        <v>5</v>
      </c>
      <c r="B78" s="57" t="s">
        <v>159</v>
      </c>
      <c r="C78" s="57" t="s">
        <v>159</v>
      </c>
      <c r="D78" s="57"/>
      <c r="E78" s="57" t="e">
        <f>+E77-G77</f>
        <v>#REF!</v>
      </c>
      <c r="F78" s="57" t="s">
        <v>154</v>
      </c>
      <c r="G78" s="57" t="e">
        <f>INT(E78/10)*10</f>
        <v>#REF!</v>
      </c>
      <c r="H78" s="57" t="e">
        <f>IF(OR(G78=10,G78=20),LOOKUP(E78,A73:C118,C73:C118),IF(AND(G78=100,G79=0,G80=0),IF(G78=0," ",LOOKUP(G78,A73:C118,B73:B118)),IF(G78=0," ",LOOKUP(G78,A73:C118,C73:C118))))</f>
        <v>#REF!</v>
      </c>
      <c r="I78" s="57" t="e">
        <f>IF(G79=0," ",IF(AND(G78&gt;20,G78&lt;=90),"y"," "))</f>
        <v>#REF!</v>
      </c>
      <c r="J78" s="57"/>
      <c r="K78" s="57"/>
      <c r="L78" s="57"/>
    </row>
    <row r="79" spans="1:12" hidden="1" x14ac:dyDescent="0.3">
      <c r="A79" s="57">
        <v>6</v>
      </c>
      <c r="B79" s="57" t="s">
        <v>160</v>
      </c>
      <c r="C79" s="57" t="s">
        <v>160</v>
      </c>
      <c r="D79" s="57"/>
      <c r="E79" s="57" t="e">
        <f>+E78-G78</f>
        <v>#REF!</v>
      </c>
      <c r="F79" s="57" t="s">
        <v>156</v>
      </c>
      <c r="G79" s="57" t="e">
        <f>INT(E79)</f>
        <v>#REF!</v>
      </c>
      <c r="H79" s="57" t="e">
        <f>IF(AND(G77=0,G78=0,G79=1)," ",IF(AND(G74=0,G75=0,G76=0,G77=0,G78=0,G79=1)," ",IF(OR(G78=10,G78=20)," ",IF(AND(G79=100,G80=0,G81=0),IF(G79=0," ",LOOKUP(G79,A73:C118,B73:B118)),IF(G79=0," ",LOOKUP(G79,A73:C118,B73:B118))))))</f>
        <v>#REF!</v>
      </c>
      <c r="I79" s="57" t="e">
        <f>IF(AND(G77=0,G78=0,G79=1),"Mil",IF(SUM(G77:G79)=0," ","Mil"))</f>
        <v>#REF!</v>
      </c>
      <c r="J79" s="57"/>
      <c r="K79" s="57"/>
      <c r="L79" s="57"/>
    </row>
    <row r="80" spans="1:12" hidden="1" x14ac:dyDescent="0.3">
      <c r="A80" s="57">
        <v>7</v>
      </c>
      <c r="B80" s="57" t="s">
        <v>161</v>
      </c>
      <c r="C80" s="57" t="s">
        <v>161</v>
      </c>
      <c r="D80" s="57"/>
      <c r="E80" s="57" t="e">
        <f>INT((D69-(INT(D69/1000000000)*1000000000))/1000000)</f>
        <v>#REF!</v>
      </c>
      <c r="F80" s="57" t="s">
        <v>151</v>
      </c>
      <c r="G80" s="57" t="e">
        <f>INT(E80/100)*100</f>
        <v>#REF!</v>
      </c>
      <c r="H80" s="57" t="e">
        <f>IF(AND(G80=100,G81=0,G82=0),IF(G80=0," ",LOOKUP(G80,A73:C118,B73:B118)),IF(G80=0," ",LOOKUP(G80,A73:C118,C73:C118)))</f>
        <v>#REF!</v>
      </c>
      <c r="I80" s="57"/>
      <c r="J80" s="57" t="s">
        <v>162</v>
      </c>
      <c r="K80" s="57"/>
      <c r="L80" s="57"/>
    </row>
    <row r="81" spans="1:12" hidden="1" x14ac:dyDescent="0.3">
      <c r="A81" s="57">
        <v>8</v>
      </c>
      <c r="B81" s="57" t="s">
        <v>163</v>
      </c>
      <c r="C81" s="57" t="s">
        <v>163</v>
      </c>
      <c r="D81" s="57"/>
      <c r="E81" s="57" t="e">
        <f>+E80-G80</f>
        <v>#REF!</v>
      </c>
      <c r="F81" s="57" t="s">
        <v>154</v>
      </c>
      <c r="G81" s="57" t="e">
        <f>INT(E81/10)*10</f>
        <v>#REF!</v>
      </c>
      <c r="H81" s="57" t="e">
        <f>IF(OR(G81=10,G81=20),LOOKUP(E81,A73:C118,C73:C118),IF(AND(G81=100,G82=0,G86=0),IF(G81=0," ",LOOKUP(G81,A73:C118,B73:B118)),IF(G81=0," ",LOOKUP(G81,A73:C118,C73:C118))))</f>
        <v>#REF!</v>
      </c>
      <c r="I81" s="57" t="e">
        <f>IF(G82=0," ",IF(AND(G81&gt;20,G81&lt;=90),"y"," "))</f>
        <v>#REF!</v>
      </c>
      <c r="J81" s="57"/>
      <c r="K81" s="57"/>
      <c r="L81" s="57"/>
    </row>
    <row r="82" spans="1:12" hidden="1" x14ac:dyDescent="0.3">
      <c r="A82" s="57">
        <v>9</v>
      </c>
      <c r="B82" s="57" t="s">
        <v>164</v>
      </c>
      <c r="C82" s="57" t="s">
        <v>164</v>
      </c>
      <c r="D82" s="57"/>
      <c r="E82" s="57" t="e">
        <f>+E81-G81</f>
        <v>#REF!</v>
      </c>
      <c r="F82" s="57" t="s">
        <v>156</v>
      </c>
      <c r="G82" s="57" t="e">
        <f>INT(E82)</f>
        <v>#REF!</v>
      </c>
      <c r="H82" s="57" t="e">
        <f>IF(AND(G80=0,G81=0,G82=1),"Un",IF(AND(G77=0,G78=0,G79=0,G80=0,G81=0,G82=1)," ",IF(OR(G81=10,G81=20)," ",IF(AND(G82=100,G86=0,G93=0),IF(G82=0," ",LOOKUP(G82,A73:C118,B73:B118)),IF(G82=0," ",LOOKUP(G82,A73:C118,B73:B118))))))</f>
        <v>#REF!</v>
      </c>
      <c r="I82" s="57" t="e">
        <f>IF(AND(OR(G77&gt;0,G78&gt;0,G79&gt;0),G80=0,G81=0,G82=0),"Millones",IF(AND(G77=0,G78=0,G79=0,G80=0,G81=0,G82=1),"Millón",IF(SUM(G80:G82)=0," ","Millones")))</f>
        <v>#REF!</v>
      </c>
      <c r="J82" s="57"/>
      <c r="K82" s="57"/>
      <c r="L82" s="57"/>
    </row>
    <row r="83" spans="1:12" hidden="1" x14ac:dyDescent="0.3">
      <c r="A83" s="57">
        <v>10</v>
      </c>
      <c r="B83" s="57" t="s">
        <v>165</v>
      </c>
      <c r="C83" s="57" t="s">
        <v>165</v>
      </c>
      <c r="D83" s="57"/>
      <c r="E83" s="57" t="e">
        <f>INT((D69-(INT(D69/1000000)*1000000))/1000)</f>
        <v>#REF!</v>
      </c>
      <c r="F83" s="57" t="s">
        <v>151</v>
      </c>
      <c r="G83" s="57" t="e">
        <f>INT(E83/100)*100</f>
        <v>#REF!</v>
      </c>
      <c r="H83" s="57" t="e">
        <f>IF(AND(G83=100,G84=0,G85=0),IF(G83=0," ",LOOKUP(G83,A73:C118,B73:B118)),IF(G83=0," ",LOOKUP(G83,A73:C118,C73:C118)))</f>
        <v>#REF!</v>
      </c>
      <c r="I83" s="57"/>
      <c r="J83" s="57" t="s">
        <v>166</v>
      </c>
      <c r="K83" s="57"/>
      <c r="L83" s="57"/>
    </row>
    <row r="84" spans="1:12" hidden="1" x14ac:dyDescent="0.3">
      <c r="A84" s="57">
        <v>11</v>
      </c>
      <c r="B84" s="57" t="s">
        <v>167</v>
      </c>
      <c r="C84" s="57" t="s">
        <v>167</v>
      </c>
      <c r="D84" s="57"/>
      <c r="E84" s="57" t="e">
        <f>+E83-G83</f>
        <v>#REF!</v>
      </c>
      <c r="F84" s="57" t="s">
        <v>154</v>
      </c>
      <c r="G84" s="57" t="e">
        <f>INT(E84/10)*10</f>
        <v>#REF!</v>
      </c>
      <c r="H84" s="57" t="e">
        <f>IF(OR(G84=10,G84=20),LOOKUP(E84,A73:C118,C73:C118),IF(AND(G84=100,G85=0,F91=0),IF(G84=0," ",LOOKUP(G84,A73:C118,B73:B118)),IF(G84=0," ",LOOKUP(G84,A73:C118,C73:C118))))</f>
        <v>#REF!</v>
      </c>
      <c r="I84" s="57" t="e">
        <f>IF(G85=0," ",IF(AND(G84&gt;20,G84&lt;=90),"y"," "))</f>
        <v>#REF!</v>
      </c>
      <c r="J84" s="57"/>
      <c r="K84" s="57"/>
      <c r="L84" s="57"/>
    </row>
    <row r="85" spans="1:12" hidden="1" x14ac:dyDescent="0.3">
      <c r="A85" s="57">
        <v>12</v>
      </c>
      <c r="B85" s="57" t="s">
        <v>168</v>
      </c>
      <c r="C85" s="57" t="s">
        <v>168</v>
      </c>
      <c r="D85" s="57"/>
      <c r="E85" s="57" t="e">
        <f>+E84-G84</f>
        <v>#REF!</v>
      </c>
      <c r="F85" s="57" t="s">
        <v>156</v>
      </c>
      <c r="G85" s="57" t="e">
        <f>INT(E85)</f>
        <v>#REF!</v>
      </c>
      <c r="H85" s="57" t="e">
        <f>IF(AND(G83=0,G84=0,G85=1)," ",IF(AND(G80=0,G81=0,G82=0,G83=0,G84=0,G85=1)," ",IF(OR(G84=10,G84=20)," ",IF(AND(G85=100,F91=0,F92=0),IF(G85=0," ",LOOKUP(G85,A73:C118,B73:B118)),IF(G85=0," ",LOOKUP(G85,A73:C118,B73:B118))))))</f>
        <v>#REF!</v>
      </c>
      <c r="I85" s="57" t="e">
        <f>IF(AND(G83=0,G84=0,G85=1),"Mil",IF(SUM(G83:G85)=0," ","Mil"))</f>
        <v>#REF!</v>
      </c>
      <c r="J85" s="57"/>
      <c r="K85" s="57"/>
      <c r="L85" s="57"/>
    </row>
    <row r="86" spans="1:12" hidden="1" x14ac:dyDescent="0.3">
      <c r="A86" s="57">
        <v>13</v>
      </c>
      <c r="B86" s="57" t="s">
        <v>169</v>
      </c>
      <c r="C86" s="57" t="s">
        <v>169</v>
      </c>
      <c r="D86" s="57"/>
      <c r="E86" s="57" t="e">
        <f>INT((D69-(INT(D69/1000)*1000))/1)</f>
        <v>#REF!</v>
      </c>
      <c r="F86" s="57" t="s">
        <v>151</v>
      </c>
      <c r="G86" s="57" t="e">
        <f>INT(E86/100)*100</f>
        <v>#REF!</v>
      </c>
      <c r="H86" s="57" t="e">
        <f>IF(AND(G86=100,G87=0,G88=0),IF(G86=0," ",LOOKUP(G86,A73:C118,B73:B118)),IF(G86=0," ",LOOKUP(G86,A73:C118,C73:C118)))</f>
        <v>#REF!</v>
      </c>
      <c r="I86" s="57"/>
      <c r="J86" s="57" t="s">
        <v>170</v>
      </c>
      <c r="K86" s="57"/>
      <c r="L86" s="57"/>
    </row>
    <row r="87" spans="1:12" hidden="1" x14ac:dyDescent="0.3">
      <c r="A87" s="57">
        <v>14</v>
      </c>
      <c r="B87" s="57" t="s">
        <v>171</v>
      </c>
      <c r="C87" s="57" t="s">
        <v>171</v>
      </c>
      <c r="D87" s="57"/>
      <c r="E87" s="57" t="e">
        <f>+E86-G86</f>
        <v>#REF!</v>
      </c>
      <c r="F87" s="57" t="s">
        <v>154</v>
      </c>
      <c r="G87" s="57" t="e">
        <f>INT(E87/10)*10</f>
        <v>#REF!</v>
      </c>
      <c r="H87" s="57" t="e">
        <f>IF(OR(G87=10,G87=20),LOOKUP(E87,A73:C118,C73:C118),IF(AND(G87=100,G88=0,G98=0),IF(G87=0," ",LOOKUP(G87,A73:C118,B73:B118)),IF(G87=0," ",LOOKUP(G87,A73:C118,C73:C118))))</f>
        <v>#REF!</v>
      </c>
      <c r="I87" s="57" t="e">
        <f>IF(G88=0," ",IF(AND(G87&gt;20,G87&lt;=90),"y"," "))</f>
        <v>#REF!</v>
      </c>
      <c r="J87" s="57"/>
      <c r="K87" s="57"/>
      <c r="L87" s="57"/>
    </row>
    <row r="88" spans="1:12" hidden="1" x14ac:dyDescent="0.3">
      <c r="A88" s="57">
        <v>15</v>
      </c>
      <c r="B88" s="57" t="s">
        <v>172</v>
      </c>
      <c r="C88" s="57" t="s">
        <v>172</v>
      </c>
      <c r="D88" s="57"/>
      <c r="E88" s="57" t="e">
        <f>+E87-G87</f>
        <v>#REF!</v>
      </c>
      <c r="F88" s="57" t="s">
        <v>156</v>
      </c>
      <c r="G88" s="57" t="e">
        <f>INT(E88)</f>
        <v>#REF!</v>
      </c>
      <c r="H88" s="57" t="e">
        <f>IF(AND(G86=0,G87=0,G88=1),"Un",IF(AND(G83=0,G84=0,G85=0,G86=0,G87=0,G88=1)," ",IF(OR(G87=10,G87=20)," ",IF(AND(G88=100,G98=0,G99=0),IF(G88=0," ",LOOKUP(G88,A73:C118,B73:B118)),IF(G88=0," ",LOOKUP(G88,A73:C118,B73:B118))))))</f>
        <v>#REF!</v>
      </c>
      <c r="I88" s="57"/>
      <c r="J88" s="57"/>
      <c r="K88" s="57"/>
      <c r="L88" s="57"/>
    </row>
    <row r="89" spans="1:12" hidden="1" x14ac:dyDescent="0.3">
      <c r="A89" s="57">
        <v>16</v>
      </c>
      <c r="B89" s="57" t="s">
        <v>173</v>
      </c>
      <c r="C89" s="57" t="s">
        <v>173</v>
      </c>
      <c r="D89" s="57"/>
      <c r="E89" s="57"/>
      <c r="F89" s="57"/>
      <c r="G89" s="57"/>
      <c r="H89" s="57"/>
      <c r="I89" s="57"/>
      <c r="J89" s="57"/>
      <c r="K89" s="57"/>
      <c r="L89" s="57"/>
    </row>
    <row r="90" spans="1:12" hidden="1" x14ac:dyDescent="0.3">
      <c r="A90" s="57">
        <v>17</v>
      </c>
      <c r="B90" s="57" t="s">
        <v>174</v>
      </c>
      <c r="C90" s="57" t="s">
        <v>174</v>
      </c>
      <c r="D90" s="57"/>
      <c r="E90" s="57"/>
      <c r="F90" s="57"/>
      <c r="G90" s="57"/>
      <c r="H90" s="57"/>
      <c r="I90" s="57"/>
      <c r="J90" s="57"/>
      <c r="K90" s="57"/>
      <c r="L90" s="57"/>
    </row>
    <row r="91" spans="1:12" hidden="1" x14ac:dyDescent="0.3">
      <c r="A91" s="57">
        <v>18</v>
      </c>
      <c r="B91" s="57" t="s">
        <v>175</v>
      </c>
      <c r="C91" s="57" t="s">
        <v>175</v>
      </c>
      <c r="D91" s="57"/>
      <c r="E91" s="57"/>
      <c r="F91" s="57"/>
      <c r="G91" s="57"/>
      <c r="H91" s="57"/>
      <c r="I91" s="57"/>
      <c r="J91" s="57"/>
      <c r="K91" s="57"/>
      <c r="L91" s="57"/>
    </row>
    <row r="92" spans="1:12" hidden="1" x14ac:dyDescent="0.3">
      <c r="A92" s="57">
        <v>19</v>
      </c>
      <c r="B92" s="57" t="s">
        <v>176</v>
      </c>
      <c r="C92" s="57" t="s">
        <v>176</v>
      </c>
      <c r="D92" s="57"/>
      <c r="E92" s="57"/>
      <c r="F92" s="57"/>
      <c r="G92" s="57"/>
      <c r="H92" s="57"/>
      <c r="I92" s="57"/>
      <c r="J92" s="57"/>
      <c r="K92" s="57"/>
      <c r="L92" s="57"/>
    </row>
    <row r="93" spans="1:12" hidden="1" x14ac:dyDescent="0.3">
      <c r="A93" s="57">
        <v>20</v>
      </c>
      <c r="B93" s="57" t="s">
        <v>177</v>
      </c>
      <c r="C93" s="57" t="s">
        <v>177</v>
      </c>
      <c r="D93" s="57" t="e">
        <f>H74&amp;" "&amp;H75&amp;" "&amp;I75&amp;" "&amp;" "&amp;H76&amp;" "&amp;I76&amp;" "&amp;H77&amp;" "&amp;H78&amp;" "&amp;I78&amp;" "&amp;" "&amp;H79&amp;" "&amp;I79&amp;" "&amp;H80&amp;" "&amp;H81&amp;" "&amp;I81&amp;" "&amp;H82&amp;" "&amp;I82&amp;" "&amp;H83&amp;" "&amp;H84&amp;" "&amp;I84&amp;" "&amp;H85&amp;" "&amp;I85&amp;" "&amp;H86&amp;" "&amp;H87&amp;" "&amp;I87&amp;" "&amp;H88&amp;" "&amp;H95</f>
        <v>#REF!</v>
      </c>
      <c r="E93" s="57"/>
      <c r="F93" s="57"/>
      <c r="G93" s="57"/>
      <c r="H93" s="57"/>
      <c r="I93" s="57"/>
      <c r="J93" s="57"/>
      <c r="K93" s="57"/>
      <c r="L93" s="57"/>
    </row>
    <row r="94" spans="1:12" hidden="1" x14ac:dyDescent="0.3">
      <c r="A94" s="57">
        <v>21</v>
      </c>
      <c r="B94" s="57" t="s">
        <v>178</v>
      </c>
      <c r="C94" s="57" t="s">
        <v>179</v>
      </c>
      <c r="D94" s="57"/>
      <c r="E94" s="57"/>
      <c r="F94" s="57"/>
      <c r="G94" s="57"/>
      <c r="H94" s="57"/>
      <c r="I94" s="57"/>
      <c r="J94" s="57"/>
      <c r="K94" s="57"/>
      <c r="L94" s="57"/>
    </row>
    <row r="95" spans="1:12" hidden="1" x14ac:dyDescent="0.3">
      <c r="A95" s="57">
        <v>22</v>
      </c>
      <c r="B95" s="57" t="s">
        <v>180</v>
      </c>
      <c r="C95" s="57" t="s">
        <v>180</v>
      </c>
      <c r="D95" s="57"/>
      <c r="E95" s="57"/>
      <c r="F95" s="57"/>
      <c r="G95" s="57"/>
      <c r="H95" s="57" t="e">
        <f>IF(F96&lt;&gt;0,"de Pesos M/Cte",IF(D69=1,"Peso M/Cte","Pesos M/Cte"))</f>
        <v>#REF!</v>
      </c>
      <c r="I95" s="57"/>
      <c r="J95" s="57"/>
      <c r="K95" s="57"/>
      <c r="L95" s="57"/>
    </row>
    <row r="96" spans="1:12" hidden="1" x14ac:dyDescent="0.3">
      <c r="A96" s="57">
        <v>23</v>
      </c>
      <c r="B96" s="57" t="s">
        <v>181</v>
      </c>
      <c r="C96" s="57" t="s">
        <v>181</v>
      </c>
      <c r="D96" s="57"/>
      <c r="E96" s="57" t="e">
        <f>D69/1000000</f>
        <v>#REF!</v>
      </c>
      <c r="F96" s="57" t="e">
        <f>IF(E96=INT(E96),"De Pesos M/Cte",0)</f>
        <v>#REF!</v>
      </c>
      <c r="G96" s="57"/>
      <c r="H96" s="57"/>
      <c r="I96" s="57"/>
      <c r="J96" s="57"/>
      <c r="K96" s="57"/>
      <c r="L96" s="57"/>
    </row>
    <row r="97" spans="1:12" hidden="1" x14ac:dyDescent="0.3">
      <c r="A97" s="57">
        <v>24</v>
      </c>
      <c r="B97" s="57" t="s">
        <v>182</v>
      </c>
      <c r="C97" s="57" t="s">
        <v>182</v>
      </c>
      <c r="D97" s="57"/>
      <c r="E97" s="57"/>
      <c r="F97" s="57"/>
      <c r="G97" s="57"/>
      <c r="H97" s="57"/>
      <c r="I97" s="57"/>
      <c r="J97" s="57"/>
      <c r="K97" s="57"/>
      <c r="L97" s="57"/>
    </row>
    <row r="98" spans="1:12" hidden="1" x14ac:dyDescent="0.3">
      <c r="A98" s="57">
        <v>25</v>
      </c>
      <c r="B98" s="57" t="s">
        <v>183</v>
      </c>
      <c r="C98" s="57" t="s">
        <v>183</v>
      </c>
      <c r="D98" s="57"/>
      <c r="E98" s="57"/>
      <c r="F98" s="57"/>
      <c r="G98" s="57"/>
      <c r="H98" s="57"/>
      <c r="I98" s="57"/>
      <c r="J98" s="57"/>
      <c r="K98" s="57"/>
      <c r="L98" s="57"/>
    </row>
    <row r="99" spans="1:12" hidden="1" x14ac:dyDescent="0.3">
      <c r="A99" s="57">
        <v>26</v>
      </c>
      <c r="B99" s="57" t="s">
        <v>184</v>
      </c>
      <c r="C99" s="57" t="s">
        <v>184</v>
      </c>
      <c r="D99" s="57"/>
      <c r="E99" s="57"/>
      <c r="F99" s="57"/>
      <c r="G99" s="57"/>
      <c r="H99" s="57"/>
      <c r="I99" s="57"/>
      <c r="J99" s="57"/>
      <c r="K99" s="57"/>
      <c r="L99" s="57"/>
    </row>
    <row r="100" spans="1:12" hidden="1" x14ac:dyDescent="0.3">
      <c r="A100" s="57">
        <v>27</v>
      </c>
      <c r="B100" s="57" t="s">
        <v>185</v>
      </c>
      <c r="C100" s="57" t="s">
        <v>185</v>
      </c>
      <c r="D100" s="57"/>
      <c r="E100" s="57"/>
      <c r="F100" s="57"/>
      <c r="G100" s="57"/>
      <c r="H100" s="57"/>
      <c r="I100" s="57"/>
      <c r="J100" s="57"/>
      <c r="K100" s="57"/>
      <c r="L100" s="57"/>
    </row>
    <row r="101" spans="1:12" hidden="1" x14ac:dyDescent="0.3">
      <c r="A101" s="57">
        <v>28</v>
      </c>
      <c r="B101" s="57" t="s">
        <v>186</v>
      </c>
      <c r="C101" s="57" t="s">
        <v>186</v>
      </c>
      <c r="D101" s="57"/>
      <c r="E101" s="57"/>
      <c r="F101" s="57"/>
      <c r="G101" s="57"/>
      <c r="H101" s="57"/>
      <c r="I101" s="57"/>
      <c r="J101" s="57"/>
      <c r="K101" s="57"/>
      <c r="L101" s="57"/>
    </row>
    <row r="102" spans="1:12" hidden="1" x14ac:dyDescent="0.3">
      <c r="A102" s="57">
        <v>29</v>
      </c>
      <c r="B102" s="57" t="s">
        <v>187</v>
      </c>
      <c r="C102" s="57" t="s">
        <v>187</v>
      </c>
      <c r="D102" s="57"/>
      <c r="E102" s="57"/>
      <c r="F102" s="57"/>
      <c r="G102" s="57"/>
      <c r="H102" s="57"/>
      <c r="I102" s="57"/>
      <c r="J102" s="57"/>
      <c r="K102" s="57"/>
      <c r="L102" s="57"/>
    </row>
    <row r="103" spans="1:12" hidden="1" x14ac:dyDescent="0.3">
      <c r="A103" s="57">
        <v>30</v>
      </c>
      <c r="B103" s="57" t="s">
        <v>188</v>
      </c>
      <c r="C103" s="57" t="s">
        <v>188</v>
      </c>
      <c r="D103" s="57"/>
      <c r="E103" s="57"/>
      <c r="F103" s="57"/>
      <c r="G103" s="57"/>
      <c r="H103" s="57"/>
      <c r="I103" s="57"/>
      <c r="J103" s="57"/>
      <c r="K103" s="57"/>
      <c r="L103" s="57"/>
    </row>
    <row r="104" spans="1:12" hidden="1" x14ac:dyDescent="0.3">
      <c r="A104" s="57">
        <v>40</v>
      </c>
      <c r="B104" s="57" t="s">
        <v>189</v>
      </c>
      <c r="C104" s="57" t="s">
        <v>189</v>
      </c>
      <c r="D104" s="57"/>
      <c r="E104" s="57"/>
      <c r="F104" s="57"/>
      <c r="G104" s="57"/>
      <c r="H104" s="57"/>
      <c r="I104" s="57"/>
      <c r="J104" s="57"/>
      <c r="K104" s="57"/>
      <c r="L104" s="57"/>
    </row>
    <row r="105" spans="1:12" hidden="1" x14ac:dyDescent="0.3">
      <c r="A105" s="57">
        <v>50</v>
      </c>
      <c r="B105" s="57" t="s">
        <v>190</v>
      </c>
      <c r="C105" s="57" t="s">
        <v>190</v>
      </c>
      <c r="D105" s="57"/>
      <c r="E105" s="57"/>
      <c r="F105" s="57"/>
      <c r="G105" s="57"/>
      <c r="H105" s="57"/>
      <c r="I105" s="57"/>
      <c r="J105" s="57"/>
      <c r="K105" s="57"/>
      <c r="L105" s="57"/>
    </row>
    <row r="106" spans="1:12" hidden="1" x14ac:dyDescent="0.3">
      <c r="A106" s="57">
        <v>60</v>
      </c>
      <c r="B106" s="57" t="s">
        <v>191</v>
      </c>
      <c r="C106" s="57" t="s">
        <v>191</v>
      </c>
      <c r="D106" s="57"/>
      <c r="E106" s="57"/>
      <c r="F106" s="57"/>
      <c r="G106" s="57"/>
      <c r="H106" s="57"/>
      <c r="I106" s="57"/>
      <c r="J106" s="57"/>
      <c r="K106" s="57"/>
      <c r="L106" s="57"/>
    </row>
    <row r="107" spans="1:12" hidden="1" x14ac:dyDescent="0.3">
      <c r="A107" s="57">
        <v>70</v>
      </c>
      <c r="B107" s="57" t="s">
        <v>192</v>
      </c>
      <c r="C107" s="57" t="s">
        <v>192</v>
      </c>
      <c r="D107" s="57"/>
      <c r="E107" s="57"/>
      <c r="F107" s="57"/>
      <c r="G107" s="57"/>
      <c r="H107" s="57"/>
      <c r="I107" s="57"/>
      <c r="J107" s="57"/>
      <c r="K107" s="57"/>
      <c r="L107" s="57"/>
    </row>
    <row r="108" spans="1:12" hidden="1" x14ac:dyDescent="0.3">
      <c r="A108" s="57">
        <v>80</v>
      </c>
      <c r="B108" s="57" t="s">
        <v>193</v>
      </c>
      <c r="C108" s="57" t="s">
        <v>193</v>
      </c>
      <c r="D108" s="57"/>
      <c r="E108" s="57"/>
      <c r="F108" s="57"/>
      <c r="G108" s="57"/>
      <c r="H108" s="57"/>
      <c r="I108" s="57"/>
      <c r="J108" s="57"/>
      <c r="K108" s="57"/>
      <c r="L108" s="57"/>
    </row>
    <row r="109" spans="1:12" hidden="1" x14ac:dyDescent="0.3">
      <c r="A109" s="57">
        <v>90</v>
      </c>
      <c r="B109" s="57" t="s">
        <v>194</v>
      </c>
      <c r="C109" s="57" t="s">
        <v>194</v>
      </c>
      <c r="D109" s="57"/>
      <c r="E109" s="57"/>
      <c r="F109" s="57"/>
      <c r="G109" s="57"/>
      <c r="H109" s="57"/>
      <c r="I109" s="57"/>
      <c r="J109" s="57"/>
      <c r="K109" s="57"/>
      <c r="L109" s="57"/>
    </row>
    <row r="110" spans="1:12" hidden="1" x14ac:dyDescent="0.3">
      <c r="A110" s="57">
        <v>100</v>
      </c>
      <c r="B110" s="57" t="s">
        <v>195</v>
      </c>
      <c r="C110" s="57" t="s">
        <v>196</v>
      </c>
      <c r="D110" s="57"/>
      <c r="E110" s="57"/>
      <c r="F110" s="57"/>
      <c r="G110" s="57"/>
      <c r="H110" s="57"/>
      <c r="I110" s="57"/>
      <c r="J110" s="57"/>
      <c r="K110" s="57"/>
      <c r="L110" s="57"/>
    </row>
    <row r="111" spans="1:12" hidden="1" x14ac:dyDescent="0.3">
      <c r="A111" s="57">
        <v>200</v>
      </c>
      <c r="B111" s="57" t="s">
        <v>197</v>
      </c>
      <c r="C111" s="57" t="s">
        <v>197</v>
      </c>
      <c r="D111" s="57"/>
      <c r="E111" s="57"/>
      <c r="F111" s="57"/>
      <c r="G111" s="57"/>
      <c r="H111" s="57"/>
      <c r="I111" s="57"/>
      <c r="J111" s="57"/>
      <c r="K111" s="57"/>
      <c r="L111" s="57"/>
    </row>
    <row r="112" spans="1:12" hidden="1" x14ac:dyDescent="0.3">
      <c r="A112" s="57">
        <v>300</v>
      </c>
      <c r="B112" s="57" t="s">
        <v>198</v>
      </c>
      <c r="C112" s="57" t="s">
        <v>198</v>
      </c>
      <c r="D112" s="57"/>
      <c r="E112" s="57"/>
      <c r="F112" s="57"/>
      <c r="G112" s="57"/>
      <c r="H112" s="57"/>
      <c r="I112" s="57"/>
      <c r="J112" s="57"/>
      <c r="K112" s="57"/>
      <c r="L112" s="57"/>
    </row>
    <row r="113" spans="1:12" hidden="1" x14ac:dyDescent="0.3">
      <c r="A113" s="57">
        <v>400</v>
      </c>
      <c r="B113" s="57" t="s">
        <v>199</v>
      </c>
      <c r="C113" s="57" t="s">
        <v>199</v>
      </c>
      <c r="D113" s="57"/>
      <c r="E113" s="57"/>
      <c r="F113" s="57"/>
      <c r="G113" s="57"/>
      <c r="H113" s="57"/>
      <c r="I113" s="57"/>
      <c r="J113" s="57"/>
      <c r="K113" s="57"/>
      <c r="L113" s="57"/>
    </row>
    <row r="114" spans="1:12" hidden="1" x14ac:dyDescent="0.3">
      <c r="A114" s="57">
        <v>500</v>
      </c>
      <c r="B114" s="57" t="s">
        <v>200</v>
      </c>
      <c r="C114" s="57" t="s">
        <v>200</v>
      </c>
      <c r="D114" s="57"/>
      <c r="E114" s="57"/>
      <c r="F114" s="57"/>
      <c r="G114" s="57"/>
      <c r="H114" s="57"/>
      <c r="I114" s="57"/>
      <c r="J114" s="57"/>
      <c r="K114" s="57"/>
      <c r="L114" s="57"/>
    </row>
    <row r="115" spans="1:12" hidden="1" x14ac:dyDescent="0.3">
      <c r="A115" s="57">
        <v>600</v>
      </c>
      <c r="B115" s="57" t="s">
        <v>201</v>
      </c>
      <c r="C115" s="57" t="s">
        <v>201</v>
      </c>
      <c r="D115" s="57"/>
      <c r="E115" s="57"/>
      <c r="F115" s="57"/>
      <c r="G115" s="57"/>
      <c r="H115" s="57"/>
      <c r="I115" s="57"/>
      <c r="J115" s="57"/>
      <c r="K115" s="57"/>
      <c r="L115" s="57"/>
    </row>
    <row r="116" spans="1:12" hidden="1" x14ac:dyDescent="0.3">
      <c r="A116" s="57">
        <v>700</v>
      </c>
      <c r="B116" s="57" t="s">
        <v>202</v>
      </c>
      <c r="C116" s="57" t="s">
        <v>202</v>
      </c>
      <c r="D116" s="57"/>
      <c r="E116" s="57"/>
      <c r="F116" s="57"/>
      <c r="G116" s="57"/>
      <c r="H116" s="57"/>
      <c r="I116" s="57"/>
      <c r="J116" s="57"/>
      <c r="K116" s="57"/>
      <c r="L116" s="57"/>
    </row>
    <row r="117" spans="1:12" hidden="1" x14ac:dyDescent="0.3">
      <c r="A117" s="57">
        <v>800</v>
      </c>
      <c r="B117" s="57" t="s">
        <v>203</v>
      </c>
      <c r="C117" s="57" t="s">
        <v>203</v>
      </c>
      <c r="D117" s="57"/>
      <c r="E117" s="57"/>
      <c r="F117" s="57"/>
      <c r="G117" s="57"/>
      <c r="H117" s="57"/>
      <c r="I117" s="57"/>
      <c r="J117" s="57"/>
      <c r="K117" s="57"/>
      <c r="L117" s="57"/>
    </row>
    <row r="118" spans="1:12" hidden="1" x14ac:dyDescent="0.3">
      <c r="A118" s="57">
        <v>900</v>
      </c>
      <c r="B118" s="57" t="s">
        <v>204</v>
      </c>
      <c r="C118" s="57" t="s">
        <v>204</v>
      </c>
      <c r="D118" s="57"/>
      <c r="E118" s="57"/>
      <c r="F118" s="57"/>
      <c r="G118" s="57"/>
      <c r="H118" s="57"/>
      <c r="I118" s="57"/>
      <c r="J118" s="57"/>
      <c r="K118" s="57"/>
      <c r="L118" s="57"/>
    </row>
  </sheetData>
  <sheetProtection password="CCE3" sheet="1" objects="1" scenarios="1" formatCells="0" insertRows="0"/>
  <mergeCells count="193">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36:O36"/>
    <mergeCell ref="B37:O37"/>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V34:X34"/>
    <mergeCell ref="Y34:AA34"/>
    <mergeCell ref="P35:R35"/>
    <mergeCell ref="S35:U35"/>
    <mergeCell ref="V35:X35"/>
    <mergeCell ref="Y35:AA35"/>
    <mergeCell ref="D69:F69"/>
    <mergeCell ref="P32:AA32"/>
    <mergeCell ref="P33:R33"/>
    <mergeCell ref="S33:U33"/>
    <mergeCell ref="V33:X33"/>
    <mergeCell ref="Y33:AA33"/>
    <mergeCell ref="P34:R34"/>
    <mergeCell ref="S34:U34"/>
    <mergeCell ref="B38:O38"/>
    <mergeCell ref="B39:O39"/>
    <mergeCell ref="B40:O40"/>
    <mergeCell ref="B41:O41"/>
    <mergeCell ref="A42:AA42"/>
    <mergeCell ref="C43:F43"/>
    <mergeCell ref="B32:O32"/>
    <mergeCell ref="B33:O33"/>
    <mergeCell ref="B34:O34"/>
    <mergeCell ref="B35:O35"/>
    <mergeCell ref="P38:R38"/>
    <mergeCell ref="S38:U38"/>
    <mergeCell ref="V38:X38"/>
    <mergeCell ref="Y38:AA38"/>
    <mergeCell ref="P39:R39"/>
    <mergeCell ref="S39:U39"/>
    <mergeCell ref="V39:X39"/>
    <mergeCell ref="Y39:AA39"/>
    <mergeCell ref="P36:R36"/>
    <mergeCell ref="S36:U36"/>
    <mergeCell ref="V36:X36"/>
    <mergeCell ref="Y36:AA36"/>
    <mergeCell ref="P37:R37"/>
    <mergeCell ref="S37:U37"/>
    <mergeCell ref="V37:X37"/>
    <mergeCell ref="Y37:AA37"/>
    <mergeCell ref="A44:E44"/>
    <mergeCell ref="F44:H44"/>
    <mergeCell ref="I44:N44"/>
    <mergeCell ref="O44:AA44"/>
    <mergeCell ref="P40:R40"/>
    <mergeCell ref="S40:U40"/>
    <mergeCell ref="V40:X40"/>
    <mergeCell ref="Y40:AA40"/>
    <mergeCell ref="P41:R41"/>
    <mergeCell ref="S41:U41"/>
    <mergeCell ref="V41:X41"/>
    <mergeCell ref="Y41:AA41"/>
  </mergeCells>
  <phoneticPr fontId="9" type="noConversion"/>
  <conditionalFormatting sqref="L31">
    <cfRule type="containsText" dxfId="0" priority="11" operator="containsText" text="PAGO MENSUAL">
      <formula>NOT(ISERROR(SEARCH("PAGO MENSUAL",L31)))</formula>
    </cfRule>
  </conditionalFormatting>
  <pageMargins left="0.7" right="0.7" top="0.75" bottom="0.75" header="0.3" footer="0.3"/>
  <pageSetup scale="62" orientation="portrait" horizontalDpi="0" verticalDpi="0"/>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BDC!$A$3:$A$258</xm:f>
          </x14:formula1>
          <xm:sqref>F14:O14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G319"/>
  <sheetViews>
    <sheetView zoomScale="70" zoomScaleNormal="70" workbookViewId="0">
      <pane xSplit="1" topLeftCell="B1" activePane="topRight" state="frozen"/>
      <selection pane="topRight" activeCell="F4" sqref="F4"/>
    </sheetView>
  </sheetViews>
  <sheetFormatPr baseColWidth="10" defaultRowHeight="15.75" x14ac:dyDescent="0.25"/>
  <cols>
    <col min="1" max="1" width="14.5" style="224" customWidth="1"/>
    <col min="2" max="2" width="16.875" style="224" customWidth="1"/>
    <col min="3" max="5" width="11" style="224"/>
    <col min="6" max="6" width="14.5" style="224" customWidth="1"/>
    <col min="7" max="7" width="15" style="224" customWidth="1"/>
    <col min="8" max="8" width="12.5" style="224" customWidth="1"/>
    <col min="9" max="9" width="22.625" style="224" customWidth="1"/>
    <col min="10" max="10" width="11" style="224"/>
    <col min="11" max="11" width="15.875" style="224" customWidth="1"/>
    <col min="12" max="12" width="13.5" style="224" customWidth="1"/>
    <col min="13" max="13" width="11" style="224"/>
    <col min="14" max="14" width="14.125" style="224" customWidth="1"/>
    <col min="15" max="15" width="14.875" style="224" customWidth="1"/>
    <col min="16" max="16" width="16.625" style="224" customWidth="1"/>
    <col min="17" max="17" width="23.75" style="224" customWidth="1"/>
    <col min="18" max="18" width="11" style="224" customWidth="1"/>
    <col min="19" max="19" width="23.625" style="224" customWidth="1"/>
    <col min="20" max="20" width="13.375" style="224" customWidth="1"/>
    <col min="21" max="21" width="23" style="224" customWidth="1"/>
    <col min="22" max="23" width="11" style="224"/>
    <col min="24" max="24" width="16.375" style="224" customWidth="1"/>
    <col min="25" max="25" width="22.375" style="224" customWidth="1"/>
    <col min="26" max="26" width="19.5" style="224" customWidth="1"/>
    <col min="27" max="27" width="15.625" style="224" customWidth="1"/>
    <col min="28" max="28" width="14" style="224" customWidth="1"/>
    <col min="29" max="29" width="15.5" style="224" customWidth="1"/>
    <col min="30" max="30" width="107.875" style="224" customWidth="1"/>
    <col min="31" max="31" width="90.25" style="224" customWidth="1"/>
    <col min="32" max="32" width="101" style="224" customWidth="1"/>
    <col min="33" max="33" width="11" style="224"/>
    <col min="34" max="34" width="14.375" style="224" customWidth="1"/>
    <col min="35" max="35" width="20.375" style="253" customWidth="1"/>
    <col min="36" max="36" width="15.625" style="224" bestFit="1" customWidth="1"/>
    <col min="37" max="37" width="13" style="224" customWidth="1"/>
    <col min="38" max="38" width="14.125" style="224" customWidth="1"/>
    <col min="39" max="39" width="83" style="224" customWidth="1"/>
    <col min="40" max="40" width="76.5" style="224" customWidth="1"/>
    <col min="41" max="41" width="83.875" style="224" customWidth="1"/>
    <col min="42" max="42" width="91" style="224" customWidth="1"/>
    <col min="43" max="43" width="115.875" style="224" customWidth="1"/>
    <col min="44" max="44" width="95.25" style="224" customWidth="1"/>
    <col min="45" max="45" width="102.25" style="224" customWidth="1"/>
    <col min="46" max="46" width="80" style="224" customWidth="1"/>
    <col min="47" max="47" width="87.375" style="224" customWidth="1"/>
    <col min="48" max="48" width="71.25" style="224" customWidth="1"/>
    <col min="49" max="49" width="60.875" style="224" customWidth="1"/>
    <col min="50" max="50" width="134" style="224" customWidth="1"/>
    <col min="51" max="51" width="84" style="224" customWidth="1"/>
    <col min="52" max="52" width="103.625" style="224" customWidth="1"/>
    <col min="53" max="53" width="136.5" style="224" customWidth="1"/>
    <col min="54" max="54" width="81.125" style="224" customWidth="1"/>
    <col min="55" max="55" width="59.625" style="224" customWidth="1"/>
    <col min="56" max="56" width="60.875" style="224" customWidth="1"/>
    <col min="57" max="57" width="49.75" style="224" customWidth="1"/>
    <col min="58" max="58" width="82.25" style="224" customWidth="1"/>
    <col min="59" max="59" width="35.375" style="224" customWidth="1"/>
    <col min="60" max="16384" width="11" style="224"/>
  </cols>
  <sheetData>
    <row r="1" spans="1:59" ht="18" x14ac:dyDescent="0.25">
      <c r="A1" s="88">
        <v>1</v>
      </c>
      <c r="B1" s="88">
        <v>2</v>
      </c>
      <c r="C1" s="88">
        <v>3</v>
      </c>
      <c r="D1" s="88">
        <v>4</v>
      </c>
      <c r="E1" s="88">
        <v>5</v>
      </c>
      <c r="F1" s="88">
        <v>6</v>
      </c>
      <c r="G1" s="88">
        <v>7</v>
      </c>
      <c r="H1" s="88">
        <v>8</v>
      </c>
      <c r="I1" s="88">
        <v>9</v>
      </c>
      <c r="J1" s="88">
        <v>10</v>
      </c>
      <c r="K1" s="88">
        <v>11</v>
      </c>
      <c r="L1" s="88">
        <v>12</v>
      </c>
      <c r="M1" s="88">
        <v>13</v>
      </c>
      <c r="N1" s="89">
        <v>14</v>
      </c>
      <c r="O1" s="88">
        <v>15</v>
      </c>
      <c r="P1" s="88">
        <v>16</v>
      </c>
      <c r="Q1" s="88">
        <v>17</v>
      </c>
      <c r="R1" s="88">
        <v>18</v>
      </c>
      <c r="S1" s="88">
        <v>19</v>
      </c>
      <c r="T1" s="88">
        <v>20</v>
      </c>
      <c r="U1" s="90">
        <v>21</v>
      </c>
      <c r="V1" s="88">
        <v>22</v>
      </c>
      <c r="W1" s="88">
        <v>23</v>
      </c>
      <c r="X1" s="88">
        <v>24</v>
      </c>
      <c r="Y1" s="88">
        <v>25</v>
      </c>
      <c r="Z1" s="88">
        <v>26</v>
      </c>
      <c r="AA1" s="90">
        <v>27</v>
      </c>
      <c r="AB1" s="88">
        <v>28</v>
      </c>
      <c r="AC1" s="88">
        <v>29</v>
      </c>
      <c r="AD1" s="88">
        <v>30</v>
      </c>
      <c r="AE1" s="88">
        <v>31</v>
      </c>
      <c r="AF1" s="88">
        <v>32</v>
      </c>
      <c r="AG1" s="88">
        <v>33</v>
      </c>
      <c r="AH1" s="88">
        <v>34</v>
      </c>
      <c r="AI1" s="90">
        <v>35</v>
      </c>
      <c r="AJ1" s="88">
        <v>36</v>
      </c>
      <c r="AK1" s="89">
        <v>37</v>
      </c>
      <c r="AL1" s="88">
        <v>38</v>
      </c>
      <c r="AM1" s="88">
        <v>39</v>
      </c>
      <c r="AN1" s="88">
        <v>40</v>
      </c>
      <c r="AO1" s="88">
        <v>41</v>
      </c>
      <c r="AP1" s="88">
        <v>42</v>
      </c>
      <c r="AQ1" s="88">
        <v>43</v>
      </c>
      <c r="AR1" s="88">
        <v>44</v>
      </c>
      <c r="AS1" s="88">
        <v>45</v>
      </c>
      <c r="AT1" s="88">
        <v>46</v>
      </c>
      <c r="AU1" s="88">
        <v>47</v>
      </c>
      <c r="AV1" s="88">
        <v>48</v>
      </c>
      <c r="AW1" s="88">
        <v>49</v>
      </c>
      <c r="AX1" s="88">
        <v>50</v>
      </c>
      <c r="AY1" s="88">
        <v>51</v>
      </c>
      <c r="AZ1" s="88">
        <v>52</v>
      </c>
      <c r="BA1" s="88">
        <v>53</v>
      </c>
      <c r="BB1" s="88">
        <v>54</v>
      </c>
      <c r="BC1" s="88">
        <v>55</v>
      </c>
      <c r="BD1" s="88">
        <v>56</v>
      </c>
      <c r="BE1" s="88">
        <v>57</v>
      </c>
      <c r="BF1" s="88">
        <v>58</v>
      </c>
      <c r="BG1" s="88"/>
    </row>
    <row r="2" spans="1:59" s="225" customFormat="1" ht="44.1" customHeight="1" thickBot="1" x14ac:dyDescent="0.3">
      <c r="A2" s="181" t="s">
        <v>8</v>
      </c>
      <c r="B2" s="182" t="s">
        <v>13</v>
      </c>
      <c r="C2" s="182" t="s">
        <v>25</v>
      </c>
      <c r="D2" s="182" t="s">
        <v>26</v>
      </c>
      <c r="E2" s="183" t="s">
        <v>12</v>
      </c>
      <c r="F2" s="182" t="s">
        <v>293</v>
      </c>
      <c r="G2" s="182" t="s">
        <v>7</v>
      </c>
      <c r="H2" s="184" t="s">
        <v>294</v>
      </c>
      <c r="I2" s="184" t="s">
        <v>9</v>
      </c>
      <c r="J2" s="184" t="s">
        <v>16</v>
      </c>
      <c r="K2" s="184" t="s">
        <v>11</v>
      </c>
      <c r="L2" s="182" t="s">
        <v>10</v>
      </c>
      <c r="M2" s="182" t="s">
        <v>295</v>
      </c>
      <c r="N2" s="182" t="s">
        <v>296</v>
      </c>
      <c r="O2" s="182" t="s">
        <v>297</v>
      </c>
      <c r="P2" s="182" t="s">
        <v>298</v>
      </c>
      <c r="Q2" s="185" t="s">
        <v>18</v>
      </c>
      <c r="R2" s="182" t="s">
        <v>19</v>
      </c>
      <c r="S2" s="182" t="s">
        <v>299</v>
      </c>
      <c r="T2" s="182" t="s">
        <v>300</v>
      </c>
      <c r="U2" s="186" t="s">
        <v>301</v>
      </c>
      <c r="V2" s="182" t="s">
        <v>22</v>
      </c>
      <c r="W2" s="182" t="s">
        <v>23</v>
      </c>
      <c r="X2" s="182" t="s">
        <v>302</v>
      </c>
      <c r="Y2" s="182" t="s">
        <v>303</v>
      </c>
      <c r="Z2" s="187" t="s">
        <v>304</v>
      </c>
      <c r="AA2" s="182" t="s">
        <v>305</v>
      </c>
      <c r="AB2" s="186" t="s">
        <v>306</v>
      </c>
      <c r="AC2" s="182" t="s">
        <v>307</v>
      </c>
      <c r="AD2" s="188" t="s">
        <v>27</v>
      </c>
      <c r="AE2" s="188" t="s">
        <v>28</v>
      </c>
      <c r="AF2" s="188" t="s">
        <v>29</v>
      </c>
      <c r="AG2" s="182" t="s">
        <v>39</v>
      </c>
      <c r="AH2" s="182" t="s">
        <v>40</v>
      </c>
      <c r="AI2" s="186" t="s">
        <v>308</v>
      </c>
      <c r="AJ2" s="182" t="s">
        <v>309</v>
      </c>
      <c r="AK2" s="182" t="s">
        <v>135</v>
      </c>
      <c r="AL2" s="182" t="s">
        <v>42</v>
      </c>
      <c r="AM2" s="182" t="s">
        <v>310</v>
      </c>
      <c r="AN2" s="182" t="s">
        <v>311</v>
      </c>
      <c r="AO2" s="182" t="s">
        <v>312</v>
      </c>
      <c r="AP2" s="182" t="s">
        <v>313</v>
      </c>
      <c r="AQ2" s="182" t="s">
        <v>314</v>
      </c>
      <c r="AR2" s="182" t="s">
        <v>315</v>
      </c>
      <c r="AS2" s="182" t="s">
        <v>316</v>
      </c>
      <c r="AT2" s="182" t="s">
        <v>317</v>
      </c>
      <c r="AU2" s="182" t="s">
        <v>318</v>
      </c>
      <c r="AV2" s="182" t="s">
        <v>319</v>
      </c>
      <c r="AW2" s="182" t="s">
        <v>320</v>
      </c>
      <c r="AX2" s="189" t="s">
        <v>321</v>
      </c>
      <c r="AY2" s="189" t="s">
        <v>322</v>
      </c>
      <c r="AZ2" s="189" t="s">
        <v>323</v>
      </c>
      <c r="BA2" s="189" t="s">
        <v>324</v>
      </c>
      <c r="BB2" s="189" t="s">
        <v>325</v>
      </c>
      <c r="BC2" s="189" t="s">
        <v>326</v>
      </c>
      <c r="BD2" s="189" t="s">
        <v>327</v>
      </c>
      <c r="BE2" s="189" t="s">
        <v>328</v>
      </c>
      <c r="BF2" s="189" t="s">
        <v>329</v>
      </c>
      <c r="BG2" s="190" t="s">
        <v>330</v>
      </c>
    </row>
    <row r="3" spans="1:59" ht="79.5" thickTop="1" x14ac:dyDescent="0.25">
      <c r="A3" s="151" t="s">
        <v>258</v>
      </c>
      <c r="B3" s="91" t="s">
        <v>331</v>
      </c>
      <c r="C3" s="91" t="s">
        <v>332</v>
      </c>
      <c r="D3" s="91" t="s">
        <v>333</v>
      </c>
      <c r="E3" s="91">
        <v>2018</v>
      </c>
      <c r="F3" s="91">
        <v>1</v>
      </c>
      <c r="G3" s="91" t="s">
        <v>334</v>
      </c>
      <c r="H3" s="91" t="s">
        <v>335</v>
      </c>
      <c r="I3" s="91" t="s">
        <v>336</v>
      </c>
      <c r="J3" s="91" t="s">
        <v>17</v>
      </c>
      <c r="K3" s="91">
        <v>1087996780</v>
      </c>
      <c r="L3" s="91" t="s">
        <v>336</v>
      </c>
      <c r="M3" s="91" t="s">
        <v>17</v>
      </c>
      <c r="N3" s="91" t="s">
        <v>337</v>
      </c>
      <c r="O3" s="91" t="s">
        <v>338</v>
      </c>
      <c r="P3" s="91">
        <v>18504054</v>
      </c>
      <c r="Q3" s="92" t="s">
        <v>339</v>
      </c>
      <c r="R3" s="91" t="s">
        <v>20</v>
      </c>
      <c r="S3" s="91" t="s">
        <v>340</v>
      </c>
      <c r="T3" s="91" t="s">
        <v>341</v>
      </c>
      <c r="U3" s="93">
        <v>3207274531</v>
      </c>
      <c r="V3" s="91" t="s">
        <v>269</v>
      </c>
      <c r="W3" s="91" t="s">
        <v>342</v>
      </c>
      <c r="X3" s="94" t="s">
        <v>271</v>
      </c>
      <c r="Y3" s="94" t="s">
        <v>343</v>
      </c>
      <c r="Z3" s="95">
        <v>48000000</v>
      </c>
      <c r="AA3" s="91">
        <v>240</v>
      </c>
      <c r="AB3" s="93">
        <v>103</v>
      </c>
      <c r="AC3" s="92">
        <v>43360</v>
      </c>
      <c r="AD3" s="96" t="s">
        <v>344</v>
      </c>
      <c r="AE3" s="96" t="s">
        <v>345</v>
      </c>
      <c r="AF3" s="96" t="s">
        <v>346</v>
      </c>
      <c r="AG3" s="97" t="s">
        <v>347</v>
      </c>
      <c r="AH3" s="97" t="s">
        <v>348</v>
      </c>
      <c r="AI3" s="227" t="s">
        <v>349</v>
      </c>
      <c r="AJ3" s="97" t="s">
        <v>350</v>
      </c>
      <c r="AK3" s="94" t="s">
        <v>271</v>
      </c>
      <c r="AL3" s="98" t="s">
        <v>132</v>
      </c>
      <c r="AM3" s="237" t="s">
        <v>351</v>
      </c>
      <c r="AN3" s="237" t="s">
        <v>352</v>
      </c>
      <c r="AO3" s="237" t="s">
        <v>353</v>
      </c>
      <c r="AP3" s="237" t="s">
        <v>354</v>
      </c>
      <c r="AQ3" s="237" t="s">
        <v>355</v>
      </c>
      <c r="AR3" s="237" t="s">
        <v>356</v>
      </c>
      <c r="AS3" s="237" t="s">
        <v>357</v>
      </c>
      <c r="AT3" s="237" t="s">
        <v>358</v>
      </c>
      <c r="AU3" s="237" t="s">
        <v>359</v>
      </c>
      <c r="AV3" s="237" t="s">
        <v>360</v>
      </c>
      <c r="AW3" s="237" t="s">
        <v>361</v>
      </c>
      <c r="AX3" s="237" t="s">
        <v>362</v>
      </c>
      <c r="AY3" s="91">
        <v>13</v>
      </c>
      <c r="AZ3" s="91">
        <v>14</v>
      </c>
      <c r="BA3" s="91">
        <v>15</v>
      </c>
      <c r="BB3" s="91">
        <v>16</v>
      </c>
      <c r="BC3" s="91">
        <v>17</v>
      </c>
      <c r="BD3" s="91">
        <v>18</v>
      </c>
      <c r="BE3" s="91" t="s">
        <v>276</v>
      </c>
      <c r="BF3" s="91" t="s">
        <v>257</v>
      </c>
      <c r="BG3" s="159" t="s">
        <v>43</v>
      </c>
    </row>
    <row r="4" spans="1:59" ht="78.75" x14ac:dyDescent="0.25">
      <c r="A4" s="152" t="s">
        <v>259</v>
      </c>
      <c r="B4" s="99">
        <v>10</v>
      </c>
      <c r="C4" s="99">
        <v>6</v>
      </c>
      <c r="D4" s="99" t="s">
        <v>363</v>
      </c>
      <c r="E4" s="99">
        <v>2018</v>
      </c>
      <c r="F4" s="99">
        <v>2</v>
      </c>
      <c r="G4" s="99" t="s">
        <v>334</v>
      </c>
      <c r="H4" s="99" t="s">
        <v>335</v>
      </c>
      <c r="I4" s="99" t="s">
        <v>336</v>
      </c>
      <c r="J4" s="99" t="s">
        <v>17</v>
      </c>
      <c r="K4" s="99">
        <v>1087996780</v>
      </c>
      <c r="L4" s="99" t="s">
        <v>336</v>
      </c>
      <c r="M4" s="99"/>
      <c r="N4" s="99" t="s">
        <v>364</v>
      </c>
      <c r="O4" s="99" t="s">
        <v>365</v>
      </c>
      <c r="P4" s="99">
        <v>1088019554</v>
      </c>
      <c r="Q4" s="100">
        <v>34559</v>
      </c>
      <c r="R4" s="99"/>
      <c r="S4" s="99" t="s">
        <v>366</v>
      </c>
      <c r="T4" s="99" t="s">
        <v>367</v>
      </c>
      <c r="U4" s="101">
        <v>3114590893</v>
      </c>
      <c r="V4" s="99"/>
      <c r="W4" s="99" t="s">
        <v>368</v>
      </c>
      <c r="X4" s="102" t="s">
        <v>369</v>
      </c>
      <c r="Y4" s="103" t="s">
        <v>370</v>
      </c>
      <c r="Z4" s="104">
        <v>12800000</v>
      </c>
      <c r="AA4" s="99">
        <v>240</v>
      </c>
      <c r="AB4" s="101">
        <v>0</v>
      </c>
      <c r="AC4" s="99" t="s">
        <v>371</v>
      </c>
      <c r="AD4" s="105" t="s">
        <v>372</v>
      </c>
      <c r="AE4" s="105" t="s">
        <v>345</v>
      </c>
      <c r="AF4" s="105" t="s">
        <v>346</v>
      </c>
      <c r="AG4" s="106" t="s">
        <v>373</v>
      </c>
      <c r="AH4" s="106" t="s">
        <v>374</v>
      </c>
      <c r="AI4" s="229" t="s">
        <v>375</v>
      </c>
      <c r="AJ4" s="106" t="s">
        <v>350</v>
      </c>
      <c r="AK4" s="103" t="s">
        <v>369</v>
      </c>
      <c r="AL4" s="99"/>
      <c r="AM4" s="99"/>
      <c r="AN4" s="99"/>
      <c r="AO4" s="99"/>
      <c r="AP4" s="99"/>
      <c r="AQ4" s="99"/>
      <c r="AR4" s="99"/>
      <c r="AS4" s="99"/>
      <c r="AT4" s="99"/>
      <c r="AU4" s="99"/>
      <c r="AV4" s="99"/>
      <c r="AW4" s="99"/>
      <c r="AX4" s="99"/>
      <c r="AY4" s="99"/>
      <c r="AZ4" s="99"/>
      <c r="BA4" s="99"/>
      <c r="BB4" s="99"/>
      <c r="BC4" s="99"/>
      <c r="BD4" s="99"/>
      <c r="BE4" s="99"/>
      <c r="BF4" s="99"/>
      <c r="BG4" s="160" t="s">
        <v>43</v>
      </c>
    </row>
    <row r="5" spans="1:59" ht="90.75" x14ac:dyDescent="0.25">
      <c r="A5" s="151" t="s">
        <v>376</v>
      </c>
      <c r="B5" s="91" t="s">
        <v>377</v>
      </c>
      <c r="C5" s="91" t="s">
        <v>378</v>
      </c>
      <c r="D5" s="91" t="s">
        <v>379</v>
      </c>
      <c r="E5" s="91">
        <v>2018</v>
      </c>
      <c r="F5" s="91">
        <v>3</v>
      </c>
      <c r="G5" s="91" t="s">
        <v>334</v>
      </c>
      <c r="H5" s="91" t="s">
        <v>335</v>
      </c>
      <c r="I5" s="91" t="s">
        <v>336</v>
      </c>
      <c r="J5" s="91" t="s">
        <v>17</v>
      </c>
      <c r="K5" s="91">
        <v>1087996780</v>
      </c>
      <c r="L5" s="91" t="s">
        <v>380</v>
      </c>
      <c r="M5" s="91" t="s">
        <v>265</v>
      </c>
      <c r="N5" s="91" t="s">
        <v>381</v>
      </c>
      <c r="O5" s="91" t="s">
        <v>382</v>
      </c>
      <c r="P5" s="91">
        <v>42087919</v>
      </c>
      <c r="Q5" s="92">
        <v>24559</v>
      </c>
      <c r="R5" s="91" t="s">
        <v>20</v>
      </c>
      <c r="S5" s="91" t="s">
        <v>383</v>
      </c>
      <c r="T5" s="91" t="s">
        <v>384</v>
      </c>
      <c r="U5" s="93">
        <v>3174714596</v>
      </c>
      <c r="V5" s="91" t="s">
        <v>269</v>
      </c>
      <c r="W5" s="91" t="s">
        <v>385</v>
      </c>
      <c r="X5" s="94" t="s">
        <v>386</v>
      </c>
      <c r="Y5" s="94" t="s">
        <v>343</v>
      </c>
      <c r="Z5" s="95">
        <v>24000000</v>
      </c>
      <c r="AA5" s="91">
        <v>240</v>
      </c>
      <c r="AB5" s="93">
        <v>103</v>
      </c>
      <c r="AC5" s="92">
        <v>43360</v>
      </c>
      <c r="AD5" s="96" t="s">
        <v>387</v>
      </c>
      <c r="AE5" s="96" t="s">
        <v>345</v>
      </c>
      <c r="AF5" s="96" t="s">
        <v>346</v>
      </c>
      <c r="AG5" s="97" t="s">
        <v>388</v>
      </c>
      <c r="AH5" s="97" t="s">
        <v>374</v>
      </c>
      <c r="AI5" s="227" t="s">
        <v>389</v>
      </c>
      <c r="AJ5" s="97" t="s">
        <v>350</v>
      </c>
      <c r="AK5" s="94" t="s">
        <v>386</v>
      </c>
      <c r="AL5" s="91" t="s">
        <v>263</v>
      </c>
      <c r="AM5" s="237" t="s">
        <v>390</v>
      </c>
      <c r="AN5" s="237" t="s">
        <v>391</v>
      </c>
      <c r="AO5" s="237" t="s">
        <v>392</v>
      </c>
      <c r="AP5" s="237" t="s">
        <v>393</v>
      </c>
      <c r="AQ5" s="237" t="s">
        <v>394</v>
      </c>
      <c r="AR5" s="237" t="s">
        <v>395</v>
      </c>
      <c r="AS5" s="237" t="s">
        <v>396</v>
      </c>
      <c r="AT5" s="237" t="s">
        <v>397</v>
      </c>
      <c r="AU5" s="237" t="s">
        <v>398</v>
      </c>
      <c r="AV5" s="237" t="s">
        <v>399</v>
      </c>
      <c r="AW5" s="237" t="s">
        <v>400</v>
      </c>
      <c r="AX5" s="237" t="s">
        <v>401</v>
      </c>
      <c r="AY5" s="91" t="s">
        <v>402</v>
      </c>
      <c r="AZ5" s="91" t="s">
        <v>403</v>
      </c>
      <c r="BA5" s="91" t="s">
        <v>404</v>
      </c>
      <c r="BB5" s="91" t="s">
        <v>405</v>
      </c>
      <c r="BC5" s="91" t="s">
        <v>406</v>
      </c>
      <c r="BD5" s="91" t="s">
        <v>407</v>
      </c>
      <c r="BE5" s="91" t="s">
        <v>276</v>
      </c>
      <c r="BF5" s="91" t="s">
        <v>257</v>
      </c>
      <c r="BG5" s="159" t="s">
        <v>43</v>
      </c>
    </row>
    <row r="6" spans="1:59" ht="90.75" x14ac:dyDescent="0.25">
      <c r="A6" s="153" t="s">
        <v>408</v>
      </c>
      <c r="B6" s="107" t="s">
        <v>409</v>
      </c>
      <c r="C6" s="107" t="s">
        <v>410</v>
      </c>
      <c r="D6" s="107" t="s">
        <v>411</v>
      </c>
      <c r="E6" s="107">
        <v>2018</v>
      </c>
      <c r="F6" s="107">
        <v>4</v>
      </c>
      <c r="G6" s="107" t="s">
        <v>334</v>
      </c>
      <c r="H6" s="107" t="s">
        <v>335</v>
      </c>
      <c r="I6" s="107" t="s">
        <v>336</v>
      </c>
      <c r="J6" s="107" t="s">
        <v>17</v>
      </c>
      <c r="K6" s="107">
        <v>1087996780</v>
      </c>
      <c r="L6" s="107" t="s">
        <v>380</v>
      </c>
      <c r="M6" s="107" t="s">
        <v>265</v>
      </c>
      <c r="N6" s="107" t="s">
        <v>337</v>
      </c>
      <c r="O6" s="107" t="s">
        <v>412</v>
      </c>
      <c r="P6" s="107">
        <v>31417320</v>
      </c>
      <c r="Q6" s="108">
        <v>25810</v>
      </c>
      <c r="R6" s="107" t="s">
        <v>20</v>
      </c>
      <c r="S6" s="107" t="s">
        <v>383</v>
      </c>
      <c r="T6" s="107" t="s">
        <v>413</v>
      </c>
      <c r="U6" s="109">
        <v>3204209117</v>
      </c>
      <c r="V6" s="107" t="s">
        <v>269</v>
      </c>
      <c r="W6" s="107" t="s">
        <v>414</v>
      </c>
      <c r="X6" s="102" t="s">
        <v>415</v>
      </c>
      <c r="Y6" s="102" t="s">
        <v>343</v>
      </c>
      <c r="Z6" s="110">
        <v>30400000</v>
      </c>
      <c r="AA6" s="107">
        <v>240</v>
      </c>
      <c r="AB6" s="109">
        <v>103</v>
      </c>
      <c r="AC6" s="108">
        <v>43360</v>
      </c>
      <c r="AD6" s="111" t="s">
        <v>416</v>
      </c>
      <c r="AE6" s="111" t="s">
        <v>345</v>
      </c>
      <c r="AF6" s="111" t="s">
        <v>346</v>
      </c>
      <c r="AG6" s="112" t="s">
        <v>417</v>
      </c>
      <c r="AH6" s="112" t="s">
        <v>418</v>
      </c>
      <c r="AI6" s="231" t="s">
        <v>419</v>
      </c>
      <c r="AJ6" s="112" t="s">
        <v>350</v>
      </c>
      <c r="AK6" s="102" t="s">
        <v>415</v>
      </c>
      <c r="AL6" s="107" t="s">
        <v>132</v>
      </c>
      <c r="AM6" s="232" t="s">
        <v>420</v>
      </c>
      <c r="AN6" s="232" t="s">
        <v>421</v>
      </c>
      <c r="AO6" s="232" t="s">
        <v>422</v>
      </c>
      <c r="AP6" s="232" t="s">
        <v>423</v>
      </c>
      <c r="AQ6" s="232" t="s">
        <v>424</v>
      </c>
      <c r="AR6" s="232" t="s">
        <v>425</v>
      </c>
      <c r="AS6" s="232" t="s">
        <v>426</v>
      </c>
      <c r="AT6" s="232" t="s">
        <v>427</v>
      </c>
      <c r="AU6" s="232" t="s">
        <v>428</v>
      </c>
      <c r="AV6" s="232" t="s">
        <v>429</v>
      </c>
      <c r="AW6" s="232" t="s">
        <v>430</v>
      </c>
      <c r="AX6" s="232" t="s">
        <v>431</v>
      </c>
      <c r="AY6" s="107" t="s">
        <v>432</v>
      </c>
      <c r="AZ6" s="107" t="s">
        <v>433</v>
      </c>
      <c r="BA6" s="107"/>
      <c r="BB6" s="107"/>
      <c r="BC6" s="107"/>
      <c r="BD6" s="107"/>
      <c r="BE6" s="107" t="s">
        <v>276</v>
      </c>
      <c r="BF6" s="107" t="s">
        <v>257</v>
      </c>
      <c r="BG6" s="160" t="s">
        <v>43</v>
      </c>
    </row>
    <row r="7" spans="1:59" ht="195.75" x14ac:dyDescent="0.25">
      <c r="A7" s="154" t="s">
        <v>434</v>
      </c>
      <c r="B7" s="113">
        <v>8</v>
      </c>
      <c r="C7" s="113">
        <v>18</v>
      </c>
      <c r="D7" s="113" t="s">
        <v>435</v>
      </c>
      <c r="E7" s="113">
        <v>2018</v>
      </c>
      <c r="F7" s="113">
        <v>5</v>
      </c>
      <c r="G7" s="113" t="s">
        <v>334</v>
      </c>
      <c r="H7" s="113" t="s">
        <v>335</v>
      </c>
      <c r="I7" s="113" t="s">
        <v>336</v>
      </c>
      <c r="J7" s="113" t="s">
        <v>17</v>
      </c>
      <c r="K7" s="113">
        <v>1087996780</v>
      </c>
      <c r="L7" s="113" t="s">
        <v>380</v>
      </c>
      <c r="M7" s="113" t="s">
        <v>265</v>
      </c>
      <c r="N7" s="113" t="s">
        <v>364</v>
      </c>
      <c r="O7" s="113" t="s">
        <v>436</v>
      </c>
      <c r="P7" s="113">
        <v>900332071</v>
      </c>
      <c r="Q7" s="114">
        <v>40188</v>
      </c>
      <c r="R7" s="113" t="s">
        <v>260</v>
      </c>
      <c r="S7" s="113" t="s">
        <v>437</v>
      </c>
      <c r="T7" s="113" t="s">
        <v>438</v>
      </c>
      <c r="U7" s="115">
        <v>8711951</v>
      </c>
      <c r="V7" s="113" t="s">
        <v>269</v>
      </c>
      <c r="W7" s="113" t="s">
        <v>439</v>
      </c>
      <c r="X7" s="94" t="s">
        <v>371</v>
      </c>
      <c r="Y7" s="116" t="s">
        <v>440</v>
      </c>
      <c r="Z7" s="117">
        <v>4661575</v>
      </c>
      <c r="AA7" s="113">
        <v>345</v>
      </c>
      <c r="AB7" s="115">
        <v>0</v>
      </c>
      <c r="AC7" s="113" t="s">
        <v>371</v>
      </c>
      <c r="AD7" s="118" t="s">
        <v>441</v>
      </c>
      <c r="AE7" s="118" t="s">
        <v>345</v>
      </c>
      <c r="AF7" s="118" t="s">
        <v>346</v>
      </c>
      <c r="AG7" s="119" t="s">
        <v>371</v>
      </c>
      <c r="AH7" s="119" t="s">
        <v>371</v>
      </c>
      <c r="AI7" s="236" t="s">
        <v>98</v>
      </c>
      <c r="AJ7" s="119" t="s">
        <v>371</v>
      </c>
      <c r="AK7" s="116" t="s">
        <v>371</v>
      </c>
      <c r="AL7" s="113" t="s">
        <v>132</v>
      </c>
      <c r="AM7" s="237" t="s">
        <v>442</v>
      </c>
      <c r="AN7" s="237" t="s">
        <v>443</v>
      </c>
      <c r="AO7" s="237" t="s">
        <v>444</v>
      </c>
      <c r="AP7" s="237" t="s">
        <v>445</v>
      </c>
      <c r="AQ7" s="237" t="s">
        <v>446</v>
      </c>
      <c r="AR7" s="239" t="s">
        <v>447</v>
      </c>
      <c r="AS7" s="240"/>
      <c r="AT7" s="240"/>
      <c r="AU7" s="240"/>
      <c r="AV7" s="240"/>
      <c r="AW7" s="240"/>
      <c r="AX7" s="240"/>
      <c r="AY7" s="240"/>
      <c r="AZ7" s="240"/>
      <c r="BA7" s="240"/>
      <c r="BB7" s="240"/>
      <c r="BC7" s="240"/>
      <c r="BD7" s="241"/>
      <c r="BE7" s="113" t="s">
        <v>277</v>
      </c>
      <c r="BF7" s="113" t="s">
        <v>257</v>
      </c>
      <c r="BG7" s="159" t="s">
        <v>43</v>
      </c>
    </row>
    <row r="8" spans="1:59" ht="78.75" x14ac:dyDescent="0.25">
      <c r="A8" s="153" t="s">
        <v>448</v>
      </c>
      <c r="B8" s="107" t="s">
        <v>449</v>
      </c>
      <c r="C8" s="107" t="s">
        <v>450</v>
      </c>
      <c r="D8" s="107" t="s">
        <v>451</v>
      </c>
      <c r="E8" s="107">
        <v>2018</v>
      </c>
      <c r="F8" s="107">
        <v>6</v>
      </c>
      <c r="G8" s="107" t="s">
        <v>334</v>
      </c>
      <c r="H8" s="107" t="s">
        <v>335</v>
      </c>
      <c r="I8" s="107" t="s">
        <v>336</v>
      </c>
      <c r="J8" s="107" t="s">
        <v>17</v>
      </c>
      <c r="K8" s="107">
        <v>1087996780</v>
      </c>
      <c r="L8" s="107" t="s">
        <v>336</v>
      </c>
      <c r="M8" s="107" t="s">
        <v>17</v>
      </c>
      <c r="N8" s="107" t="s">
        <v>337</v>
      </c>
      <c r="O8" s="107">
        <v>0</v>
      </c>
      <c r="P8" s="107">
        <v>4515313</v>
      </c>
      <c r="Q8" s="108">
        <v>30771</v>
      </c>
      <c r="R8" s="107" t="s">
        <v>20</v>
      </c>
      <c r="S8" s="107" t="s">
        <v>340</v>
      </c>
      <c r="T8" s="107" t="s">
        <v>452</v>
      </c>
      <c r="U8" s="109">
        <v>3103903810</v>
      </c>
      <c r="V8" s="107" t="s">
        <v>269</v>
      </c>
      <c r="W8" s="107" t="s">
        <v>453</v>
      </c>
      <c r="X8" s="102" t="s">
        <v>271</v>
      </c>
      <c r="Y8" s="102" t="s">
        <v>343</v>
      </c>
      <c r="Z8" s="110">
        <v>43697479</v>
      </c>
      <c r="AA8" s="107">
        <v>240</v>
      </c>
      <c r="AB8" s="109">
        <v>103</v>
      </c>
      <c r="AC8" s="108">
        <v>43360</v>
      </c>
      <c r="AD8" s="111" t="s">
        <v>454</v>
      </c>
      <c r="AE8" s="111" t="s">
        <v>345</v>
      </c>
      <c r="AF8" s="111" t="s">
        <v>346</v>
      </c>
      <c r="AG8" s="112" t="s">
        <v>347</v>
      </c>
      <c r="AH8" s="112" t="s">
        <v>418</v>
      </c>
      <c r="AI8" s="231" t="s">
        <v>455</v>
      </c>
      <c r="AJ8" s="112" t="s">
        <v>350</v>
      </c>
      <c r="AK8" s="102" t="s">
        <v>271</v>
      </c>
      <c r="AL8" s="107" t="s">
        <v>132</v>
      </c>
      <c r="AM8" s="107" t="s">
        <v>456</v>
      </c>
      <c r="AN8" s="107" t="s">
        <v>457</v>
      </c>
      <c r="AO8" s="107" t="s">
        <v>458</v>
      </c>
      <c r="AP8" s="107" t="s">
        <v>459</v>
      </c>
      <c r="AQ8" s="107" t="s">
        <v>460</v>
      </c>
      <c r="AR8" s="107" t="s">
        <v>461</v>
      </c>
      <c r="AS8" s="107" t="s">
        <v>462</v>
      </c>
      <c r="AT8" s="107"/>
      <c r="AU8" s="107"/>
      <c r="AV8" s="107"/>
      <c r="AW8" s="107"/>
      <c r="AX8" s="107"/>
      <c r="AY8" s="107"/>
      <c r="AZ8" s="107"/>
      <c r="BA8" s="107"/>
      <c r="BB8" s="107"/>
      <c r="BC8" s="107"/>
      <c r="BD8" s="107"/>
      <c r="BE8" s="107" t="s">
        <v>277</v>
      </c>
      <c r="BF8" s="107" t="s">
        <v>257</v>
      </c>
      <c r="BG8" s="160" t="s">
        <v>43</v>
      </c>
    </row>
    <row r="9" spans="1:59" ht="78.75" x14ac:dyDescent="0.25">
      <c r="A9" s="151" t="s">
        <v>463</v>
      </c>
      <c r="B9" s="91" t="s">
        <v>464</v>
      </c>
      <c r="C9" s="91" t="s">
        <v>465</v>
      </c>
      <c r="D9" s="91" t="s">
        <v>451</v>
      </c>
      <c r="E9" s="91">
        <v>2018</v>
      </c>
      <c r="F9" s="91">
        <v>7</v>
      </c>
      <c r="G9" s="91" t="s">
        <v>334</v>
      </c>
      <c r="H9" s="91" t="s">
        <v>335</v>
      </c>
      <c r="I9" s="91" t="s">
        <v>336</v>
      </c>
      <c r="J9" s="91" t="s">
        <v>17</v>
      </c>
      <c r="K9" s="91">
        <v>1087996780</v>
      </c>
      <c r="L9" s="91" t="s">
        <v>336</v>
      </c>
      <c r="M9" s="91" t="s">
        <v>17</v>
      </c>
      <c r="N9" s="91" t="s">
        <v>337</v>
      </c>
      <c r="O9" s="91">
        <v>0</v>
      </c>
      <c r="P9" s="91">
        <v>10088300904</v>
      </c>
      <c r="Q9" s="92">
        <v>33785</v>
      </c>
      <c r="R9" s="91" t="s">
        <v>20</v>
      </c>
      <c r="S9" s="91" t="s">
        <v>366</v>
      </c>
      <c r="T9" s="91" t="s">
        <v>466</v>
      </c>
      <c r="U9" s="93">
        <v>3166946361</v>
      </c>
      <c r="V9" s="91" t="s">
        <v>269</v>
      </c>
      <c r="W9" s="91" t="s">
        <v>467</v>
      </c>
      <c r="X9" s="94" t="s">
        <v>271</v>
      </c>
      <c r="Y9" s="94" t="s">
        <v>343</v>
      </c>
      <c r="Z9" s="95">
        <v>20000000</v>
      </c>
      <c r="AA9" s="91">
        <v>240</v>
      </c>
      <c r="AB9" s="93">
        <v>103</v>
      </c>
      <c r="AC9" s="92">
        <v>43360</v>
      </c>
      <c r="AD9" s="96" t="s">
        <v>468</v>
      </c>
      <c r="AE9" s="96" t="s">
        <v>345</v>
      </c>
      <c r="AF9" s="96" t="s">
        <v>346</v>
      </c>
      <c r="AG9" s="97" t="s">
        <v>373</v>
      </c>
      <c r="AH9" s="97" t="s">
        <v>418</v>
      </c>
      <c r="AI9" s="227" t="s">
        <v>469</v>
      </c>
      <c r="AJ9" s="97" t="s">
        <v>350</v>
      </c>
      <c r="AK9" s="94" t="s">
        <v>271</v>
      </c>
      <c r="AL9" s="91" t="s">
        <v>263</v>
      </c>
      <c r="AM9" s="237" t="s">
        <v>470</v>
      </c>
      <c r="AN9" s="237" t="s">
        <v>471</v>
      </c>
      <c r="AO9" s="237" t="s">
        <v>472</v>
      </c>
      <c r="AP9" s="237" t="s">
        <v>473</v>
      </c>
      <c r="AQ9" s="237" t="s">
        <v>474</v>
      </c>
      <c r="AR9" s="237" t="s">
        <v>475</v>
      </c>
      <c r="AS9" s="239" t="s">
        <v>476</v>
      </c>
      <c r="AT9" s="240"/>
      <c r="AU9" s="240"/>
      <c r="AV9" s="240"/>
      <c r="AW9" s="240"/>
      <c r="AX9" s="240"/>
      <c r="AY9" s="241"/>
      <c r="AZ9" s="91"/>
      <c r="BA9" s="91"/>
      <c r="BB9" s="91"/>
      <c r="BC9" s="91"/>
      <c r="BD9" s="91"/>
      <c r="BE9" s="91" t="s">
        <v>276</v>
      </c>
      <c r="BF9" s="91" t="s">
        <v>257</v>
      </c>
      <c r="BG9" s="159" t="s">
        <v>43</v>
      </c>
    </row>
    <row r="10" spans="1:59" ht="78.75" x14ac:dyDescent="0.25">
      <c r="A10" s="153" t="s">
        <v>477</v>
      </c>
      <c r="B10" s="107" t="s">
        <v>478</v>
      </c>
      <c r="C10" s="107" t="s">
        <v>479</v>
      </c>
      <c r="D10" s="107" t="s">
        <v>451</v>
      </c>
      <c r="E10" s="107">
        <v>2018</v>
      </c>
      <c r="F10" s="107">
        <v>8</v>
      </c>
      <c r="G10" s="107" t="s">
        <v>334</v>
      </c>
      <c r="H10" s="107" t="s">
        <v>335</v>
      </c>
      <c r="I10" s="107" t="s">
        <v>336</v>
      </c>
      <c r="J10" s="107" t="s">
        <v>17</v>
      </c>
      <c r="K10" s="107">
        <v>1087996780</v>
      </c>
      <c r="L10" s="107" t="s">
        <v>336</v>
      </c>
      <c r="M10" s="107" t="s">
        <v>17</v>
      </c>
      <c r="N10" s="107" t="s">
        <v>337</v>
      </c>
      <c r="O10" s="107">
        <v>0</v>
      </c>
      <c r="P10" s="107">
        <v>1088017965</v>
      </c>
      <c r="Q10" s="108">
        <v>34493</v>
      </c>
      <c r="R10" s="107" t="s">
        <v>20</v>
      </c>
      <c r="S10" s="107" t="s">
        <v>366</v>
      </c>
      <c r="T10" s="107" t="s">
        <v>480</v>
      </c>
      <c r="U10" s="109">
        <v>3218511108</v>
      </c>
      <c r="V10" s="107" t="s">
        <v>269</v>
      </c>
      <c r="W10" s="107" t="s">
        <v>481</v>
      </c>
      <c r="X10" s="102" t="s">
        <v>369</v>
      </c>
      <c r="Y10" s="102" t="s">
        <v>343</v>
      </c>
      <c r="Z10" s="110">
        <v>20000000</v>
      </c>
      <c r="AA10" s="107">
        <v>240</v>
      </c>
      <c r="AB10" s="109">
        <v>103</v>
      </c>
      <c r="AC10" s="108">
        <v>43360</v>
      </c>
      <c r="AD10" s="111" t="s">
        <v>482</v>
      </c>
      <c r="AE10" s="111" t="s">
        <v>345</v>
      </c>
      <c r="AF10" s="111" t="s">
        <v>346</v>
      </c>
      <c r="AG10" s="112" t="s">
        <v>350</v>
      </c>
      <c r="AH10" s="112" t="s">
        <v>374</v>
      </c>
      <c r="AI10" s="231" t="s">
        <v>483</v>
      </c>
      <c r="AJ10" s="112" t="s">
        <v>350</v>
      </c>
      <c r="AK10" s="102" t="s">
        <v>369</v>
      </c>
      <c r="AL10" s="107" t="s">
        <v>263</v>
      </c>
      <c r="AM10" s="232" t="s">
        <v>484</v>
      </c>
      <c r="AN10" s="232" t="s">
        <v>485</v>
      </c>
      <c r="AO10" s="232" t="s">
        <v>486</v>
      </c>
      <c r="AP10" s="232" t="s">
        <v>487</v>
      </c>
      <c r="AQ10" s="232" t="s">
        <v>488</v>
      </c>
      <c r="AR10" s="232" t="s">
        <v>472</v>
      </c>
      <c r="AS10" s="232" t="s">
        <v>489</v>
      </c>
      <c r="AT10" s="232" t="s">
        <v>490</v>
      </c>
      <c r="AU10" s="233" t="s">
        <v>476</v>
      </c>
      <c r="AV10" s="234"/>
      <c r="AW10" s="234"/>
      <c r="AX10" s="234"/>
      <c r="AY10" s="234"/>
      <c r="AZ10" s="234"/>
      <c r="BA10" s="234"/>
      <c r="BB10" s="235"/>
      <c r="BC10" s="107"/>
      <c r="BD10" s="107"/>
      <c r="BE10" s="107" t="s">
        <v>276</v>
      </c>
      <c r="BF10" s="107" t="s">
        <v>257</v>
      </c>
      <c r="BG10" s="160" t="s">
        <v>43</v>
      </c>
    </row>
    <row r="11" spans="1:59" ht="78.75" x14ac:dyDescent="0.25">
      <c r="A11" s="151" t="s">
        <v>491</v>
      </c>
      <c r="B11" s="91" t="s">
        <v>492</v>
      </c>
      <c r="C11" s="91" t="s">
        <v>493</v>
      </c>
      <c r="D11" s="91" t="s">
        <v>363</v>
      </c>
      <c r="E11" s="91">
        <v>2018</v>
      </c>
      <c r="F11" s="91">
        <v>9</v>
      </c>
      <c r="G11" s="91" t="s">
        <v>334</v>
      </c>
      <c r="H11" s="91" t="s">
        <v>335</v>
      </c>
      <c r="I11" s="91" t="s">
        <v>336</v>
      </c>
      <c r="J11" s="91" t="s">
        <v>17</v>
      </c>
      <c r="K11" s="91">
        <v>1087996780</v>
      </c>
      <c r="L11" s="91" t="s">
        <v>494</v>
      </c>
      <c r="M11" s="91" t="s">
        <v>264</v>
      </c>
      <c r="N11" s="91" t="s">
        <v>495</v>
      </c>
      <c r="O11" s="92" t="s">
        <v>496</v>
      </c>
      <c r="P11" s="92">
        <v>43122</v>
      </c>
      <c r="Q11" s="92">
        <v>19930</v>
      </c>
      <c r="R11" s="91" t="s">
        <v>20</v>
      </c>
      <c r="S11" s="91" t="s">
        <v>366</v>
      </c>
      <c r="T11" s="91" t="s">
        <v>497</v>
      </c>
      <c r="U11" s="93">
        <v>3207862876</v>
      </c>
      <c r="V11" s="91" t="s">
        <v>261</v>
      </c>
      <c r="W11" s="91" t="s">
        <v>498</v>
      </c>
      <c r="X11" s="94" t="s">
        <v>499</v>
      </c>
      <c r="Y11" s="94" t="s">
        <v>343</v>
      </c>
      <c r="Z11" s="95">
        <v>33600000</v>
      </c>
      <c r="AA11" s="91">
        <v>240</v>
      </c>
      <c r="AB11" s="93">
        <v>99</v>
      </c>
      <c r="AC11" s="92">
        <v>43364</v>
      </c>
      <c r="AD11" s="96" t="s">
        <v>500</v>
      </c>
      <c r="AE11" s="96" t="s">
        <v>345</v>
      </c>
      <c r="AF11" s="96" t="s">
        <v>346</v>
      </c>
      <c r="AG11" s="97" t="s">
        <v>388</v>
      </c>
      <c r="AH11" s="97" t="s">
        <v>348</v>
      </c>
      <c r="AI11" s="227" t="s">
        <v>501</v>
      </c>
      <c r="AJ11" s="97" t="s">
        <v>350</v>
      </c>
      <c r="AK11" s="94" t="s">
        <v>499</v>
      </c>
      <c r="AL11" s="91" t="s">
        <v>132</v>
      </c>
      <c r="AM11" s="237" t="s">
        <v>502</v>
      </c>
      <c r="AN11" s="237" t="s">
        <v>503</v>
      </c>
      <c r="AO11" s="237" t="s">
        <v>504</v>
      </c>
      <c r="AP11" s="237" t="s">
        <v>505</v>
      </c>
      <c r="AQ11" s="237" t="s">
        <v>506</v>
      </c>
      <c r="AR11" s="237" t="s">
        <v>507</v>
      </c>
      <c r="AS11" s="237" t="s">
        <v>508</v>
      </c>
      <c r="AT11" s="237" t="s">
        <v>509</v>
      </c>
      <c r="AU11" s="239" t="s">
        <v>510</v>
      </c>
      <c r="AV11" s="240"/>
      <c r="AW11" s="240"/>
      <c r="AX11" s="240"/>
      <c r="AY11" s="240"/>
      <c r="AZ11" s="240"/>
      <c r="BA11" s="240"/>
      <c r="BB11" s="240"/>
      <c r="BC11" s="241"/>
      <c r="BD11" s="91"/>
      <c r="BE11" s="91" t="s">
        <v>276</v>
      </c>
      <c r="BF11" s="91" t="s">
        <v>257</v>
      </c>
      <c r="BG11" s="159" t="s">
        <v>43</v>
      </c>
    </row>
    <row r="12" spans="1:59" ht="78.75" x14ac:dyDescent="0.25">
      <c r="A12" s="153" t="s">
        <v>511</v>
      </c>
      <c r="B12" s="107" t="s">
        <v>512</v>
      </c>
      <c r="C12" s="107" t="s">
        <v>513</v>
      </c>
      <c r="D12" s="107" t="s">
        <v>363</v>
      </c>
      <c r="E12" s="107">
        <v>2018</v>
      </c>
      <c r="F12" s="107">
        <v>10</v>
      </c>
      <c r="G12" s="107" t="s">
        <v>334</v>
      </c>
      <c r="H12" s="107" t="s">
        <v>335</v>
      </c>
      <c r="I12" s="107" t="s">
        <v>336</v>
      </c>
      <c r="J12" s="107" t="s">
        <v>17</v>
      </c>
      <c r="K12" s="107">
        <v>1087996780</v>
      </c>
      <c r="L12" s="107" t="s">
        <v>514</v>
      </c>
      <c r="M12" s="107" t="s">
        <v>266</v>
      </c>
      <c r="N12" s="107" t="s">
        <v>515</v>
      </c>
      <c r="O12" s="107" t="s">
        <v>516</v>
      </c>
      <c r="P12" s="107">
        <v>1054916502</v>
      </c>
      <c r="Q12" s="108">
        <v>31515</v>
      </c>
      <c r="R12" s="107" t="s">
        <v>20</v>
      </c>
      <c r="S12" s="107" t="s">
        <v>517</v>
      </c>
      <c r="T12" s="107" t="s">
        <v>518</v>
      </c>
      <c r="U12" s="109">
        <v>3012575135</v>
      </c>
      <c r="V12" s="107" t="s">
        <v>261</v>
      </c>
      <c r="W12" s="107" t="s">
        <v>519</v>
      </c>
      <c r="X12" s="102" t="s">
        <v>520</v>
      </c>
      <c r="Y12" s="102" t="s">
        <v>343</v>
      </c>
      <c r="Z12" s="110">
        <v>24000000</v>
      </c>
      <c r="AA12" s="107">
        <v>240</v>
      </c>
      <c r="AB12" s="109">
        <v>98</v>
      </c>
      <c r="AC12" s="108">
        <v>43360</v>
      </c>
      <c r="AD12" s="111" t="s">
        <v>521</v>
      </c>
      <c r="AE12" s="111" t="s">
        <v>345</v>
      </c>
      <c r="AF12" s="111" t="s">
        <v>346</v>
      </c>
      <c r="AG12" s="112" t="s">
        <v>347</v>
      </c>
      <c r="AH12" s="112" t="s">
        <v>374</v>
      </c>
      <c r="AI12" s="231" t="s">
        <v>522</v>
      </c>
      <c r="AJ12" s="112" t="s">
        <v>350</v>
      </c>
      <c r="AK12" s="102" t="s">
        <v>520</v>
      </c>
      <c r="AL12" s="107" t="s">
        <v>263</v>
      </c>
      <c r="AM12" s="232" t="s">
        <v>523</v>
      </c>
      <c r="AN12" s="232" t="s">
        <v>524</v>
      </c>
      <c r="AO12" s="232" t="s">
        <v>525</v>
      </c>
      <c r="AP12" s="232" t="s">
        <v>526</v>
      </c>
      <c r="AQ12" s="232" t="s">
        <v>527</v>
      </c>
      <c r="AR12" s="232" t="s">
        <v>528</v>
      </c>
      <c r="AS12" s="232" t="s">
        <v>529</v>
      </c>
      <c r="AT12" s="233" t="s">
        <v>530</v>
      </c>
      <c r="AU12" s="234"/>
      <c r="AV12" s="234"/>
      <c r="AW12" s="234"/>
      <c r="AX12" s="234"/>
      <c r="AY12" s="234"/>
      <c r="AZ12" s="234"/>
      <c r="BA12" s="235"/>
      <c r="BB12" s="107"/>
      <c r="BC12" s="107"/>
      <c r="BD12" s="107"/>
      <c r="BE12" s="107" t="s">
        <v>276</v>
      </c>
      <c r="BF12" s="107" t="s">
        <v>257</v>
      </c>
      <c r="BG12" s="160" t="s">
        <v>111</v>
      </c>
    </row>
    <row r="13" spans="1:59" ht="78.75" x14ac:dyDescent="0.25">
      <c r="A13" s="151" t="s">
        <v>531</v>
      </c>
      <c r="B13" s="91" t="s">
        <v>532</v>
      </c>
      <c r="C13" s="91" t="s">
        <v>533</v>
      </c>
      <c r="D13" s="91" t="s">
        <v>363</v>
      </c>
      <c r="E13" s="91">
        <v>2018</v>
      </c>
      <c r="F13" s="91">
        <v>11</v>
      </c>
      <c r="G13" s="91" t="s">
        <v>334</v>
      </c>
      <c r="H13" s="91" t="s">
        <v>335</v>
      </c>
      <c r="I13" s="91" t="s">
        <v>336</v>
      </c>
      <c r="J13" s="91" t="s">
        <v>17</v>
      </c>
      <c r="K13" s="91">
        <v>1087996780</v>
      </c>
      <c r="L13" s="91" t="s">
        <v>380</v>
      </c>
      <c r="M13" s="91" t="s">
        <v>265</v>
      </c>
      <c r="N13" s="91" t="s">
        <v>495</v>
      </c>
      <c r="O13" s="91" t="s">
        <v>534</v>
      </c>
      <c r="P13" s="91">
        <v>1088014913</v>
      </c>
      <c r="Q13" s="92">
        <v>34159</v>
      </c>
      <c r="R13" s="91" t="s">
        <v>20</v>
      </c>
      <c r="S13" s="91" t="s">
        <v>535</v>
      </c>
      <c r="T13" s="91" t="s">
        <v>536</v>
      </c>
      <c r="U13" s="93">
        <v>3142140670</v>
      </c>
      <c r="V13" s="91" t="s">
        <v>269</v>
      </c>
      <c r="W13" s="91" t="s">
        <v>537</v>
      </c>
      <c r="X13" s="94" t="s">
        <v>499</v>
      </c>
      <c r="Y13" s="94" t="s">
        <v>343</v>
      </c>
      <c r="Z13" s="95">
        <v>10800000</v>
      </c>
      <c r="AA13" s="91">
        <v>240</v>
      </c>
      <c r="AB13" s="93">
        <v>99</v>
      </c>
      <c r="AC13" s="92">
        <v>43364</v>
      </c>
      <c r="AD13" s="96" t="s">
        <v>538</v>
      </c>
      <c r="AE13" s="96" t="s">
        <v>345</v>
      </c>
      <c r="AF13" s="96" t="s">
        <v>346</v>
      </c>
      <c r="AG13" s="97" t="s">
        <v>388</v>
      </c>
      <c r="AH13" s="97" t="s">
        <v>418</v>
      </c>
      <c r="AI13" s="227" t="s">
        <v>455</v>
      </c>
      <c r="AJ13" s="97" t="s">
        <v>350</v>
      </c>
      <c r="AK13" s="94" t="s">
        <v>499</v>
      </c>
      <c r="AL13" s="91" t="s">
        <v>263</v>
      </c>
      <c r="AM13" s="237" t="s">
        <v>539</v>
      </c>
      <c r="AN13" s="237" t="s">
        <v>540</v>
      </c>
      <c r="AO13" s="237" t="s">
        <v>541</v>
      </c>
      <c r="AP13" s="237" t="s">
        <v>542</v>
      </c>
      <c r="AQ13" s="237" t="s">
        <v>543</v>
      </c>
      <c r="AR13" s="239" t="s">
        <v>544</v>
      </c>
      <c r="AS13" s="240"/>
      <c r="AT13" s="240"/>
      <c r="AU13" s="241"/>
      <c r="AV13" s="91"/>
      <c r="AW13" s="91"/>
      <c r="AX13" s="91"/>
      <c r="AY13" s="91"/>
      <c r="AZ13" s="91"/>
      <c r="BA13" s="91"/>
      <c r="BB13" s="91"/>
      <c r="BC13" s="91"/>
      <c r="BD13" s="91"/>
      <c r="BE13" s="91" t="s">
        <v>276</v>
      </c>
      <c r="BF13" s="91" t="s">
        <v>281</v>
      </c>
      <c r="BG13" s="159" t="s">
        <v>43</v>
      </c>
    </row>
    <row r="14" spans="1:59" ht="78.75" x14ac:dyDescent="0.25">
      <c r="A14" s="153" t="s">
        <v>545</v>
      </c>
      <c r="B14" s="107" t="s">
        <v>546</v>
      </c>
      <c r="C14" s="107" t="s">
        <v>547</v>
      </c>
      <c r="D14" s="107" t="s">
        <v>363</v>
      </c>
      <c r="E14" s="107">
        <v>2018</v>
      </c>
      <c r="F14" s="107">
        <v>12</v>
      </c>
      <c r="G14" s="107" t="s">
        <v>334</v>
      </c>
      <c r="H14" s="107" t="s">
        <v>335</v>
      </c>
      <c r="I14" s="107" t="s">
        <v>336</v>
      </c>
      <c r="J14" s="107" t="s">
        <v>17</v>
      </c>
      <c r="K14" s="107">
        <v>1087996780</v>
      </c>
      <c r="L14" s="107" t="s">
        <v>380</v>
      </c>
      <c r="M14" s="107" t="s">
        <v>265</v>
      </c>
      <c r="N14" s="107" t="s">
        <v>548</v>
      </c>
      <c r="O14" s="107" t="s">
        <v>549</v>
      </c>
      <c r="P14" s="107">
        <v>42010010</v>
      </c>
      <c r="Q14" s="108">
        <v>25992</v>
      </c>
      <c r="R14" s="107" t="s">
        <v>20</v>
      </c>
      <c r="S14" s="107" t="s">
        <v>535</v>
      </c>
      <c r="T14" s="107" t="s">
        <v>550</v>
      </c>
      <c r="U14" s="109">
        <v>3208167288</v>
      </c>
      <c r="V14" s="107" t="s">
        <v>269</v>
      </c>
      <c r="W14" s="107" t="s">
        <v>551</v>
      </c>
      <c r="X14" s="102" t="s">
        <v>499</v>
      </c>
      <c r="Y14" s="102" t="s">
        <v>343</v>
      </c>
      <c r="Z14" s="110">
        <v>10800000</v>
      </c>
      <c r="AA14" s="107">
        <v>240</v>
      </c>
      <c r="AB14" s="109">
        <v>99</v>
      </c>
      <c r="AC14" s="108">
        <v>43364</v>
      </c>
      <c r="AD14" s="111" t="s">
        <v>552</v>
      </c>
      <c r="AE14" s="111" t="s">
        <v>345</v>
      </c>
      <c r="AF14" s="111" t="s">
        <v>346</v>
      </c>
      <c r="AG14" s="112" t="s">
        <v>553</v>
      </c>
      <c r="AH14" s="112" t="s">
        <v>348</v>
      </c>
      <c r="AI14" s="231" t="s">
        <v>554</v>
      </c>
      <c r="AJ14" s="112" t="s">
        <v>350</v>
      </c>
      <c r="AK14" s="102" t="s">
        <v>499</v>
      </c>
      <c r="AL14" s="107" t="s">
        <v>263</v>
      </c>
      <c r="AM14" s="232" t="s">
        <v>555</v>
      </c>
      <c r="AN14" s="232" t="s">
        <v>556</v>
      </c>
      <c r="AO14" s="232" t="s">
        <v>557</v>
      </c>
      <c r="AP14" s="232" t="s">
        <v>558</v>
      </c>
      <c r="AQ14" s="232" t="s">
        <v>559</v>
      </c>
      <c r="AR14" s="232" t="s">
        <v>560</v>
      </c>
      <c r="AS14" s="233" t="s">
        <v>561</v>
      </c>
      <c r="AT14" s="234"/>
      <c r="AU14" s="234"/>
      <c r="AV14" s="235"/>
      <c r="AW14" s="107"/>
      <c r="AX14" s="107"/>
      <c r="AY14" s="107"/>
      <c r="AZ14" s="107"/>
      <c r="BA14" s="107"/>
      <c r="BB14" s="107"/>
      <c r="BC14" s="107"/>
      <c r="BD14" s="107"/>
      <c r="BE14" s="107" t="s">
        <v>276</v>
      </c>
      <c r="BF14" s="107" t="s">
        <v>281</v>
      </c>
      <c r="BG14" s="160" t="s">
        <v>43</v>
      </c>
    </row>
    <row r="15" spans="1:59" ht="78.75" x14ac:dyDescent="0.25">
      <c r="A15" s="151" t="s">
        <v>562</v>
      </c>
      <c r="B15" s="91" t="s">
        <v>563</v>
      </c>
      <c r="C15" s="91" t="s">
        <v>564</v>
      </c>
      <c r="D15" s="91" t="s">
        <v>363</v>
      </c>
      <c r="E15" s="91">
        <v>2018</v>
      </c>
      <c r="F15" s="91">
        <v>13</v>
      </c>
      <c r="G15" s="91" t="s">
        <v>334</v>
      </c>
      <c r="H15" s="91" t="s">
        <v>335</v>
      </c>
      <c r="I15" s="91" t="s">
        <v>336</v>
      </c>
      <c r="J15" s="91" t="s">
        <v>17</v>
      </c>
      <c r="K15" s="91">
        <v>1087996780</v>
      </c>
      <c r="L15" s="91" t="s">
        <v>380</v>
      </c>
      <c r="M15" s="91" t="s">
        <v>265</v>
      </c>
      <c r="N15" s="91" t="s">
        <v>548</v>
      </c>
      <c r="O15" s="91" t="s">
        <v>565</v>
      </c>
      <c r="P15" s="91">
        <v>43685328</v>
      </c>
      <c r="Q15" s="92">
        <v>26676</v>
      </c>
      <c r="R15" s="91" t="s">
        <v>20</v>
      </c>
      <c r="S15" s="91" t="s">
        <v>535</v>
      </c>
      <c r="T15" s="91" t="s">
        <v>566</v>
      </c>
      <c r="U15" s="93">
        <v>3173295707</v>
      </c>
      <c r="V15" s="91" t="s">
        <v>269</v>
      </c>
      <c r="W15" s="91" t="s">
        <v>567</v>
      </c>
      <c r="X15" s="94" t="s">
        <v>499</v>
      </c>
      <c r="Y15" s="94" t="s">
        <v>343</v>
      </c>
      <c r="Z15" s="95">
        <v>10800000</v>
      </c>
      <c r="AA15" s="91">
        <v>240</v>
      </c>
      <c r="AB15" s="93">
        <v>99</v>
      </c>
      <c r="AC15" s="92">
        <v>43364</v>
      </c>
      <c r="AD15" s="96" t="s">
        <v>568</v>
      </c>
      <c r="AE15" s="96" t="s">
        <v>345</v>
      </c>
      <c r="AF15" s="96" t="s">
        <v>346</v>
      </c>
      <c r="AG15" s="97" t="s">
        <v>417</v>
      </c>
      <c r="AH15" s="97" t="s">
        <v>418</v>
      </c>
      <c r="AI15" s="227" t="s">
        <v>85</v>
      </c>
      <c r="AJ15" s="97" t="s">
        <v>350</v>
      </c>
      <c r="AK15" s="94" t="s">
        <v>499</v>
      </c>
      <c r="AL15" s="91" t="s">
        <v>263</v>
      </c>
      <c r="AM15" s="237" t="s">
        <v>569</v>
      </c>
      <c r="AN15" s="237" t="s">
        <v>570</v>
      </c>
      <c r="AO15" s="237" t="s">
        <v>571</v>
      </c>
      <c r="AP15" s="237" t="s">
        <v>572</v>
      </c>
      <c r="AQ15" s="237" t="s">
        <v>573</v>
      </c>
      <c r="AR15" s="239" t="s">
        <v>574</v>
      </c>
      <c r="AS15" s="240"/>
      <c r="AT15" s="240"/>
      <c r="AU15" s="241"/>
      <c r="AV15" s="91"/>
      <c r="AW15" s="91"/>
      <c r="AX15" s="91"/>
      <c r="AY15" s="91"/>
      <c r="AZ15" s="91"/>
      <c r="BA15" s="91"/>
      <c r="BB15" s="91"/>
      <c r="BC15" s="91"/>
      <c r="BD15" s="91"/>
      <c r="BE15" s="91" t="s">
        <v>276</v>
      </c>
      <c r="BF15" s="91" t="s">
        <v>281</v>
      </c>
      <c r="BG15" s="159" t="s">
        <v>43</v>
      </c>
    </row>
    <row r="16" spans="1:59" ht="78.75" x14ac:dyDescent="0.25">
      <c r="A16" s="153" t="s">
        <v>575</v>
      </c>
      <c r="B16" s="107" t="s">
        <v>576</v>
      </c>
      <c r="C16" s="107" t="s">
        <v>577</v>
      </c>
      <c r="D16" s="107" t="s">
        <v>451</v>
      </c>
      <c r="E16" s="107">
        <v>2018</v>
      </c>
      <c r="F16" s="107">
        <v>14</v>
      </c>
      <c r="G16" s="107" t="s">
        <v>334</v>
      </c>
      <c r="H16" s="107" t="s">
        <v>335</v>
      </c>
      <c r="I16" s="107" t="s">
        <v>336</v>
      </c>
      <c r="J16" s="107" t="s">
        <v>17</v>
      </c>
      <c r="K16" s="107">
        <v>1087996780</v>
      </c>
      <c r="L16" s="107" t="s">
        <v>336</v>
      </c>
      <c r="M16" s="107" t="s">
        <v>17</v>
      </c>
      <c r="N16" s="107" t="s">
        <v>495</v>
      </c>
      <c r="O16" s="107" t="s">
        <v>578</v>
      </c>
      <c r="P16" s="107">
        <v>42109122</v>
      </c>
      <c r="Q16" s="108">
        <v>26891</v>
      </c>
      <c r="R16" s="107" t="s">
        <v>20</v>
      </c>
      <c r="S16" s="107" t="s">
        <v>579</v>
      </c>
      <c r="T16" s="107" t="s">
        <v>580</v>
      </c>
      <c r="U16" s="109">
        <v>3008579103</v>
      </c>
      <c r="V16" s="107" t="s">
        <v>269</v>
      </c>
      <c r="W16" s="107" t="s">
        <v>581</v>
      </c>
      <c r="X16" s="102" t="s">
        <v>369</v>
      </c>
      <c r="Y16" s="102" t="s">
        <v>343</v>
      </c>
      <c r="Z16" s="110">
        <v>12000000</v>
      </c>
      <c r="AA16" s="107">
        <v>240</v>
      </c>
      <c r="AB16" s="109">
        <v>102</v>
      </c>
      <c r="AC16" s="108">
        <v>43361</v>
      </c>
      <c r="AD16" s="111" t="s">
        <v>582</v>
      </c>
      <c r="AE16" s="111" t="s">
        <v>345</v>
      </c>
      <c r="AF16" s="111" t="s">
        <v>346</v>
      </c>
      <c r="AG16" s="112" t="s">
        <v>417</v>
      </c>
      <c r="AH16" s="112" t="s">
        <v>348</v>
      </c>
      <c r="AI16" s="231" t="s">
        <v>84</v>
      </c>
      <c r="AJ16" s="112" t="s">
        <v>350</v>
      </c>
      <c r="AK16" s="102" t="s">
        <v>369</v>
      </c>
      <c r="AL16" s="107" t="s">
        <v>263</v>
      </c>
      <c r="AM16" s="107" t="s">
        <v>583</v>
      </c>
      <c r="AN16" s="107" t="s">
        <v>584</v>
      </c>
      <c r="AO16" s="107" t="s">
        <v>585</v>
      </c>
      <c r="AP16" s="107" t="s">
        <v>586</v>
      </c>
      <c r="AQ16" s="107" t="s">
        <v>587</v>
      </c>
      <c r="AR16" s="107" t="s">
        <v>588</v>
      </c>
      <c r="AS16" s="107" t="s">
        <v>589</v>
      </c>
      <c r="AT16" s="107"/>
      <c r="AU16" s="107"/>
      <c r="AV16" s="107"/>
      <c r="AW16" s="107"/>
      <c r="AX16" s="107"/>
      <c r="AY16" s="107"/>
      <c r="AZ16" s="107"/>
      <c r="BA16" s="107"/>
      <c r="BB16" s="107"/>
      <c r="BC16" s="107"/>
      <c r="BD16" s="107"/>
      <c r="BE16" s="107" t="s">
        <v>276</v>
      </c>
      <c r="BF16" s="107" t="s">
        <v>281</v>
      </c>
      <c r="BG16" s="160" t="s">
        <v>43</v>
      </c>
    </row>
    <row r="17" spans="1:59" ht="78.75" x14ac:dyDescent="0.25">
      <c r="A17" s="151" t="s">
        <v>590</v>
      </c>
      <c r="B17" s="91" t="s">
        <v>591</v>
      </c>
      <c r="C17" s="91" t="s">
        <v>592</v>
      </c>
      <c r="D17" s="91" t="s">
        <v>451</v>
      </c>
      <c r="E17" s="91">
        <v>2018</v>
      </c>
      <c r="F17" s="91">
        <v>15</v>
      </c>
      <c r="G17" s="91" t="s">
        <v>334</v>
      </c>
      <c r="H17" s="91" t="s">
        <v>335</v>
      </c>
      <c r="I17" s="91" t="s">
        <v>336</v>
      </c>
      <c r="J17" s="91" t="s">
        <v>17</v>
      </c>
      <c r="K17" s="91">
        <v>1087996780</v>
      </c>
      <c r="L17" s="91" t="s">
        <v>494</v>
      </c>
      <c r="M17" s="91" t="s">
        <v>264</v>
      </c>
      <c r="N17" s="91" t="s">
        <v>495</v>
      </c>
      <c r="O17" s="91" t="s">
        <v>593</v>
      </c>
      <c r="P17" s="91">
        <v>1096645855</v>
      </c>
      <c r="Q17" s="92">
        <v>34182</v>
      </c>
      <c r="R17" s="91" t="s">
        <v>20</v>
      </c>
      <c r="S17" s="91" t="s">
        <v>594</v>
      </c>
      <c r="T17" s="91" t="s">
        <v>595</v>
      </c>
      <c r="U17" s="93">
        <v>3137598415</v>
      </c>
      <c r="V17" s="91" t="s">
        <v>269</v>
      </c>
      <c r="W17" s="91" t="s">
        <v>596</v>
      </c>
      <c r="X17" s="94" t="s">
        <v>369</v>
      </c>
      <c r="Y17" s="94" t="s">
        <v>343</v>
      </c>
      <c r="Z17" s="95">
        <v>12000000</v>
      </c>
      <c r="AA17" s="91">
        <v>240</v>
      </c>
      <c r="AB17" s="93">
        <v>102</v>
      </c>
      <c r="AC17" s="92">
        <v>43361</v>
      </c>
      <c r="AD17" s="96" t="s">
        <v>597</v>
      </c>
      <c r="AE17" s="96" t="s">
        <v>345</v>
      </c>
      <c r="AF17" s="96" t="s">
        <v>346</v>
      </c>
      <c r="AG17" s="97" t="s">
        <v>350</v>
      </c>
      <c r="AH17" s="97" t="s">
        <v>418</v>
      </c>
      <c r="AI17" s="227" t="s">
        <v>598</v>
      </c>
      <c r="AJ17" s="97" t="s">
        <v>350</v>
      </c>
      <c r="AK17" s="94" t="s">
        <v>369</v>
      </c>
      <c r="AL17" s="91" t="s">
        <v>263</v>
      </c>
      <c r="AM17" s="91" t="s">
        <v>599</v>
      </c>
      <c r="AN17" s="91" t="s">
        <v>584</v>
      </c>
      <c r="AO17" s="91" t="s">
        <v>600</v>
      </c>
      <c r="AP17" s="91" t="s">
        <v>586</v>
      </c>
      <c r="AQ17" s="91" t="s">
        <v>587</v>
      </c>
      <c r="AR17" s="91" t="s">
        <v>601</v>
      </c>
      <c r="AS17" s="91" t="s">
        <v>589</v>
      </c>
      <c r="AT17" s="91"/>
      <c r="AU17" s="91"/>
      <c r="AV17" s="91"/>
      <c r="AW17" s="91"/>
      <c r="AX17" s="91"/>
      <c r="AY17" s="91"/>
      <c r="AZ17" s="91"/>
      <c r="BA17" s="91"/>
      <c r="BB17" s="91"/>
      <c r="BC17" s="91"/>
      <c r="BD17" s="91"/>
      <c r="BE17" s="91" t="s">
        <v>276</v>
      </c>
      <c r="BF17" s="91" t="s">
        <v>281</v>
      </c>
      <c r="BG17" s="159" t="s">
        <v>43</v>
      </c>
    </row>
    <row r="18" spans="1:59" ht="78.75" x14ac:dyDescent="0.25">
      <c r="A18" s="153" t="s">
        <v>602</v>
      </c>
      <c r="B18" s="107" t="s">
        <v>603</v>
      </c>
      <c r="C18" s="107" t="s">
        <v>604</v>
      </c>
      <c r="D18" s="107" t="s">
        <v>451</v>
      </c>
      <c r="E18" s="107">
        <v>2018</v>
      </c>
      <c r="F18" s="107">
        <v>16</v>
      </c>
      <c r="G18" s="107" t="s">
        <v>334</v>
      </c>
      <c r="H18" s="107" t="s">
        <v>335</v>
      </c>
      <c r="I18" s="107" t="s">
        <v>336</v>
      </c>
      <c r="J18" s="107" t="s">
        <v>17</v>
      </c>
      <c r="K18" s="107">
        <v>1087996780</v>
      </c>
      <c r="L18" s="107" t="s">
        <v>380</v>
      </c>
      <c r="M18" s="107" t="s">
        <v>265</v>
      </c>
      <c r="N18" s="107" t="s">
        <v>495</v>
      </c>
      <c r="O18" s="107" t="s">
        <v>605</v>
      </c>
      <c r="P18" s="107">
        <v>18533393</v>
      </c>
      <c r="Q18" s="108">
        <v>31246</v>
      </c>
      <c r="R18" s="107" t="s">
        <v>20</v>
      </c>
      <c r="S18" s="107" t="s">
        <v>606</v>
      </c>
      <c r="T18" s="107" t="s">
        <v>607</v>
      </c>
      <c r="U18" s="109">
        <v>3128640323</v>
      </c>
      <c r="V18" s="107" t="s">
        <v>269</v>
      </c>
      <c r="W18" s="107" t="s">
        <v>608</v>
      </c>
      <c r="X18" s="102" t="s">
        <v>369</v>
      </c>
      <c r="Y18" s="102" t="s">
        <v>343</v>
      </c>
      <c r="Z18" s="110">
        <v>12000000</v>
      </c>
      <c r="AA18" s="107">
        <v>240</v>
      </c>
      <c r="AB18" s="109">
        <v>102</v>
      </c>
      <c r="AC18" s="108">
        <v>43361</v>
      </c>
      <c r="AD18" s="111" t="s">
        <v>597</v>
      </c>
      <c r="AE18" s="111" t="s">
        <v>345</v>
      </c>
      <c r="AF18" s="111" t="s">
        <v>346</v>
      </c>
      <c r="AG18" s="112" t="s">
        <v>347</v>
      </c>
      <c r="AH18" s="112" t="s">
        <v>418</v>
      </c>
      <c r="AI18" s="231" t="s">
        <v>105</v>
      </c>
      <c r="AJ18" s="112" t="s">
        <v>350</v>
      </c>
      <c r="AK18" s="102" t="s">
        <v>369</v>
      </c>
      <c r="AL18" s="107" t="s">
        <v>263</v>
      </c>
      <c r="AM18" s="232" t="s">
        <v>599</v>
      </c>
      <c r="AN18" s="232" t="s">
        <v>609</v>
      </c>
      <c r="AO18" s="232" t="s">
        <v>600</v>
      </c>
      <c r="AP18" s="232" t="s">
        <v>610</v>
      </c>
      <c r="AQ18" s="232" t="s">
        <v>611</v>
      </c>
      <c r="AR18" s="232" t="s">
        <v>601</v>
      </c>
      <c r="AS18" s="233" t="s">
        <v>612</v>
      </c>
      <c r="AT18" s="234"/>
      <c r="AU18" s="234"/>
      <c r="AV18" s="234"/>
      <c r="AW18" s="234"/>
      <c r="AX18" s="234"/>
      <c r="AY18" s="234"/>
      <c r="AZ18" s="234"/>
      <c r="BA18" s="234"/>
      <c r="BB18" s="234"/>
      <c r="BC18" s="235"/>
      <c r="BD18" s="107"/>
      <c r="BE18" s="107" t="s">
        <v>276</v>
      </c>
      <c r="BF18" s="107" t="s">
        <v>281</v>
      </c>
      <c r="BG18" s="160" t="s">
        <v>43</v>
      </c>
    </row>
    <row r="19" spans="1:59" ht="78.75" x14ac:dyDescent="0.25">
      <c r="A19" s="151" t="s">
        <v>613</v>
      </c>
      <c r="B19" s="91" t="s">
        <v>614</v>
      </c>
      <c r="C19" s="91" t="s">
        <v>615</v>
      </c>
      <c r="D19" s="91" t="s">
        <v>451</v>
      </c>
      <c r="E19" s="91">
        <v>2018</v>
      </c>
      <c r="F19" s="91">
        <v>17</v>
      </c>
      <c r="G19" s="91" t="s">
        <v>334</v>
      </c>
      <c r="H19" s="91" t="s">
        <v>335</v>
      </c>
      <c r="I19" s="91" t="s">
        <v>336</v>
      </c>
      <c r="J19" s="91" t="s">
        <v>17</v>
      </c>
      <c r="K19" s="91">
        <v>1087996780</v>
      </c>
      <c r="L19" s="91" t="s">
        <v>616</v>
      </c>
      <c r="M19" s="91" t="s">
        <v>17</v>
      </c>
      <c r="N19" s="91" t="s">
        <v>617</v>
      </c>
      <c r="O19" s="91" t="s">
        <v>618</v>
      </c>
      <c r="P19" s="91">
        <v>42010894</v>
      </c>
      <c r="Q19" s="92">
        <v>26489</v>
      </c>
      <c r="R19" s="91" t="s">
        <v>20</v>
      </c>
      <c r="S19" s="91" t="s">
        <v>619</v>
      </c>
      <c r="T19" s="91" t="s">
        <v>620</v>
      </c>
      <c r="U19" s="93">
        <v>3154121324</v>
      </c>
      <c r="V19" s="91" t="s">
        <v>269</v>
      </c>
      <c r="W19" s="91" t="s">
        <v>385</v>
      </c>
      <c r="X19" s="94" t="s">
        <v>621</v>
      </c>
      <c r="Y19" s="94" t="s">
        <v>343</v>
      </c>
      <c r="Z19" s="95">
        <v>30400000</v>
      </c>
      <c r="AA19" s="91">
        <v>240</v>
      </c>
      <c r="AB19" s="93">
        <v>101</v>
      </c>
      <c r="AC19" s="92">
        <v>43362</v>
      </c>
      <c r="AD19" s="96" t="s">
        <v>622</v>
      </c>
      <c r="AE19" s="96" t="s">
        <v>345</v>
      </c>
      <c r="AF19" s="96" t="s">
        <v>346</v>
      </c>
      <c r="AG19" s="97" t="s">
        <v>388</v>
      </c>
      <c r="AH19" s="97" t="s">
        <v>374</v>
      </c>
      <c r="AI19" s="227" t="s">
        <v>106</v>
      </c>
      <c r="AJ19" s="97" t="s">
        <v>350</v>
      </c>
      <c r="AK19" s="94" t="s">
        <v>621</v>
      </c>
      <c r="AL19" s="91" t="s">
        <v>263</v>
      </c>
      <c r="AM19" s="237" t="s">
        <v>623</v>
      </c>
      <c r="AN19" s="237" t="s">
        <v>624</v>
      </c>
      <c r="AO19" s="237" t="s">
        <v>625</v>
      </c>
      <c r="AP19" s="237" t="s">
        <v>626</v>
      </c>
      <c r="AQ19" s="237" t="s">
        <v>627</v>
      </c>
      <c r="AR19" s="237" t="s">
        <v>628</v>
      </c>
      <c r="AS19" s="237" t="s">
        <v>629</v>
      </c>
      <c r="AT19" s="239" t="s">
        <v>630</v>
      </c>
      <c r="AU19" s="240"/>
      <c r="AV19" s="240"/>
      <c r="AW19" s="240"/>
      <c r="AX19" s="240"/>
      <c r="AY19" s="240"/>
      <c r="AZ19" s="240"/>
      <c r="BA19" s="240"/>
      <c r="BB19" s="240"/>
      <c r="BC19" s="240"/>
      <c r="BD19" s="241"/>
      <c r="BE19" s="91" t="s">
        <v>276</v>
      </c>
      <c r="BF19" s="91" t="s">
        <v>257</v>
      </c>
      <c r="BG19" s="159" t="s">
        <v>43</v>
      </c>
    </row>
    <row r="20" spans="1:59" ht="78.75" x14ac:dyDescent="0.25">
      <c r="A20" s="152" t="s">
        <v>631</v>
      </c>
      <c r="B20" s="99">
        <v>21</v>
      </c>
      <c r="C20" s="99">
        <v>43</v>
      </c>
      <c r="D20" s="99" t="s">
        <v>451</v>
      </c>
      <c r="E20" s="99">
        <v>2018</v>
      </c>
      <c r="F20" s="99">
        <v>18</v>
      </c>
      <c r="G20" s="99" t="s">
        <v>334</v>
      </c>
      <c r="H20" s="99" t="s">
        <v>335</v>
      </c>
      <c r="I20" s="99" t="s">
        <v>336</v>
      </c>
      <c r="J20" s="99" t="s">
        <v>17</v>
      </c>
      <c r="K20" s="99">
        <v>1087996780</v>
      </c>
      <c r="L20" s="99" t="s">
        <v>380</v>
      </c>
      <c r="M20" s="99"/>
      <c r="N20" s="99" t="s">
        <v>495</v>
      </c>
      <c r="O20" s="99" t="s">
        <v>632</v>
      </c>
      <c r="P20" s="99">
        <v>18509374</v>
      </c>
      <c r="Q20" s="100">
        <v>26077</v>
      </c>
      <c r="R20" s="99"/>
      <c r="S20" s="99" t="s">
        <v>594</v>
      </c>
      <c r="T20" s="99" t="s">
        <v>633</v>
      </c>
      <c r="U20" s="101">
        <v>3104002300</v>
      </c>
      <c r="V20" s="99"/>
      <c r="W20" s="99" t="s">
        <v>634</v>
      </c>
      <c r="X20" s="102" t="s">
        <v>635</v>
      </c>
      <c r="Y20" s="103" t="s">
        <v>636</v>
      </c>
      <c r="Z20" s="104">
        <v>17600000</v>
      </c>
      <c r="AA20" s="99">
        <v>240</v>
      </c>
      <c r="AB20" s="101">
        <v>0</v>
      </c>
      <c r="AC20" s="99" t="s">
        <v>371</v>
      </c>
      <c r="AD20" s="105" t="s">
        <v>637</v>
      </c>
      <c r="AE20" s="105" t="s">
        <v>345</v>
      </c>
      <c r="AF20" s="105" t="s">
        <v>346</v>
      </c>
      <c r="AG20" s="106" t="s">
        <v>373</v>
      </c>
      <c r="AH20" s="106" t="s">
        <v>374</v>
      </c>
      <c r="AI20" s="229" t="s">
        <v>638</v>
      </c>
      <c r="AJ20" s="106" t="s">
        <v>350</v>
      </c>
      <c r="AK20" s="103" t="s">
        <v>635</v>
      </c>
      <c r="AL20" s="99"/>
      <c r="AM20" s="99"/>
      <c r="AN20" s="99"/>
      <c r="AO20" s="99"/>
      <c r="AP20" s="99"/>
      <c r="AQ20" s="99"/>
      <c r="AR20" s="99"/>
      <c r="AS20" s="99"/>
      <c r="AT20" s="99"/>
      <c r="AU20" s="99"/>
      <c r="AV20" s="99"/>
      <c r="AW20" s="99"/>
      <c r="AX20" s="99"/>
      <c r="AY20" s="99"/>
      <c r="AZ20" s="99"/>
      <c r="BA20" s="99"/>
      <c r="BB20" s="99"/>
      <c r="BC20" s="99"/>
      <c r="BD20" s="99"/>
      <c r="BE20" s="99"/>
      <c r="BF20" s="99"/>
      <c r="BG20" s="160" t="s">
        <v>43</v>
      </c>
    </row>
    <row r="21" spans="1:59" ht="78.75" x14ac:dyDescent="0.25">
      <c r="A21" s="151" t="s">
        <v>639</v>
      </c>
      <c r="B21" s="91" t="s">
        <v>640</v>
      </c>
      <c r="C21" s="91" t="s">
        <v>641</v>
      </c>
      <c r="D21" s="91" t="s">
        <v>363</v>
      </c>
      <c r="E21" s="91">
        <v>2018</v>
      </c>
      <c r="F21" s="91">
        <v>19</v>
      </c>
      <c r="G21" s="91" t="s">
        <v>334</v>
      </c>
      <c r="H21" s="91" t="s">
        <v>335</v>
      </c>
      <c r="I21" s="91" t="s">
        <v>336</v>
      </c>
      <c r="J21" s="91" t="s">
        <v>17</v>
      </c>
      <c r="K21" s="91">
        <v>1087996780</v>
      </c>
      <c r="L21" s="91" t="s">
        <v>514</v>
      </c>
      <c r="M21" s="91" t="s">
        <v>266</v>
      </c>
      <c r="N21" s="91" t="s">
        <v>642</v>
      </c>
      <c r="O21" s="91" t="s">
        <v>643</v>
      </c>
      <c r="P21" s="91">
        <v>18509871</v>
      </c>
      <c r="Q21" s="92">
        <v>26413</v>
      </c>
      <c r="R21" s="91" t="s">
        <v>20</v>
      </c>
      <c r="S21" s="91" t="s">
        <v>644</v>
      </c>
      <c r="T21" s="91" t="s">
        <v>645</v>
      </c>
      <c r="U21" s="93">
        <v>3192229600</v>
      </c>
      <c r="V21" s="91" t="s">
        <v>269</v>
      </c>
      <c r="W21" s="91" t="s">
        <v>646</v>
      </c>
      <c r="X21" s="94" t="s">
        <v>647</v>
      </c>
      <c r="Y21" s="94" t="s">
        <v>343</v>
      </c>
      <c r="Z21" s="95">
        <v>12800000</v>
      </c>
      <c r="AA21" s="91">
        <v>240</v>
      </c>
      <c r="AB21" s="93">
        <v>98</v>
      </c>
      <c r="AC21" s="92">
        <v>43364</v>
      </c>
      <c r="AD21" s="96" t="s">
        <v>648</v>
      </c>
      <c r="AE21" s="96" t="s">
        <v>345</v>
      </c>
      <c r="AF21" s="96" t="s">
        <v>346</v>
      </c>
      <c r="AG21" s="97" t="s">
        <v>388</v>
      </c>
      <c r="AH21" s="97" t="s">
        <v>374</v>
      </c>
      <c r="AI21" s="227" t="s">
        <v>98</v>
      </c>
      <c r="AJ21" s="97" t="s">
        <v>350</v>
      </c>
      <c r="AK21" s="94" t="s">
        <v>647</v>
      </c>
      <c r="AL21" s="91" t="s">
        <v>263</v>
      </c>
      <c r="AM21" s="237" t="s">
        <v>649</v>
      </c>
      <c r="AN21" s="237" t="s">
        <v>650</v>
      </c>
      <c r="AO21" s="237" t="s">
        <v>651</v>
      </c>
      <c r="AP21" s="237" t="s">
        <v>652</v>
      </c>
      <c r="AQ21" s="237" t="s">
        <v>653</v>
      </c>
      <c r="AR21" s="237" t="s">
        <v>654</v>
      </c>
      <c r="AS21" s="237" t="s">
        <v>655</v>
      </c>
      <c r="AT21" s="237" t="s">
        <v>656</v>
      </c>
      <c r="AU21" s="239" t="s">
        <v>657</v>
      </c>
      <c r="AV21" s="240"/>
      <c r="AW21" s="240"/>
      <c r="AX21" s="240"/>
      <c r="AY21" s="240"/>
      <c r="AZ21" s="240"/>
      <c r="BA21" s="240"/>
      <c r="BB21" s="240"/>
      <c r="BC21" s="240"/>
      <c r="BD21" s="241"/>
      <c r="BE21" s="91" t="s">
        <v>276</v>
      </c>
      <c r="BF21" s="91" t="s">
        <v>281</v>
      </c>
      <c r="BG21" s="159" t="s">
        <v>111</v>
      </c>
    </row>
    <row r="22" spans="1:59" ht="78.75" x14ac:dyDescent="0.25">
      <c r="A22" s="153" t="s">
        <v>658</v>
      </c>
      <c r="B22" s="107" t="s">
        <v>659</v>
      </c>
      <c r="C22" s="107" t="s">
        <v>660</v>
      </c>
      <c r="D22" s="107" t="s">
        <v>363</v>
      </c>
      <c r="E22" s="107">
        <v>2018</v>
      </c>
      <c r="F22" s="107">
        <v>20</v>
      </c>
      <c r="G22" s="107" t="s">
        <v>334</v>
      </c>
      <c r="H22" s="107" t="s">
        <v>335</v>
      </c>
      <c r="I22" s="107" t="s">
        <v>336</v>
      </c>
      <c r="J22" s="107" t="s">
        <v>17</v>
      </c>
      <c r="K22" s="107">
        <v>1087996780</v>
      </c>
      <c r="L22" s="107" t="s">
        <v>661</v>
      </c>
      <c r="M22" s="107" t="s">
        <v>266</v>
      </c>
      <c r="N22" s="108" t="s">
        <v>515</v>
      </c>
      <c r="O22" s="109" t="s">
        <v>662</v>
      </c>
      <c r="P22" s="107">
        <v>1088010135</v>
      </c>
      <c r="Q22" s="108">
        <v>33661</v>
      </c>
      <c r="R22" s="107" t="s">
        <v>20</v>
      </c>
      <c r="S22" s="107" t="s">
        <v>261</v>
      </c>
      <c r="T22" s="107" t="s">
        <v>663</v>
      </c>
      <c r="U22" s="109">
        <v>3122510820</v>
      </c>
      <c r="V22" s="107" t="s">
        <v>261</v>
      </c>
      <c r="W22" s="107" t="s">
        <v>664</v>
      </c>
      <c r="X22" s="102" t="s">
        <v>211</v>
      </c>
      <c r="Y22" s="102" t="s">
        <v>343</v>
      </c>
      <c r="Z22" s="110">
        <v>14400000</v>
      </c>
      <c r="AA22" s="107">
        <v>240</v>
      </c>
      <c r="AB22" s="109">
        <v>98</v>
      </c>
      <c r="AC22" s="108">
        <v>43364</v>
      </c>
      <c r="AD22" s="111" t="s">
        <v>665</v>
      </c>
      <c r="AE22" s="111" t="s">
        <v>345</v>
      </c>
      <c r="AF22" s="111" t="s">
        <v>346</v>
      </c>
      <c r="AG22" s="112" t="s">
        <v>417</v>
      </c>
      <c r="AH22" s="112" t="s">
        <v>418</v>
      </c>
      <c r="AI22" s="231" t="s">
        <v>87</v>
      </c>
      <c r="AJ22" s="112" t="s">
        <v>350</v>
      </c>
      <c r="AK22" s="102" t="s">
        <v>211</v>
      </c>
      <c r="AL22" s="107" t="s">
        <v>132</v>
      </c>
      <c r="AM22" s="264" t="s">
        <v>666</v>
      </c>
      <c r="AN22" s="270" t="s">
        <v>667</v>
      </c>
      <c r="AO22" s="264" t="s">
        <v>668</v>
      </c>
      <c r="AP22" s="270" t="s">
        <v>669</v>
      </c>
      <c r="AQ22" s="264" t="s">
        <v>670</v>
      </c>
      <c r="AR22" s="264" t="s">
        <v>671</v>
      </c>
      <c r="AS22" s="264" t="s">
        <v>672</v>
      </c>
      <c r="AT22" s="107"/>
      <c r="AU22" s="107"/>
      <c r="AV22" s="107"/>
      <c r="AW22" s="107"/>
      <c r="AX22" s="107"/>
      <c r="AY22" s="107"/>
      <c r="AZ22" s="107"/>
      <c r="BA22" s="107"/>
      <c r="BB22" s="107"/>
      <c r="BC22" s="107"/>
      <c r="BD22" s="107"/>
      <c r="BE22" s="107" t="s">
        <v>276</v>
      </c>
      <c r="BF22" s="107" t="s">
        <v>281</v>
      </c>
      <c r="BG22" s="160" t="s">
        <v>111</v>
      </c>
    </row>
    <row r="23" spans="1:59" ht="78.75" x14ac:dyDescent="0.25">
      <c r="A23" s="151" t="s">
        <v>262</v>
      </c>
      <c r="B23" s="91" t="s">
        <v>673</v>
      </c>
      <c r="C23" s="91" t="s">
        <v>674</v>
      </c>
      <c r="D23" s="91" t="s">
        <v>363</v>
      </c>
      <c r="E23" s="91">
        <v>2018</v>
      </c>
      <c r="F23" s="91">
        <v>21</v>
      </c>
      <c r="G23" s="91" t="s">
        <v>334</v>
      </c>
      <c r="H23" s="91" t="s">
        <v>335</v>
      </c>
      <c r="I23" s="91" t="s">
        <v>336</v>
      </c>
      <c r="J23" s="91" t="s">
        <v>17</v>
      </c>
      <c r="K23" s="91">
        <v>1087996780</v>
      </c>
      <c r="L23" s="91" t="s">
        <v>661</v>
      </c>
      <c r="M23" s="91" t="s">
        <v>266</v>
      </c>
      <c r="N23" s="91" t="s">
        <v>515</v>
      </c>
      <c r="O23" s="91" t="s">
        <v>675</v>
      </c>
      <c r="P23" s="91">
        <v>10125823</v>
      </c>
      <c r="Q23" s="92">
        <v>24691</v>
      </c>
      <c r="R23" s="91" t="s">
        <v>20</v>
      </c>
      <c r="S23" s="91" t="s">
        <v>676</v>
      </c>
      <c r="T23" s="91" t="s">
        <v>677</v>
      </c>
      <c r="U23" s="93">
        <v>3053036721</v>
      </c>
      <c r="V23" s="91" t="s">
        <v>261</v>
      </c>
      <c r="W23" s="91" t="s">
        <v>678</v>
      </c>
      <c r="X23" s="94" t="s">
        <v>211</v>
      </c>
      <c r="Y23" s="94" t="s">
        <v>343</v>
      </c>
      <c r="Z23" s="95">
        <v>24000000</v>
      </c>
      <c r="AA23" s="91">
        <v>240</v>
      </c>
      <c r="AB23" s="93">
        <v>98</v>
      </c>
      <c r="AC23" s="92">
        <v>43364</v>
      </c>
      <c r="AD23" s="96" t="s">
        <v>679</v>
      </c>
      <c r="AE23" s="96" t="s">
        <v>345</v>
      </c>
      <c r="AF23" s="96" t="s">
        <v>346</v>
      </c>
      <c r="AG23" s="97" t="s">
        <v>347</v>
      </c>
      <c r="AH23" s="97" t="s">
        <v>418</v>
      </c>
      <c r="AI23" s="227" t="s">
        <v>375</v>
      </c>
      <c r="AJ23" s="97" t="s">
        <v>350</v>
      </c>
      <c r="AK23" s="94" t="s">
        <v>211</v>
      </c>
      <c r="AL23" s="91" t="s">
        <v>263</v>
      </c>
      <c r="AM23" s="262" t="s">
        <v>680</v>
      </c>
      <c r="AN23" s="262" t="s">
        <v>681</v>
      </c>
      <c r="AO23" s="262" t="s">
        <v>682</v>
      </c>
      <c r="AP23" s="273" t="s">
        <v>683</v>
      </c>
      <c r="AQ23" s="262" t="s">
        <v>684</v>
      </c>
      <c r="AR23" s="262" t="s">
        <v>685</v>
      </c>
      <c r="AS23" s="262" t="s">
        <v>686</v>
      </c>
      <c r="AT23" s="262" t="s">
        <v>671</v>
      </c>
      <c r="AU23" s="91"/>
      <c r="AV23" s="91"/>
      <c r="AW23" s="91"/>
      <c r="AX23" s="91"/>
      <c r="AY23" s="91"/>
      <c r="AZ23" s="91"/>
      <c r="BA23" s="91"/>
      <c r="BB23" s="91"/>
      <c r="BC23" s="91"/>
      <c r="BD23" s="91"/>
      <c r="BE23" s="91" t="s">
        <v>276</v>
      </c>
      <c r="BF23" s="91" t="s">
        <v>257</v>
      </c>
      <c r="BG23" s="159" t="s">
        <v>43</v>
      </c>
    </row>
    <row r="24" spans="1:59" ht="78.75" x14ac:dyDescent="0.25">
      <c r="A24" s="153" t="s">
        <v>687</v>
      </c>
      <c r="B24" s="107" t="s">
        <v>688</v>
      </c>
      <c r="C24" s="107" t="s">
        <v>689</v>
      </c>
      <c r="D24" s="107" t="s">
        <v>451</v>
      </c>
      <c r="E24" s="107">
        <v>2018</v>
      </c>
      <c r="F24" s="107">
        <v>22</v>
      </c>
      <c r="G24" s="107" t="s">
        <v>334</v>
      </c>
      <c r="H24" s="107" t="s">
        <v>335</v>
      </c>
      <c r="I24" s="107" t="s">
        <v>336</v>
      </c>
      <c r="J24" s="107" t="s">
        <v>17</v>
      </c>
      <c r="K24" s="107">
        <v>1087996780</v>
      </c>
      <c r="L24" s="107" t="s">
        <v>690</v>
      </c>
      <c r="M24" s="107" t="s">
        <v>267</v>
      </c>
      <c r="N24" s="107" t="s">
        <v>617</v>
      </c>
      <c r="O24" s="107" t="s">
        <v>691</v>
      </c>
      <c r="P24" s="107">
        <v>18508120</v>
      </c>
      <c r="Q24" s="108">
        <v>25396</v>
      </c>
      <c r="R24" s="107" t="s">
        <v>20</v>
      </c>
      <c r="S24" s="107" t="s">
        <v>692</v>
      </c>
      <c r="T24" s="107" t="s">
        <v>693</v>
      </c>
      <c r="U24" s="109">
        <v>3146745493</v>
      </c>
      <c r="V24" s="107" t="s">
        <v>261</v>
      </c>
      <c r="W24" s="107" t="s">
        <v>694</v>
      </c>
      <c r="X24" s="102" t="s">
        <v>211</v>
      </c>
      <c r="Y24" s="102" t="s">
        <v>343</v>
      </c>
      <c r="Z24" s="110">
        <v>12000000</v>
      </c>
      <c r="AA24" s="107">
        <v>240</v>
      </c>
      <c r="AB24" s="109">
        <v>98</v>
      </c>
      <c r="AC24" s="108">
        <v>43364</v>
      </c>
      <c r="AD24" s="111" t="s">
        <v>695</v>
      </c>
      <c r="AE24" s="111" t="s">
        <v>345</v>
      </c>
      <c r="AF24" s="111" t="s">
        <v>346</v>
      </c>
      <c r="AG24" s="112" t="s">
        <v>347</v>
      </c>
      <c r="AH24" s="112" t="s">
        <v>374</v>
      </c>
      <c r="AI24" s="231" t="s">
        <v>419</v>
      </c>
      <c r="AJ24" s="112" t="s">
        <v>350</v>
      </c>
      <c r="AK24" s="102" t="s">
        <v>211</v>
      </c>
      <c r="AL24" s="107" t="s">
        <v>263</v>
      </c>
      <c r="AM24" s="232" t="s">
        <v>696</v>
      </c>
      <c r="AN24" s="232" t="s">
        <v>697</v>
      </c>
      <c r="AO24" s="232" t="s">
        <v>698</v>
      </c>
      <c r="AP24" s="232" t="s">
        <v>699</v>
      </c>
      <c r="AQ24" s="232" t="s">
        <v>700</v>
      </c>
      <c r="AR24" s="232" t="s">
        <v>601</v>
      </c>
      <c r="AS24" s="233" t="s">
        <v>589</v>
      </c>
      <c r="AT24" s="278"/>
      <c r="AU24" s="234"/>
      <c r="AV24" s="234"/>
      <c r="AW24" s="234"/>
      <c r="AX24" s="234"/>
      <c r="AY24" s="234"/>
      <c r="AZ24" s="234"/>
      <c r="BA24" s="235"/>
      <c r="BB24" s="107"/>
      <c r="BC24" s="107"/>
      <c r="BD24" s="107"/>
      <c r="BE24" s="107" t="s">
        <v>276</v>
      </c>
      <c r="BF24" s="107" t="s">
        <v>281</v>
      </c>
      <c r="BG24" s="160" t="s">
        <v>111</v>
      </c>
    </row>
    <row r="25" spans="1:59" ht="78.75" x14ac:dyDescent="0.25">
      <c r="A25" s="151" t="s">
        <v>701</v>
      </c>
      <c r="B25" s="91" t="s">
        <v>702</v>
      </c>
      <c r="C25" s="91" t="s">
        <v>703</v>
      </c>
      <c r="D25" s="91" t="s">
        <v>363</v>
      </c>
      <c r="E25" s="91">
        <v>2018</v>
      </c>
      <c r="F25" s="91">
        <v>23</v>
      </c>
      <c r="G25" s="91" t="s">
        <v>334</v>
      </c>
      <c r="H25" s="91" t="s">
        <v>335</v>
      </c>
      <c r="I25" s="91" t="s">
        <v>336</v>
      </c>
      <c r="J25" s="91" t="s">
        <v>17</v>
      </c>
      <c r="K25" s="91">
        <v>1087996780</v>
      </c>
      <c r="L25" s="91" t="s">
        <v>661</v>
      </c>
      <c r="M25" s="91" t="s">
        <v>266</v>
      </c>
      <c r="N25" s="91" t="s">
        <v>642</v>
      </c>
      <c r="O25" s="91" t="s">
        <v>704</v>
      </c>
      <c r="P25" s="91">
        <v>41059194</v>
      </c>
      <c r="Q25" s="92">
        <v>30075</v>
      </c>
      <c r="R25" s="91" t="s">
        <v>20</v>
      </c>
      <c r="S25" s="91" t="s">
        <v>535</v>
      </c>
      <c r="T25" s="91" t="s">
        <v>705</v>
      </c>
      <c r="U25" s="93">
        <v>3118103311</v>
      </c>
      <c r="V25" s="91" t="s">
        <v>261</v>
      </c>
      <c r="W25" s="91" t="s">
        <v>706</v>
      </c>
      <c r="X25" s="94" t="s">
        <v>647</v>
      </c>
      <c r="Y25" s="94" t="s">
        <v>343</v>
      </c>
      <c r="Z25" s="95">
        <v>10800000</v>
      </c>
      <c r="AA25" s="91">
        <v>240</v>
      </c>
      <c r="AB25" s="93">
        <v>98</v>
      </c>
      <c r="AC25" s="92">
        <v>43364</v>
      </c>
      <c r="AD25" s="96" t="s">
        <v>707</v>
      </c>
      <c r="AE25" s="96" t="s">
        <v>345</v>
      </c>
      <c r="AF25" s="96" t="s">
        <v>346</v>
      </c>
      <c r="AG25" s="97" t="s">
        <v>417</v>
      </c>
      <c r="AH25" s="97" t="s">
        <v>418</v>
      </c>
      <c r="AI25" s="227" t="s">
        <v>106</v>
      </c>
      <c r="AJ25" s="97" t="s">
        <v>350</v>
      </c>
      <c r="AK25" s="94" t="s">
        <v>647</v>
      </c>
      <c r="AL25" s="91" t="s">
        <v>132</v>
      </c>
      <c r="AM25" s="266" t="s">
        <v>708</v>
      </c>
      <c r="AN25" s="272" t="s">
        <v>709</v>
      </c>
      <c r="AO25" s="266" t="s">
        <v>710</v>
      </c>
      <c r="AP25" s="272" t="s">
        <v>711</v>
      </c>
      <c r="AQ25" s="266" t="s">
        <v>712</v>
      </c>
      <c r="AR25" s="266" t="s">
        <v>713</v>
      </c>
      <c r="AS25" s="266" t="s">
        <v>714</v>
      </c>
      <c r="AT25" s="266" t="s">
        <v>715</v>
      </c>
      <c r="AU25" s="266" t="s">
        <v>716</v>
      </c>
      <c r="AV25" s="91"/>
      <c r="AW25" s="91"/>
      <c r="AX25" s="91"/>
      <c r="AY25" s="91"/>
      <c r="AZ25" s="91"/>
      <c r="BA25" s="91"/>
      <c r="BB25" s="91"/>
      <c r="BC25" s="91"/>
      <c r="BD25" s="91"/>
      <c r="BE25" s="91" t="s">
        <v>276</v>
      </c>
      <c r="BF25" s="91" t="s">
        <v>281</v>
      </c>
      <c r="BG25" s="159" t="s">
        <v>43</v>
      </c>
    </row>
    <row r="26" spans="1:59" ht="78.75" x14ac:dyDescent="0.25">
      <c r="A26" s="152" t="s">
        <v>717</v>
      </c>
      <c r="B26" s="99">
        <v>38</v>
      </c>
      <c r="C26" s="99">
        <v>37</v>
      </c>
      <c r="D26" s="99" t="s">
        <v>363</v>
      </c>
      <c r="E26" s="99">
        <v>2018</v>
      </c>
      <c r="F26" s="99">
        <v>24</v>
      </c>
      <c r="G26" s="99" t="s">
        <v>334</v>
      </c>
      <c r="H26" s="99" t="s">
        <v>335</v>
      </c>
      <c r="I26" s="99" t="s">
        <v>336</v>
      </c>
      <c r="J26" s="99" t="s">
        <v>17</v>
      </c>
      <c r="K26" s="99">
        <v>1087996780</v>
      </c>
      <c r="L26" s="99" t="s">
        <v>514</v>
      </c>
      <c r="M26" s="99"/>
      <c r="N26" s="99" t="s">
        <v>642</v>
      </c>
      <c r="O26" s="99" t="s">
        <v>718</v>
      </c>
      <c r="P26" s="99">
        <v>42004550</v>
      </c>
      <c r="Q26" s="100">
        <v>23974</v>
      </c>
      <c r="R26" s="99"/>
      <c r="S26" s="99" t="s">
        <v>535</v>
      </c>
      <c r="T26" s="99" t="s">
        <v>719</v>
      </c>
      <c r="U26" s="101">
        <v>3116282947</v>
      </c>
      <c r="V26" s="99"/>
      <c r="W26" s="99" t="s">
        <v>720</v>
      </c>
      <c r="X26" s="102" t="s">
        <v>721</v>
      </c>
      <c r="Y26" s="103" t="s">
        <v>722</v>
      </c>
      <c r="Z26" s="104">
        <v>10800000</v>
      </c>
      <c r="AA26" s="99">
        <v>240</v>
      </c>
      <c r="AB26" s="101">
        <v>0</v>
      </c>
      <c r="AC26" s="99" t="s">
        <v>371</v>
      </c>
      <c r="AD26" s="105" t="s">
        <v>723</v>
      </c>
      <c r="AE26" s="105" t="s">
        <v>345</v>
      </c>
      <c r="AF26" s="105" t="s">
        <v>346</v>
      </c>
      <c r="AG26" s="106" t="s">
        <v>373</v>
      </c>
      <c r="AH26" s="106" t="s">
        <v>374</v>
      </c>
      <c r="AI26" s="229" t="s">
        <v>92</v>
      </c>
      <c r="AJ26" s="106" t="s">
        <v>350</v>
      </c>
      <c r="AK26" s="103" t="s">
        <v>721</v>
      </c>
      <c r="AL26" s="99"/>
      <c r="AM26" s="120"/>
      <c r="AN26" s="267"/>
      <c r="AO26" s="120"/>
      <c r="AP26" s="267"/>
      <c r="AQ26" s="120"/>
      <c r="AR26" s="120"/>
      <c r="AS26" s="120"/>
      <c r="AT26" s="120"/>
      <c r="AU26" s="120"/>
      <c r="AV26" s="99"/>
      <c r="AW26" s="99"/>
      <c r="AX26" s="99"/>
      <c r="AY26" s="99"/>
      <c r="AZ26" s="99"/>
      <c r="BA26" s="99"/>
      <c r="BB26" s="99"/>
      <c r="BC26" s="99"/>
      <c r="BD26" s="99"/>
      <c r="BE26" s="99"/>
      <c r="BF26" s="99"/>
      <c r="BG26" s="160" t="s">
        <v>111</v>
      </c>
    </row>
    <row r="27" spans="1:59" ht="78.75" x14ac:dyDescent="0.25">
      <c r="A27" s="151" t="s">
        <v>724</v>
      </c>
      <c r="B27" s="91" t="s">
        <v>725</v>
      </c>
      <c r="C27" s="91" t="s">
        <v>726</v>
      </c>
      <c r="D27" s="91" t="s">
        <v>363</v>
      </c>
      <c r="E27" s="91">
        <v>2018</v>
      </c>
      <c r="F27" s="91">
        <v>25</v>
      </c>
      <c r="G27" s="91" t="s">
        <v>334</v>
      </c>
      <c r="H27" s="91" t="s">
        <v>335</v>
      </c>
      <c r="I27" s="91" t="s">
        <v>336</v>
      </c>
      <c r="J27" s="91" t="s">
        <v>17</v>
      </c>
      <c r="K27" s="91">
        <v>1087996780</v>
      </c>
      <c r="L27" s="91" t="s">
        <v>661</v>
      </c>
      <c r="M27" s="91" t="s">
        <v>266</v>
      </c>
      <c r="N27" s="91" t="s">
        <v>515</v>
      </c>
      <c r="O27" s="91" t="s">
        <v>727</v>
      </c>
      <c r="P27" s="91">
        <v>1088009532</v>
      </c>
      <c r="Q27" s="92">
        <v>33619</v>
      </c>
      <c r="R27" s="91" t="s">
        <v>20</v>
      </c>
      <c r="S27" s="91" t="s">
        <v>728</v>
      </c>
      <c r="T27" s="91" t="s">
        <v>729</v>
      </c>
      <c r="U27" s="93">
        <v>3148706937</v>
      </c>
      <c r="V27" s="91" t="s">
        <v>261</v>
      </c>
      <c r="W27" s="91" t="s">
        <v>730</v>
      </c>
      <c r="X27" s="94" t="s">
        <v>211</v>
      </c>
      <c r="Y27" s="94" t="s">
        <v>343</v>
      </c>
      <c r="Z27" s="95">
        <v>10800000</v>
      </c>
      <c r="AA27" s="91">
        <v>240</v>
      </c>
      <c r="AB27" s="93">
        <v>99</v>
      </c>
      <c r="AC27" s="92">
        <v>43364</v>
      </c>
      <c r="AD27" s="96" t="s">
        <v>731</v>
      </c>
      <c r="AE27" s="96" t="s">
        <v>345</v>
      </c>
      <c r="AF27" s="96" t="s">
        <v>346</v>
      </c>
      <c r="AG27" s="97" t="s">
        <v>347</v>
      </c>
      <c r="AH27" s="97" t="s">
        <v>418</v>
      </c>
      <c r="AI27" s="227" t="s">
        <v>732</v>
      </c>
      <c r="AJ27" s="97" t="s">
        <v>350</v>
      </c>
      <c r="AK27" s="94" t="s">
        <v>211</v>
      </c>
      <c r="AL27" s="91" t="s">
        <v>132</v>
      </c>
      <c r="AM27" s="262" t="s">
        <v>733</v>
      </c>
      <c r="AN27" s="268" t="s">
        <v>734</v>
      </c>
      <c r="AO27" s="262" t="s">
        <v>735</v>
      </c>
      <c r="AP27" s="268" t="s">
        <v>736</v>
      </c>
      <c r="AQ27" s="262" t="s">
        <v>737</v>
      </c>
      <c r="AR27" s="262" t="s">
        <v>738</v>
      </c>
      <c r="AS27" s="262" t="s">
        <v>739</v>
      </c>
      <c r="AT27" s="266"/>
      <c r="AU27" s="266"/>
      <c r="AV27" s="91"/>
      <c r="AW27" s="91"/>
      <c r="AX27" s="91"/>
      <c r="AY27" s="91"/>
      <c r="AZ27" s="91"/>
      <c r="BA27" s="91"/>
      <c r="BB27" s="91"/>
      <c r="BC27" s="91"/>
      <c r="BD27" s="91"/>
      <c r="BE27" s="91" t="s">
        <v>276</v>
      </c>
      <c r="BF27" s="91" t="s">
        <v>281</v>
      </c>
      <c r="BG27" s="159" t="s">
        <v>111</v>
      </c>
    </row>
    <row r="28" spans="1:59" ht="78.75" x14ac:dyDescent="0.25">
      <c r="A28" s="152" t="s">
        <v>740</v>
      </c>
      <c r="B28" s="99">
        <v>35</v>
      </c>
      <c r="C28" s="99">
        <v>40</v>
      </c>
      <c r="D28" s="99" t="s">
        <v>363</v>
      </c>
      <c r="E28" s="99">
        <v>2018</v>
      </c>
      <c r="F28" s="99">
        <v>26</v>
      </c>
      <c r="G28" s="99" t="s">
        <v>334</v>
      </c>
      <c r="H28" s="99" t="s">
        <v>335</v>
      </c>
      <c r="I28" s="99" t="s">
        <v>336</v>
      </c>
      <c r="J28" s="99" t="s">
        <v>17</v>
      </c>
      <c r="K28" s="99">
        <v>1087996780</v>
      </c>
      <c r="L28" s="99" t="s">
        <v>494</v>
      </c>
      <c r="M28" s="99"/>
      <c r="N28" s="99" t="s">
        <v>642</v>
      </c>
      <c r="O28" s="99" t="s">
        <v>741</v>
      </c>
      <c r="P28" s="99">
        <v>25159640</v>
      </c>
      <c r="Q28" s="100">
        <v>23414</v>
      </c>
      <c r="R28" s="99"/>
      <c r="S28" s="99" t="s">
        <v>742</v>
      </c>
      <c r="T28" s="99" t="s">
        <v>743</v>
      </c>
      <c r="U28" s="101">
        <v>3148108499</v>
      </c>
      <c r="V28" s="99"/>
      <c r="W28" s="99" t="s">
        <v>744</v>
      </c>
      <c r="X28" s="102" t="s">
        <v>745</v>
      </c>
      <c r="Y28" s="103" t="s">
        <v>722</v>
      </c>
      <c r="Z28" s="104">
        <v>13600000</v>
      </c>
      <c r="AA28" s="99">
        <v>240</v>
      </c>
      <c r="AB28" s="101">
        <v>0</v>
      </c>
      <c r="AC28" s="99" t="s">
        <v>371</v>
      </c>
      <c r="AD28" s="105" t="s">
        <v>746</v>
      </c>
      <c r="AE28" s="105" t="s">
        <v>345</v>
      </c>
      <c r="AF28" s="105" t="s">
        <v>346</v>
      </c>
      <c r="AG28" s="106" t="s">
        <v>373</v>
      </c>
      <c r="AH28" s="106" t="s">
        <v>374</v>
      </c>
      <c r="AI28" s="229" t="s">
        <v>747</v>
      </c>
      <c r="AJ28" s="106" t="s">
        <v>350</v>
      </c>
      <c r="AK28" s="103" t="s">
        <v>745</v>
      </c>
      <c r="AL28" s="99"/>
      <c r="AM28" s="263"/>
      <c r="AN28" s="271"/>
      <c r="AO28" s="263"/>
      <c r="AP28" s="271"/>
      <c r="AQ28" s="263"/>
      <c r="AR28" s="263"/>
      <c r="AS28" s="263"/>
      <c r="AT28" s="120"/>
      <c r="AU28" s="120"/>
      <c r="AV28" s="99"/>
      <c r="AW28" s="99"/>
      <c r="AX28" s="99"/>
      <c r="AY28" s="99"/>
      <c r="AZ28" s="99"/>
      <c r="BA28" s="99"/>
      <c r="BB28" s="99"/>
      <c r="BC28" s="99"/>
      <c r="BD28" s="99"/>
      <c r="BE28" s="99"/>
      <c r="BF28" s="99"/>
      <c r="BG28" s="160" t="s">
        <v>43</v>
      </c>
    </row>
    <row r="29" spans="1:59" ht="78.75" x14ac:dyDescent="0.25">
      <c r="A29" s="151" t="s">
        <v>748</v>
      </c>
      <c r="B29" s="91" t="s">
        <v>749</v>
      </c>
      <c r="C29" s="91" t="s">
        <v>750</v>
      </c>
      <c r="D29" s="91" t="s">
        <v>363</v>
      </c>
      <c r="E29" s="91">
        <v>2018</v>
      </c>
      <c r="F29" s="91">
        <v>27</v>
      </c>
      <c r="G29" s="91" t="s">
        <v>334</v>
      </c>
      <c r="H29" s="91" t="s">
        <v>335</v>
      </c>
      <c r="I29" s="91" t="s">
        <v>336</v>
      </c>
      <c r="J29" s="91" t="s">
        <v>17</v>
      </c>
      <c r="K29" s="91">
        <v>1087996780</v>
      </c>
      <c r="L29" s="91" t="s">
        <v>690</v>
      </c>
      <c r="M29" s="91" t="s">
        <v>267</v>
      </c>
      <c r="N29" s="91" t="s">
        <v>642</v>
      </c>
      <c r="O29" s="91" t="s">
        <v>751</v>
      </c>
      <c r="P29" s="91">
        <v>18503899</v>
      </c>
      <c r="Q29" s="92">
        <v>23626</v>
      </c>
      <c r="R29" s="91" t="s">
        <v>20</v>
      </c>
      <c r="S29" s="91" t="s">
        <v>752</v>
      </c>
      <c r="T29" s="91" t="s">
        <v>753</v>
      </c>
      <c r="U29" s="93">
        <v>3128743748</v>
      </c>
      <c r="V29" s="91" t="s">
        <v>261</v>
      </c>
      <c r="W29" s="91" t="s">
        <v>754</v>
      </c>
      <c r="X29" s="94" t="s">
        <v>647</v>
      </c>
      <c r="Y29" s="94" t="s">
        <v>343</v>
      </c>
      <c r="Z29" s="95">
        <v>16000000</v>
      </c>
      <c r="AA29" s="91">
        <v>240</v>
      </c>
      <c r="AB29" s="93">
        <v>97</v>
      </c>
      <c r="AC29" s="92">
        <v>43364</v>
      </c>
      <c r="AD29" s="96" t="s">
        <v>755</v>
      </c>
      <c r="AE29" s="96" t="s">
        <v>345</v>
      </c>
      <c r="AF29" s="96" t="s">
        <v>346</v>
      </c>
      <c r="AG29" s="97" t="s">
        <v>347</v>
      </c>
      <c r="AH29" s="97" t="s">
        <v>418</v>
      </c>
      <c r="AI29" s="227" t="s">
        <v>107</v>
      </c>
      <c r="AJ29" s="97" t="s">
        <v>350</v>
      </c>
      <c r="AK29" s="94" t="s">
        <v>647</v>
      </c>
      <c r="AL29" s="91" t="s">
        <v>132</v>
      </c>
      <c r="AM29" s="237" t="s">
        <v>756</v>
      </c>
      <c r="AN29" s="237" t="s">
        <v>757</v>
      </c>
      <c r="AO29" s="237" t="s">
        <v>758</v>
      </c>
      <c r="AP29" s="237" t="s">
        <v>759</v>
      </c>
      <c r="AQ29" s="237" t="s">
        <v>760</v>
      </c>
      <c r="AR29" s="237" t="s">
        <v>761</v>
      </c>
      <c r="AS29" s="237" t="s">
        <v>762</v>
      </c>
      <c r="AT29" s="237" t="s">
        <v>763</v>
      </c>
      <c r="AU29" s="237" t="s">
        <v>764</v>
      </c>
      <c r="AV29" s="239" t="s">
        <v>765</v>
      </c>
      <c r="AW29" s="240"/>
      <c r="AX29" s="240"/>
      <c r="AY29" s="240"/>
      <c r="AZ29" s="241"/>
      <c r="BA29" s="91"/>
      <c r="BB29" s="91"/>
      <c r="BC29" s="91"/>
      <c r="BD29" s="91"/>
      <c r="BE29" s="91" t="s">
        <v>276</v>
      </c>
      <c r="BF29" s="91" t="s">
        <v>281</v>
      </c>
      <c r="BG29" s="159" t="s">
        <v>111</v>
      </c>
    </row>
    <row r="30" spans="1:59" ht="78.75" x14ac:dyDescent="0.25">
      <c r="A30" s="152" t="s">
        <v>766</v>
      </c>
      <c r="B30" s="99">
        <v>30</v>
      </c>
      <c r="C30" s="99">
        <v>42</v>
      </c>
      <c r="D30" s="99" t="s">
        <v>363</v>
      </c>
      <c r="E30" s="99">
        <v>2018</v>
      </c>
      <c r="F30" s="99">
        <v>28</v>
      </c>
      <c r="G30" s="99" t="s">
        <v>334</v>
      </c>
      <c r="H30" s="99" t="s">
        <v>335</v>
      </c>
      <c r="I30" s="99" t="s">
        <v>336</v>
      </c>
      <c r="J30" s="99" t="s">
        <v>17</v>
      </c>
      <c r="K30" s="99">
        <v>1087996780</v>
      </c>
      <c r="L30" s="99" t="s">
        <v>336</v>
      </c>
      <c r="M30" s="99"/>
      <c r="N30" s="99" t="s">
        <v>515</v>
      </c>
      <c r="O30" s="99" t="s">
        <v>767</v>
      </c>
      <c r="P30" s="99">
        <v>75094575</v>
      </c>
      <c r="Q30" s="100">
        <v>29310</v>
      </c>
      <c r="R30" s="99"/>
      <c r="S30" s="99" t="s">
        <v>340</v>
      </c>
      <c r="T30" s="99" t="s">
        <v>768</v>
      </c>
      <c r="U30" s="101">
        <v>3148116965</v>
      </c>
      <c r="V30" s="99"/>
      <c r="W30" s="99" t="s">
        <v>769</v>
      </c>
      <c r="X30" s="102" t="s">
        <v>770</v>
      </c>
      <c r="Y30" s="103" t="s">
        <v>771</v>
      </c>
      <c r="Z30" s="104">
        <v>28800000</v>
      </c>
      <c r="AA30" s="99">
        <v>240</v>
      </c>
      <c r="AB30" s="101">
        <v>0</v>
      </c>
      <c r="AC30" s="99" t="s">
        <v>371</v>
      </c>
      <c r="AD30" s="105" t="s">
        <v>772</v>
      </c>
      <c r="AE30" s="105" t="s">
        <v>345</v>
      </c>
      <c r="AF30" s="105" t="s">
        <v>346</v>
      </c>
      <c r="AG30" s="106" t="s">
        <v>373</v>
      </c>
      <c r="AH30" s="106" t="s">
        <v>374</v>
      </c>
      <c r="AI30" s="229" t="s">
        <v>99</v>
      </c>
      <c r="AJ30" s="106" t="s">
        <v>350</v>
      </c>
      <c r="AK30" s="103" t="s">
        <v>770</v>
      </c>
      <c r="AL30" s="99"/>
      <c r="AM30" s="263"/>
      <c r="AN30" s="269"/>
      <c r="AO30" s="263"/>
      <c r="AP30" s="269"/>
      <c r="AQ30" s="263"/>
      <c r="AR30" s="263"/>
      <c r="AS30" s="263"/>
      <c r="AT30" s="99"/>
      <c r="AU30" s="99"/>
      <c r="AV30" s="99"/>
      <c r="AW30" s="99"/>
      <c r="AX30" s="99"/>
      <c r="AY30" s="99"/>
      <c r="AZ30" s="99"/>
      <c r="BA30" s="99"/>
      <c r="BB30" s="99"/>
      <c r="BC30" s="99"/>
      <c r="BD30" s="99"/>
      <c r="BE30" s="99"/>
      <c r="BF30" s="99"/>
      <c r="BG30" s="160" t="s">
        <v>43</v>
      </c>
    </row>
    <row r="31" spans="1:59" ht="78.75" x14ac:dyDescent="0.25">
      <c r="A31" s="151" t="s">
        <v>773</v>
      </c>
      <c r="B31" s="91" t="s">
        <v>774</v>
      </c>
      <c r="C31" s="91" t="s">
        <v>775</v>
      </c>
      <c r="D31" s="91" t="s">
        <v>451</v>
      </c>
      <c r="E31" s="91">
        <v>2018</v>
      </c>
      <c r="F31" s="91">
        <v>29</v>
      </c>
      <c r="G31" s="91" t="s">
        <v>334</v>
      </c>
      <c r="H31" s="91" t="s">
        <v>335</v>
      </c>
      <c r="I31" s="91" t="s">
        <v>336</v>
      </c>
      <c r="J31" s="91" t="s">
        <v>17</v>
      </c>
      <c r="K31" s="91">
        <v>1087996780</v>
      </c>
      <c r="L31" s="91" t="s">
        <v>690</v>
      </c>
      <c r="M31" s="91" t="s">
        <v>267</v>
      </c>
      <c r="N31" s="91" t="s">
        <v>548</v>
      </c>
      <c r="O31" s="91" t="s">
        <v>776</v>
      </c>
      <c r="P31" s="91">
        <v>1088268506</v>
      </c>
      <c r="Q31" s="92">
        <v>32654</v>
      </c>
      <c r="R31" s="91" t="s">
        <v>20</v>
      </c>
      <c r="S31" s="91" t="s">
        <v>777</v>
      </c>
      <c r="T31" s="91" t="s">
        <v>778</v>
      </c>
      <c r="U31" s="93">
        <v>3128452179</v>
      </c>
      <c r="V31" s="91" t="s">
        <v>261</v>
      </c>
      <c r="W31" s="91" t="s">
        <v>779</v>
      </c>
      <c r="X31" s="94" t="s">
        <v>211</v>
      </c>
      <c r="Y31" s="94" t="s">
        <v>343</v>
      </c>
      <c r="Z31" s="95">
        <v>12000000</v>
      </c>
      <c r="AA31" s="91">
        <v>240</v>
      </c>
      <c r="AB31" s="93">
        <v>98</v>
      </c>
      <c r="AC31" s="92">
        <v>43364</v>
      </c>
      <c r="AD31" s="96" t="s">
        <v>695</v>
      </c>
      <c r="AE31" s="96" t="s">
        <v>345</v>
      </c>
      <c r="AF31" s="96" t="s">
        <v>346</v>
      </c>
      <c r="AG31" s="97" t="s">
        <v>347</v>
      </c>
      <c r="AH31" s="97" t="s">
        <v>418</v>
      </c>
      <c r="AI31" s="227" t="s">
        <v>780</v>
      </c>
      <c r="AJ31" s="97" t="s">
        <v>350</v>
      </c>
      <c r="AK31" s="94" t="s">
        <v>211</v>
      </c>
      <c r="AL31" s="91" t="s">
        <v>263</v>
      </c>
      <c r="AM31" s="91" t="s">
        <v>781</v>
      </c>
      <c r="AN31" s="91" t="s">
        <v>697</v>
      </c>
      <c r="AO31" s="91" t="s">
        <v>698</v>
      </c>
      <c r="AP31" s="91" t="s">
        <v>782</v>
      </c>
      <c r="AQ31" s="91" t="s">
        <v>611</v>
      </c>
      <c r="AR31" s="91" t="s">
        <v>783</v>
      </c>
      <c r="AS31" s="91" t="s">
        <v>612</v>
      </c>
      <c r="AT31" s="91"/>
      <c r="AU31" s="91"/>
      <c r="AV31" s="91"/>
      <c r="AW31" s="91"/>
      <c r="AX31" s="91"/>
      <c r="AY31" s="91"/>
      <c r="AZ31" s="91"/>
      <c r="BA31" s="91"/>
      <c r="BB31" s="91"/>
      <c r="BC31" s="91"/>
      <c r="BD31" s="91"/>
      <c r="BE31" s="91" t="s">
        <v>276</v>
      </c>
      <c r="BF31" s="91" t="s">
        <v>281</v>
      </c>
      <c r="BG31" s="159" t="s">
        <v>43</v>
      </c>
    </row>
    <row r="32" spans="1:59" ht="78.75" x14ac:dyDescent="0.25">
      <c r="A32" s="152" t="s">
        <v>784</v>
      </c>
      <c r="B32" s="99">
        <v>45</v>
      </c>
      <c r="C32" s="99">
        <v>51</v>
      </c>
      <c r="D32" s="99" t="s">
        <v>451</v>
      </c>
      <c r="E32" s="99">
        <v>2018</v>
      </c>
      <c r="F32" s="99">
        <v>30</v>
      </c>
      <c r="G32" s="99" t="s">
        <v>334</v>
      </c>
      <c r="H32" s="99" t="s">
        <v>335</v>
      </c>
      <c r="I32" s="99" t="s">
        <v>336</v>
      </c>
      <c r="J32" s="99" t="s">
        <v>17</v>
      </c>
      <c r="K32" s="99">
        <v>1087996780</v>
      </c>
      <c r="L32" s="99" t="s">
        <v>494</v>
      </c>
      <c r="M32" s="99"/>
      <c r="N32" s="99" t="s">
        <v>548</v>
      </c>
      <c r="O32" s="99" t="s">
        <v>785</v>
      </c>
      <c r="P32" s="99">
        <v>10134992</v>
      </c>
      <c r="Q32" s="100">
        <v>25482</v>
      </c>
      <c r="R32" s="99"/>
      <c r="S32" s="99" t="s">
        <v>786</v>
      </c>
      <c r="T32" s="99" t="s">
        <v>787</v>
      </c>
      <c r="U32" s="101">
        <v>3155326317</v>
      </c>
      <c r="V32" s="99"/>
      <c r="W32" s="99" t="s">
        <v>788</v>
      </c>
      <c r="X32" s="102" t="s">
        <v>789</v>
      </c>
      <c r="Y32" s="103" t="s">
        <v>790</v>
      </c>
      <c r="Z32" s="104">
        <v>32000000</v>
      </c>
      <c r="AA32" s="99">
        <v>240</v>
      </c>
      <c r="AB32" s="101">
        <v>0</v>
      </c>
      <c r="AC32" s="99" t="s">
        <v>371</v>
      </c>
      <c r="AD32" s="105" t="s">
        <v>791</v>
      </c>
      <c r="AE32" s="105" t="s">
        <v>345</v>
      </c>
      <c r="AF32" s="105" t="s">
        <v>346</v>
      </c>
      <c r="AG32" s="106" t="s">
        <v>373</v>
      </c>
      <c r="AH32" s="106" t="s">
        <v>374</v>
      </c>
      <c r="AI32" s="229" t="s">
        <v>792</v>
      </c>
      <c r="AJ32" s="106" t="s">
        <v>350</v>
      </c>
      <c r="AK32" s="103" t="s">
        <v>789</v>
      </c>
      <c r="AL32" s="99"/>
      <c r="AM32" s="99"/>
      <c r="AN32" s="99"/>
      <c r="AO32" s="99"/>
      <c r="AP32" s="99"/>
      <c r="AQ32" s="99"/>
      <c r="AR32" s="99"/>
      <c r="AS32" s="99"/>
      <c r="AT32" s="99"/>
      <c r="AU32" s="99"/>
      <c r="AV32" s="99"/>
      <c r="AW32" s="99"/>
      <c r="AX32" s="99"/>
      <c r="AY32" s="99"/>
      <c r="AZ32" s="99"/>
      <c r="BA32" s="99"/>
      <c r="BB32" s="99"/>
      <c r="BC32" s="99"/>
      <c r="BD32" s="99"/>
      <c r="BE32" s="99"/>
      <c r="BF32" s="99"/>
      <c r="BG32" s="160" t="s">
        <v>43</v>
      </c>
    </row>
    <row r="33" spans="1:59" ht="78.75" x14ac:dyDescent="0.25">
      <c r="A33" s="155" t="s">
        <v>793</v>
      </c>
      <c r="B33" s="121">
        <v>47</v>
      </c>
      <c r="C33" s="121">
        <v>47</v>
      </c>
      <c r="D33" s="121" t="s">
        <v>451</v>
      </c>
      <c r="E33" s="121">
        <v>2018</v>
      </c>
      <c r="F33" s="121">
        <v>31</v>
      </c>
      <c r="G33" s="121" t="s">
        <v>334</v>
      </c>
      <c r="H33" s="121" t="s">
        <v>335</v>
      </c>
      <c r="I33" s="121" t="s">
        <v>336</v>
      </c>
      <c r="J33" s="121" t="s">
        <v>17</v>
      </c>
      <c r="K33" s="121">
        <v>1087996780</v>
      </c>
      <c r="L33" s="121" t="s">
        <v>661</v>
      </c>
      <c r="M33" s="121" t="s">
        <v>266</v>
      </c>
      <c r="N33" s="121" t="s">
        <v>548</v>
      </c>
      <c r="O33" s="121"/>
      <c r="P33" s="121">
        <v>4378262</v>
      </c>
      <c r="Q33" s="122">
        <v>30558</v>
      </c>
      <c r="R33" s="121" t="s">
        <v>20</v>
      </c>
      <c r="S33" s="121" t="s">
        <v>794</v>
      </c>
      <c r="T33" s="121" t="s">
        <v>795</v>
      </c>
      <c r="U33" s="123">
        <v>3206921748</v>
      </c>
      <c r="V33" s="121" t="s">
        <v>261</v>
      </c>
      <c r="W33" s="121" t="s">
        <v>796</v>
      </c>
      <c r="X33" s="94" t="s">
        <v>797</v>
      </c>
      <c r="Y33" s="124" t="s">
        <v>798</v>
      </c>
      <c r="Z33" s="125">
        <v>32000000</v>
      </c>
      <c r="AA33" s="121"/>
      <c r="AB33" s="123"/>
      <c r="AC33" s="121"/>
      <c r="AD33" s="126" t="s">
        <v>799</v>
      </c>
      <c r="AE33" s="126" t="s">
        <v>345</v>
      </c>
      <c r="AF33" s="126" t="s">
        <v>346</v>
      </c>
      <c r="AG33" s="127" t="s">
        <v>373</v>
      </c>
      <c r="AH33" s="127" t="s">
        <v>374</v>
      </c>
      <c r="AI33" s="226" t="s">
        <v>800</v>
      </c>
      <c r="AJ33" s="127" t="s">
        <v>350</v>
      </c>
      <c r="AK33" s="124" t="s">
        <v>797</v>
      </c>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59" t="s">
        <v>111</v>
      </c>
    </row>
    <row r="34" spans="1:59" ht="78.75" x14ac:dyDescent="0.25">
      <c r="A34" s="153" t="s">
        <v>801</v>
      </c>
      <c r="B34" s="107" t="s">
        <v>802</v>
      </c>
      <c r="C34" s="107" t="s">
        <v>803</v>
      </c>
      <c r="D34" s="107" t="s">
        <v>451</v>
      </c>
      <c r="E34" s="107">
        <v>2018</v>
      </c>
      <c r="F34" s="107">
        <v>32</v>
      </c>
      <c r="G34" s="107" t="s">
        <v>334</v>
      </c>
      <c r="H34" s="107" t="s">
        <v>335</v>
      </c>
      <c r="I34" s="107" t="s">
        <v>336</v>
      </c>
      <c r="J34" s="107" t="s">
        <v>17</v>
      </c>
      <c r="K34" s="107">
        <v>1087996780</v>
      </c>
      <c r="L34" s="107" t="s">
        <v>514</v>
      </c>
      <c r="M34" s="107" t="s">
        <v>266</v>
      </c>
      <c r="N34" s="107" t="s">
        <v>548</v>
      </c>
      <c r="O34" s="107" t="s">
        <v>804</v>
      </c>
      <c r="P34" s="107">
        <v>42003318</v>
      </c>
      <c r="Q34" s="108">
        <v>22811</v>
      </c>
      <c r="R34" s="107" t="s">
        <v>20</v>
      </c>
      <c r="S34" s="107" t="s">
        <v>805</v>
      </c>
      <c r="T34" s="107" t="s">
        <v>806</v>
      </c>
      <c r="U34" s="109">
        <v>3128993503</v>
      </c>
      <c r="V34" s="107" t="s">
        <v>269</v>
      </c>
      <c r="W34" s="107" t="s">
        <v>807</v>
      </c>
      <c r="X34" s="102" t="s">
        <v>808</v>
      </c>
      <c r="Y34" s="102" t="s">
        <v>343</v>
      </c>
      <c r="Z34" s="110">
        <v>24000000</v>
      </c>
      <c r="AA34" s="107">
        <v>240</v>
      </c>
      <c r="AB34" s="109">
        <v>96</v>
      </c>
      <c r="AC34" s="108">
        <v>43367</v>
      </c>
      <c r="AD34" s="111" t="s">
        <v>809</v>
      </c>
      <c r="AE34" s="111" t="s">
        <v>345</v>
      </c>
      <c r="AF34" s="111" t="s">
        <v>346</v>
      </c>
      <c r="AG34" s="112" t="s">
        <v>810</v>
      </c>
      <c r="AH34" s="112" t="s">
        <v>418</v>
      </c>
      <c r="AI34" s="231" t="s">
        <v>811</v>
      </c>
      <c r="AJ34" s="112" t="s">
        <v>350</v>
      </c>
      <c r="AK34" s="102" t="s">
        <v>808</v>
      </c>
      <c r="AL34" s="107" t="s">
        <v>263</v>
      </c>
      <c r="AM34" s="244" t="s">
        <v>812</v>
      </c>
      <c r="AN34" s="244" t="s">
        <v>813</v>
      </c>
      <c r="AO34" s="244" t="s">
        <v>814</v>
      </c>
      <c r="AP34" s="244" t="s">
        <v>815</v>
      </c>
      <c r="AQ34" s="244" t="s">
        <v>816</v>
      </c>
      <c r="AR34" s="244" t="s">
        <v>817</v>
      </c>
      <c r="AS34" s="244" t="s">
        <v>700</v>
      </c>
      <c r="AT34" s="244" t="s">
        <v>818</v>
      </c>
      <c r="AU34" s="245" t="s">
        <v>819</v>
      </c>
      <c r="AV34" s="246"/>
      <c r="AW34" s="246"/>
      <c r="AX34" s="247"/>
      <c r="AY34" s="107"/>
      <c r="AZ34" s="107"/>
      <c r="BA34" s="107"/>
      <c r="BB34" s="107"/>
      <c r="BC34" s="107"/>
      <c r="BD34" s="107"/>
      <c r="BE34" s="107" t="s">
        <v>276</v>
      </c>
      <c r="BF34" s="107" t="s">
        <v>257</v>
      </c>
      <c r="BG34" s="160" t="s">
        <v>111</v>
      </c>
    </row>
    <row r="35" spans="1:59" ht="78.75" x14ac:dyDescent="0.25">
      <c r="A35" s="151" t="s">
        <v>820</v>
      </c>
      <c r="B35" s="91" t="s">
        <v>821</v>
      </c>
      <c r="C35" s="91" t="s">
        <v>822</v>
      </c>
      <c r="D35" s="91" t="s">
        <v>451</v>
      </c>
      <c r="E35" s="91">
        <v>2018</v>
      </c>
      <c r="F35" s="91">
        <v>33</v>
      </c>
      <c r="G35" s="91" t="s">
        <v>334</v>
      </c>
      <c r="H35" s="91" t="s">
        <v>335</v>
      </c>
      <c r="I35" s="91" t="s">
        <v>336</v>
      </c>
      <c r="J35" s="91" t="s">
        <v>17</v>
      </c>
      <c r="K35" s="91">
        <v>1087996780</v>
      </c>
      <c r="L35" s="91" t="s">
        <v>380</v>
      </c>
      <c r="M35" s="91" t="s">
        <v>265</v>
      </c>
      <c r="N35" s="91" t="s">
        <v>548</v>
      </c>
      <c r="O35" s="91" t="s">
        <v>823</v>
      </c>
      <c r="P35" s="91">
        <v>10106091</v>
      </c>
      <c r="Q35" s="92">
        <v>22692</v>
      </c>
      <c r="R35" s="91" t="s">
        <v>20</v>
      </c>
      <c r="S35" s="91" t="s">
        <v>824</v>
      </c>
      <c r="T35" s="91" t="s">
        <v>825</v>
      </c>
      <c r="U35" s="93">
        <v>3106403160</v>
      </c>
      <c r="V35" s="91" t="s">
        <v>269</v>
      </c>
      <c r="W35" s="91" t="s">
        <v>826</v>
      </c>
      <c r="X35" s="94" t="s">
        <v>827</v>
      </c>
      <c r="Y35" s="94" t="s">
        <v>343</v>
      </c>
      <c r="Z35" s="95">
        <v>24000000</v>
      </c>
      <c r="AA35" s="91">
        <v>240</v>
      </c>
      <c r="AB35" s="93">
        <v>95</v>
      </c>
      <c r="AC35" s="92">
        <v>43366</v>
      </c>
      <c r="AD35" s="96" t="s">
        <v>828</v>
      </c>
      <c r="AE35" s="96" t="s">
        <v>345</v>
      </c>
      <c r="AF35" s="96" t="s">
        <v>346</v>
      </c>
      <c r="AG35" s="97" t="s">
        <v>347</v>
      </c>
      <c r="AH35" s="97" t="s">
        <v>348</v>
      </c>
      <c r="AI35" s="227" t="s">
        <v>829</v>
      </c>
      <c r="AJ35" s="97" t="s">
        <v>350</v>
      </c>
      <c r="AK35" s="94" t="s">
        <v>827</v>
      </c>
      <c r="AL35" s="91" t="s">
        <v>263</v>
      </c>
      <c r="AM35" s="91" t="s">
        <v>830</v>
      </c>
      <c r="AN35" s="91" t="s">
        <v>831</v>
      </c>
      <c r="AO35" s="91" t="s">
        <v>832</v>
      </c>
      <c r="AP35" s="91" t="s">
        <v>833</v>
      </c>
      <c r="AQ35" s="91" t="s">
        <v>834</v>
      </c>
      <c r="AR35" s="91" t="s">
        <v>835</v>
      </c>
      <c r="AS35" s="91" t="s">
        <v>836</v>
      </c>
      <c r="AT35" s="91" t="s">
        <v>837</v>
      </c>
      <c r="AU35" s="91" t="s">
        <v>838</v>
      </c>
      <c r="AV35" s="91" t="s">
        <v>839</v>
      </c>
      <c r="AW35" s="91"/>
      <c r="AX35" s="91"/>
      <c r="AY35" s="91"/>
      <c r="AZ35" s="91"/>
      <c r="BA35" s="91"/>
      <c r="BB35" s="91"/>
      <c r="BC35" s="91"/>
      <c r="BD35" s="91"/>
      <c r="BE35" s="91" t="s">
        <v>276</v>
      </c>
      <c r="BF35" s="91" t="s">
        <v>257</v>
      </c>
      <c r="BG35" s="159" t="s">
        <v>43</v>
      </c>
    </row>
    <row r="36" spans="1:59" ht="78.75" x14ac:dyDescent="0.25">
      <c r="A36" s="152" t="s">
        <v>840</v>
      </c>
      <c r="B36" s="99">
        <v>74</v>
      </c>
      <c r="C36" s="99">
        <v>45</v>
      </c>
      <c r="D36" s="99" t="s">
        <v>451</v>
      </c>
      <c r="E36" s="99">
        <v>2018</v>
      </c>
      <c r="F36" s="99">
        <v>34</v>
      </c>
      <c r="G36" s="99" t="s">
        <v>334</v>
      </c>
      <c r="H36" s="99" t="s">
        <v>335</v>
      </c>
      <c r="I36" s="99" t="s">
        <v>336</v>
      </c>
      <c r="J36" s="99" t="s">
        <v>17</v>
      </c>
      <c r="K36" s="99">
        <v>1087996780</v>
      </c>
      <c r="L36" s="99" t="s">
        <v>841</v>
      </c>
      <c r="M36" s="99"/>
      <c r="N36" s="99" t="s">
        <v>548</v>
      </c>
      <c r="O36" s="99" t="s">
        <v>842</v>
      </c>
      <c r="P36" s="99">
        <v>1088008662</v>
      </c>
      <c r="Q36" s="100">
        <v>33553</v>
      </c>
      <c r="R36" s="99"/>
      <c r="S36" s="99" t="s">
        <v>843</v>
      </c>
      <c r="T36" s="99" t="s">
        <v>844</v>
      </c>
      <c r="U36" s="101">
        <v>3218906267</v>
      </c>
      <c r="V36" s="99"/>
      <c r="W36" s="99" t="s">
        <v>845</v>
      </c>
      <c r="X36" s="102" t="s">
        <v>846</v>
      </c>
      <c r="Y36" s="103" t="s">
        <v>847</v>
      </c>
      <c r="Z36" s="104">
        <v>21600000</v>
      </c>
      <c r="AA36" s="99">
        <v>240</v>
      </c>
      <c r="AB36" s="101">
        <v>0</v>
      </c>
      <c r="AC36" s="99" t="s">
        <v>371</v>
      </c>
      <c r="AD36" s="105" t="s">
        <v>848</v>
      </c>
      <c r="AE36" s="105" t="s">
        <v>345</v>
      </c>
      <c r="AF36" s="105" t="s">
        <v>346</v>
      </c>
      <c r="AG36" s="106" t="s">
        <v>373</v>
      </c>
      <c r="AH36" s="106" t="s">
        <v>374</v>
      </c>
      <c r="AI36" s="229" t="s">
        <v>800</v>
      </c>
      <c r="AJ36" s="106" t="s">
        <v>350</v>
      </c>
      <c r="AK36" s="103" t="s">
        <v>846</v>
      </c>
      <c r="AL36" s="99"/>
      <c r="AM36" s="99"/>
      <c r="AN36" s="99"/>
      <c r="AO36" s="99"/>
      <c r="AP36" s="99"/>
      <c r="AQ36" s="99"/>
      <c r="AR36" s="99"/>
      <c r="AS36" s="99"/>
      <c r="AT36" s="99"/>
      <c r="AU36" s="99"/>
      <c r="AV36" s="99"/>
      <c r="AW36" s="99"/>
      <c r="AX36" s="99"/>
      <c r="AY36" s="99"/>
      <c r="AZ36" s="99"/>
      <c r="BA36" s="99"/>
      <c r="BB36" s="99"/>
      <c r="BC36" s="99"/>
      <c r="BD36" s="99"/>
      <c r="BE36" s="99"/>
      <c r="BF36" s="99"/>
      <c r="BG36" s="160" t="s">
        <v>111</v>
      </c>
    </row>
    <row r="37" spans="1:59" ht="78.75" x14ac:dyDescent="0.25">
      <c r="A37" s="155" t="s">
        <v>849</v>
      </c>
      <c r="B37" s="121">
        <v>39</v>
      </c>
      <c r="C37" s="121">
        <v>36</v>
      </c>
      <c r="D37" s="121" t="s">
        <v>363</v>
      </c>
      <c r="E37" s="121">
        <v>2018</v>
      </c>
      <c r="F37" s="121">
        <v>35</v>
      </c>
      <c r="G37" s="121" t="s">
        <v>334</v>
      </c>
      <c r="H37" s="121" t="s">
        <v>335</v>
      </c>
      <c r="I37" s="121" t="s">
        <v>336</v>
      </c>
      <c r="J37" s="121" t="s">
        <v>17</v>
      </c>
      <c r="K37" s="121">
        <v>1087996780</v>
      </c>
      <c r="L37" s="121" t="s">
        <v>494</v>
      </c>
      <c r="M37" s="121"/>
      <c r="N37" s="121" t="s">
        <v>642</v>
      </c>
      <c r="O37" s="121" t="s">
        <v>850</v>
      </c>
      <c r="P37" s="121">
        <v>42101225</v>
      </c>
      <c r="Q37" s="122">
        <v>25901</v>
      </c>
      <c r="R37" s="121"/>
      <c r="S37" s="121" t="s">
        <v>851</v>
      </c>
      <c r="T37" s="121" t="s">
        <v>852</v>
      </c>
      <c r="U37" s="123">
        <v>3216134234</v>
      </c>
      <c r="V37" s="121"/>
      <c r="W37" s="121" t="s">
        <v>853</v>
      </c>
      <c r="X37" s="94" t="s">
        <v>854</v>
      </c>
      <c r="Y37" s="124" t="s">
        <v>515</v>
      </c>
      <c r="Z37" s="125">
        <v>16000000</v>
      </c>
      <c r="AA37" s="121"/>
      <c r="AB37" s="123"/>
      <c r="AC37" s="121"/>
      <c r="AD37" s="126" t="s">
        <v>855</v>
      </c>
      <c r="AE37" s="126" t="s">
        <v>345</v>
      </c>
      <c r="AF37" s="126" t="s">
        <v>346</v>
      </c>
      <c r="AG37" s="127" t="s">
        <v>373</v>
      </c>
      <c r="AH37" s="127" t="s">
        <v>374</v>
      </c>
      <c r="AI37" s="226" t="s">
        <v>856</v>
      </c>
      <c r="AJ37" s="127" t="s">
        <v>350</v>
      </c>
      <c r="AK37" s="124" t="s">
        <v>854</v>
      </c>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59" t="s">
        <v>111</v>
      </c>
    </row>
    <row r="38" spans="1:59" ht="78.75" x14ac:dyDescent="0.25">
      <c r="A38" s="152" t="s">
        <v>857</v>
      </c>
      <c r="B38" s="99">
        <v>46</v>
      </c>
      <c r="C38" s="99">
        <v>39</v>
      </c>
      <c r="D38" s="99" t="s">
        <v>363</v>
      </c>
      <c r="E38" s="99">
        <v>2018</v>
      </c>
      <c r="F38" s="99">
        <v>36</v>
      </c>
      <c r="G38" s="99" t="s">
        <v>334</v>
      </c>
      <c r="H38" s="99" t="s">
        <v>335</v>
      </c>
      <c r="I38" s="99" t="s">
        <v>336</v>
      </c>
      <c r="J38" s="99" t="s">
        <v>17</v>
      </c>
      <c r="K38" s="99">
        <v>1087996780</v>
      </c>
      <c r="L38" s="99" t="s">
        <v>380</v>
      </c>
      <c r="M38" s="99"/>
      <c r="N38" s="99" t="s">
        <v>642</v>
      </c>
      <c r="O38" s="99" t="s">
        <v>858</v>
      </c>
      <c r="P38" s="99">
        <v>1088022859</v>
      </c>
      <c r="Q38" s="100">
        <v>34885</v>
      </c>
      <c r="R38" s="99"/>
      <c r="S38" s="99" t="s">
        <v>139</v>
      </c>
      <c r="T38" s="99" t="s">
        <v>859</v>
      </c>
      <c r="U38" s="101">
        <v>3152508429</v>
      </c>
      <c r="V38" s="99"/>
      <c r="W38" s="99" t="s">
        <v>860</v>
      </c>
      <c r="X38" s="102" t="s">
        <v>861</v>
      </c>
      <c r="Y38" s="103" t="s">
        <v>790</v>
      </c>
      <c r="Z38" s="104">
        <v>10800000</v>
      </c>
      <c r="AA38" s="99"/>
      <c r="AB38" s="101"/>
      <c r="AC38" s="99"/>
      <c r="AD38" s="105" t="s">
        <v>862</v>
      </c>
      <c r="AE38" s="105" t="s">
        <v>345</v>
      </c>
      <c r="AF38" s="105" t="s">
        <v>346</v>
      </c>
      <c r="AG38" s="106" t="s">
        <v>373</v>
      </c>
      <c r="AH38" s="106" t="s">
        <v>374</v>
      </c>
      <c r="AI38" s="229" t="s">
        <v>863</v>
      </c>
      <c r="AJ38" s="106" t="s">
        <v>350</v>
      </c>
      <c r="AK38" s="103" t="s">
        <v>861</v>
      </c>
      <c r="AL38" s="99"/>
      <c r="AM38" s="99"/>
      <c r="AN38" s="99"/>
      <c r="AO38" s="99"/>
      <c r="AP38" s="99"/>
      <c r="AQ38" s="99"/>
      <c r="AR38" s="99"/>
      <c r="AS38" s="99"/>
      <c r="AT38" s="99"/>
      <c r="AU38" s="99"/>
      <c r="AV38" s="99"/>
      <c r="AW38" s="99"/>
      <c r="AX38" s="99"/>
      <c r="AY38" s="99"/>
      <c r="AZ38" s="99"/>
      <c r="BA38" s="99"/>
      <c r="BB38" s="99"/>
      <c r="BC38" s="99"/>
      <c r="BD38" s="99"/>
      <c r="BE38" s="99"/>
      <c r="BF38" s="99"/>
      <c r="BG38" s="160" t="s">
        <v>43</v>
      </c>
    </row>
    <row r="39" spans="1:59" ht="78.75" x14ac:dyDescent="0.25">
      <c r="A39" s="151" t="s">
        <v>864</v>
      </c>
      <c r="B39" s="91" t="s">
        <v>865</v>
      </c>
      <c r="C39" s="91" t="s">
        <v>866</v>
      </c>
      <c r="D39" s="91" t="s">
        <v>363</v>
      </c>
      <c r="E39" s="91">
        <v>2018</v>
      </c>
      <c r="F39" s="91">
        <v>37</v>
      </c>
      <c r="G39" s="91" t="s">
        <v>334</v>
      </c>
      <c r="H39" s="91" t="s">
        <v>335</v>
      </c>
      <c r="I39" s="91" t="s">
        <v>336</v>
      </c>
      <c r="J39" s="91" t="s">
        <v>17</v>
      </c>
      <c r="K39" s="91">
        <v>1087996780</v>
      </c>
      <c r="L39" s="91" t="s">
        <v>494</v>
      </c>
      <c r="M39" s="91" t="s">
        <v>264</v>
      </c>
      <c r="N39" s="91" t="s">
        <v>867</v>
      </c>
      <c r="O39" s="91" t="s">
        <v>868</v>
      </c>
      <c r="P39" s="91">
        <v>1061725615</v>
      </c>
      <c r="Q39" s="92">
        <v>32907</v>
      </c>
      <c r="R39" s="91" t="s">
        <v>20</v>
      </c>
      <c r="S39" s="91" t="s">
        <v>869</v>
      </c>
      <c r="T39" s="91" t="s">
        <v>870</v>
      </c>
      <c r="U39" s="93">
        <v>3128708188</v>
      </c>
      <c r="V39" s="91" t="s">
        <v>261</v>
      </c>
      <c r="W39" s="91" t="s">
        <v>871</v>
      </c>
      <c r="X39" s="94" t="s">
        <v>827</v>
      </c>
      <c r="Y39" s="94" t="s">
        <v>343</v>
      </c>
      <c r="Z39" s="95">
        <v>26400000</v>
      </c>
      <c r="AA39" s="91">
        <v>240</v>
      </c>
      <c r="AB39" s="93">
        <v>95</v>
      </c>
      <c r="AC39" s="92">
        <v>43368</v>
      </c>
      <c r="AD39" s="96" t="s">
        <v>872</v>
      </c>
      <c r="AE39" s="96" t="s">
        <v>345</v>
      </c>
      <c r="AF39" s="96" t="s">
        <v>346</v>
      </c>
      <c r="AG39" s="97" t="s">
        <v>350</v>
      </c>
      <c r="AH39" s="97" t="s">
        <v>873</v>
      </c>
      <c r="AI39" s="227" t="s">
        <v>82</v>
      </c>
      <c r="AJ39" s="97" t="s">
        <v>350</v>
      </c>
      <c r="AK39" s="94" t="s">
        <v>827</v>
      </c>
      <c r="AL39" s="91" t="s">
        <v>263</v>
      </c>
      <c r="AM39" s="237" t="s">
        <v>874</v>
      </c>
      <c r="AN39" s="237" t="s">
        <v>875</v>
      </c>
      <c r="AO39" s="237" t="s">
        <v>876</v>
      </c>
      <c r="AP39" s="237" t="s">
        <v>877</v>
      </c>
      <c r="AQ39" s="237" t="s">
        <v>878</v>
      </c>
      <c r="AR39" s="237" t="s">
        <v>879</v>
      </c>
      <c r="AS39" s="237" t="s">
        <v>880</v>
      </c>
      <c r="AT39" s="237" t="s">
        <v>881</v>
      </c>
      <c r="AU39" s="237" t="s">
        <v>882</v>
      </c>
      <c r="AV39" s="237" t="s">
        <v>883</v>
      </c>
      <c r="AW39" s="239" t="s">
        <v>884</v>
      </c>
      <c r="AX39" s="240"/>
      <c r="AY39" s="240"/>
      <c r="AZ39" s="240"/>
      <c r="BA39" s="241"/>
      <c r="BB39" s="91"/>
      <c r="BC39" s="91"/>
      <c r="BD39" s="91"/>
      <c r="BE39" s="91" t="s">
        <v>276</v>
      </c>
      <c r="BF39" s="91" t="s">
        <v>257</v>
      </c>
      <c r="BG39" s="159" t="s">
        <v>111</v>
      </c>
    </row>
    <row r="40" spans="1:59" ht="78.75" x14ac:dyDescent="0.25">
      <c r="A40" s="152" t="s">
        <v>885</v>
      </c>
      <c r="B40" s="99">
        <v>44</v>
      </c>
      <c r="C40" s="99">
        <v>61</v>
      </c>
      <c r="D40" s="99" t="s">
        <v>363</v>
      </c>
      <c r="E40" s="99">
        <v>2018</v>
      </c>
      <c r="F40" s="99">
        <v>38</v>
      </c>
      <c r="G40" s="99" t="s">
        <v>334</v>
      </c>
      <c r="H40" s="99" t="s">
        <v>335</v>
      </c>
      <c r="I40" s="99" t="s">
        <v>336</v>
      </c>
      <c r="J40" s="99" t="s">
        <v>17</v>
      </c>
      <c r="K40" s="99">
        <v>1087996780</v>
      </c>
      <c r="L40" s="99" t="s">
        <v>380</v>
      </c>
      <c r="M40" s="99"/>
      <c r="N40" s="99" t="s">
        <v>642</v>
      </c>
      <c r="O40" s="99" t="s">
        <v>886</v>
      </c>
      <c r="P40" s="99">
        <v>10126214</v>
      </c>
      <c r="Q40" s="100">
        <v>43160</v>
      </c>
      <c r="R40" s="99"/>
      <c r="S40" s="99" t="s">
        <v>887</v>
      </c>
      <c r="T40" s="99" t="s">
        <v>888</v>
      </c>
      <c r="U40" s="101">
        <v>3117663746</v>
      </c>
      <c r="V40" s="99"/>
      <c r="W40" s="99" t="s">
        <v>889</v>
      </c>
      <c r="X40" s="102" t="s">
        <v>890</v>
      </c>
      <c r="Y40" s="103" t="s">
        <v>891</v>
      </c>
      <c r="Z40" s="104">
        <v>12000000</v>
      </c>
      <c r="AA40" s="99"/>
      <c r="AB40" s="101"/>
      <c r="AC40" s="99"/>
      <c r="AD40" s="105" t="s">
        <v>892</v>
      </c>
      <c r="AE40" s="105" t="s">
        <v>345</v>
      </c>
      <c r="AF40" s="105" t="s">
        <v>346</v>
      </c>
      <c r="AG40" s="106" t="s">
        <v>373</v>
      </c>
      <c r="AH40" s="106" t="s">
        <v>374</v>
      </c>
      <c r="AI40" s="229" t="s">
        <v>81</v>
      </c>
      <c r="AJ40" s="106" t="s">
        <v>350</v>
      </c>
      <c r="AK40" s="103" t="s">
        <v>890</v>
      </c>
      <c r="AL40" s="99"/>
      <c r="AM40" s="99"/>
      <c r="AN40" s="99"/>
      <c r="AO40" s="99"/>
      <c r="AP40" s="99"/>
      <c r="AQ40" s="99"/>
      <c r="AR40" s="99"/>
      <c r="AS40" s="99"/>
      <c r="AT40" s="99"/>
      <c r="AU40" s="99"/>
      <c r="AV40" s="99"/>
      <c r="AW40" s="99"/>
      <c r="AX40" s="99"/>
      <c r="AY40" s="99"/>
      <c r="AZ40" s="99"/>
      <c r="BA40" s="99"/>
      <c r="BB40" s="99"/>
      <c r="BC40" s="99"/>
      <c r="BD40" s="99"/>
      <c r="BE40" s="99"/>
      <c r="BF40" s="99"/>
      <c r="BG40" s="160" t="s">
        <v>111</v>
      </c>
    </row>
    <row r="41" spans="1:59" ht="78.75" x14ac:dyDescent="0.25">
      <c r="A41" s="151" t="s">
        <v>893</v>
      </c>
      <c r="B41" s="91" t="s">
        <v>894</v>
      </c>
      <c r="C41" s="91" t="s">
        <v>895</v>
      </c>
      <c r="D41" s="91" t="s">
        <v>363</v>
      </c>
      <c r="E41" s="91">
        <v>2018</v>
      </c>
      <c r="F41" s="91">
        <v>39</v>
      </c>
      <c r="G41" s="91" t="s">
        <v>334</v>
      </c>
      <c r="H41" s="91" t="s">
        <v>335</v>
      </c>
      <c r="I41" s="91" t="s">
        <v>336</v>
      </c>
      <c r="J41" s="91" t="s">
        <v>17</v>
      </c>
      <c r="K41" s="91">
        <v>1087996780</v>
      </c>
      <c r="L41" s="91" t="s">
        <v>690</v>
      </c>
      <c r="M41" s="91" t="s">
        <v>267</v>
      </c>
      <c r="N41" s="91" t="s">
        <v>896</v>
      </c>
      <c r="O41" s="91" t="s">
        <v>897</v>
      </c>
      <c r="P41" s="91">
        <v>1087993250</v>
      </c>
      <c r="Q41" s="92">
        <v>32217</v>
      </c>
      <c r="R41" s="91" t="s">
        <v>20</v>
      </c>
      <c r="S41" s="91" t="s">
        <v>898</v>
      </c>
      <c r="T41" s="91" t="s">
        <v>899</v>
      </c>
      <c r="U41" s="93">
        <v>3142371872</v>
      </c>
      <c r="V41" s="91" t="s">
        <v>269</v>
      </c>
      <c r="W41" s="91" t="s">
        <v>900</v>
      </c>
      <c r="X41" s="94" t="s">
        <v>901</v>
      </c>
      <c r="Y41" s="94" t="s">
        <v>902</v>
      </c>
      <c r="Z41" s="95">
        <v>10800000</v>
      </c>
      <c r="AA41" s="91">
        <v>240</v>
      </c>
      <c r="AB41" s="93">
        <v>30</v>
      </c>
      <c r="AC41" s="92">
        <v>43364</v>
      </c>
      <c r="AD41" s="96" t="s">
        <v>903</v>
      </c>
      <c r="AE41" s="96" t="s">
        <v>345</v>
      </c>
      <c r="AF41" s="96" t="s">
        <v>346</v>
      </c>
      <c r="AG41" s="97" t="s">
        <v>417</v>
      </c>
      <c r="AH41" s="97" t="s">
        <v>418</v>
      </c>
      <c r="AI41" s="227" t="s">
        <v>92</v>
      </c>
      <c r="AJ41" s="97" t="s">
        <v>350</v>
      </c>
      <c r="AK41" s="94" t="s">
        <v>901</v>
      </c>
      <c r="AL41" s="91" t="s">
        <v>132</v>
      </c>
      <c r="AM41" s="91" t="s">
        <v>714</v>
      </c>
      <c r="AN41" s="91" t="s">
        <v>904</v>
      </c>
      <c r="AO41" s="91" t="s">
        <v>905</v>
      </c>
      <c r="AP41" s="91" t="s">
        <v>906</v>
      </c>
      <c r="AQ41" s="91" t="s">
        <v>907</v>
      </c>
      <c r="AR41" s="91" t="s">
        <v>908</v>
      </c>
      <c r="AS41" s="91" t="s">
        <v>909</v>
      </c>
      <c r="AT41" s="91"/>
      <c r="AU41" s="91"/>
      <c r="AV41" s="91"/>
      <c r="AW41" s="91"/>
      <c r="AX41" s="91"/>
      <c r="AY41" s="91"/>
      <c r="AZ41" s="91"/>
      <c r="BA41" s="91"/>
      <c r="BB41" s="91"/>
      <c r="BC41" s="91"/>
      <c r="BD41" s="91"/>
      <c r="BE41" s="91" t="s">
        <v>276</v>
      </c>
      <c r="BF41" s="91" t="s">
        <v>281</v>
      </c>
      <c r="BG41" s="159" t="s">
        <v>111</v>
      </c>
    </row>
    <row r="42" spans="1:59" ht="78.75" x14ac:dyDescent="0.25">
      <c r="A42" s="153" t="s">
        <v>910</v>
      </c>
      <c r="B42" s="107" t="s">
        <v>911</v>
      </c>
      <c r="C42" s="107" t="s">
        <v>912</v>
      </c>
      <c r="D42" s="107" t="s">
        <v>363</v>
      </c>
      <c r="E42" s="107">
        <v>2018</v>
      </c>
      <c r="F42" s="107">
        <v>40</v>
      </c>
      <c r="G42" s="107" t="s">
        <v>334</v>
      </c>
      <c r="H42" s="107" t="s">
        <v>335</v>
      </c>
      <c r="I42" s="107" t="s">
        <v>336</v>
      </c>
      <c r="J42" s="107" t="s">
        <v>17</v>
      </c>
      <c r="K42" s="107">
        <v>1087996780</v>
      </c>
      <c r="L42" s="107" t="s">
        <v>661</v>
      </c>
      <c r="M42" s="107" t="s">
        <v>266</v>
      </c>
      <c r="N42" s="107" t="s">
        <v>867</v>
      </c>
      <c r="O42" s="107" t="s">
        <v>913</v>
      </c>
      <c r="P42" s="107">
        <v>1088269421</v>
      </c>
      <c r="Q42" s="108">
        <v>32691</v>
      </c>
      <c r="R42" s="107" t="s">
        <v>20</v>
      </c>
      <c r="S42" s="107" t="s">
        <v>794</v>
      </c>
      <c r="T42" s="107" t="s">
        <v>914</v>
      </c>
      <c r="U42" s="109">
        <v>3218510844</v>
      </c>
      <c r="V42" s="107" t="s">
        <v>261</v>
      </c>
      <c r="W42" s="107" t="s">
        <v>915</v>
      </c>
      <c r="X42" s="102" t="s">
        <v>827</v>
      </c>
      <c r="Y42" s="102" t="s">
        <v>343</v>
      </c>
      <c r="Z42" s="110">
        <v>28000000</v>
      </c>
      <c r="AA42" s="107">
        <v>240</v>
      </c>
      <c r="AB42" s="109">
        <v>95</v>
      </c>
      <c r="AC42" s="108">
        <v>43368</v>
      </c>
      <c r="AD42" s="111" t="s">
        <v>916</v>
      </c>
      <c r="AE42" s="111" t="s">
        <v>345</v>
      </c>
      <c r="AF42" s="111" t="s">
        <v>346</v>
      </c>
      <c r="AG42" s="112" t="s">
        <v>417</v>
      </c>
      <c r="AH42" s="112" t="s">
        <v>418</v>
      </c>
      <c r="AI42" s="231" t="s">
        <v>83</v>
      </c>
      <c r="AJ42" s="112" t="s">
        <v>350</v>
      </c>
      <c r="AK42" s="102" t="s">
        <v>827</v>
      </c>
      <c r="AL42" s="107" t="s">
        <v>263</v>
      </c>
      <c r="AM42" s="265" t="s">
        <v>917</v>
      </c>
      <c r="AN42" s="265" t="s">
        <v>918</v>
      </c>
      <c r="AO42" s="265" t="s">
        <v>919</v>
      </c>
      <c r="AP42" s="265" t="s">
        <v>920</v>
      </c>
      <c r="AQ42" s="265" t="s">
        <v>921</v>
      </c>
      <c r="AR42" s="265" t="s">
        <v>922</v>
      </c>
      <c r="AS42" s="265" t="s">
        <v>923</v>
      </c>
      <c r="AT42" s="265" t="s">
        <v>924</v>
      </c>
      <c r="AU42" s="107"/>
      <c r="AV42" s="107"/>
      <c r="AW42" s="107"/>
      <c r="AX42" s="107"/>
      <c r="AY42" s="107"/>
      <c r="AZ42" s="107"/>
      <c r="BA42" s="107"/>
      <c r="BB42" s="107"/>
      <c r="BC42" s="107"/>
      <c r="BD42" s="107"/>
      <c r="BE42" s="107" t="s">
        <v>276</v>
      </c>
      <c r="BF42" s="107" t="s">
        <v>257</v>
      </c>
      <c r="BG42" s="160" t="s">
        <v>111</v>
      </c>
    </row>
    <row r="43" spans="1:59" ht="78.75" x14ac:dyDescent="0.25">
      <c r="A43" s="155" t="s">
        <v>925</v>
      </c>
      <c r="B43" s="121">
        <v>49</v>
      </c>
      <c r="C43" s="121">
        <v>52</v>
      </c>
      <c r="D43" s="121" t="s">
        <v>451</v>
      </c>
      <c r="E43" s="121">
        <v>2018</v>
      </c>
      <c r="F43" s="121">
        <v>41</v>
      </c>
      <c r="G43" s="121" t="s">
        <v>334</v>
      </c>
      <c r="H43" s="121" t="s">
        <v>335</v>
      </c>
      <c r="I43" s="121" t="s">
        <v>336</v>
      </c>
      <c r="J43" s="121" t="s">
        <v>17</v>
      </c>
      <c r="K43" s="121">
        <v>1087996780</v>
      </c>
      <c r="L43" s="121" t="s">
        <v>494</v>
      </c>
      <c r="M43" s="121"/>
      <c r="N43" s="121" t="s">
        <v>896</v>
      </c>
      <c r="O43" s="121" t="s">
        <v>926</v>
      </c>
      <c r="P43" s="121">
        <v>10088282271</v>
      </c>
      <c r="Q43" s="122">
        <v>33138</v>
      </c>
      <c r="R43" s="121"/>
      <c r="S43" s="121" t="s">
        <v>843</v>
      </c>
      <c r="T43" s="121" t="s">
        <v>927</v>
      </c>
      <c r="U43" s="123">
        <v>3168737088</v>
      </c>
      <c r="V43" s="121"/>
      <c r="W43" s="121" t="s">
        <v>928</v>
      </c>
      <c r="X43" s="94" t="s">
        <v>827</v>
      </c>
      <c r="Y43" s="124" t="s">
        <v>790</v>
      </c>
      <c r="Z43" s="125">
        <v>32000000</v>
      </c>
      <c r="AA43" s="121">
        <v>240</v>
      </c>
      <c r="AB43" s="123">
        <v>0</v>
      </c>
      <c r="AC43" s="121" t="s">
        <v>371</v>
      </c>
      <c r="AD43" s="126" t="s">
        <v>929</v>
      </c>
      <c r="AE43" s="126" t="s">
        <v>345</v>
      </c>
      <c r="AF43" s="126" t="s">
        <v>346</v>
      </c>
      <c r="AG43" s="127" t="s">
        <v>417</v>
      </c>
      <c r="AH43" s="127" t="s">
        <v>374</v>
      </c>
      <c r="AI43" s="226" t="s">
        <v>98</v>
      </c>
      <c r="AJ43" s="127" t="s">
        <v>350</v>
      </c>
      <c r="AK43" s="124" t="s">
        <v>827</v>
      </c>
      <c r="AL43" s="121" t="s">
        <v>263</v>
      </c>
      <c r="AM43" s="260"/>
      <c r="AN43" s="260"/>
      <c r="AO43" s="260"/>
      <c r="AP43" s="260"/>
      <c r="AQ43" s="260"/>
      <c r="AR43" s="260"/>
      <c r="AS43" s="260"/>
      <c r="AT43" s="260"/>
      <c r="AU43" s="121"/>
      <c r="AV43" s="121"/>
      <c r="AW43" s="121"/>
      <c r="AX43" s="121"/>
      <c r="AY43" s="121"/>
      <c r="AZ43" s="121"/>
      <c r="BA43" s="121"/>
      <c r="BB43" s="121"/>
      <c r="BC43" s="121"/>
      <c r="BD43" s="121"/>
      <c r="BE43" s="121"/>
      <c r="BF43" s="121"/>
      <c r="BG43" s="159" t="s">
        <v>111</v>
      </c>
    </row>
    <row r="44" spans="1:59" ht="78.75" x14ac:dyDescent="0.25">
      <c r="A44" s="153" t="s">
        <v>930</v>
      </c>
      <c r="B44" s="107" t="s">
        <v>931</v>
      </c>
      <c r="C44" s="107" t="s">
        <v>932</v>
      </c>
      <c r="D44" s="107" t="s">
        <v>451</v>
      </c>
      <c r="E44" s="107">
        <v>2018</v>
      </c>
      <c r="F44" s="107">
        <v>42</v>
      </c>
      <c r="G44" s="107" t="s">
        <v>334</v>
      </c>
      <c r="H44" s="107" t="s">
        <v>335</v>
      </c>
      <c r="I44" s="107" t="s">
        <v>336</v>
      </c>
      <c r="J44" s="107" t="s">
        <v>17</v>
      </c>
      <c r="K44" s="107">
        <v>1087996780</v>
      </c>
      <c r="L44" s="107" t="s">
        <v>380</v>
      </c>
      <c r="M44" s="107" t="s">
        <v>265</v>
      </c>
      <c r="N44" s="107" t="s">
        <v>515</v>
      </c>
      <c r="O44" s="107" t="s">
        <v>933</v>
      </c>
      <c r="P44" s="107">
        <v>1088061176</v>
      </c>
      <c r="Q44" s="108">
        <v>32831</v>
      </c>
      <c r="R44" s="107" t="s">
        <v>20</v>
      </c>
      <c r="S44" s="107" t="s">
        <v>824</v>
      </c>
      <c r="T44" s="107" t="s">
        <v>934</v>
      </c>
      <c r="U44" s="109">
        <v>3113606672</v>
      </c>
      <c r="V44" s="107" t="s">
        <v>269</v>
      </c>
      <c r="W44" s="107" t="s">
        <v>935</v>
      </c>
      <c r="X44" s="102" t="s">
        <v>827</v>
      </c>
      <c r="Y44" s="102" t="s">
        <v>343</v>
      </c>
      <c r="Z44" s="110">
        <v>14400000</v>
      </c>
      <c r="AA44" s="107">
        <v>240</v>
      </c>
      <c r="AB44" s="109">
        <v>95</v>
      </c>
      <c r="AC44" s="108">
        <v>43368</v>
      </c>
      <c r="AD44" s="111" t="s">
        <v>936</v>
      </c>
      <c r="AE44" s="111" t="s">
        <v>345</v>
      </c>
      <c r="AF44" s="111" t="s">
        <v>346</v>
      </c>
      <c r="AG44" s="112" t="s">
        <v>417</v>
      </c>
      <c r="AH44" s="112" t="s">
        <v>374</v>
      </c>
      <c r="AI44" s="231" t="s">
        <v>100</v>
      </c>
      <c r="AJ44" s="112" t="s">
        <v>350</v>
      </c>
      <c r="AK44" s="102" t="s">
        <v>827</v>
      </c>
      <c r="AL44" s="107" t="s">
        <v>263</v>
      </c>
      <c r="AM44" s="244" t="s">
        <v>612</v>
      </c>
      <c r="AN44" s="244" t="s">
        <v>937</v>
      </c>
      <c r="AO44" s="244" t="s">
        <v>938</v>
      </c>
      <c r="AP44" s="244" t="s">
        <v>939</v>
      </c>
      <c r="AQ44" s="244" t="s">
        <v>940</v>
      </c>
      <c r="AR44" s="244" t="s">
        <v>941</v>
      </c>
      <c r="AS44" s="274"/>
      <c r="AT44" s="274"/>
      <c r="AU44" s="107"/>
      <c r="AV44" s="107"/>
      <c r="AW44" s="107"/>
      <c r="AX44" s="107"/>
      <c r="AY44" s="107"/>
      <c r="AZ44" s="107"/>
      <c r="BA44" s="107"/>
      <c r="BB44" s="107"/>
      <c r="BC44" s="107"/>
      <c r="BD44" s="107"/>
      <c r="BE44" s="107" t="s">
        <v>276</v>
      </c>
      <c r="BF44" s="107" t="s">
        <v>257</v>
      </c>
      <c r="BG44" s="160" t="s">
        <v>111</v>
      </c>
    </row>
    <row r="45" spans="1:59" ht="78.75" x14ac:dyDescent="0.25">
      <c r="A45" s="155" t="s">
        <v>942</v>
      </c>
      <c r="B45" s="121">
        <v>42</v>
      </c>
      <c r="C45" s="121">
        <v>56</v>
      </c>
      <c r="D45" s="121" t="s">
        <v>451</v>
      </c>
      <c r="E45" s="121">
        <v>2018</v>
      </c>
      <c r="F45" s="121">
        <v>43</v>
      </c>
      <c r="G45" s="121" t="s">
        <v>334</v>
      </c>
      <c r="H45" s="121" t="s">
        <v>335</v>
      </c>
      <c r="I45" s="121" t="s">
        <v>336</v>
      </c>
      <c r="J45" s="121" t="s">
        <v>17</v>
      </c>
      <c r="K45" s="121">
        <v>1087996780</v>
      </c>
      <c r="L45" s="121" t="s">
        <v>380</v>
      </c>
      <c r="M45" s="121"/>
      <c r="N45" s="121" t="s">
        <v>515</v>
      </c>
      <c r="O45" s="121" t="s">
        <v>943</v>
      </c>
      <c r="P45" s="121">
        <v>42123948</v>
      </c>
      <c r="Q45" s="122">
        <v>27876</v>
      </c>
      <c r="R45" s="121"/>
      <c r="S45" s="121" t="s">
        <v>383</v>
      </c>
      <c r="T45" s="121" t="s">
        <v>944</v>
      </c>
      <c r="U45" s="123">
        <v>3122828022</v>
      </c>
      <c r="V45" s="121"/>
      <c r="W45" s="121" t="s">
        <v>945</v>
      </c>
      <c r="X45" s="94" t="s">
        <v>946</v>
      </c>
      <c r="Y45" s="124" t="s">
        <v>790</v>
      </c>
      <c r="Z45" s="125">
        <v>24000000</v>
      </c>
      <c r="AA45" s="121">
        <v>240</v>
      </c>
      <c r="AB45" s="123">
        <v>0</v>
      </c>
      <c r="AC45" s="121" t="s">
        <v>371</v>
      </c>
      <c r="AD45" s="126" t="s">
        <v>947</v>
      </c>
      <c r="AE45" s="126" t="s">
        <v>345</v>
      </c>
      <c r="AF45" s="126" t="s">
        <v>346</v>
      </c>
      <c r="AG45" s="127" t="s">
        <v>373</v>
      </c>
      <c r="AH45" s="127" t="s">
        <v>374</v>
      </c>
      <c r="AI45" s="226" t="s">
        <v>948</v>
      </c>
      <c r="AJ45" s="127" t="s">
        <v>350</v>
      </c>
      <c r="AK45" s="124" t="s">
        <v>946</v>
      </c>
      <c r="AL45" s="121"/>
      <c r="AM45" s="261"/>
      <c r="AN45" s="261"/>
      <c r="AO45" s="261"/>
      <c r="AP45" s="261"/>
      <c r="AQ45" s="261"/>
      <c r="AR45" s="261"/>
      <c r="AS45" s="261"/>
      <c r="AT45" s="261"/>
      <c r="AU45" s="121"/>
      <c r="AV45" s="121"/>
      <c r="AW45" s="121"/>
      <c r="AX45" s="121"/>
      <c r="AY45" s="121"/>
      <c r="AZ45" s="121"/>
      <c r="BA45" s="121"/>
      <c r="BB45" s="121"/>
      <c r="BC45" s="121"/>
      <c r="BD45" s="121"/>
      <c r="BE45" s="121"/>
      <c r="BF45" s="121"/>
      <c r="BG45" s="159" t="s">
        <v>43</v>
      </c>
    </row>
    <row r="46" spans="1:59" ht="78.75" x14ac:dyDescent="0.25">
      <c r="A46" s="152" t="s">
        <v>949</v>
      </c>
      <c r="B46" s="99">
        <v>70</v>
      </c>
      <c r="C46" s="99">
        <v>57</v>
      </c>
      <c r="D46" s="99" t="s">
        <v>451</v>
      </c>
      <c r="E46" s="99">
        <v>2018</v>
      </c>
      <c r="F46" s="99">
        <v>44</v>
      </c>
      <c r="G46" s="99" t="s">
        <v>334</v>
      </c>
      <c r="H46" s="99" t="s">
        <v>335</v>
      </c>
      <c r="I46" s="99" t="s">
        <v>336</v>
      </c>
      <c r="J46" s="99" t="s">
        <v>17</v>
      </c>
      <c r="K46" s="99">
        <v>1087996780</v>
      </c>
      <c r="L46" s="99" t="s">
        <v>494</v>
      </c>
      <c r="M46" s="99"/>
      <c r="N46" s="99" t="s">
        <v>515</v>
      </c>
      <c r="O46" s="99" t="s">
        <v>950</v>
      </c>
      <c r="P46" s="99">
        <v>7558634</v>
      </c>
      <c r="Q46" s="100">
        <v>25449</v>
      </c>
      <c r="R46" s="99"/>
      <c r="S46" s="99" t="s">
        <v>951</v>
      </c>
      <c r="T46" s="99" t="s">
        <v>952</v>
      </c>
      <c r="U46" s="101">
        <v>3104550437</v>
      </c>
      <c r="V46" s="99"/>
      <c r="W46" s="99" t="s">
        <v>953</v>
      </c>
      <c r="X46" s="102" t="s">
        <v>954</v>
      </c>
      <c r="Y46" s="103" t="s">
        <v>955</v>
      </c>
      <c r="Z46" s="104">
        <v>24000000</v>
      </c>
      <c r="AA46" s="99">
        <v>240</v>
      </c>
      <c r="AB46" s="101">
        <v>0</v>
      </c>
      <c r="AC46" s="99" t="s">
        <v>371</v>
      </c>
      <c r="AD46" s="105" t="s">
        <v>956</v>
      </c>
      <c r="AE46" s="105" t="s">
        <v>345</v>
      </c>
      <c r="AF46" s="105" t="s">
        <v>346</v>
      </c>
      <c r="AG46" s="106" t="s">
        <v>373</v>
      </c>
      <c r="AH46" s="106" t="s">
        <v>374</v>
      </c>
      <c r="AI46" s="229" t="s">
        <v>957</v>
      </c>
      <c r="AJ46" s="106" t="s">
        <v>350</v>
      </c>
      <c r="AK46" s="103" t="s">
        <v>954</v>
      </c>
      <c r="AL46" s="99"/>
      <c r="AM46" s="99"/>
      <c r="AN46" s="99"/>
      <c r="AO46" s="99"/>
      <c r="AP46" s="99"/>
      <c r="AQ46" s="99"/>
      <c r="AR46" s="99"/>
      <c r="AS46" s="99"/>
      <c r="AT46" s="99"/>
      <c r="AU46" s="99"/>
      <c r="AV46" s="99"/>
      <c r="AW46" s="99"/>
      <c r="AX46" s="99"/>
      <c r="AY46" s="99"/>
      <c r="AZ46" s="99"/>
      <c r="BA46" s="99"/>
      <c r="BB46" s="99"/>
      <c r="BC46" s="99"/>
      <c r="BD46" s="99"/>
      <c r="BE46" s="99"/>
      <c r="BF46" s="99"/>
      <c r="BG46" s="160" t="s">
        <v>111</v>
      </c>
    </row>
    <row r="47" spans="1:59" ht="78.75" x14ac:dyDescent="0.25">
      <c r="A47" s="151" t="s">
        <v>958</v>
      </c>
      <c r="B47" s="91" t="s">
        <v>959</v>
      </c>
      <c r="C47" s="91" t="s">
        <v>960</v>
      </c>
      <c r="D47" s="91" t="s">
        <v>451</v>
      </c>
      <c r="E47" s="91">
        <v>2018</v>
      </c>
      <c r="F47" s="91">
        <v>45</v>
      </c>
      <c r="G47" s="91" t="s">
        <v>334</v>
      </c>
      <c r="H47" s="91" t="s">
        <v>335</v>
      </c>
      <c r="I47" s="91" t="s">
        <v>336</v>
      </c>
      <c r="J47" s="91" t="s">
        <v>17</v>
      </c>
      <c r="K47" s="91">
        <v>1087996780</v>
      </c>
      <c r="L47" s="91" t="s">
        <v>841</v>
      </c>
      <c r="M47" s="91" t="s">
        <v>8</v>
      </c>
      <c r="N47" s="91" t="s">
        <v>515</v>
      </c>
      <c r="O47" s="91" t="s">
        <v>961</v>
      </c>
      <c r="P47" s="91">
        <v>18516666</v>
      </c>
      <c r="Q47" s="92">
        <v>29307</v>
      </c>
      <c r="R47" s="91" t="s">
        <v>20</v>
      </c>
      <c r="S47" s="91" t="s">
        <v>962</v>
      </c>
      <c r="T47" s="91" t="s">
        <v>963</v>
      </c>
      <c r="U47" s="93">
        <v>3207790808</v>
      </c>
      <c r="V47" s="91" t="s">
        <v>261</v>
      </c>
      <c r="W47" s="91" t="s">
        <v>964</v>
      </c>
      <c r="X47" s="94" t="s">
        <v>965</v>
      </c>
      <c r="Y47" s="94" t="s">
        <v>966</v>
      </c>
      <c r="Z47" s="95">
        <v>32000000</v>
      </c>
      <c r="AA47" s="91">
        <v>240</v>
      </c>
      <c r="AB47" s="93">
        <v>95</v>
      </c>
      <c r="AC47" s="92">
        <v>43368</v>
      </c>
      <c r="AD47" s="96" t="s">
        <v>967</v>
      </c>
      <c r="AE47" s="96" t="s">
        <v>345</v>
      </c>
      <c r="AF47" s="96" t="s">
        <v>346</v>
      </c>
      <c r="AG47" s="97" t="s">
        <v>553</v>
      </c>
      <c r="AH47" s="97" t="s">
        <v>374</v>
      </c>
      <c r="AI47" s="227" t="s">
        <v>968</v>
      </c>
      <c r="AJ47" s="97" t="s">
        <v>350</v>
      </c>
      <c r="AK47" s="94" t="s">
        <v>965</v>
      </c>
      <c r="AL47" s="91" t="s">
        <v>263</v>
      </c>
      <c r="AM47" s="228" t="s">
        <v>969</v>
      </c>
      <c r="AN47" s="228" t="s">
        <v>970</v>
      </c>
      <c r="AO47" s="228" t="s">
        <v>971</v>
      </c>
      <c r="AP47" s="228" t="s">
        <v>972</v>
      </c>
      <c r="AQ47" s="228" t="s">
        <v>973</v>
      </c>
      <c r="AR47" s="228" t="s">
        <v>974</v>
      </c>
      <c r="AS47" s="228" t="s">
        <v>975</v>
      </c>
      <c r="AT47" s="228" t="s">
        <v>976</v>
      </c>
      <c r="AU47" s="254" t="s">
        <v>977</v>
      </c>
      <c r="AV47" s="258"/>
      <c r="AW47" s="258"/>
      <c r="AX47" s="258"/>
      <c r="AY47" s="258"/>
      <c r="AZ47" s="258"/>
      <c r="BA47" s="258"/>
      <c r="BB47" s="258"/>
      <c r="BC47" s="256"/>
      <c r="BD47" s="91"/>
      <c r="BE47" s="91" t="s">
        <v>276</v>
      </c>
      <c r="BF47" s="91" t="s">
        <v>257</v>
      </c>
      <c r="BG47" s="159" t="s">
        <v>111</v>
      </c>
    </row>
    <row r="48" spans="1:59" ht="94.5" x14ac:dyDescent="0.25">
      <c r="A48" s="156" t="s">
        <v>978</v>
      </c>
      <c r="B48" s="128" t="s">
        <v>979</v>
      </c>
      <c r="C48" s="128" t="s">
        <v>980</v>
      </c>
      <c r="D48" s="128" t="s">
        <v>451</v>
      </c>
      <c r="E48" s="128">
        <v>2018</v>
      </c>
      <c r="F48" s="128">
        <v>46</v>
      </c>
      <c r="G48" s="128" t="s">
        <v>334</v>
      </c>
      <c r="H48" s="128" t="s">
        <v>335</v>
      </c>
      <c r="I48" s="128" t="s">
        <v>336</v>
      </c>
      <c r="J48" s="128" t="s">
        <v>17</v>
      </c>
      <c r="K48" s="128">
        <v>1087996780</v>
      </c>
      <c r="L48" s="128" t="s">
        <v>336</v>
      </c>
      <c r="M48" s="128" t="s">
        <v>17</v>
      </c>
      <c r="N48" s="128" t="s">
        <v>381</v>
      </c>
      <c r="O48" s="128" t="s">
        <v>981</v>
      </c>
      <c r="P48" s="128">
        <v>1088264083</v>
      </c>
      <c r="Q48" s="129">
        <v>32485</v>
      </c>
      <c r="R48" s="128" t="s">
        <v>20</v>
      </c>
      <c r="S48" s="128" t="s">
        <v>340</v>
      </c>
      <c r="T48" s="128" t="s">
        <v>982</v>
      </c>
      <c r="U48" s="130">
        <v>3015922092</v>
      </c>
      <c r="V48" s="128" t="s">
        <v>269</v>
      </c>
      <c r="W48" s="131" t="s">
        <v>983</v>
      </c>
      <c r="X48" s="102" t="s">
        <v>984</v>
      </c>
      <c r="Y48" s="132" t="s">
        <v>440</v>
      </c>
      <c r="Z48" s="133">
        <v>32000000</v>
      </c>
      <c r="AA48" s="128">
        <v>240</v>
      </c>
      <c r="AB48" s="130">
        <v>95</v>
      </c>
      <c r="AC48" s="129">
        <v>43368</v>
      </c>
      <c r="AD48" s="134" t="s">
        <v>985</v>
      </c>
      <c r="AE48" s="134" t="s">
        <v>345</v>
      </c>
      <c r="AF48" s="134" t="s">
        <v>346</v>
      </c>
      <c r="AG48" s="135" t="s">
        <v>373</v>
      </c>
      <c r="AH48" s="135" t="s">
        <v>348</v>
      </c>
      <c r="AI48" s="242" t="s">
        <v>811</v>
      </c>
      <c r="AJ48" s="135" t="s">
        <v>350</v>
      </c>
      <c r="AK48" s="132" t="s">
        <v>984</v>
      </c>
      <c r="AL48" s="128" t="s">
        <v>263</v>
      </c>
      <c r="AM48" s="244" t="s">
        <v>986</v>
      </c>
      <c r="AN48" s="244" t="s">
        <v>987</v>
      </c>
      <c r="AO48" s="244" t="s">
        <v>988</v>
      </c>
      <c r="AP48" s="244" t="s">
        <v>989</v>
      </c>
      <c r="AQ48" s="244" t="s">
        <v>990</v>
      </c>
      <c r="AR48" s="244" t="s">
        <v>991</v>
      </c>
      <c r="AS48" s="245" t="s">
        <v>992</v>
      </c>
      <c r="AT48" s="247"/>
      <c r="AU48" s="244" t="s">
        <v>993</v>
      </c>
      <c r="AV48" s="244" t="s">
        <v>994</v>
      </c>
      <c r="AW48" s="244" t="s">
        <v>995</v>
      </c>
      <c r="AX48" s="245" t="s">
        <v>996</v>
      </c>
      <c r="AY48" s="246"/>
      <c r="AZ48" s="246"/>
      <c r="BA48" s="246"/>
      <c r="BB48" s="246"/>
      <c r="BC48" s="247"/>
      <c r="BD48" s="128"/>
      <c r="BE48" s="128" t="s">
        <v>276</v>
      </c>
      <c r="BF48" s="128" t="s">
        <v>257</v>
      </c>
      <c r="BG48" s="160" t="s">
        <v>43</v>
      </c>
    </row>
    <row r="49" spans="1:59" ht="78.75" x14ac:dyDescent="0.25">
      <c r="A49" s="155" t="s">
        <v>997</v>
      </c>
      <c r="B49" s="121">
        <v>59</v>
      </c>
      <c r="C49" s="121">
        <v>64</v>
      </c>
      <c r="D49" s="121" t="s">
        <v>451</v>
      </c>
      <c r="E49" s="121">
        <v>2018</v>
      </c>
      <c r="F49" s="121">
        <v>47</v>
      </c>
      <c r="G49" s="121" t="s">
        <v>334</v>
      </c>
      <c r="H49" s="121" t="s">
        <v>335</v>
      </c>
      <c r="I49" s="121" t="s">
        <v>336</v>
      </c>
      <c r="J49" s="121" t="s">
        <v>17</v>
      </c>
      <c r="K49" s="121">
        <v>1087996780</v>
      </c>
      <c r="L49" s="121" t="s">
        <v>380</v>
      </c>
      <c r="M49" s="121"/>
      <c r="N49" s="121" t="s">
        <v>642</v>
      </c>
      <c r="O49" s="121" t="s">
        <v>998</v>
      </c>
      <c r="P49" s="121">
        <v>42005861</v>
      </c>
      <c r="Q49" s="122">
        <v>27876</v>
      </c>
      <c r="R49" s="121"/>
      <c r="S49" s="121" t="s">
        <v>999</v>
      </c>
      <c r="T49" s="121" t="s">
        <v>1000</v>
      </c>
      <c r="U49" s="123">
        <v>31131173587</v>
      </c>
      <c r="V49" s="121"/>
      <c r="W49" s="121" t="s">
        <v>1001</v>
      </c>
      <c r="X49" s="94" t="s">
        <v>1002</v>
      </c>
      <c r="Y49" s="124" t="s">
        <v>966</v>
      </c>
      <c r="Z49" s="125">
        <v>24000000</v>
      </c>
      <c r="AA49" s="121">
        <v>240</v>
      </c>
      <c r="AB49" s="123">
        <v>0</v>
      </c>
      <c r="AC49" s="121" t="s">
        <v>371</v>
      </c>
      <c r="AD49" s="126" t="s">
        <v>947</v>
      </c>
      <c r="AE49" s="126" t="s">
        <v>345</v>
      </c>
      <c r="AF49" s="126" t="s">
        <v>346</v>
      </c>
      <c r="AG49" s="127" t="s">
        <v>373</v>
      </c>
      <c r="AH49" s="127" t="s">
        <v>374</v>
      </c>
      <c r="AI49" s="226" t="s">
        <v>1003</v>
      </c>
      <c r="AJ49" s="127" t="s">
        <v>350</v>
      </c>
      <c r="AK49" s="124" t="s">
        <v>1002</v>
      </c>
      <c r="AL49" s="121"/>
      <c r="AM49" s="121"/>
      <c r="AN49" s="121"/>
      <c r="AO49" s="121"/>
      <c r="AP49" s="121"/>
      <c r="AQ49" s="121"/>
      <c r="AR49" s="121"/>
      <c r="AS49" s="121"/>
      <c r="AT49" s="121"/>
      <c r="AU49" s="121"/>
      <c r="AV49" s="121"/>
      <c r="AW49" s="121"/>
      <c r="AX49" s="121"/>
      <c r="AY49" s="121"/>
      <c r="AZ49" s="121"/>
      <c r="BA49" s="121"/>
      <c r="BB49" s="121"/>
      <c r="BC49" s="121"/>
      <c r="BD49" s="121"/>
      <c r="BE49" s="121"/>
      <c r="BF49" s="121"/>
      <c r="BG49" s="159" t="s">
        <v>43</v>
      </c>
    </row>
    <row r="50" spans="1:59" ht="78.75" x14ac:dyDescent="0.25">
      <c r="A50" s="152" t="s">
        <v>1004</v>
      </c>
      <c r="B50" s="99">
        <v>56</v>
      </c>
      <c r="C50" s="99">
        <v>54</v>
      </c>
      <c r="D50" s="99" t="s">
        <v>451</v>
      </c>
      <c r="E50" s="99">
        <v>2018</v>
      </c>
      <c r="F50" s="99">
        <v>48</v>
      </c>
      <c r="G50" s="99" t="s">
        <v>334</v>
      </c>
      <c r="H50" s="99" t="s">
        <v>335</v>
      </c>
      <c r="I50" s="99" t="s">
        <v>336</v>
      </c>
      <c r="J50" s="99" t="s">
        <v>17</v>
      </c>
      <c r="K50" s="99">
        <v>1087996780</v>
      </c>
      <c r="L50" s="99" t="s">
        <v>336</v>
      </c>
      <c r="M50" s="99"/>
      <c r="N50" s="99" t="s">
        <v>867</v>
      </c>
      <c r="O50" s="99" t="s">
        <v>1005</v>
      </c>
      <c r="P50" s="99">
        <v>42103646</v>
      </c>
      <c r="Q50" s="100">
        <v>26440</v>
      </c>
      <c r="R50" s="99"/>
      <c r="S50" s="99" t="s">
        <v>366</v>
      </c>
      <c r="T50" s="99" t="s">
        <v>1006</v>
      </c>
      <c r="U50" s="101">
        <v>3104519104</v>
      </c>
      <c r="V50" s="99"/>
      <c r="W50" s="99" t="s">
        <v>1007</v>
      </c>
      <c r="X50" s="102" t="s">
        <v>1008</v>
      </c>
      <c r="Y50" s="103" t="s">
        <v>966</v>
      </c>
      <c r="Z50" s="104">
        <v>32000000</v>
      </c>
      <c r="AA50" s="99">
        <v>240</v>
      </c>
      <c r="AB50" s="101">
        <v>0</v>
      </c>
      <c r="AC50" s="99" t="s">
        <v>371</v>
      </c>
      <c r="AD50" s="105" t="s">
        <v>1009</v>
      </c>
      <c r="AE50" s="105" t="s">
        <v>345</v>
      </c>
      <c r="AF50" s="105" t="s">
        <v>346</v>
      </c>
      <c r="AG50" s="106" t="s">
        <v>373</v>
      </c>
      <c r="AH50" s="106" t="s">
        <v>374</v>
      </c>
      <c r="AI50" s="229" t="s">
        <v>1010</v>
      </c>
      <c r="AJ50" s="106" t="s">
        <v>350</v>
      </c>
      <c r="AK50" s="103" t="s">
        <v>1008</v>
      </c>
      <c r="AL50" s="99"/>
      <c r="AM50" s="99"/>
      <c r="AN50" s="99"/>
      <c r="AO50" s="99"/>
      <c r="AP50" s="99"/>
      <c r="AQ50" s="99"/>
      <c r="AR50" s="99"/>
      <c r="AS50" s="99"/>
      <c r="AT50" s="99"/>
      <c r="AU50" s="99"/>
      <c r="AV50" s="99"/>
      <c r="AW50" s="99"/>
      <c r="AX50" s="99"/>
      <c r="AY50" s="99"/>
      <c r="AZ50" s="99"/>
      <c r="BA50" s="99"/>
      <c r="BB50" s="99"/>
      <c r="BC50" s="99"/>
      <c r="BD50" s="99"/>
      <c r="BE50" s="99"/>
      <c r="BF50" s="99"/>
      <c r="BG50" s="160" t="s">
        <v>43</v>
      </c>
    </row>
    <row r="51" spans="1:59" ht="78.75" x14ac:dyDescent="0.25">
      <c r="A51" s="155" t="s">
        <v>1011</v>
      </c>
      <c r="B51" s="121">
        <v>68</v>
      </c>
      <c r="C51" s="121">
        <v>66</v>
      </c>
      <c r="D51" s="121" t="s">
        <v>451</v>
      </c>
      <c r="E51" s="121">
        <v>2018</v>
      </c>
      <c r="F51" s="121">
        <v>49</v>
      </c>
      <c r="G51" s="121" t="s">
        <v>334</v>
      </c>
      <c r="H51" s="121" t="s">
        <v>335</v>
      </c>
      <c r="I51" s="121" t="s">
        <v>336</v>
      </c>
      <c r="J51" s="121" t="s">
        <v>17</v>
      </c>
      <c r="K51" s="121">
        <v>1087996780</v>
      </c>
      <c r="L51" s="121" t="s">
        <v>380</v>
      </c>
      <c r="M51" s="121"/>
      <c r="N51" s="121" t="s">
        <v>642</v>
      </c>
      <c r="O51" s="121" t="s">
        <v>1012</v>
      </c>
      <c r="P51" s="121">
        <v>10142419</v>
      </c>
      <c r="Q51" s="122">
        <v>26291</v>
      </c>
      <c r="R51" s="121"/>
      <c r="S51" s="121" t="s">
        <v>824</v>
      </c>
      <c r="T51" s="121" t="s">
        <v>1013</v>
      </c>
      <c r="U51" s="123">
        <v>3215546195</v>
      </c>
      <c r="V51" s="121"/>
      <c r="W51" s="121" t="s">
        <v>1014</v>
      </c>
      <c r="X51" s="94" t="s">
        <v>1015</v>
      </c>
      <c r="Y51" s="124" t="s">
        <v>1016</v>
      </c>
      <c r="Z51" s="125">
        <v>6600000</v>
      </c>
      <c r="AA51" s="121">
        <v>90</v>
      </c>
      <c r="AB51" s="123">
        <v>0</v>
      </c>
      <c r="AC51" s="121" t="s">
        <v>371</v>
      </c>
      <c r="AD51" s="126" t="s">
        <v>1017</v>
      </c>
      <c r="AE51" s="126" t="s">
        <v>345</v>
      </c>
      <c r="AF51" s="126" t="s">
        <v>346</v>
      </c>
      <c r="AG51" s="127" t="s">
        <v>373</v>
      </c>
      <c r="AH51" s="127" t="s">
        <v>374</v>
      </c>
      <c r="AI51" s="226" t="s">
        <v>389</v>
      </c>
      <c r="AJ51" s="127" t="s">
        <v>350</v>
      </c>
      <c r="AK51" s="124" t="s">
        <v>1015</v>
      </c>
      <c r="AL51" s="121"/>
      <c r="AM51" s="121"/>
      <c r="AN51" s="121"/>
      <c r="AO51" s="121"/>
      <c r="AP51" s="121"/>
      <c r="AQ51" s="121"/>
      <c r="AR51" s="121"/>
      <c r="AS51" s="121"/>
      <c r="AT51" s="121"/>
      <c r="AU51" s="121"/>
      <c r="AV51" s="121"/>
      <c r="AW51" s="121"/>
      <c r="AX51" s="121"/>
      <c r="AY51" s="121"/>
      <c r="AZ51" s="121"/>
      <c r="BA51" s="121"/>
      <c r="BB51" s="121"/>
      <c r="BC51" s="121"/>
      <c r="BD51" s="121"/>
      <c r="BE51" s="121"/>
      <c r="BF51" s="121"/>
      <c r="BG51" s="159" t="s">
        <v>111</v>
      </c>
    </row>
    <row r="52" spans="1:59" ht="78.75" x14ac:dyDescent="0.25">
      <c r="A52" s="152" t="s">
        <v>1018</v>
      </c>
      <c r="B52" s="99">
        <v>57</v>
      </c>
      <c r="C52" s="99">
        <v>67</v>
      </c>
      <c r="D52" s="99" t="s">
        <v>451</v>
      </c>
      <c r="E52" s="99">
        <v>2018</v>
      </c>
      <c r="F52" s="99">
        <v>50</v>
      </c>
      <c r="G52" s="99" t="s">
        <v>334</v>
      </c>
      <c r="H52" s="99" t="s">
        <v>335</v>
      </c>
      <c r="I52" s="99" t="s">
        <v>336</v>
      </c>
      <c r="J52" s="99" t="s">
        <v>17</v>
      </c>
      <c r="K52" s="99">
        <v>1087996780</v>
      </c>
      <c r="L52" s="99" t="s">
        <v>380</v>
      </c>
      <c r="M52" s="99"/>
      <c r="N52" s="99" t="s">
        <v>642</v>
      </c>
      <c r="O52" s="99" t="s">
        <v>1019</v>
      </c>
      <c r="P52" s="99">
        <v>10021053</v>
      </c>
      <c r="Q52" s="100">
        <v>27176</v>
      </c>
      <c r="R52" s="99"/>
      <c r="S52" s="99" t="s">
        <v>535</v>
      </c>
      <c r="T52" s="99" t="s">
        <v>1020</v>
      </c>
      <c r="U52" s="101">
        <v>3116263046</v>
      </c>
      <c r="V52" s="99"/>
      <c r="W52" s="99" t="s">
        <v>1021</v>
      </c>
      <c r="X52" s="102" t="s">
        <v>1022</v>
      </c>
      <c r="Y52" s="103" t="s">
        <v>1023</v>
      </c>
      <c r="Z52" s="104">
        <v>4000000</v>
      </c>
      <c r="AA52" s="99">
        <v>120</v>
      </c>
      <c r="AB52" s="101">
        <v>0</v>
      </c>
      <c r="AC52" s="99" t="s">
        <v>371</v>
      </c>
      <c r="AD52" s="105" t="s">
        <v>1024</v>
      </c>
      <c r="AE52" s="105" t="s">
        <v>345</v>
      </c>
      <c r="AF52" s="105" t="s">
        <v>346</v>
      </c>
      <c r="AG52" s="106" t="s">
        <v>373</v>
      </c>
      <c r="AH52" s="106" t="s">
        <v>374</v>
      </c>
      <c r="AI52" s="229" t="s">
        <v>1025</v>
      </c>
      <c r="AJ52" s="106" t="s">
        <v>350</v>
      </c>
      <c r="AK52" s="103" t="s">
        <v>1022</v>
      </c>
      <c r="AL52" s="99"/>
      <c r="AM52" s="99"/>
      <c r="AN52" s="99"/>
      <c r="AO52" s="99"/>
      <c r="AP52" s="99"/>
      <c r="AQ52" s="99"/>
      <c r="AR52" s="99"/>
      <c r="AS52" s="99"/>
      <c r="AT52" s="99"/>
      <c r="AU52" s="99"/>
      <c r="AV52" s="99"/>
      <c r="AW52" s="99"/>
      <c r="AX52" s="99"/>
      <c r="AY52" s="99"/>
      <c r="AZ52" s="99"/>
      <c r="BA52" s="99"/>
      <c r="BB52" s="99"/>
      <c r="BC52" s="99"/>
      <c r="BD52" s="99"/>
      <c r="BE52" s="99"/>
      <c r="BF52" s="99"/>
      <c r="BG52" s="160" t="s">
        <v>43</v>
      </c>
    </row>
    <row r="53" spans="1:59" ht="78.75" x14ac:dyDescent="0.25">
      <c r="A53" s="155" t="s">
        <v>1026</v>
      </c>
      <c r="B53" s="121">
        <v>50</v>
      </c>
      <c r="C53" s="121">
        <v>65</v>
      </c>
      <c r="D53" s="121" t="s">
        <v>451</v>
      </c>
      <c r="E53" s="121">
        <v>2018</v>
      </c>
      <c r="F53" s="121">
        <v>51</v>
      </c>
      <c r="G53" s="121" t="s">
        <v>334</v>
      </c>
      <c r="H53" s="121" t="s">
        <v>335</v>
      </c>
      <c r="I53" s="121" t="s">
        <v>336</v>
      </c>
      <c r="J53" s="121" t="s">
        <v>17</v>
      </c>
      <c r="K53" s="121">
        <v>1087996780</v>
      </c>
      <c r="L53" s="121" t="s">
        <v>336</v>
      </c>
      <c r="M53" s="121"/>
      <c r="N53" s="121" t="s">
        <v>1027</v>
      </c>
      <c r="O53" s="121" t="s">
        <v>1028</v>
      </c>
      <c r="P53" s="121">
        <v>6103603</v>
      </c>
      <c r="Q53" s="122">
        <v>29085</v>
      </c>
      <c r="R53" s="121"/>
      <c r="S53" s="121" t="s">
        <v>340</v>
      </c>
      <c r="T53" s="121" t="s">
        <v>1029</v>
      </c>
      <c r="U53" s="123">
        <v>3641443</v>
      </c>
      <c r="V53" s="121"/>
      <c r="W53" s="121" t="s">
        <v>1030</v>
      </c>
      <c r="X53" s="94" t="s">
        <v>1031</v>
      </c>
      <c r="Y53" s="124" t="s">
        <v>1032</v>
      </c>
      <c r="Z53" s="125">
        <v>32000000</v>
      </c>
      <c r="AA53" s="121">
        <v>240</v>
      </c>
      <c r="AB53" s="123">
        <v>0</v>
      </c>
      <c r="AC53" s="121" t="s">
        <v>371</v>
      </c>
      <c r="AD53" s="126" t="s">
        <v>1033</v>
      </c>
      <c r="AE53" s="126" t="s">
        <v>345</v>
      </c>
      <c r="AF53" s="126" t="s">
        <v>346</v>
      </c>
      <c r="AG53" s="127" t="s">
        <v>373</v>
      </c>
      <c r="AH53" s="127" t="s">
        <v>374</v>
      </c>
      <c r="AI53" s="226" t="s">
        <v>1034</v>
      </c>
      <c r="AJ53" s="127" t="s">
        <v>350</v>
      </c>
      <c r="AK53" s="124" t="s">
        <v>1031</v>
      </c>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59" t="s">
        <v>43</v>
      </c>
    </row>
    <row r="54" spans="1:59" ht="100.5" x14ac:dyDescent="0.25">
      <c r="A54" s="156" t="s">
        <v>1035</v>
      </c>
      <c r="B54" s="128" t="s">
        <v>1036</v>
      </c>
      <c r="C54" s="128" t="s">
        <v>1037</v>
      </c>
      <c r="D54" s="128" t="s">
        <v>451</v>
      </c>
      <c r="E54" s="128">
        <v>2018</v>
      </c>
      <c r="F54" s="128">
        <v>52</v>
      </c>
      <c r="G54" s="128" t="s">
        <v>334</v>
      </c>
      <c r="H54" s="128" t="s">
        <v>335</v>
      </c>
      <c r="I54" s="128" t="s">
        <v>336</v>
      </c>
      <c r="J54" s="128" t="s">
        <v>17</v>
      </c>
      <c r="K54" s="128">
        <v>1087996780</v>
      </c>
      <c r="L54" s="128" t="s">
        <v>380</v>
      </c>
      <c r="M54" s="128" t="s">
        <v>265</v>
      </c>
      <c r="N54" s="128" t="s">
        <v>896</v>
      </c>
      <c r="O54" s="128" t="s">
        <v>1038</v>
      </c>
      <c r="P54" s="128">
        <v>18514804</v>
      </c>
      <c r="Q54" s="129">
        <v>28766</v>
      </c>
      <c r="R54" s="128" t="s">
        <v>20</v>
      </c>
      <c r="S54" s="128" t="s">
        <v>1039</v>
      </c>
      <c r="T54" s="128" t="s">
        <v>1040</v>
      </c>
      <c r="U54" s="130">
        <v>3205748272</v>
      </c>
      <c r="V54" s="128" t="s">
        <v>269</v>
      </c>
      <c r="W54" s="128" t="s">
        <v>1041</v>
      </c>
      <c r="X54" s="102" t="s">
        <v>984</v>
      </c>
      <c r="Y54" s="132" t="s">
        <v>1042</v>
      </c>
      <c r="Z54" s="133">
        <v>9000000</v>
      </c>
      <c r="AA54" s="128">
        <v>180</v>
      </c>
      <c r="AB54" s="130">
        <v>90</v>
      </c>
      <c r="AC54" s="129">
        <v>43306</v>
      </c>
      <c r="AD54" s="134" t="s">
        <v>1043</v>
      </c>
      <c r="AE54" s="134" t="s">
        <v>345</v>
      </c>
      <c r="AF54" s="134" t="s">
        <v>346</v>
      </c>
      <c r="AG54" s="135" t="s">
        <v>417</v>
      </c>
      <c r="AH54" s="135" t="s">
        <v>418</v>
      </c>
      <c r="AI54" s="242" t="s">
        <v>469</v>
      </c>
      <c r="AJ54" s="135" t="s">
        <v>350</v>
      </c>
      <c r="AK54" s="132" t="s">
        <v>984</v>
      </c>
      <c r="AL54" s="243" t="s">
        <v>1044</v>
      </c>
      <c r="AM54" s="245" t="s">
        <v>1694</v>
      </c>
      <c r="AN54" s="247" t="s">
        <v>1695</v>
      </c>
      <c r="AO54" s="244" t="s">
        <v>1696</v>
      </c>
      <c r="AP54" s="244" t="s">
        <v>1697</v>
      </c>
      <c r="AQ54" s="244" t="s">
        <v>1698</v>
      </c>
      <c r="AR54" s="244"/>
      <c r="AS54" s="244"/>
      <c r="AT54" s="244"/>
      <c r="AU54" s="244"/>
      <c r="AV54" s="244"/>
      <c r="AW54" s="245"/>
      <c r="AX54" s="246"/>
      <c r="AY54" s="246"/>
      <c r="AZ54" s="246"/>
      <c r="BA54" s="247"/>
      <c r="BB54" s="128"/>
      <c r="BC54" s="128"/>
      <c r="BD54" s="128"/>
      <c r="BE54" s="128" t="s">
        <v>276</v>
      </c>
      <c r="BF54" s="128" t="s">
        <v>281</v>
      </c>
      <c r="BG54" s="160" t="s">
        <v>111</v>
      </c>
    </row>
    <row r="55" spans="1:59" ht="78.75" x14ac:dyDescent="0.25">
      <c r="A55" s="155" t="s">
        <v>1046</v>
      </c>
      <c r="B55" s="121">
        <v>77</v>
      </c>
      <c r="C55" s="121">
        <v>63</v>
      </c>
      <c r="D55" s="121" t="s">
        <v>1047</v>
      </c>
      <c r="E55" s="121">
        <v>2018</v>
      </c>
      <c r="F55" s="121">
        <v>53</v>
      </c>
      <c r="G55" s="121" t="s">
        <v>334</v>
      </c>
      <c r="H55" s="121" t="s">
        <v>335</v>
      </c>
      <c r="I55" s="121" t="s">
        <v>336</v>
      </c>
      <c r="J55" s="121" t="s">
        <v>17</v>
      </c>
      <c r="K55" s="121">
        <v>1087996780</v>
      </c>
      <c r="L55" s="121" t="s">
        <v>380</v>
      </c>
      <c r="M55" s="121"/>
      <c r="N55" s="121" t="s">
        <v>867</v>
      </c>
      <c r="O55" s="121" t="s">
        <v>1048</v>
      </c>
      <c r="P55" s="121">
        <v>18501239</v>
      </c>
      <c r="Q55" s="122">
        <v>21745</v>
      </c>
      <c r="R55" s="121"/>
      <c r="S55" s="121" t="s">
        <v>1049</v>
      </c>
      <c r="T55" s="121" t="s">
        <v>1050</v>
      </c>
      <c r="U55" s="123">
        <v>3043277043</v>
      </c>
      <c r="V55" s="121"/>
      <c r="W55" s="121" t="s">
        <v>1051</v>
      </c>
      <c r="X55" s="94" t="s">
        <v>1052</v>
      </c>
      <c r="Y55" s="124" t="s">
        <v>1053</v>
      </c>
      <c r="Z55" s="125">
        <v>8100000</v>
      </c>
      <c r="AA55" s="121">
        <v>180</v>
      </c>
      <c r="AB55" s="123">
        <v>0</v>
      </c>
      <c r="AC55" s="121" t="s">
        <v>371</v>
      </c>
      <c r="AD55" s="126" t="s">
        <v>1054</v>
      </c>
      <c r="AE55" s="126" t="s">
        <v>345</v>
      </c>
      <c r="AF55" s="126" t="s">
        <v>346</v>
      </c>
      <c r="AG55" s="127" t="s">
        <v>373</v>
      </c>
      <c r="AH55" s="127" t="s">
        <v>374</v>
      </c>
      <c r="AI55" s="226" t="s">
        <v>1055</v>
      </c>
      <c r="AJ55" s="127" t="s">
        <v>350</v>
      </c>
      <c r="AK55" s="124" t="s">
        <v>1052</v>
      </c>
      <c r="AL55" s="121"/>
      <c r="AM55" s="121"/>
      <c r="AN55" s="121"/>
      <c r="AO55" s="121"/>
      <c r="AP55" s="121"/>
      <c r="AQ55" s="121"/>
      <c r="AR55" s="121"/>
      <c r="AS55" s="121"/>
      <c r="AT55" s="121"/>
      <c r="AU55" s="121"/>
      <c r="AV55" s="121"/>
      <c r="AW55" s="121"/>
      <c r="AX55" s="121"/>
      <c r="AY55" s="121"/>
      <c r="AZ55" s="121"/>
      <c r="BA55" s="121"/>
      <c r="BB55" s="121"/>
      <c r="BC55" s="121"/>
      <c r="BD55" s="121"/>
      <c r="BE55" s="121"/>
      <c r="BF55" s="121"/>
      <c r="BG55" s="159" t="s">
        <v>43</v>
      </c>
    </row>
    <row r="56" spans="1:59" ht="94.5" x14ac:dyDescent="0.25">
      <c r="A56" s="152" t="s">
        <v>1056</v>
      </c>
      <c r="B56" s="99">
        <v>51</v>
      </c>
      <c r="C56" s="99">
        <v>70</v>
      </c>
      <c r="D56" s="99" t="s">
        <v>451</v>
      </c>
      <c r="E56" s="99">
        <v>2018</v>
      </c>
      <c r="F56" s="99">
        <v>54</v>
      </c>
      <c r="G56" s="99" t="s">
        <v>334</v>
      </c>
      <c r="H56" s="99" t="s">
        <v>335</v>
      </c>
      <c r="I56" s="99" t="s">
        <v>336</v>
      </c>
      <c r="J56" s="99" t="s">
        <v>17</v>
      </c>
      <c r="K56" s="99">
        <v>1087996780</v>
      </c>
      <c r="L56" s="99" t="s">
        <v>380</v>
      </c>
      <c r="M56" s="99"/>
      <c r="N56" s="99" t="s">
        <v>896</v>
      </c>
      <c r="O56" s="99" t="s">
        <v>1057</v>
      </c>
      <c r="P56" s="99">
        <v>891411166</v>
      </c>
      <c r="Q56" s="100" t="s">
        <v>1058</v>
      </c>
      <c r="R56" s="99"/>
      <c r="S56" s="99" t="s">
        <v>1059</v>
      </c>
      <c r="T56" s="99" t="s">
        <v>1060</v>
      </c>
      <c r="U56" s="101">
        <v>3170660</v>
      </c>
      <c r="V56" s="99"/>
      <c r="W56" s="99" t="s">
        <v>1061</v>
      </c>
      <c r="X56" s="102" t="s">
        <v>1062</v>
      </c>
      <c r="Y56" s="103" t="s">
        <v>1063</v>
      </c>
      <c r="Z56" s="104">
        <v>4100000</v>
      </c>
      <c r="AA56" s="99">
        <v>30</v>
      </c>
      <c r="AB56" s="101">
        <v>0</v>
      </c>
      <c r="AC56" s="99" t="s">
        <v>371</v>
      </c>
      <c r="AD56" s="105" t="s">
        <v>1024</v>
      </c>
      <c r="AE56" s="105" t="s">
        <v>345</v>
      </c>
      <c r="AF56" s="105" t="s">
        <v>346</v>
      </c>
      <c r="AG56" s="106" t="s">
        <v>373</v>
      </c>
      <c r="AH56" s="106" t="s">
        <v>374</v>
      </c>
      <c r="AI56" s="229" t="s">
        <v>968</v>
      </c>
      <c r="AJ56" s="106" t="s">
        <v>350</v>
      </c>
      <c r="AK56" s="103" t="s">
        <v>1062</v>
      </c>
      <c r="AL56" s="99"/>
      <c r="AM56" s="99"/>
      <c r="AN56" s="99"/>
      <c r="AO56" s="99"/>
      <c r="AP56" s="99"/>
      <c r="AQ56" s="99"/>
      <c r="AR56" s="99"/>
      <c r="AS56" s="99"/>
      <c r="AT56" s="99"/>
      <c r="AU56" s="99"/>
      <c r="AV56" s="99"/>
      <c r="AW56" s="99"/>
      <c r="AX56" s="99"/>
      <c r="AY56" s="99"/>
      <c r="AZ56" s="99"/>
      <c r="BA56" s="99"/>
      <c r="BB56" s="99"/>
      <c r="BC56" s="99"/>
      <c r="BD56" s="99"/>
      <c r="BE56" s="99"/>
      <c r="BF56" s="99"/>
      <c r="BG56" s="160" t="s">
        <v>43</v>
      </c>
    </row>
    <row r="57" spans="1:59" ht="78.75" x14ac:dyDescent="0.25">
      <c r="A57" s="155" t="s">
        <v>1064</v>
      </c>
      <c r="B57" s="121">
        <v>71</v>
      </c>
      <c r="C57" s="121">
        <v>72</v>
      </c>
      <c r="D57" s="121" t="s">
        <v>1065</v>
      </c>
      <c r="E57" s="121">
        <v>2018</v>
      </c>
      <c r="F57" s="121">
        <v>55</v>
      </c>
      <c r="G57" s="121" t="s">
        <v>334</v>
      </c>
      <c r="H57" s="121" t="s">
        <v>335</v>
      </c>
      <c r="I57" s="121" t="s">
        <v>336</v>
      </c>
      <c r="J57" s="121" t="s">
        <v>17</v>
      </c>
      <c r="K57" s="121">
        <v>1087996780</v>
      </c>
      <c r="L57" s="121" t="s">
        <v>380</v>
      </c>
      <c r="M57" s="121"/>
      <c r="N57" s="121" t="s">
        <v>867</v>
      </c>
      <c r="O57" s="121" t="s">
        <v>1066</v>
      </c>
      <c r="P57" s="121">
        <v>42121553</v>
      </c>
      <c r="Q57" s="122">
        <v>27878</v>
      </c>
      <c r="R57" s="121"/>
      <c r="S57" s="121" t="s">
        <v>1067</v>
      </c>
      <c r="T57" s="121" t="s">
        <v>1068</v>
      </c>
      <c r="U57" s="123">
        <v>3148856392</v>
      </c>
      <c r="V57" s="121"/>
      <c r="W57" s="121" t="s">
        <v>1069</v>
      </c>
      <c r="X57" s="94" t="s">
        <v>1070</v>
      </c>
      <c r="Y57" s="124" t="s">
        <v>966</v>
      </c>
      <c r="Z57" s="125">
        <v>28000000</v>
      </c>
      <c r="AA57" s="121">
        <v>240</v>
      </c>
      <c r="AB57" s="123">
        <v>0</v>
      </c>
      <c r="AC57" s="121" t="s">
        <v>371</v>
      </c>
      <c r="AD57" s="126" t="s">
        <v>1071</v>
      </c>
      <c r="AE57" s="126" t="s">
        <v>345</v>
      </c>
      <c r="AF57" s="126" t="s">
        <v>346</v>
      </c>
      <c r="AG57" s="127" t="s">
        <v>373</v>
      </c>
      <c r="AH57" s="127" t="s">
        <v>374</v>
      </c>
      <c r="AI57" s="226" t="s">
        <v>1025</v>
      </c>
      <c r="AJ57" s="127" t="s">
        <v>350</v>
      </c>
      <c r="AK57" s="124" t="s">
        <v>1070</v>
      </c>
      <c r="AL57" s="121"/>
      <c r="AM57" s="121"/>
      <c r="AN57" s="121"/>
      <c r="AO57" s="121"/>
      <c r="AP57" s="121"/>
      <c r="AQ57" s="121"/>
      <c r="AR57" s="121"/>
      <c r="AS57" s="121"/>
      <c r="AT57" s="121"/>
      <c r="AU57" s="121"/>
      <c r="AV57" s="121"/>
      <c r="AW57" s="121"/>
      <c r="AX57" s="121"/>
      <c r="AY57" s="121"/>
      <c r="AZ57" s="121"/>
      <c r="BA57" s="121"/>
      <c r="BB57" s="121"/>
      <c r="BC57" s="121"/>
      <c r="BD57" s="121"/>
      <c r="BE57" s="121"/>
      <c r="BF57" s="121"/>
      <c r="BG57" s="159" t="s">
        <v>43</v>
      </c>
    </row>
    <row r="58" spans="1:59" ht="78.75" x14ac:dyDescent="0.25">
      <c r="A58" s="156" t="s">
        <v>1072</v>
      </c>
      <c r="B58" s="128" t="s">
        <v>1073</v>
      </c>
      <c r="C58" s="128" t="s">
        <v>1074</v>
      </c>
      <c r="D58" s="128" t="s">
        <v>451</v>
      </c>
      <c r="E58" s="128">
        <v>2018</v>
      </c>
      <c r="F58" s="128">
        <v>56</v>
      </c>
      <c r="G58" s="128" t="s">
        <v>334</v>
      </c>
      <c r="H58" s="128" t="s">
        <v>335</v>
      </c>
      <c r="I58" s="128" t="s">
        <v>336</v>
      </c>
      <c r="J58" s="128" t="s">
        <v>17</v>
      </c>
      <c r="K58" s="128">
        <v>1087996780</v>
      </c>
      <c r="L58" s="128" t="s">
        <v>336</v>
      </c>
      <c r="M58" s="128" t="s">
        <v>17</v>
      </c>
      <c r="N58" s="128" t="s">
        <v>896</v>
      </c>
      <c r="O58" s="128" t="s">
        <v>1075</v>
      </c>
      <c r="P58" s="128">
        <v>24694995</v>
      </c>
      <c r="Q58" s="129">
        <v>30046</v>
      </c>
      <c r="R58" s="128" t="s">
        <v>20</v>
      </c>
      <c r="S58" s="128" t="s">
        <v>1076</v>
      </c>
      <c r="T58" s="128" t="s">
        <v>1077</v>
      </c>
      <c r="U58" s="130">
        <v>3216425800</v>
      </c>
      <c r="V58" s="128" t="s">
        <v>269</v>
      </c>
      <c r="W58" s="128" t="s">
        <v>1078</v>
      </c>
      <c r="X58" s="102" t="s">
        <v>867</v>
      </c>
      <c r="Y58" s="132" t="s">
        <v>1079</v>
      </c>
      <c r="Z58" s="133">
        <v>24000000</v>
      </c>
      <c r="AA58" s="128">
        <v>180</v>
      </c>
      <c r="AB58" s="130">
        <v>90</v>
      </c>
      <c r="AC58" s="129">
        <v>43306</v>
      </c>
      <c r="AD58" s="134" t="s">
        <v>1080</v>
      </c>
      <c r="AE58" s="134" t="s">
        <v>345</v>
      </c>
      <c r="AF58" s="134" t="s">
        <v>346</v>
      </c>
      <c r="AG58" s="135" t="s">
        <v>347</v>
      </c>
      <c r="AH58" s="135" t="s">
        <v>1081</v>
      </c>
      <c r="AI58" s="242" t="s">
        <v>1082</v>
      </c>
      <c r="AJ58" s="135" t="s">
        <v>1083</v>
      </c>
      <c r="AK58" s="132" t="s">
        <v>867</v>
      </c>
      <c r="AL58" s="128" t="s">
        <v>263</v>
      </c>
      <c r="AM58" s="244" t="s">
        <v>986</v>
      </c>
      <c r="AN58" s="244" t="s">
        <v>987</v>
      </c>
      <c r="AO58" s="244" t="s">
        <v>1084</v>
      </c>
      <c r="AP58" s="244" t="s">
        <v>989</v>
      </c>
      <c r="AQ58" s="244" t="s">
        <v>990</v>
      </c>
      <c r="AR58" s="244" t="s">
        <v>991</v>
      </c>
      <c r="AS58" s="244" t="s">
        <v>992</v>
      </c>
      <c r="AT58" s="244" t="s">
        <v>1085</v>
      </c>
      <c r="AU58" s="244" t="s">
        <v>1086</v>
      </c>
      <c r="AV58" s="244" t="s">
        <v>1045</v>
      </c>
      <c r="AW58" s="245" t="s">
        <v>996</v>
      </c>
      <c r="AX58" s="246"/>
      <c r="AY58" s="246"/>
      <c r="AZ58" s="246"/>
      <c r="BA58" s="246"/>
      <c r="BB58" s="247"/>
      <c r="BC58" s="128"/>
      <c r="BD58" s="128"/>
      <c r="BE58" s="128" t="s">
        <v>277</v>
      </c>
      <c r="BF58" s="128" t="s">
        <v>257</v>
      </c>
      <c r="BG58" s="160" t="s">
        <v>43</v>
      </c>
    </row>
    <row r="59" spans="1:59" ht="78.75" x14ac:dyDescent="0.25">
      <c r="A59" s="155" t="s">
        <v>1087</v>
      </c>
      <c r="B59" s="121">
        <v>48</v>
      </c>
      <c r="C59" s="121">
        <v>62</v>
      </c>
      <c r="D59" s="121"/>
      <c r="E59" s="121">
        <v>2018</v>
      </c>
      <c r="F59" s="121">
        <v>57</v>
      </c>
      <c r="G59" s="121" t="s">
        <v>334</v>
      </c>
      <c r="H59" s="121" t="s">
        <v>335</v>
      </c>
      <c r="I59" s="121" t="s">
        <v>336</v>
      </c>
      <c r="J59" s="121" t="s">
        <v>17</v>
      </c>
      <c r="K59" s="121">
        <v>1087996780</v>
      </c>
      <c r="L59" s="121" t="s">
        <v>380</v>
      </c>
      <c r="M59" s="121"/>
      <c r="N59" s="121"/>
      <c r="O59" s="121" t="s">
        <v>1088</v>
      </c>
      <c r="P59" s="121">
        <v>9009214579</v>
      </c>
      <c r="Q59" s="122"/>
      <c r="R59" s="121"/>
      <c r="S59" s="121"/>
      <c r="T59" s="121"/>
      <c r="U59" s="123">
        <v>3000740</v>
      </c>
      <c r="V59" s="121"/>
      <c r="W59" s="121" t="s">
        <v>1089</v>
      </c>
      <c r="X59" s="94" t="s">
        <v>1090</v>
      </c>
      <c r="Y59" s="124" t="s">
        <v>1091</v>
      </c>
      <c r="Z59" s="125">
        <v>15000000</v>
      </c>
      <c r="AA59" s="121"/>
      <c r="AB59" s="123"/>
      <c r="AC59" s="121"/>
      <c r="AD59" s="126" t="s">
        <v>1092</v>
      </c>
      <c r="AE59" s="126" t="s">
        <v>345</v>
      </c>
      <c r="AF59" s="126" t="s">
        <v>346</v>
      </c>
      <c r="AG59" s="127" t="s">
        <v>373</v>
      </c>
      <c r="AH59" s="127" t="s">
        <v>374</v>
      </c>
      <c r="AI59" s="226" t="s">
        <v>501</v>
      </c>
      <c r="AJ59" s="127" t="s">
        <v>350</v>
      </c>
      <c r="AK59" s="124" t="s">
        <v>1090</v>
      </c>
      <c r="AL59" s="121"/>
      <c r="AM59" s="121"/>
      <c r="AN59" s="121"/>
      <c r="AO59" s="121"/>
      <c r="AP59" s="121"/>
      <c r="AQ59" s="121"/>
      <c r="AR59" s="121"/>
      <c r="AS59" s="121"/>
      <c r="AT59" s="121"/>
      <c r="AU59" s="121"/>
      <c r="AV59" s="121"/>
      <c r="AW59" s="121"/>
      <c r="AX59" s="121"/>
      <c r="AY59" s="121"/>
      <c r="AZ59" s="121"/>
      <c r="BA59" s="121"/>
      <c r="BB59" s="121"/>
      <c r="BC59" s="121"/>
      <c r="BD59" s="121"/>
      <c r="BE59" s="121"/>
      <c r="BF59" s="121"/>
      <c r="BG59" s="159" t="s">
        <v>43</v>
      </c>
    </row>
    <row r="60" spans="1:59" ht="78.75" x14ac:dyDescent="0.25">
      <c r="A60" s="152" t="s">
        <v>1093</v>
      </c>
      <c r="B60" s="99">
        <v>58</v>
      </c>
      <c r="C60" s="99">
        <v>84</v>
      </c>
      <c r="D60" s="99"/>
      <c r="E60" s="99">
        <v>2018</v>
      </c>
      <c r="F60" s="99">
        <v>58</v>
      </c>
      <c r="G60" s="99" t="s">
        <v>334</v>
      </c>
      <c r="H60" s="99" t="s">
        <v>335</v>
      </c>
      <c r="I60" s="99" t="s">
        <v>336</v>
      </c>
      <c r="J60" s="99" t="s">
        <v>17</v>
      </c>
      <c r="K60" s="99">
        <v>1087996780</v>
      </c>
      <c r="L60" s="99" t="s">
        <v>336</v>
      </c>
      <c r="M60" s="99"/>
      <c r="N60" s="99"/>
      <c r="O60" s="99" t="s">
        <v>1094</v>
      </c>
      <c r="P60" s="99">
        <v>1088013548</v>
      </c>
      <c r="Q60" s="100"/>
      <c r="R60" s="99"/>
      <c r="S60" s="99"/>
      <c r="T60" s="99"/>
      <c r="U60" s="101">
        <v>3207545802</v>
      </c>
      <c r="V60" s="99"/>
      <c r="W60" s="99" t="s">
        <v>1095</v>
      </c>
      <c r="X60" s="102" t="s">
        <v>1096</v>
      </c>
      <c r="Y60" s="103" t="s">
        <v>1097</v>
      </c>
      <c r="Z60" s="104">
        <v>15000000</v>
      </c>
      <c r="AA60" s="99"/>
      <c r="AB60" s="101"/>
      <c r="AC60" s="99"/>
      <c r="AD60" s="105" t="s">
        <v>1098</v>
      </c>
      <c r="AE60" s="105" t="s">
        <v>345</v>
      </c>
      <c r="AF60" s="105" t="s">
        <v>346</v>
      </c>
      <c r="AG60" s="106" t="s">
        <v>373</v>
      </c>
      <c r="AH60" s="106" t="s">
        <v>374</v>
      </c>
      <c r="AI60" s="229" t="s">
        <v>1099</v>
      </c>
      <c r="AJ60" s="106" t="s">
        <v>350</v>
      </c>
      <c r="AK60" s="103" t="s">
        <v>1096</v>
      </c>
      <c r="AL60" s="99"/>
      <c r="AM60" s="99"/>
      <c r="AN60" s="99"/>
      <c r="AO60" s="99"/>
      <c r="AP60" s="99"/>
      <c r="AQ60" s="99"/>
      <c r="AR60" s="99"/>
      <c r="AS60" s="99"/>
      <c r="AT60" s="99"/>
      <c r="AU60" s="99"/>
      <c r="AV60" s="99"/>
      <c r="AW60" s="99"/>
      <c r="AX60" s="99"/>
      <c r="AY60" s="99"/>
      <c r="AZ60" s="99"/>
      <c r="BA60" s="99"/>
      <c r="BB60" s="99"/>
      <c r="BC60" s="99"/>
      <c r="BD60" s="99"/>
      <c r="BE60" s="99"/>
      <c r="BF60" s="99"/>
      <c r="BG60" s="160" t="s">
        <v>43</v>
      </c>
    </row>
    <row r="61" spans="1:59" ht="78.75" x14ac:dyDescent="0.25">
      <c r="A61" s="151" t="s">
        <v>1100</v>
      </c>
      <c r="B61" s="91" t="s">
        <v>1101</v>
      </c>
      <c r="C61" s="91" t="s">
        <v>1102</v>
      </c>
      <c r="D61" s="91" t="s">
        <v>451</v>
      </c>
      <c r="E61" s="91">
        <v>2018</v>
      </c>
      <c r="F61" s="91">
        <v>59</v>
      </c>
      <c r="G61" s="91" t="s">
        <v>334</v>
      </c>
      <c r="H61" s="91" t="s">
        <v>335</v>
      </c>
      <c r="I61" s="91" t="s">
        <v>336</v>
      </c>
      <c r="J61" s="91" t="s">
        <v>17</v>
      </c>
      <c r="K61" s="91">
        <v>1087996780</v>
      </c>
      <c r="L61" s="91" t="s">
        <v>380</v>
      </c>
      <c r="M61" s="91" t="s">
        <v>265</v>
      </c>
      <c r="N61" s="91" t="s">
        <v>896</v>
      </c>
      <c r="O61" s="91" t="s">
        <v>1103</v>
      </c>
      <c r="P61" s="91">
        <v>8000900988</v>
      </c>
      <c r="Q61" s="92">
        <v>36355</v>
      </c>
      <c r="R61" s="91" t="s">
        <v>260</v>
      </c>
      <c r="S61" s="91" t="s">
        <v>1059</v>
      </c>
      <c r="T61" s="91" t="s">
        <v>1104</v>
      </c>
      <c r="U61" s="93">
        <v>3661572</v>
      </c>
      <c r="V61" s="91" t="s">
        <v>269</v>
      </c>
      <c r="W61" s="91" t="s">
        <v>1105</v>
      </c>
      <c r="X61" s="94" t="s">
        <v>827</v>
      </c>
      <c r="Y61" s="94" t="s">
        <v>343</v>
      </c>
      <c r="Z61" s="95">
        <v>9000000</v>
      </c>
      <c r="AA61" s="91">
        <v>240</v>
      </c>
      <c r="AB61" s="93">
        <v>95</v>
      </c>
      <c r="AC61" s="92">
        <v>43368</v>
      </c>
      <c r="AD61" s="96" t="s">
        <v>1024</v>
      </c>
      <c r="AE61" s="96" t="s">
        <v>345</v>
      </c>
      <c r="AF61" s="96" t="s">
        <v>346</v>
      </c>
      <c r="AG61" s="97" t="s">
        <v>371</v>
      </c>
      <c r="AH61" s="97" t="s">
        <v>371</v>
      </c>
      <c r="AI61" s="227" t="s">
        <v>104</v>
      </c>
      <c r="AJ61" s="97" t="s">
        <v>371</v>
      </c>
      <c r="AK61" s="94" t="s">
        <v>827</v>
      </c>
      <c r="AL61" s="91" t="s">
        <v>132</v>
      </c>
      <c r="AM61" s="91" t="s">
        <v>1106</v>
      </c>
      <c r="AN61" s="228" t="s">
        <v>1107</v>
      </c>
      <c r="AO61" s="254" t="s">
        <v>1108</v>
      </c>
      <c r="AP61" s="258"/>
      <c r="AQ61" s="258"/>
      <c r="AR61" s="258"/>
      <c r="AS61" s="258"/>
      <c r="AT61" s="258"/>
      <c r="AU61" s="256"/>
      <c r="AV61" s="91"/>
      <c r="AW61" s="91"/>
      <c r="AX61" s="91"/>
      <c r="AY61" s="91"/>
      <c r="AZ61" s="91"/>
      <c r="BA61" s="91"/>
      <c r="BB61" s="91"/>
      <c r="BC61" s="91"/>
      <c r="BD61" s="91"/>
      <c r="BE61" s="91" t="s">
        <v>277</v>
      </c>
      <c r="BF61" s="91" t="s">
        <v>281</v>
      </c>
      <c r="BG61" s="159" t="s">
        <v>43</v>
      </c>
    </row>
    <row r="62" spans="1:59" ht="78.75" x14ac:dyDescent="0.25">
      <c r="A62" s="152" t="s">
        <v>1109</v>
      </c>
      <c r="B62" s="99">
        <v>72</v>
      </c>
      <c r="C62" s="99">
        <v>77</v>
      </c>
      <c r="D62" s="99"/>
      <c r="E62" s="99">
        <v>2018</v>
      </c>
      <c r="F62" s="99">
        <v>60</v>
      </c>
      <c r="G62" s="99" t="s">
        <v>334</v>
      </c>
      <c r="H62" s="99" t="s">
        <v>335</v>
      </c>
      <c r="I62" s="99" t="s">
        <v>336</v>
      </c>
      <c r="J62" s="99" t="s">
        <v>17</v>
      </c>
      <c r="K62" s="99">
        <v>1087996780</v>
      </c>
      <c r="L62" s="99" t="s">
        <v>616</v>
      </c>
      <c r="M62" s="99"/>
      <c r="N62" s="99"/>
      <c r="O62" s="99" t="s">
        <v>1110</v>
      </c>
      <c r="P62" s="99">
        <v>98772041</v>
      </c>
      <c r="Q62" s="100"/>
      <c r="R62" s="99"/>
      <c r="S62" s="99"/>
      <c r="T62" s="99"/>
      <c r="U62" s="101">
        <v>3006547733</v>
      </c>
      <c r="V62" s="99"/>
      <c r="W62" s="99" t="s">
        <v>1111</v>
      </c>
      <c r="X62" s="102" t="s">
        <v>1112</v>
      </c>
      <c r="Y62" s="103" t="s">
        <v>1113</v>
      </c>
      <c r="Z62" s="104">
        <v>14000000</v>
      </c>
      <c r="AA62" s="99"/>
      <c r="AB62" s="101"/>
      <c r="AC62" s="99"/>
      <c r="AD62" s="105" t="s">
        <v>1114</v>
      </c>
      <c r="AE62" s="105" t="s">
        <v>345</v>
      </c>
      <c r="AF62" s="105" t="s">
        <v>346</v>
      </c>
      <c r="AG62" s="106" t="s">
        <v>373</v>
      </c>
      <c r="AH62" s="106" t="s">
        <v>374</v>
      </c>
      <c r="AI62" s="229" t="s">
        <v>1115</v>
      </c>
      <c r="AJ62" s="106" t="s">
        <v>350</v>
      </c>
      <c r="AK62" s="103" t="s">
        <v>1112</v>
      </c>
      <c r="AL62" s="99"/>
      <c r="AM62" s="99"/>
      <c r="AN62" s="99"/>
      <c r="AO62" s="99"/>
      <c r="AP62" s="99"/>
      <c r="AQ62" s="99"/>
      <c r="AR62" s="99"/>
      <c r="AS62" s="99"/>
      <c r="AT62" s="99"/>
      <c r="AU62" s="99"/>
      <c r="AV62" s="99"/>
      <c r="AW62" s="99"/>
      <c r="AX62" s="99"/>
      <c r="AY62" s="99"/>
      <c r="AZ62" s="99"/>
      <c r="BA62" s="99"/>
      <c r="BB62" s="99"/>
      <c r="BC62" s="99"/>
      <c r="BD62" s="99"/>
      <c r="BE62" s="99"/>
      <c r="BF62" s="99"/>
      <c r="BG62" s="160" t="s">
        <v>43</v>
      </c>
    </row>
    <row r="63" spans="1:59" ht="78.75" x14ac:dyDescent="0.25">
      <c r="A63" s="155" t="s">
        <v>1116</v>
      </c>
      <c r="B63" s="121">
        <v>54</v>
      </c>
      <c r="C63" s="121">
        <v>78</v>
      </c>
      <c r="D63" s="121"/>
      <c r="E63" s="121">
        <v>2018</v>
      </c>
      <c r="F63" s="121">
        <v>61</v>
      </c>
      <c r="G63" s="121" t="s">
        <v>334</v>
      </c>
      <c r="H63" s="121" t="s">
        <v>335</v>
      </c>
      <c r="I63" s="121" t="s">
        <v>336</v>
      </c>
      <c r="J63" s="121" t="s">
        <v>17</v>
      </c>
      <c r="K63" s="121">
        <v>1087996780</v>
      </c>
      <c r="L63" s="121" t="s">
        <v>514</v>
      </c>
      <c r="M63" s="121"/>
      <c r="N63" s="121"/>
      <c r="O63" s="121" t="s">
        <v>1117</v>
      </c>
      <c r="P63" s="121">
        <v>24511507</v>
      </c>
      <c r="Q63" s="122"/>
      <c r="R63" s="121"/>
      <c r="S63" s="121"/>
      <c r="T63" s="121"/>
      <c r="U63" s="123">
        <v>3192904524</v>
      </c>
      <c r="V63" s="121"/>
      <c r="W63" s="136" t="s">
        <v>1118</v>
      </c>
      <c r="X63" s="94" t="s">
        <v>1119</v>
      </c>
      <c r="Y63" s="124" t="s">
        <v>1120</v>
      </c>
      <c r="Z63" s="125">
        <v>8100000</v>
      </c>
      <c r="AA63" s="121"/>
      <c r="AB63" s="123"/>
      <c r="AC63" s="121"/>
      <c r="AD63" s="126" t="s">
        <v>1121</v>
      </c>
      <c r="AE63" s="126" t="s">
        <v>345</v>
      </c>
      <c r="AF63" s="126" t="s">
        <v>346</v>
      </c>
      <c r="AG63" s="127" t="s">
        <v>373</v>
      </c>
      <c r="AH63" s="127" t="s">
        <v>374</v>
      </c>
      <c r="AI63" s="226" t="s">
        <v>78</v>
      </c>
      <c r="AJ63" s="127" t="s">
        <v>350</v>
      </c>
      <c r="AK63" s="124" t="s">
        <v>1119</v>
      </c>
      <c r="AL63" s="121"/>
      <c r="AM63" s="121"/>
      <c r="AN63" s="121"/>
      <c r="AO63" s="121"/>
      <c r="AP63" s="121"/>
      <c r="AQ63" s="121"/>
      <c r="AR63" s="121"/>
      <c r="AS63" s="121"/>
      <c r="AT63" s="121"/>
      <c r="AU63" s="121"/>
      <c r="AV63" s="121"/>
      <c r="AW63" s="121"/>
      <c r="AX63" s="121"/>
      <c r="AY63" s="121"/>
      <c r="AZ63" s="121"/>
      <c r="BA63" s="121"/>
      <c r="BB63" s="121"/>
      <c r="BC63" s="121"/>
      <c r="BD63" s="121"/>
      <c r="BE63" s="121"/>
      <c r="BF63" s="121"/>
      <c r="BG63" s="159" t="s">
        <v>43</v>
      </c>
    </row>
    <row r="64" spans="1:59" ht="78.75" x14ac:dyDescent="0.25">
      <c r="A64" s="153" t="s">
        <v>1122</v>
      </c>
      <c r="B64" s="107" t="s">
        <v>1123</v>
      </c>
      <c r="C64" s="107" t="s">
        <v>1124</v>
      </c>
      <c r="D64" s="107" t="s">
        <v>363</v>
      </c>
      <c r="E64" s="107">
        <v>2018</v>
      </c>
      <c r="F64" s="107">
        <v>62</v>
      </c>
      <c r="G64" s="107" t="s">
        <v>334</v>
      </c>
      <c r="H64" s="107" t="s">
        <v>335</v>
      </c>
      <c r="I64" s="107" t="s">
        <v>336</v>
      </c>
      <c r="J64" s="107" t="s">
        <v>17</v>
      </c>
      <c r="K64" s="107">
        <v>1087996780</v>
      </c>
      <c r="L64" s="107" t="s">
        <v>336</v>
      </c>
      <c r="M64" s="107" t="s">
        <v>17</v>
      </c>
      <c r="N64" s="107" t="s">
        <v>867</v>
      </c>
      <c r="O64" s="107">
        <v>0</v>
      </c>
      <c r="P64" s="107">
        <v>1088011190</v>
      </c>
      <c r="Q64" s="108">
        <v>33801</v>
      </c>
      <c r="R64" s="107" t="s">
        <v>20</v>
      </c>
      <c r="S64" s="107" t="s">
        <v>535</v>
      </c>
      <c r="T64" s="107" t="s">
        <v>1125</v>
      </c>
      <c r="U64" s="109">
        <v>3103931175</v>
      </c>
      <c r="V64" s="107" t="s">
        <v>261</v>
      </c>
      <c r="W64" s="107" t="s">
        <v>1126</v>
      </c>
      <c r="X64" s="102" t="s">
        <v>827</v>
      </c>
      <c r="Y64" s="102" t="s">
        <v>343</v>
      </c>
      <c r="Z64" s="110">
        <v>10800000</v>
      </c>
      <c r="AA64" s="107">
        <v>240</v>
      </c>
      <c r="AB64" s="109">
        <v>95</v>
      </c>
      <c r="AC64" s="108">
        <v>43368</v>
      </c>
      <c r="AD64" s="111" t="s">
        <v>1127</v>
      </c>
      <c r="AE64" s="111" t="s">
        <v>345</v>
      </c>
      <c r="AF64" s="111" t="s">
        <v>346</v>
      </c>
      <c r="AG64" s="112" t="s">
        <v>1128</v>
      </c>
      <c r="AH64" s="112" t="s">
        <v>374</v>
      </c>
      <c r="AI64" s="231" t="s">
        <v>99</v>
      </c>
      <c r="AJ64" s="112" t="s">
        <v>350</v>
      </c>
      <c r="AK64" s="102" t="s">
        <v>827</v>
      </c>
      <c r="AL64" s="107" t="s">
        <v>263</v>
      </c>
      <c r="AM64" s="232" t="s">
        <v>1129</v>
      </c>
      <c r="AN64" s="232" t="s">
        <v>1130</v>
      </c>
      <c r="AO64" s="232" t="s">
        <v>1131</v>
      </c>
      <c r="AP64" s="232" t="s">
        <v>1132</v>
      </c>
      <c r="AQ64" s="232" t="s">
        <v>1133</v>
      </c>
      <c r="AR64" s="233" t="s">
        <v>1134</v>
      </c>
      <c r="AS64" s="234"/>
      <c r="AT64" s="234"/>
      <c r="AU64" s="234"/>
      <c r="AV64" s="234"/>
      <c r="AW64" s="234"/>
      <c r="AX64" s="234"/>
      <c r="AY64" s="234"/>
      <c r="AZ64" s="234"/>
      <c r="BA64" s="234"/>
      <c r="BB64" s="234"/>
      <c r="BC64" s="235"/>
      <c r="BD64" s="107"/>
      <c r="BE64" s="107" t="s">
        <v>277</v>
      </c>
      <c r="BF64" s="107" t="s">
        <v>281</v>
      </c>
      <c r="BG64" s="160" t="s">
        <v>43</v>
      </c>
    </row>
    <row r="65" spans="1:59" ht="78.75" x14ac:dyDescent="0.25">
      <c r="A65" s="155" t="s">
        <v>1135</v>
      </c>
      <c r="B65" s="121">
        <v>75</v>
      </c>
      <c r="C65" s="121">
        <v>79</v>
      </c>
      <c r="D65" s="121"/>
      <c r="E65" s="121">
        <v>2018</v>
      </c>
      <c r="F65" s="121">
        <v>63</v>
      </c>
      <c r="G65" s="121" t="s">
        <v>334</v>
      </c>
      <c r="H65" s="121" t="s">
        <v>335</v>
      </c>
      <c r="I65" s="121" t="s">
        <v>336</v>
      </c>
      <c r="J65" s="121" t="s">
        <v>17</v>
      </c>
      <c r="K65" s="121">
        <v>1087996780</v>
      </c>
      <c r="L65" s="121" t="s">
        <v>514</v>
      </c>
      <c r="M65" s="121"/>
      <c r="N65" s="121"/>
      <c r="O65" s="121" t="s">
        <v>1136</v>
      </c>
      <c r="P65" s="121">
        <v>42163842</v>
      </c>
      <c r="Q65" s="122"/>
      <c r="R65" s="121"/>
      <c r="S65" s="121"/>
      <c r="T65" s="121"/>
      <c r="U65" s="123">
        <v>3137076841</v>
      </c>
      <c r="V65" s="121"/>
      <c r="W65" s="121" t="s">
        <v>1137</v>
      </c>
      <c r="X65" s="94" t="s">
        <v>1138</v>
      </c>
      <c r="Y65" s="124" t="s">
        <v>966</v>
      </c>
      <c r="Z65" s="125">
        <v>10800000</v>
      </c>
      <c r="AA65" s="121"/>
      <c r="AB65" s="123"/>
      <c r="AC65" s="121"/>
      <c r="AD65" s="126" t="s">
        <v>1139</v>
      </c>
      <c r="AE65" s="126" t="s">
        <v>345</v>
      </c>
      <c r="AF65" s="126" t="s">
        <v>346</v>
      </c>
      <c r="AG65" s="127" t="s">
        <v>373</v>
      </c>
      <c r="AH65" s="127" t="s">
        <v>374</v>
      </c>
      <c r="AI65" s="226" t="s">
        <v>89</v>
      </c>
      <c r="AJ65" s="127" t="s">
        <v>350</v>
      </c>
      <c r="AK65" s="124" t="s">
        <v>1138</v>
      </c>
      <c r="AL65" s="121"/>
      <c r="AM65" s="121"/>
      <c r="AN65" s="121"/>
      <c r="AO65" s="121"/>
      <c r="AP65" s="121"/>
      <c r="AQ65" s="121"/>
      <c r="AR65" s="121"/>
      <c r="AS65" s="121"/>
      <c r="AT65" s="121"/>
      <c r="AU65" s="121"/>
      <c r="AV65" s="121"/>
      <c r="AW65" s="121"/>
      <c r="AX65" s="121"/>
      <c r="AY65" s="121"/>
      <c r="AZ65" s="121"/>
      <c r="BA65" s="121"/>
      <c r="BB65" s="121"/>
      <c r="BC65" s="121"/>
      <c r="BD65" s="121"/>
      <c r="BE65" s="121"/>
      <c r="BF65" s="121"/>
      <c r="BG65" s="159" t="s">
        <v>111</v>
      </c>
    </row>
    <row r="66" spans="1:59" ht="78.75" x14ac:dyDescent="0.25">
      <c r="A66" s="152" t="s">
        <v>1140</v>
      </c>
      <c r="B66" s="99">
        <v>55</v>
      </c>
      <c r="C66" s="99">
        <v>80</v>
      </c>
      <c r="D66" s="99"/>
      <c r="E66" s="99">
        <v>2018</v>
      </c>
      <c r="F66" s="99">
        <v>64</v>
      </c>
      <c r="G66" s="99" t="s">
        <v>334</v>
      </c>
      <c r="H66" s="99" t="s">
        <v>335</v>
      </c>
      <c r="I66" s="99" t="s">
        <v>336</v>
      </c>
      <c r="J66" s="99" t="s">
        <v>17</v>
      </c>
      <c r="K66" s="99">
        <v>1087996780</v>
      </c>
      <c r="L66" s="99" t="s">
        <v>616</v>
      </c>
      <c r="M66" s="99"/>
      <c r="N66" s="99"/>
      <c r="O66" s="99" t="s">
        <v>1141</v>
      </c>
      <c r="P66" s="99">
        <v>42090415</v>
      </c>
      <c r="Q66" s="100"/>
      <c r="R66" s="99"/>
      <c r="S66" s="99"/>
      <c r="T66" s="99"/>
      <c r="U66" s="101">
        <v>3113499509</v>
      </c>
      <c r="V66" s="99"/>
      <c r="W66" s="99" t="s">
        <v>1142</v>
      </c>
      <c r="X66" s="102" t="s">
        <v>1143</v>
      </c>
      <c r="Y66" s="103" t="s">
        <v>1120</v>
      </c>
      <c r="Z66" s="104">
        <v>12000000</v>
      </c>
      <c r="AA66" s="99"/>
      <c r="AB66" s="101"/>
      <c r="AC66" s="99"/>
      <c r="AD66" s="105" t="s">
        <v>1144</v>
      </c>
      <c r="AE66" s="105" t="s">
        <v>345</v>
      </c>
      <c r="AF66" s="105" t="s">
        <v>346</v>
      </c>
      <c r="AG66" s="106" t="s">
        <v>373</v>
      </c>
      <c r="AH66" s="106" t="s">
        <v>374</v>
      </c>
      <c r="AI66" s="229" t="s">
        <v>82</v>
      </c>
      <c r="AJ66" s="106" t="s">
        <v>350</v>
      </c>
      <c r="AK66" s="103" t="s">
        <v>1143</v>
      </c>
      <c r="AL66" s="99"/>
      <c r="AM66" s="99"/>
      <c r="AN66" s="99"/>
      <c r="AO66" s="99"/>
      <c r="AP66" s="99"/>
      <c r="AQ66" s="99"/>
      <c r="AR66" s="99"/>
      <c r="AS66" s="99"/>
      <c r="AT66" s="99"/>
      <c r="AU66" s="99"/>
      <c r="AV66" s="99"/>
      <c r="AW66" s="99"/>
      <c r="AX66" s="99"/>
      <c r="AY66" s="99"/>
      <c r="AZ66" s="99"/>
      <c r="BA66" s="99"/>
      <c r="BB66" s="99"/>
      <c r="BC66" s="99"/>
      <c r="BD66" s="99"/>
      <c r="BE66" s="99"/>
      <c r="BF66" s="99"/>
      <c r="BG66" s="160" t="s">
        <v>43</v>
      </c>
    </row>
    <row r="67" spans="1:59" ht="78.75" x14ac:dyDescent="0.25">
      <c r="A67" s="154" t="s">
        <v>1145</v>
      </c>
      <c r="B67" s="113" t="s">
        <v>1146</v>
      </c>
      <c r="C67" s="113" t="s">
        <v>1147</v>
      </c>
      <c r="D67" s="113" t="s">
        <v>451</v>
      </c>
      <c r="E67" s="113">
        <v>2018</v>
      </c>
      <c r="F67" s="113">
        <v>65</v>
      </c>
      <c r="G67" s="113" t="s">
        <v>334</v>
      </c>
      <c r="H67" s="113" t="s">
        <v>335</v>
      </c>
      <c r="I67" s="113" t="s">
        <v>336</v>
      </c>
      <c r="J67" s="113" t="s">
        <v>17</v>
      </c>
      <c r="K67" s="113">
        <v>1087996780</v>
      </c>
      <c r="L67" s="113" t="s">
        <v>616</v>
      </c>
      <c r="M67" s="113" t="s">
        <v>17</v>
      </c>
      <c r="N67" s="113">
        <v>0</v>
      </c>
      <c r="O67" s="113">
        <v>0</v>
      </c>
      <c r="P67" s="113">
        <v>1088013614</v>
      </c>
      <c r="Q67" s="114">
        <v>34026</v>
      </c>
      <c r="R67" s="113" t="s">
        <v>20</v>
      </c>
      <c r="S67" s="113" t="s">
        <v>1148</v>
      </c>
      <c r="T67" s="113" t="s">
        <v>1149</v>
      </c>
      <c r="U67" s="115">
        <v>3136368161</v>
      </c>
      <c r="V67" s="113" t="s">
        <v>269</v>
      </c>
      <c r="W67" s="113" t="s">
        <v>1150</v>
      </c>
      <c r="X67" s="94" t="s">
        <v>1151</v>
      </c>
      <c r="Y67" s="116" t="s">
        <v>1042</v>
      </c>
      <c r="Z67" s="117">
        <v>9000000</v>
      </c>
      <c r="AA67" s="113">
        <v>180</v>
      </c>
      <c r="AB67" s="115">
        <v>90</v>
      </c>
      <c r="AC67" s="114">
        <v>43306</v>
      </c>
      <c r="AD67" s="118" t="s">
        <v>1152</v>
      </c>
      <c r="AE67" s="118" t="s">
        <v>345</v>
      </c>
      <c r="AF67" s="118" t="s">
        <v>346</v>
      </c>
      <c r="AG67" s="119" t="s">
        <v>388</v>
      </c>
      <c r="AH67" s="119" t="s">
        <v>418</v>
      </c>
      <c r="AI67" s="236" t="s">
        <v>81</v>
      </c>
      <c r="AJ67" s="119" t="s">
        <v>350</v>
      </c>
      <c r="AK67" s="116" t="s">
        <v>1151</v>
      </c>
      <c r="AL67" s="113" t="s">
        <v>263</v>
      </c>
      <c r="AM67" s="228" t="s">
        <v>1153</v>
      </c>
      <c r="AN67" s="228" t="s">
        <v>609</v>
      </c>
      <c r="AO67" s="228" t="s">
        <v>600</v>
      </c>
      <c r="AP67" s="228" t="s">
        <v>1154</v>
      </c>
      <c r="AQ67" s="228" t="s">
        <v>611</v>
      </c>
      <c r="AR67" s="228" t="s">
        <v>1155</v>
      </c>
      <c r="AS67" s="254" t="s">
        <v>612</v>
      </c>
      <c r="AT67" s="258"/>
      <c r="AU67" s="258"/>
      <c r="AV67" s="258"/>
      <c r="AW67" s="258"/>
      <c r="AX67" s="258"/>
      <c r="AY67" s="258"/>
      <c r="AZ67" s="256"/>
      <c r="BA67" s="113"/>
      <c r="BB67" s="113"/>
      <c r="BC67" s="113"/>
      <c r="BD67" s="113"/>
      <c r="BE67" s="113" t="s">
        <v>276</v>
      </c>
      <c r="BF67" s="113" t="s">
        <v>281</v>
      </c>
      <c r="BG67" s="159" t="s">
        <v>43</v>
      </c>
    </row>
    <row r="68" spans="1:59" ht="78.75" x14ac:dyDescent="0.25">
      <c r="A68" s="153" t="s">
        <v>1156</v>
      </c>
      <c r="B68" s="107" t="s">
        <v>1157</v>
      </c>
      <c r="C68" s="107" t="s">
        <v>1158</v>
      </c>
      <c r="D68" s="107" t="s">
        <v>451</v>
      </c>
      <c r="E68" s="107">
        <v>2018</v>
      </c>
      <c r="F68" s="107">
        <v>66</v>
      </c>
      <c r="G68" s="107" t="s">
        <v>334</v>
      </c>
      <c r="H68" s="107" t="s">
        <v>335</v>
      </c>
      <c r="I68" s="107" t="s">
        <v>336</v>
      </c>
      <c r="J68" s="107" t="s">
        <v>17</v>
      </c>
      <c r="K68" s="107">
        <v>1087996780</v>
      </c>
      <c r="L68" s="107" t="s">
        <v>336</v>
      </c>
      <c r="M68" s="107" t="s">
        <v>17</v>
      </c>
      <c r="N68" s="107" t="s">
        <v>896</v>
      </c>
      <c r="O68" s="107" t="s">
        <v>1159</v>
      </c>
      <c r="P68" s="107">
        <v>42152075</v>
      </c>
      <c r="Q68" s="108">
        <v>30378</v>
      </c>
      <c r="R68" s="107" t="s">
        <v>20</v>
      </c>
      <c r="S68" s="107" t="s">
        <v>805</v>
      </c>
      <c r="T68" s="107" t="s">
        <v>1160</v>
      </c>
      <c r="U68" s="109">
        <v>3102023407</v>
      </c>
      <c r="V68" s="107" t="s">
        <v>269</v>
      </c>
      <c r="W68" s="107" t="s">
        <v>1161</v>
      </c>
      <c r="X68" s="102" t="s">
        <v>827</v>
      </c>
      <c r="Y68" s="102" t="s">
        <v>343</v>
      </c>
      <c r="Z68" s="110">
        <v>24000000</v>
      </c>
      <c r="AA68" s="107">
        <v>240</v>
      </c>
      <c r="AB68" s="109">
        <v>95</v>
      </c>
      <c r="AC68" s="108">
        <v>43368</v>
      </c>
      <c r="AD68" s="111" t="s">
        <v>1162</v>
      </c>
      <c r="AE68" s="111" t="s">
        <v>345</v>
      </c>
      <c r="AF68" s="111" t="s">
        <v>346</v>
      </c>
      <c r="AG68" s="112" t="s">
        <v>553</v>
      </c>
      <c r="AH68" s="112" t="s">
        <v>348</v>
      </c>
      <c r="AI68" s="231" t="s">
        <v>99</v>
      </c>
      <c r="AJ68" s="112" t="s">
        <v>350</v>
      </c>
      <c r="AK68" s="102" t="s">
        <v>827</v>
      </c>
      <c r="AL68" s="107" t="s">
        <v>263</v>
      </c>
      <c r="AM68" s="107" t="s">
        <v>812</v>
      </c>
      <c r="AN68" s="107" t="s">
        <v>1163</v>
      </c>
      <c r="AO68" s="107" t="s">
        <v>1164</v>
      </c>
      <c r="AP68" s="107" t="s">
        <v>1165</v>
      </c>
      <c r="AQ68" s="107" t="s">
        <v>1166</v>
      </c>
      <c r="AR68" s="107" t="s">
        <v>817</v>
      </c>
      <c r="AS68" s="107" t="s">
        <v>611</v>
      </c>
      <c r="AT68" s="107" t="s">
        <v>818</v>
      </c>
      <c r="AU68" s="107" t="s">
        <v>819</v>
      </c>
      <c r="AV68" s="107"/>
      <c r="AW68" s="107"/>
      <c r="AX68" s="107"/>
      <c r="AY68" s="107"/>
      <c r="AZ68" s="107"/>
      <c r="BA68" s="107"/>
      <c r="BB68" s="107"/>
      <c r="BC68" s="107"/>
      <c r="BD68" s="107"/>
      <c r="BE68" s="107" t="s">
        <v>276</v>
      </c>
      <c r="BF68" s="107" t="s">
        <v>257</v>
      </c>
      <c r="BG68" s="160" t="s">
        <v>111</v>
      </c>
    </row>
    <row r="69" spans="1:59" ht="78.75" x14ac:dyDescent="0.25">
      <c r="A69" s="155" t="s">
        <v>1167</v>
      </c>
      <c r="B69" s="121">
        <v>64</v>
      </c>
      <c r="C69" s="121">
        <v>76</v>
      </c>
      <c r="D69" s="121"/>
      <c r="E69" s="121">
        <v>2018</v>
      </c>
      <c r="F69" s="121">
        <v>67</v>
      </c>
      <c r="G69" s="121" t="s">
        <v>334</v>
      </c>
      <c r="H69" s="121" t="s">
        <v>335</v>
      </c>
      <c r="I69" s="121" t="s">
        <v>336</v>
      </c>
      <c r="J69" s="121" t="s">
        <v>17</v>
      </c>
      <c r="K69" s="121">
        <v>1087996780</v>
      </c>
      <c r="L69" s="121" t="s">
        <v>494</v>
      </c>
      <c r="M69" s="121"/>
      <c r="N69" s="121"/>
      <c r="O69" s="121" t="s">
        <v>1168</v>
      </c>
      <c r="P69" s="121">
        <v>18386964</v>
      </c>
      <c r="Q69" s="122"/>
      <c r="R69" s="121"/>
      <c r="S69" s="121"/>
      <c r="T69" s="121"/>
      <c r="U69" s="123">
        <v>3006539659</v>
      </c>
      <c r="V69" s="121"/>
      <c r="W69" s="121" t="s">
        <v>1169</v>
      </c>
      <c r="X69" s="94" t="s">
        <v>1170</v>
      </c>
      <c r="Y69" s="124" t="s">
        <v>966</v>
      </c>
      <c r="Z69" s="125">
        <v>40000000</v>
      </c>
      <c r="AA69" s="121"/>
      <c r="AB69" s="123"/>
      <c r="AC69" s="121"/>
      <c r="AD69" s="126" t="s">
        <v>1171</v>
      </c>
      <c r="AE69" s="126" t="s">
        <v>345</v>
      </c>
      <c r="AF69" s="126" t="s">
        <v>346</v>
      </c>
      <c r="AG69" s="127" t="s">
        <v>373</v>
      </c>
      <c r="AH69" s="127" t="s">
        <v>374</v>
      </c>
      <c r="AI69" s="226" t="s">
        <v>1099</v>
      </c>
      <c r="AJ69" s="127" t="s">
        <v>350</v>
      </c>
      <c r="AK69" s="124" t="s">
        <v>1170</v>
      </c>
      <c r="AL69" s="121"/>
      <c r="AM69" s="121"/>
      <c r="AN69" s="121"/>
      <c r="AO69" s="121"/>
      <c r="AP69" s="121"/>
      <c r="AQ69" s="121"/>
      <c r="AR69" s="121"/>
      <c r="AS69" s="121"/>
      <c r="AT69" s="121"/>
      <c r="AU69" s="121"/>
      <c r="AV69" s="121"/>
      <c r="AW69" s="121"/>
      <c r="AX69" s="121"/>
      <c r="AY69" s="121"/>
      <c r="AZ69" s="121"/>
      <c r="BA69" s="121"/>
      <c r="BB69" s="121"/>
      <c r="BC69" s="121"/>
      <c r="BD69" s="121"/>
      <c r="BE69" s="121"/>
      <c r="BF69" s="121"/>
      <c r="BG69" s="159" t="s">
        <v>111</v>
      </c>
    </row>
    <row r="70" spans="1:59" ht="78.75" x14ac:dyDescent="0.25">
      <c r="A70" s="152" t="s">
        <v>1172</v>
      </c>
      <c r="B70" s="99">
        <v>52</v>
      </c>
      <c r="C70" s="99">
        <v>75</v>
      </c>
      <c r="D70" s="99"/>
      <c r="E70" s="99">
        <v>2018</v>
      </c>
      <c r="F70" s="99">
        <v>68</v>
      </c>
      <c r="G70" s="99" t="s">
        <v>334</v>
      </c>
      <c r="H70" s="99" t="s">
        <v>335</v>
      </c>
      <c r="I70" s="99" t="s">
        <v>336</v>
      </c>
      <c r="J70" s="99" t="s">
        <v>17</v>
      </c>
      <c r="K70" s="99">
        <v>1087996780</v>
      </c>
      <c r="L70" s="99" t="s">
        <v>616</v>
      </c>
      <c r="M70" s="99"/>
      <c r="N70" s="99"/>
      <c r="O70" s="99" t="s">
        <v>1173</v>
      </c>
      <c r="P70" s="99">
        <v>1088348349</v>
      </c>
      <c r="Q70" s="100"/>
      <c r="R70" s="99"/>
      <c r="S70" s="99"/>
      <c r="T70" s="99"/>
      <c r="U70" s="101">
        <v>3234371293</v>
      </c>
      <c r="V70" s="99"/>
      <c r="W70" s="99" t="s">
        <v>1174</v>
      </c>
      <c r="X70" s="102" t="s">
        <v>1175</v>
      </c>
      <c r="Y70" s="103" t="s">
        <v>966</v>
      </c>
      <c r="Z70" s="104">
        <v>12000000</v>
      </c>
      <c r="AA70" s="99"/>
      <c r="AB70" s="101"/>
      <c r="AC70" s="99"/>
      <c r="AD70" s="105" t="s">
        <v>1176</v>
      </c>
      <c r="AE70" s="105" t="s">
        <v>345</v>
      </c>
      <c r="AF70" s="105" t="s">
        <v>346</v>
      </c>
      <c r="AG70" s="106" t="s">
        <v>373</v>
      </c>
      <c r="AH70" s="106" t="s">
        <v>374</v>
      </c>
      <c r="AI70" s="229" t="s">
        <v>1099</v>
      </c>
      <c r="AJ70" s="106" t="s">
        <v>350</v>
      </c>
      <c r="AK70" s="103" t="s">
        <v>1175</v>
      </c>
      <c r="AL70" s="99"/>
      <c r="AM70" s="99"/>
      <c r="AN70" s="99"/>
      <c r="AO70" s="99"/>
      <c r="AP70" s="99"/>
      <c r="AQ70" s="99"/>
      <c r="AR70" s="99"/>
      <c r="AS70" s="99"/>
      <c r="AT70" s="99"/>
      <c r="AU70" s="99"/>
      <c r="AV70" s="99"/>
      <c r="AW70" s="99"/>
      <c r="AX70" s="99"/>
      <c r="AY70" s="99"/>
      <c r="AZ70" s="99"/>
      <c r="BA70" s="99"/>
      <c r="BB70" s="99"/>
      <c r="BC70" s="99"/>
      <c r="BD70" s="99"/>
      <c r="BE70" s="99"/>
      <c r="BF70" s="99"/>
      <c r="BG70" s="160" t="s">
        <v>43</v>
      </c>
    </row>
    <row r="71" spans="1:59" ht="78.75" x14ac:dyDescent="0.25">
      <c r="A71" s="154" t="s">
        <v>1177</v>
      </c>
      <c r="B71" s="113" t="s">
        <v>1178</v>
      </c>
      <c r="C71" s="113" t="s">
        <v>1179</v>
      </c>
      <c r="D71" s="113" t="s">
        <v>451</v>
      </c>
      <c r="E71" s="113">
        <v>2018</v>
      </c>
      <c r="F71" s="113">
        <v>69</v>
      </c>
      <c r="G71" s="113" t="s">
        <v>334</v>
      </c>
      <c r="H71" s="113" t="s">
        <v>335</v>
      </c>
      <c r="I71" s="113" t="s">
        <v>336</v>
      </c>
      <c r="J71" s="113" t="s">
        <v>17</v>
      </c>
      <c r="K71" s="113">
        <v>1087996780</v>
      </c>
      <c r="L71" s="113" t="s">
        <v>494</v>
      </c>
      <c r="M71" s="113" t="s">
        <v>264</v>
      </c>
      <c r="N71" s="113" t="s">
        <v>867</v>
      </c>
      <c r="O71" s="113" t="s">
        <v>1180</v>
      </c>
      <c r="P71" s="113">
        <v>1088257630</v>
      </c>
      <c r="Q71" s="114">
        <v>32168</v>
      </c>
      <c r="R71" s="113" t="s">
        <v>20</v>
      </c>
      <c r="S71" s="113" t="s">
        <v>1181</v>
      </c>
      <c r="T71" s="113" t="s">
        <v>1182</v>
      </c>
      <c r="U71" s="115">
        <v>3318070</v>
      </c>
      <c r="V71" s="113" t="s">
        <v>269</v>
      </c>
      <c r="W71" s="136" t="s">
        <v>1183</v>
      </c>
      <c r="X71" s="94" t="s">
        <v>1184</v>
      </c>
      <c r="Y71" s="116" t="s">
        <v>1185</v>
      </c>
      <c r="Z71" s="117">
        <v>10800000</v>
      </c>
      <c r="AA71" s="113">
        <v>180</v>
      </c>
      <c r="AB71" s="115">
        <v>90</v>
      </c>
      <c r="AC71" s="114">
        <v>43307</v>
      </c>
      <c r="AD71" s="118" t="s">
        <v>1186</v>
      </c>
      <c r="AE71" s="118" t="s">
        <v>345</v>
      </c>
      <c r="AF71" s="118" t="s">
        <v>346</v>
      </c>
      <c r="AG71" s="119" t="s">
        <v>1187</v>
      </c>
      <c r="AH71" s="119" t="s">
        <v>418</v>
      </c>
      <c r="AI71" s="236" t="s">
        <v>1099</v>
      </c>
      <c r="AJ71" s="119" t="s">
        <v>350</v>
      </c>
      <c r="AK71" s="116" t="s">
        <v>1184</v>
      </c>
      <c r="AL71" s="113" t="s">
        <v>263</v>
      </c>
      <c r="AM71" s="113" t="s">
        <v>1188</v>
      </c>
      <c r="AN71" s="113" t="s">
        <v>1189</v>
      </c>
      <c r="AO71" s="113" t="s">
        <v>1190</v>
      </c>
      <c r="AP71" s="113" t="s">
        <v>1191</v>
      </c>
      <c r="AQ71" s="113" t="s">
        <v>1192</v>
      </c>
      <c r="AR71" s="113" t="s">
        <v>1193</v>
      </c>
      <c r="AS71" s="113" t="s">
        <v>1194</v>
      </c>
      <c r="AT71" s="113"/>
      <c r="AU71" s="113"/>
      <c r="AV71" s="113"/>
      <c r="AW71" s="113"/>
      <c r="AX71" s="113"/>
      <c r="AY71" s="113"/>
      <c r="AZ71" s="113"/>
      <c r="BA71" s="113"/>
      <c r="BB71" s="113"/>
      <c r="BC71" s="113"/>
      <c r="BD71" s="113"/>
      <c r="BE71" s="113" t="s">
        <v>276</v>
      </c>
      <c r="BF71" s="113" t="s">
        <v>281</v>
      </c>
      <c r="BG71" s="159" t="s">
        <v>43</v>
      </c>
    </row>
    <row r="72" spans="1:59" ht="63" x14ac:dyDescent="0.25">
      <c r="A72" s="153" t="s">
        <v>1598</v>
      </c>
      <c r="B72" s="107">
        <v>119</v>
      </c>
      <c r="C72" s="107">
        <v>100</v>
      </c>
      <c r="D72" s="107" t="s">
        <v>1599</v>
      </c>
      <c r="E72" s="107">
        <v>2018</v>
      </c>
      <c r="F72" s="107">
        <v>70</v>
      </c>
      <c r="G72" s="107" t="s">
        <v>334</v>
      </c>
      <c r="H72" s="107" t="s">
        <v>335</v>
      </c>
      <c r="I72" s="107" t="s">
        <v>336</v>
      </c>
      <c r="J72" s="107" t="s">
        <v>17</v>
      </c>
      <c r="K72" s="107">
        <v>1087996780</v>
      </c>
      <c r="L72" s="107" t="s">
        <v>380</v>
      </c>
      <c r="M72" s="107" t="s">
        <v>265</v>
      </c>
      <c r="N72" s="107" t="s">
        <v>1600</v>
      </c>
      <c r="O72" s="107" t="s">
        <v>1601</v>
      </c>
      <c r="P72" s="107">
        <v>816005795</v>
      </c>
      <c r="Q72" s="108">
        <v>0</v>
      </c>
      <c r="R72" s="107" t="s">
        <v>260</v>
      </c>
      <c r="S72" s="107" t="s">
        <v>1602</v>
      </c>
      <c r="T72" s="107" t="s">
        <v>1603</v>
      </c>
      <c r="U72" s="109">
        <v>6464630</v>
      </c>
      <c r="V72" s="107">
        <v>0</v>
      </c>
      <c r="W72" s="131" t="s">
        <v>1604</v>
      </c>
      <c r="X72" s="102" t="s">
        <v>1600</v>
      </c>
      <c r="Y72" s="107" t="s">
        <v>1605</v>
      </c>
      <c r="Z72" s="110">
        <v>1969638</v>
      </c>
      <c r="AA72" s="109">
        <v>7</v>
      </c>
      <c r="AB72" s="109">
        <v>0</v>
      </c>
      <c r="AC72" s="107">
        <v>0</v>
      </c>
      <c r="AD72" s="111"/>
      <c r="AE72" s="111"/>
      <c r="AF72" s="111"/>
      <c r="AG72" s="107">
        <v>0</v>
      </c>
      <c r="AH72" s="107">
        <v>0</v>
      </c>
      <c r="AI72" s="231">
        <v>0</v>
      </c>
      <c r="AJ72" s="102">
        <v>0</v>
      </c>
      <c r="AK72" s="107">
        <v>0</v>
      </c>
      <c r="AL72" s="107" t="s">
        <v>132</v>
      </c>
      <c r="AM72" s="107"/>
      <c r="AN72" s="107"/>
      <c r="AO72" s="107"/>
      <c r="AP72" s="107"/>
      <c r="AQ72" s="107"/>
      <c r="AR72" s="107"/>
      <c r="AS72" s="107"/>
      <c r="AT72" s="107"/>
      <c r="AU72" s="107"/>
      <c r="AV72" s="107"/>
      <c r="AW72" s="107"/>
      <c r="AX72" s="107"/>
      <c r="AY72" s="107"/>
      <c r="AZ72" s="107"/>
      <c r="BA72" s="107"/>
      <c r="BB72" s="107"/>
      <c r="BC72" s="107"/>
      <c r="BD72" s="107"/>
      <c r="BE72" s="107" t="s">
        <v>277</v>
      </c>
      <c r="BF72" s="107" t="s">
        <v>1622</v>
      </c>
      <c r="BG72" s="160">
        <v>0</v>
      </c>
    </row>
    <row r="73" spans="1:59" ht="63" x14ac:dyDescent="0.25">
      <c r="A73" s="151" t="s">
        <v>1656</v>
      </c>
      <c r="B73" s="91">
        <v>124</v>
      </c>
      <c r="C73" s="91">
        <v>125</v>
      </c>
      <c r="D73" s="91" t="s">
        <v>1657</v>
      </c>
      <c r="E73" s="91">
        <v>2018</v>
      </c>
      <c r="F73" s="91">
        <v>71</v>
      </c>
      <c r="G73" s="91" t="s">
        <v>334</v>
      </c>
      <c r="H73" s="91" t="s">
        <v>335</v>
      </c>
      <c r="I73" s="91" t="s">
        <v>336</v>
      </c>
      <c r="J73" s="91" t="s">
        <v>17</v>
      </c>
      <c r="K73" s="91">
        <v>1087996780</v>
      </c>
      <c r="L73" s="91" t="s">
        <v>380</v>
      </c>
      <c r="M73" s="91" t="s">
        <v>265</v>
      </c>
      <c r="N73" s="91" t="s">
        <v>1658</v>
      </c>
      <c r="O73" s="91" t="s">
        <v>1659</v>
      </c>
      <c r="P73" s="91">
        <v>900271642</v>
      </c>
      <c r="Q73" s="92">
        <v>40603</v>
      </c>
      <c r="R73" s="91" t="s">
        <v>260</v>
      </c>
      <c r="S73" s="91">
        <v>0</v>
      </c>
      <c r="T73" s="91" t="s">
        <v>1660</v>
      </c>
      <c r="U73" s="93">
        <v>3170303</v>
      </c>
      <c r="V73" s="91">
        <v>0</v>
      </c>
      <c r="W73" s="136" t="s">
        <v>1641</v>
      </c>
      <c r="X73" s="94" t="s">
        <v>1658</v>
      </c>
      <c r="Y73" s="91" t="s">
        <v>1661</v>
      </c>
      <c r="Z73" s="95">
        <v>700000</v>
      </c>
      <c r="AA73" s="93">
        <v>270</v>
      </c>
      <c r="AB73" s="93">
        <v>0</v>
      </c>
      <c r="AC73" s="91">
        <v>0</v>
      </c>
      <c r="AD73" s="96"/>
      <c r="AE73" s="96"/>
      <c r="AF73" s="96"/>
      <c r="AG73" s="91">
        <v>0</v>
      </c>
      <c r="AH73" s="91">
        <v>0</v>
      </c>
      <c r="AI73" s="227">
        <v>0</v>
      </c>
      <c r="AJ73" s="94">
        <v>0</v>
      </c>
      <c r="AK73" s="91">
        <v>0</v>
      </c>
      <c r="AL73" s="91" t="s">
        <v>132</v>
      </c>
      <c r="AM73" s="91"/>
      <c r="AN73" s="91"/>
      <c r="AO73" s="91"/>
      <c r="AP73" s="91"/>
      <c r="AQ73" s="91"/>
      <c r="AR73" s="91"/>
      <c r="AS73" s="91"/>
      <c r="AT73" s="91"/>
      <c r="AU73" s="91"/>
      <c r="AV73" s="91"/>
      <c r="AW73" s="91"/>
      <c r="AX73" s="91"/>
      <c r="AY73" s="91"/>
      <c r="AZ73" s="91"/>
      <c r="BA73" s="91"/>
      <c r="BB73" s="91"/>
      <c r="BC73" s="91"/>
      <c r="BD73" s="91"/>
      <c r="BE73" s="91" t="s">
        <v>277</v>
      </c>
      <c r="BF73" s="91" t="s">
        <v>141</v>
      </c>
      <c r="BG73" s="159">
        <v>0</v>
      </c>
    </row>
    <row r="74" spans="1:59" ht="78.75" x14ac:dyDescent="0.25">
      <c r="A74" s="153" t="s">
        <v>1611</v>
      </c>
      <c r="B74" s="107">
        <v>148</v>
      </c>
      <c r="C74" s="107">
        <v>130</v>
      </c>
      <c r="D74" s="107" t="s">
        <v>1606</v>
      </c>
      <c r="E74" s="107">
        <v>2018</v>
      </c>
      <c r="F74" s="107">
        <v>72</v>
      </c>
      <c r="G74" s="107" t="s">
        <v>334</v>
      </c>
      <c r="H74" s="107" t="s">
        <v>335</v>
      </c>
      <c r="I74" s="107" t="s">
        <v>336</v>
      </c>
      <c r="J74" s="107" t="s">
        <v>17</v>
      </c>
      <c r="K74" s="107">
        <v>1087996780</v>
      </c>
      <c r="L74" s="107" t="s">
        <v>380</v>
      </c>
      <c r="M74" s="107" t="s">
        <v>265</v>
      </c>
      <c r="N74" s="107" t="s">
        <v>1607</v>
      </c>
      <c r="O74" s="107">
        <v>0</v>
      </c>
      <c r="P74" s="107">
        <v>75145797</v>
      </c>
      <c r="Q74" s="108">
        <v>27953</v>
      </c>
      <c r="R74" s="107" t="s">
        <v>20</v>
      </c>
      <c r="S74" s="107">
        <v>0</v>
      </c>
      <c r="T74" s="107" t="s">
        <v>1608</v>
      </c>
      <c r="U74" s="109">
        <v>3136191112</v>
      </c>
      <c r="V74" s="107">
        <v>0</v>
      </c>
      <c r="W74" s="131" t="s">
        <v>1609</v>
      </c>
      <c r="X74" s="102" t="s">
        <v>1607</v>
      </c>
      <c r="Y74" s="107" t="s">
        <v>1610</v>
      </c>
      <c r="Z74" s="110">
        <v>7000000</v>
      </c>
      <c r="AA74" s="109">
        <v>270</v>
      </c>
      <c r="AB74" s="109">
        <v>0</v>
      </c>
      <c r="AC74" s="107">
        <v>0</v>
      </c>
      <c r="AD74" s="111"/>
      <c r="AE74" s="111" t="s">
        <v>345</v>
      </c>
      <c r="AF74" s="111" t="s">
        <v>346</v>
      </c>
      <c r="AG74" s="107">
        <v>0</v>
      </c>
      <c r="AH74" s="107">
        <v>0</v>
      </c>
      <c r="AI74" s="231">
        <v>0</v>
      </c>
      <c r="AJ74" s="102">
        <v>0</v>
      </c>
      <c r="AK74" s="107">
        <v>0</v>
      </c>
      <c r="AL74" s="107" t="s">
        <v>132</v>
      </c>
      <c r="AM74" s="107"/>
      <c r="AN74" s="107"/>
      <c r="AO74" s="107"/>
      <c r="AP74" s="107"/>
      <c r="AQ74" s="107"/>
      <c r="AR74" s="107"/>
      <c r="AS74" s="107"/>
      <c r="AT74" s="107"/>
      <c r="AU74" s="107"/>
      <c r="AV74" s="107"/>
      <c r="AW74" s="107"/>
      <c r="AX74" s="107"/>
      <c r="AY74" s="107"/>
      <c r="AZ74" s="107"/>
      <c r="BA74" s="107"/>
      <c r="BB74" s="107"/>
      <c r="BC74" s="107"/>
      <c r="BD74" s="107"/>
      <c r="BE74" s="107" t="s">
        <v>276</v>
      </c>
      <c r="BF74" s="107" t="s">
        <v>1623</v>
      </c>
      <c r="BG74" s="160">
        <v>0</v>
      </c>
    </row>
    <row r="75" spans="1:59" ht="78.75" x14ac:dyDescent="0.25">
      <c r="A75" s="151" t="s">
        <v>1612</v>
      </c>
      <c r="B75" s="91">
        <v>177</v>
      </c>
      <c r="C75" s="91">
        <v>168</v>
      </c>
      <c r="D75" s="91" t="s">
        <v>1613</v>
      </c>
      <c r="E75" s="91">
        <v>2018</v>
      </c>
      <c r="F75" s="91">
        <v>73</v>
      </c>
      <c r="G75" s="91" t="s">
        <v>334</v>
      </c>
      <c r="H75" s="91" t="s">
        <v>335</v>
      </c>
      <c r="I75" s="91" t="s">
        <v>336</v>
      </c>
      <c r="J75" s="91" t="s">
        <v>17</v>
      </c>
      <c r="K75" s="91">
        <v>1087996780</v>
      </c>
      <c r="L75" s="91" t="s">
        <v>380</v>
      </c>
      <c r="M75" s="91" t="s">
        <v>265</v>
      </c>
      <c r="N75" s="91" t="s">
        <v>1614</v>
      </c>
      <c r="O75" s="91">
        <v>0</v>
      </c>
      <c r="P75" s="91">
        <v>75145797</v>
      </c>
      <c r="Q75" s="92">
        <v>27953</v>
      </c>
      <c r="R75" s="91" t="s">
        <v>20</v>
      </c>
      <c r="S75" s="91">
        <v>0</v>
      </c>
      <c r="T75" s="91" t="s">
        <v>1608</v>
      </c>
      <c r="U75" s="93">
        <v>3136191112</v>
      </c>
      <c r="V75" s="91">
        <v>0</v>
      </c>
      <c r="W75" s="136" t="s">
        <v>1609</v>
      </c>
      <c r="X75" s="94" t="s">
        <v>1614</v>
      </c>
      <c r="Y75" s="91" t="s">
        <v>1615</v>
      </c>
      <c r="Z75" s="95">
        <v>500000</v>
      </c>
      <c r="AA75" s="93">
        <v>360</v>
      </c>
      <c r="AB75" s="93">
        <v>0</v>
      </c>
      <c r="AC75" s="91">
        <v>0</v>
      </c>
      <c r="AD75" s="96"/>
      <c r="AE75" s="96"/>
      <c r="AF75" s="96"/>
      <c r="AG75" s="91">
        <v>0</v>
      </c>
      <c r="AH75" s="91">
        <v>0</v>
      </c>
      <c r="AI75" s="227">
        <v>0</v>
      </c>
      <c r="AJ75" s="94">
        <v>0</v>
      </c>
      <c r="AK75" s="91">
        <v>0</v>
      </c>
      <c r="AL75" s="91" t="s">
        <v>132</v>
      </c>
      <c r="AM75" s="91"/>
      <c r="AN75" s="91"/>
      <c r="AO75" s="91"/>
      <c r="AP75" s="91"/>
      <c r="AQ75" s="91"/>
      <c r="AR75" s="91"/>
      <c r="AS75" s="91"/>
      <c r="AT75" s="91"/>
      <c r="AU75" s="91"/>
      <c r="AV75" s="91"/>
      <c r="AW75" s="91"/>
      <c r="AX75" s="91"/>
      <c r="AY75" s="91"/>
      <c r="AZ75" s="91"/>
      <c r="BA75" s="91"/>
      <c r="BB75" s="91"/>
      <c r="BC75" s="91"/>
      <c r="BD75" s="91"/>
      <c r="BE75" s="91" t="s">
        <v>276</v>
      </c>
      <c r="BF75" s="91" t="s">
        <v>1622</v>
      </c>
      <c r="BG75" s="159">
        <v>0</v>
      </c>
    </row>
    <row r="76" spans="1:59" ht="94.5" x14ac:dyDescent="0.25">
      <c r="A76" s="153" t="s">
        <v>1616</v>
      </c>
      <c r="B76" s="107">
        <v>195</v>
      </c>
      <c r="C76" s="107">
        <v>174</v>
      </c>
      <c r="D76" s="107" t="s">
        <v>363</v>
      </c>
      <c r="E76" s="107">
        <v>2018</v>
      </c>
      <c r="F76" s="107">
        <v>74</v>
      </c>
      <c r="G76" s="107" t="s">
        <v>334</v>
      </c>
      <c r="H76" s="107" t="s">
        <v>335</v>
      </c>
      <c r="I76" s="107" t="s">
        <v>336</v>
      </c>
      <c r="J76" s="107" t="s">
        <v>17</v>
      </c>
      <c r="K76" s="107">
        <v>1087996780</v>
      </c>
      <c r="L76" s="107" t="s">
        <v>494</v>
      </c>
      <c r="M76" s="107" t="s">
        <v>264</v>
      </c>
      <c r="N76" s="107" t="s">
        <v>1617</v>
      </c>
      <c r="O76" s="107" t="s">
        <v>1618</v>
      </c>
      <c r="P76" s="107">
        <v>7558634</v>
      </c>
      <c r="Q76" s="108">
        <v>25449</v>
      </c>
      <c r="R76" s="107" t="s">
        <v>20</v>
      </c>
      <c r="S76" s="107" t="s">
        <v>951</v>
      </c>
      <c r="T76" s="107" t="s">
        <v>1619</v>
      </c>
      <c r="U76" s="109">
        <v>3104550437</v>
      </c>
      <c r="V76" s="107">
        <v>0</v>
      </c>
      <c r="W76" s="107" t="s">
        <v>1620</v>
      </c>
      <c r="X76" s="102" t="s">
        <v>1617</v>
      </c>
      <c r="Y76" s="107" t="s">
        <v>1621</v>
      </c>
      <c r="Z76" s="110">
        <v>5750000</v>
      </c>
      <c r="AA76" s="109">
        <v>15</v>
      </c>
      <c r="AB76" s="109">
        <v>0</v>
      </c>
      <c r="AC76" s="107">
        <v>0</v>
      </c>
      <c r="AD76" s="111"/>
      <c r="AE76" s="111"/>
      <c r="AF76" s="111"/>
      <c r="AG76" s="107">
        <v>0</v>
      </c>
      <c r="AH76" s="107">
        <v>0</v>
      </c>
      <c r="AI76" s="231">
        <v>0</v>
      </c>
      <c r="AJ76" s="102">
        <v>0</v>
      </c>
      <c r="AK76" s="107">
        <v>0</v>
      </c>
      <c r="AL76" s="107" t="s">
        <v>132</v>
      </c>
      <c r="AM76" s="107"/>
      <c r="AN76" s="107"/>
      <c r="AO76" s="107"/>
      <c r="AP76" s="107"/>
      <c r="AQ76" s="107"/>
      <c r="AR76" s="107"/>
      <c r="AS76" s="107"/>
      <c r="AT76" s="107"/>
      <c r="AU76" s="107"/>
      <c r="AV76" s="107"/>
      <c r="AW76" s="107"/>
      <c r="AX76" s="107"/>
      <c r="AY76" s="107"/>
      <c r="AZ76" s="107"/>
      <c r="BA76" s="107"/>
      <c r="BB76" s="107"/>
      <c r="BC76" s="107"/>
      <c r="BD76" s="107"/>
      <c r="BE76" s="107" t="s">
        <v>276</v>
      </c>
      <c r="BF76" s="107" t="s">
        <v>1498</v>
      </c>
      <c r="BG76" s="160">
        <v>0</v>
      </c>
    </row>
    <row r="77" spans="1:59" ht="63" x14ac:dyDescent="0.25">
      <c r="A77" s="151" t="s">
        <v>1624</v>
      </c>
      <c r="B77" s="91">
        <v>204</v>
      </c>
      <c r="C77" s="91">
        <v>176</v>
      </c>
      <c r="D77" s="91" t="s">
        <v>1606</v>
      </c>
      <c r="E77" s="91">
        <v>2018</v>
      </c>
      <c r="F77" s="91">
        <v>75</v>
      </c>
      <c r="G77" s="91" t="s">
        <v>334</v>
      </c>
      <c r="H77" s="91" t="s">
        <v>335</v>
      </c>
      <c r="I77" s="91" t="s">
        <v>336</v>
      </c>
      <c r="J77" s="91" t="s">
        <v>17</v>
      </c>
      <c r="K77" s="91">
        <v>1087996780</v>
      </c>
      <c r="L77" s="91" t="s">
        <v>380</v>
      </c>
      <c r="M77" s="91" t="s">
        <v>265</v>
      </c>
      <c r="N77" s="91" t="s">
        <v>1625</v>
      </c>
      <c r="O77" s="91" t="s">
        <v>1626</v>
      </c>
      <c r="P77" s="91">
        <v>10003534</v>
      </c>
      <c r="Q77" s="93">
        <v>900365660</v>
      </c>
      <c r="R77" s="91" t="s">
        <v>260</v>
      </c>
      <c r="S77" s="91">
        <v>0</v>
      </c>
      <c r="T77" s="91" t="s">
        <v>1627</v>
      </c>
      <c r="U77" s="93">
        <v>3308006</v>
      </c>
      <c r="V77" s="91">
        <v>0</v>
      </c>
      <c r="W77" s="136" t="s">
        <v>1628</v>
      </c>
      <c r="X77" s="94" t="s">
        <v>1625</v>
      </c>
      <c r="Y77" s="91" t="s">
        <v>1629</v>
      </c>
      <c r="Z77" s="95">
        <v>10000000</v>
      </c>
      <c r="AA77" s="93">
        <v>210</v>
      </c>
      <c r="AB77" s="93">
        <v>0</v>
      </c>
      <c r="AC77" s="91">
        <v>0</v>
      </c>
      <c r="AD77" s="96"/>
      <c r="AE77" s="96"/>
      <c r="AF77" s="96"/>
      <c r="AG77" s="91">
        <v>0</v>
      </c>
      <c r="AH77" s="91">
        <v>0</v>
      </c>
      <c r="AI77" s="227">
        <v>0</v>
      </c>
      <c r="AJ77" s="94">
        <v>0</v>
      </c>
      <c r="AK77" s="91">
        <v>0</v>
      </c>
      <c r="AL77" s="91" t="s">
        <v>132</v>
      </c>
      <c r="AM77" s="91"/>
      <c r="AN77" s="91"/>
      <c r="AO77" s="91"/>
      <c r="AP77" s="91"/>
      <c r="AQ77" s="91"/>
      <c r="AR77" s="91"/>
      <c r="AS77" s="91"/>
      <c r="AT77" s="91"/>
      <c r="AU77" s="91"/>
      <c r="AV77" s="91"/>
      <c r="AW77" s="91"/>
      <c r="AX77" s="91"/>
      <c r="AY77" s="91"/>
      <c r="AZ77" s="91"/>
      <c r="BA77" s="91"/>
      <c r="BB77" s="91"/>
      <c r="BC77" s="91"/>
      <c r="BD77" s="91"/>
      <c r="BE77" s="91" t="s">
        <v>277</v>
      </c>
      <c r="BF77" s="91" t="s">
        <v>1622</v>
      </c>
      <c r="BG77" s="159">
        <v>0</v>
      </c>
    </row>
    <row r="78" spans="1:59" ht="63" x14ac:dyDescent="0.25">
      <c r="A78" s="153" t="s">
        <v>1630</v>
      </c>
      <c r="B78" s="107">
        <v>197</v>
      </c>
      <c r="C78" s="107">
        <v>181</v>
      </c>
      <c r="D78" s="107" t="s">
        <v>1631</v>
      </c>
      <c r="E78" s="107">
        <v>2018</v>
      </c>
      <c r="F78" s="107">
        <v>76</v>
      </c>
      <c r="G78" s="107" t="s">
        <v>334</v>
      </c>
      <c r="H78" s="107" t="s">
        <v>335</v>
      </c>
      <c r="I78" s="107" t="s">
        <v>336</v>
      </c>
      <c r="J78" s="107" t="s">
        <v>17</v>
      </c>
      <c r="K78" s="107">
        <v>1087996780</v>
      </c>
      <c r="L78" s="107" t="s">
        <v>380</v>
      </c>
      <c r="M78" s="107" t="s">
        <v>265</v>
      </c>
      <c r="N78" s="107" t="s">
        <v>1632</v>
      </c>
      <c r="O78" s="107" t="s">
        <v>1633</v>
      </c>
      <c r="P78" s="91">
        <v>75145797</v>
      </c>
      <c r="Q78" s="108">
        <v>40788</v>
      </c>
      <c r="R78" s="107" t="s">
        <v>20</v>
      </c>
      <c r="S78" s="107">
        <v>0</v>
      </c>
      <c r="T78" s="107" t="s">
        <v>1634</v>
      </c>
      <c r="U78" s="109">
        <v>3164450334</v>
      </c>
      <c r="V78" s="107">
        <v>0</v>
      </c>
      <c r="W78" s="131" t="s">
        <v>1635</v>
      </c>
      <c r="X78" s="102" t="s">
        <v>1632</v>
      </c>
      <c r="Y78" s="107" t="s">
        <v>1636</v>
      </c>
      <c r="Z78" s="110">
        <v>1400000</v>
      </c>
      <c r="AA78" s="109">
        <v>210</v>
      </c>
      <c r="AB78" s="109">
        <v>0</v>
      </c>
      <c r="AC78" s="107">
        <v>0</v>
      </c>
      <c r="AD78" s="111"/>
      <c r="AE78" s="111"/>
      <c r="AF78" s="111"/>
      <c r="AG78" s="107">
        <v>0</v>
      </c>
      <c r="AH78" s="107">
        <v>0</v>
      </c>
      <c r="AI78" s="231">
        <v>0</v>
      </c>
      <c r="AJ78" s="102">
        <v>0</v>
      </c>
      <c r="AK78" s="107">
        <v>0</v>
      </c>
      <c r="AL78" s="107" t="s">
        <v>132</v>
      </c>
      <c r="AM78" s="107"/>
      <c r="AN78" s="107"/>
      <c r="AO78" s="107"/>
      <c r="AP78" s="107"/>
      <c r="AQ78" s="107"/>
      <c r="AR78" s="107"/>
      <c r="AS78" s="107"/>
      <c r="AT78" s="107"/>
      <c r="AU78" s="107"/>
      <c r="AV78" s="107"/>
      <c r="AW78" s="107"/>
      <c r="AX78" s="107"/>
      <c r="AY78" s="107"/>
      <c r="AZ78" s="107"/>
      <c r="BA78" s="107"/>
      <c r="BB78" s="107"/>
      <c r="BC78" s="107"/>
      <c r="BD78" s="107"/>
      <c r="BE78" s="107" t="s">
        <v>276</v>
      </c>
      <c r="BF78" s="107" t="s">
        <v>1623</v>
      </c>
      <c r="BG78" s="160">
        <v>0</v>
      </c>
    </row>
    <row r="79" spans="1:59" ht="63" x14ac:dyDescent="0.25">
      <c r="A79" s="151" t="s">
        <v>1637</v>
      </c>
      <c r="B79" s="91">
        <v>205</v>
      </c>
      <c r="C79" s="91">
        <v>201</v>
      </c>
      <c r="D79" s="91" t="s">
        <v>451</v>
      </c>
      <c r="E79" s="91">
        <v>2018</v>
      </c>
      <c r="F79" s="91">
        <v>77</v>
      </c>
      <c r="G79" s="91" t="s">
        <v>334</v>
      </c>
      <c r="H79" s="91" t="s">
        <v>335</v>
      </c>
      <c r="I79" s="91" t="s">
        <v>336</v>
      </c>
      <c r="J79" s="91" t="s">
        <v>17</v>
      </c>
      <c r="K79" s="91">
        <v>1087996780</v>
      </c>
      <c r="L79" s="91" t="s">
        <v>494</v>
      </c>
      <c r="M79" s="91" t="s">
        <v>264</v>
      </c>
      <c r="N79" s="91" t="s">
        <v>1638</v>
      </c>
      <c r="O79" s="91" t="s">
        <v>1639</v>
      </c>
      <c r="P79" s="91">
        <v>800240911</v>
      </c>
      <c r="Q79" s="92">
        <v>34579</v>
      </c>
      <c r="R79" s="91" t="s">
        <v>260</v>
      </c>
      <c r="S79" s="91">
        <v>0</v>
      </c>
      <c r="T79" s="91" t="s">
        <v>1640</v>
      </c>
      <c r="U79" s="93">
        <v>3136305866</v>
      </c>
      <c r="V79" s="91">
        <v>0</v>
      </c>
      <c r="W79" s="136" t="s">
        <v>1641</v>
      </c>
      <c r="X79" s="94" t="s">
        <v>1638</v>
      </c>
      <c r="Y79" s="91" t="s">
        <v>1642</v>
      </c>
      <c r="Z79" s="95">
        <v>21500000</v>
      </c>
      <c r="AA79" s="93">
        <v>150</v>
      </c>
      <c r="AB79" s="93">
        <v>0</v>
      </c>
      <c r="AC79" s="91">
        <v>0</v>
      </c>
      <c r="AD79" s="96"/>
      <c r="AE79" s="96"/>
      <c r="AF79" s="96"/>
      <c r="AG79" s="91">
        <v>0</v>
      </c>
      <c r="AH79" s="91">
        <v>0</v>
      </c>
      <c r="AI79" s="227">
        <v>0</v>
      </c>
      <c r="AJ79" s="94">
        <v>0</v>
      </c>
      <c r="AK79" s="91">
        <v>0</v>
      </c>
      <c r="AL79" s="91" t="s">
        <v>132</v>
      </c>
      <c r="AM79" s="91"/>
      <c r="AN79" s="91"/>
      <c r="AO79" s="91"/>
      <c r="AP79" s="91"/>
      <c r="AQ79" s="91"/>
      <c r="AR79" s="91"/>
      <c r="AS79" s="91"/>
      <c r="AT79" s="91"/>
      <c r="AU79" s="91"/>
      <c r="AV79" s="91"/>
      <c r="AW79" s="91"/>
      <c r="AX79" s="91"/>
      <c r="AY79" s="91"/>
      <c r="AZ79" s="91"/>
      <c r="BA79" s="91"/>
      <c r="BB79" s="91"/>
      <c r="BC79" s="91"/>
      <c r="BD79" s="91"/>
      <c r="BE79" s="91" t="s">
        <v>277</v>
      </c>
      <c r="BF79" s="91" t="s">
        <v>1498</v>
      </c>
      <c r="BG79" s="159">
        <v>0</v>
      </c>
    </row>
    <row r="80" spans="1:59" ht="63" x14ac:dyDescent="0.25">
      <c r="A80" s="153" t="s">
        <v>1643</v>
      </c>
      <c r="B80" s="107">
        <v>232</v>
      </c>
      <c r="C80" s="107">
        <v>211</v>
      </c>
      <c r="D80" s="107" t="s">
        <v>451</v>
      </c>
      <c r="E80" s="107">
        <v>2018</v>
      </c>
      <c r="F80" s="107">
        <v>78</v>
      </c>
      <c r="G80" s="107" t="s">
        <v>334</v>
      </c>
      <c r="H80" s="107" t="s">
        <v>335</v>
      </c>
      <c r="I80" s="107" t="s">
        <v>336</v>
      </c>
      <c r="J80" s="107" t="s">
        <v>17</v>
      </c>
      <c r="K80" s="107">
        <v>1087996780</v>
      </c>
      <c r="L80" s="107" t="s">
        <v>494</v>
      </c>
      <c r="M80" s="107" t="s">
        <v>264</v>
      </c>
      <c r="N80" s="107" t="s">
        <v>1644</v>
      </c>
      <c r="O80" s="107" t="s">
        <v>1645</v>
      </c>
      <c r="P80" s="107">
        <v>810004713</v>
      </c>
      <c r="Q80" s="108">
        <v>37217</v>
      </c>
      <c r="R80" s="107" t="s">
        <v>260</v>
      </c>
      <c r="S80" s="107">
        <v>0</v>
      </c>
      <c r="T80" s="107" t="s">
        <v>1646</v>
      </c>
      <c r="U80" s="109">
        <v>8840594</v>
      </c>
      <c r="V80" s="107">
        <v>0</v>
      </c>
      <c r="W80" s="131" t="s">
        <v>1647</v>
      </c>
      <c r="X80" s="102" t="s">
        <v>1644</v>
      </c>
      <c r="Y80" s="107" t="s">
        <v>1648</v>
      </c>
      <c r="Z80" s="110">
        <v>4850000</v>
      </c>
      <c r="AA80" s="109">
        <v>15</v>
      </c>
      <c r="AB80" s="109">
        <v>0</v>
      </c>
      <c r="AC80" s="107">
        <v>0</v>
      </c>
      <c r="AD80" s="111"/>
      <c r="AE80" s="111"/>
      <c r="AF80" s="111"/>
      <c r="AG80" s="107">
        <v>0</v>
      </c>
      <c r="AH80" s="107">
        <v>0</v>
      </c>
      <c r="AI80" s="231">
        <v>0</v>
      </c>
      <c r="AJ80" s="102">
        <v>0</v>
      </c>
      <c r="AK80" s="107">
        <v>0</v>
      </c>
      <c r="AL80" s="107" t="s">
        <v>132</v>
      </c>
      <c r="AM80" s="107"/>
      <c r="AN80" s="107"/>
      <c r="AO80" s="107"/>
      <c r="AP80" s="107"/>
      <c r="AQ80" s="107"/>
      <c r="AR80" s="107"/>
      <c r="AS80" s="107"/>
      <c r="AT80" s="107"/>
      <c r="AU80" s="107"/>
      <c r="AV80" s="107"/>
      <c r="AW80" s="107"/>
      <c r="AX80" s="107"/>
      <c r="AY80" s="107"/>
      <c r="AZ80" s="107"/>
      <c r="BA80" s="107"/>
      <c r="BB80" s="107"/>
      <c r="BC80" s="107"/>
      <c r="BD80" s="107"/>
      <c r="BE80" s="107" t="s">
        <v>277</v>
      </c>
      <c r="BF80" s="107" t="s">
        <v>141</v>
      </c>
      <c r="BG80" s="160">
        <v>0</v>
      </c>
    </row>
    <row r="81" spans="1:59" ht="63" x14ac:dyDescent="0.25">
      <c r="A81" s="151" t="s">
        <v>1649</v>
      </c>
      <c r="B81" s="91">
        <v>237</v>
      </c>
      <c r="C81" s="91">
        <v>221</v>
      </c>
      <c r="D81" s="91" t="s">
        <v>1650</v>
      </c>
      <c r="E81" s="91">
        <v>2018</v>
      </c>
      <c r="F81" s="91">
        <v>79</v>
      </c>
      <c r="G81" s="91" t="s">
        <v>334</v>
      </c>
      <c r="H81" s="91" t="s">
        <v>335</v>
      </c>
      <c r="I81" s="91" t="s">
        <v>336</v>
      </c>
      <c r="J81" s="91" t="s">
        <v>17</v>
      </c>
      <c r="K81" s="91">
        <v>1087996780</v>
      </c>
      <c r="L81" s="91" t="s">
        <v>380</v>
      </c>
      <c r="M81" s="91" t="s">
        <v>265</v>
      </c>
      <c r="N81" s="91" t="s">
        <v>1651</v>
      </c>
      <c r="O81" s="91" t="s">
        <v>1652</v>
      </c>
      <c r="P81" s="91">
        <v>900599038</v>
      </c>
      <c r="Q81" s="92">
        <v>41334</v>
      </c>
      <c r="R81" s="91" t="s">
        <v>260</v>
      </c>
      <c r="S81" s="91">
        <v>0</v>
      </c>
      <c r="T81" s="91" t="s">
        <v>1653</v>
      </c>
      <c r="U81" s="93">
        <v>3657857</v>
      </c>
      <c r="V81" s="91">
        <v>0</v>
      </c>
      <c r="W81" s="136" t="s">
        <v>1654</v>
      </c>
      <c r="X81" s="94" t="s">
        <v>1651</v>
      </c>
      <c r="Y81" s="91" t="s">
        <v>1655</v>
      </c>
      <c r="Z81" s="95">
        <v>1995000</v>
      </c>
      <c r="AA81" s="93">
        <v>45</v>
      </c>
      <c r="AB81" s="93">
        <v>0</v>
      </c>
      <c r="AC81" s="91">
        <v>0</v>
      </c>
      <c r="AD81" s="96"/>
      <c r="AE81" s="96"/>
      <c r="AF81" s="96"/>
      <c r="AG81" s="91">
        <v>0</v>
      </c>
      <c r="AH81" s="91">
        <v>0</v>
      </c>
      <c r="AI81" s="227">
        <v>0</v>
      </c>
      <c r="AJ81" s="94">
        <v>0</v>
      </c>
      <c r="AK81" s="91">
        <v>0</v>
      </c>
      <c r="AL81" s="91" t="s">
        <v>132</v>
      </c>
      <c r="AM81" s="91"/>
      <c r="AN81" s="91"/>
      <c r="AO81" s="91"/>
      <c r="AP81" s="91"/>
      <c r="AQ81" s="91"/>
      <c r="AR81" s="91"/>
      <c r="AS81" s="91"/>
      <c r="AT81" s="91"/>
      <c r="AU81" s="91"/>
      <c r="AV81" s="91"/>
      <c r="AW81" s="91"/>
      <c r="AX81" s="91"/>
      <c r="AY81" s="91"/>
      <c r="AZ81" s="91"/>
      <c r="BA81" s="91"/>
      <c r="BB81" s="91"/>
      <c r="BC81" s="91"/>
      <c r="BD81" s="91"/>
      <c r="BE81" s="91" t="s">
        <v>277</v>
      </c>
      <c r="BF81" s="91" t="s">
        <v>141</v>
      </c>
      <c r="BG81" s="159">
        <v>0</v>
      </c>
    </row>
    <row r="82" spans="1:59" ht="78.75" x14ac:dyDescent="0.25">
      <c r="A82" s="153" t="s">
        <v>1404</v>
      </c>
      <c r="B82" s="107">
        <v>288</v>
      </c>
      <c r="C82" s="107">
        <v>300</v>
      </c>
      <c r="D82" s="107" t="s">
        <v>363</v>
      </c>
      <c r="E82" s="107">
        <v>2018</v>
      </c>
      <c r="F82" s="107">
        <v>80</v>
      </c>
      <c r="G82" s="107" t="s">
        <v>334</v>
      </c>
      <c r="H82" s="107" t="s">
        <v>335</v>
      </c>
      <c r="I82" s="107" t="s">
        <v>336</v>
      </c>
      <c r="J82" s="107" t="s">
        <v>17</v>
      </c>
      <c r="K82" s="107">
        <v>1087996780</v>
      </c>
      <c r="L82" s="107" t="s">
        <v>616</v>
      </c>
      <c r="M82" s="107" t="s">
        <v>17</v>
      </c>
      <c r="N82" s="107">
        <v>0</v>
      </c>
      <c r="O82" s="107">
        <v>0</v>
      </c>
      <c r="P82" s="107">
        <v>1088019554</v>
      </c>
      <c r="Q82" s="108">
        <v>34559</v>
      </c>
      <c r="R82" s="107" t="s">
        <v>20</v>
      </c>
      <c r="S82" s="107" t="s">
        <v>366</v>
      </c>
      <c r="T82" s="107" t="s">
        <v>1196</v>
      </c>
      <c r="U82" s="109">
        <v>3443329</v>
      </c>
      <c r="V82" s="107" t="s">
        <v>269</v>
      </c>
      <c r="W82" s="131" t="s">
        <v>368</v>
      </c>
      <c r="X82" s="102" t="s">
        <v>1197</v>
      </c>
      <c r="Y82" s="107" t="s">
        <v>343</v>
      </c>
      <c r="Z82" s="110">
        <v>13916666</v>
      </c>
      <c r="AA82" s="109">
        <v>167</v>
      </c>
      <c r="AB82" s="109">
        <v>0</v>
      </c>
      <c r="AC82" s="107">
        <v>0</v>
      </c>
      <c r="AD82" s="111" t="s">
        <v>1186</v>
      </c>
      <c r="AE82" s="111" t="s">
        <v>345</v>
      </c>
      <c r="AF82" s="111" t="s">
        <v>346</v>
      </c>
      <c r="AG82" s="107" t="s">
        <v>388</v>
      </c>
      <c r="AH82" s="107" t="s">
        <v>418</v>
      </c>
      <c r="AI82" s="231" t="s">
        <v>349</v>
      </c>
      <c r="AJ82" s="102" t="s">
        <v>350</v>
      </c>
      <c r="AK82" s="108" t="s">
        <v>1197</v>
      </c>
      <c r="AL82" s="107" t="s">
        <v>132</v>
      </c>
      <c r="AM82" s="232" t="s">
        <v>1198</v>
      </c>
      <c r="AN82" s="232" t="s">
        <v>1199</v>
      </c>
      <c r="AO82" s="232" t="s">
        <v>1200</v>
      </c>
      <c r="AP82" s="232" t="s">
        <v>1201</v>
      </c>
      <c r="AQ82" s="232" t="s">
        <v>1202</v>
      </c>
      <c r="AR82" s="232" t="s">
        <v>1203</v>
      </c>
      <c r="AS82" s="233" t="s">
        <v>1204</v>
      </c>
      <c r="AT82" s="234"/>
      <c r="AU82" s="234"/>
      <c r="AV82" s="234"/>
      <c r="AW82" s="235"/>
      <c r="AX82" s="107"/>
      <c r="AY82" s="107"/>
      <c r="AZ82" s="107"/>
      <c r="BA82" s="107"/>
      <c r="BB82" s="107"/>
      <c r="BC82" s="107"/>
      <c r="BD82" s="107"/>
      <c r="BE82" s="107" t="s">
        <v>276</v>
      </c>
      <c r="BF82" s="107" t="s">
        <v>257</v>
      </c>
      <c r="BG82" s="160" t="s">
        <v>43</v>
      </c>
    </row>
    <row r="83" spans="1:59" ht="78.75" x14ac:dyDescent="0.25">
      <c r="A83" s="151" t="s">
        <v>1399</v>
      </c>
      <c r="B83" s="91">
        <v>294</v>
      </c>
      <c r="C83" s="91">
        <v>303</v>
      </c>
      <c r="D83" s="91" t="s">
        <v>363</v>
      </c>
      <c r="E83" s="91">
        <v>2018</v>
      </c>
      <c r="F83" s="91">
        <v>81</v>
      </c>
      <c r="G83" s="91" t="s">
        <v>334</v>
      </c>
      <c r="H83" s="91" t="s">
        <v>335</v>
      </c>
      <c r="I83" s="91" t="s">
        <v>336</v>
      </c>
      <c r="J83" s="91" t="s">
        <v>17</v>
      </c>
      <c r="K83" s="91">
        <v>1087996780</v>
      </c>
      <c r="L83" s="91" t="s">
        <v>616</v>
      </c>
      <c r="M83" s="91" t="s">
        <v>17</v>
      </c>
      <c r="N83" s="91" t="s">
        <v>1205</v>
      </c>
      <c r="O83" s="91">
        <v>0</v>
      </c>
      <c r="P83" s="91">
        <v>1088013548</v>
      </c>
      <c r="Q83" s="92">
        <v>34007</v>
      </c>
      <c r="R83" s="91" t="s">
        <v>20</v>
      </c>
      <c r="S83" s="91" t="s">
        <v>340</v>
      </c>
      <c r="T83" s="91" t="s">
        <v>1206</v>
      </c>
      <c r="U83" s="93">
        <v>3422417</v>
      </c>
      <c r="V83" s="91" t="s">
        <v>269</v>
      </c>
      <c r="W83" s="136" t="s">
        <v>1207</v>
      </c>
      <c r="X83" s="94" t="s">
        <v>1205</v>
      </c>
      <c r="Y83" s="91" t="s">
        <v>440</v>
      </c>
      <c r="Z83" s="95">
        <v>16500000</v>
      </c>
      <c r="AA83" s="93">
        <v>165</v>
      </c>
      <c r="AB83" s="93">
        <v>0</v>
      </c>
      <c r="AC83" s="91">
        <v>0</v>
      </c>
      <c r="AD83" s="96" t="s">
        <v>1209</v>
      </c>
      <c r="AE83" s="96" t="s">
        <v>345</v>
      </c>
      <c r="AF83" s="96" t="s">
        <v>346</v>
      </c>
      <c r="AG83" s="91" t="s">
        <v>347</v>
      </c>
      <c r="AH83" s="91" t="s">
        <v>1081</v>
      </c>
      <c r="AI83" s="227" t="s">
        <v>948</v>
      </c>
      <c r="AJ83" s="94" t="s">
        <v>350</v>
      </c>
      <c r="AK83" s="91" t="s">
        <v>1208</v>
      </c>
      <c r="AL83" s="91" t="s">
        <v>263</v>
      </c>
      <c r="AM83" s="230" t="s">
        <v>1210</v>
      </c>
      <c r="AN83" s="230" t="s">
        <v>1211</v>
      </c>
      <c r="AO83" s="230" t="s">
        <v>1212</v>
      </c>
      <c r="AP83" s="230" t="s">
        <v>1213</v>
      </c>
      <c r="AQ83" s="230" t="s">
        <v>1214</v>
      </c>
      <c r="AR83" s="230" t="s">
        <v>1215</v>
      </c>
      <c r="AS83" s="230" t="s">
        <v>1216</v>
      </c>
      <c r="AT83" s="230" t="s">
        <v>1217</v>
      </c>
      <c r="AU83" s="230" t="s">
        <v>1218</v>
      </c>
      <c r="AV83" s="255" t="s">
        <v>1219</v>
      </c>
      <c r="AW83" s="257"/>
      <c r="AX83" s="257"/>
      <c r="AY83" s="257"/>
      <c r="AZ83" s="257"/>
      <c r="BA83" s="257"/>
      <c r="BB83" s="257"/>
      <c r="BC83" s="257"/>
      <c r="BD83" s="259"/>
      <c r="BE83" s="91" t="s">
        <v>276</v>
      </c>
      <c r="BF83" s="91" t="s">
        <v>257</v>
      </c>
      <c r="BG83" s="159" t="s">
        <v>43</v>
      </c>
    </row>
    <row r="84" spans="1:59" ht="78.75" x14ac:dyDescent="0.25">
      <c r="A84" s="153" t="s">
        <v>1220</v>
      </c>
      <c r="B84" s="107">
        <v>327</v>
      </c>
      <c r="C84" s="107">
        <v>346</v>
      </c>
      <c r="D84" s="107" t="s">
        <v>451</v>
      </c>
      <c r="E84" s="107">
        <v>2018</v>
      </c>
      <c r="F84" s="107">
        <v>82</v>
      </c>
      <c r="G84" s="107" t="s">
        <v>334</v>
      </c>
      <c r="H84" s="107" t="s">
        <v>335</v>
      </c>
      <c r="I84" s="107" t="s">
        <v>336</v>
      </c>
      <c r="J84" s="107" t="s">
        <v>17</v>
      </c>
      <c r="K84" s="107">
        <v>1087996780</v>
      </c>
      <c r="L84" s="107" t="s">
        <v>616</v>
      </c>
      <c r="M84" s="107" t="s">
        <v>17</v>
      </c>
      <c r="N84" s="107" t="s">
        <v>1221</v>
      </c>
      <c r="O84" s="107">
        <v>0</v>
      </c>
      <c r="P84" s="107">
        <v>10025640</v>
      </c>
      <c r="Q84" s="108">
        <v>27666</v>
      </c>
      <c r="R84" s="107" t="s">
        <v>20</v>
      </c>
      <c r="S84" s="107" t="s">
        <v>340</v>
      </c>
      <c r="T84" s="107" t="s">
        <v>1222</v>
      </c>
      <c r="U84" s="109">
        <v>3343099</v>
      </c>
      <c r="V84" s="107" t="s">
        <v>269</v>
      </c>
      <c r="W84" s="131" t="s">
        <v>1223</v>
      </c>
      <c r="X84" s="102" t="s">
        <v>1221</v>
      </c>
      <c r="Y84" s="107" t="s">
        <v>1224</v>
      </c>
      <c r="Z84" s="110">
        <v>19333333</v>
      </c>
      <c r="AA84" s="109">
        <v>145</v>
      </c>
      <c r="AB84" s="109">
        <v>0</v>
      </c>
      <c r="AC84" s="107">
        <v>0</v>
      </c>
      <c r="AD84" s="111" t="s">
        <v>1033</v>
      </c>
      <c r="AE84" s="111" t="s">
        <v>345</v>
      </c>
      <c r="AF84" s="111" t="s">
        <v>346</v>
      </c>
      <c r="AG84" s="107" t="s">
        <v>347</v>
      </c>
      <c r="AH84" s="107" t="s">
        <v>418</v>
      </c>
      <c r="AI84" s="231" t="s">
        <v>747</v>
      </c>
      <c r="AJ84" s="102" t="s">
        <v>1225</v>
      </c>
      <c r="AK84" s="107" t="s">
        <v>1221</v>
      </c>
      <c r="AL84" s="107" t="s">
        <v>132</v>
      </c>
      <c r="AM84" s="244" t="s">
        <v>1226</v>
      </c>
      <c r="AN84" s="244" t="s">
        <v>1227</v>
      </c>
      <c r="AO84" s="244" t="s">
        <v>1228</v>
      </c>
      <c r="AP84" s="244" t="s">
        <v>1229</v>
      </c>
      <c r="AQ84" s="244" t="s">
        <v>1230</v>
      </c>
      <c r="AR84" s="244" t="s">
        <v>1231</v>
      </c>
      <c r="AS84" s="244" t="s">
        <v>1232</v>
      </c>
      <c r="AT84" s="244" t="s">
        <v>1233</v>
      </c>
      <c r="AU84" s="244" t="s">
        <v>1234</v>
      </c>
      <c r="AV84" s="244" t="s">
        <v>1235</v>
      </c>
      <c r="AW84" s="244" t="s">
        <v>1236</v>
      </c>
      <c r="AX84" s="245" t="s">
        <v>1237</v>
      </c>
      <c r="AY84" s="246"/>
      <c r="AZ84" s="246"/>
      <c r="BA84" s="246"/>
      <c r="BB84" s="246"/>
      <c r="BC84" s="246"/>
      <c r="BD84" s="247"/>
      <c r="BE84" s="107" t="s">
        <v>277</v>
      </c>
      <c r="BF84" s="107" t="s">
        <v>257</v>
      </c>
      <c r="BG84" s="160" t="s">
        <v>43</v>
      </c>
    </row>
    <row r="85" spans="1:59" ht="78.75" x14ac:dyDescent="0.25">
      <c r="A85" s="151" t="s">
        <v>1402</v>
      </c>
      <c r="B85" s="91">
        <v>328</v>
      </c>
      <c r="C85" s="91">
        <v>355</v>
      </c>
      <c r="D85" s="91" t="s">
        <v>363</v>
      </c>
      <c r="E85" s="91">
        <v>2018</v>
      </c>
      <c r="F85" s="91">
        <v>83</v>
      </c>
      <c r="G85" s="91" t="s">
        <v>334</v>
      </c>
      <c r="H85" s="91" t="s">
        <v>1238</v>
      </c>
      <c r="I85" s="91" t="s">
        <v>336</v>
      </c>
      <c r="J85" s="91" t="s">
        <v>17</v>
      </c>
      <c r="K85" s="91">
        <v>1087996780</v>
      </c>
      <c r="L85" s="91" t="s">
        <v>616</v>
      </c>
      <c r="M85" s="91" t="s">
        <v>17</v>
      </c>
      <c r="N85" s="91" t="s">
        <v>1239</v>
      </c>
      <c r="O85" s="91">
        <v>0</v>
      </c>
      <c r="P85" s="91">
        <v>42090415</v>
      </c>
      <c r="Q85" s="92">
        <v>25235</v>
      </c>
      <c r="R85" s="91" t="s">
        <v>20</v>
      </c>
      <c r="S85" s="91" t="s">
        <v>1067</v>
      </c>
      <c r="T85" s="91" t="s">
        <v>1240</v>
      </c>
      <c r="U85" s="93">
        <v>3113499509</v>
      </c>
      <c r="V85" s="91" t="s">
        <v>269</v>
      </c>
      <c r="W85" s="136" t="s">
        <v>1142</v>
      </c>
      <c r="X85" s="94" t="s">
        <v>1241</v>
      </c>
      <c r="Y85" s="91" t="s">
        <v>440</v>
      </c>
      <c r="Z85" s="95">
        <v>9466652</v>
      </c>
      <c r="AA85" s="93">
        <v>142</v>
      </c>
      <c r="AB85" s="93">
        <v>0</v>
      </c>
      <c r="AC85" s="91">
        <v>0</v>
      </c>
      <c r="AD85" s="137" t="s">
        <v>1242</v>
      </c>
      <c r="AE85" s="96" t="s">
        <v>345</v>
      </c>
      <c r="AF85" s="96" t="s">
        <v>346</v>
      </c>
      <c r="AG85" s="91" t="s">
        <v>417</v>
      </c>
      <c r="AH85" s="91" t="s">
        <v>348</v>
      </c>
      <c r="AI85" s="227" t="s">
        <v>82</v>
      </c>
      <c r="AJ85" s="94" t="s">
        <v>1083</v>
      </c>
      <c r="AK85" s="91" t="s">
        <v>1241</v>
      </c>
      <c r="AL85" s="91" t="s">
        <v>263</v>
      </c>
      <c r="AM85" s="237" t="s">
        <v>1243</v>
      </c>
      <c r="AN85" s="237" t="s">
        <v>1244</v>
      </c>
      <c r="AO85" s="237" t="s">
        <v>1245</v>
      </c>
      <c r="AP85" s="237" t="s">
        <v>1246</v>
      </c>
      <c r="AQ85" s="237" t="s">
        <v>1247</v>
      </c>
      <c r="AR85" s="237" t="s">
        <v>1248</v>
      </c>
      <c r="AS85" s="237" t="s">
        <v>1249</v>
      </c>
      <c r="AT85" s="239" t="s">
        <v>1250</v>
      </c>
      <c r="AU85" s="240"/>
      <c r="AV85" s="240"/>
      <c r="AW85" s="240"/>
      <c r="AX85" s="240"/>
      <c r="AY85" s="240"/>
      <c r="AZ85" s="241"/>
      <c r="BA85" s="91"/>
      <c r="BB85" s="91"/>
      <c r="BC85" s="91"/>
      <c r="BD85" s="91"/>
      <c r="BE85" s="91" t="s">
        <v>276</v>
      </c>
      <c r="BF85" s="91" t="s">
        <v>257</v>
      </c>
      <c r="BG85" s="159" t="s">
        <v>43</v>
      </c>
    </row>
    <row r="86" spans="1:59" ht="78.75" x14ac:dyDescent="0.25">
      <c r="A86" s="153" t="s">
        <v>1403</v>
      </c>
      <c r="B86" s="107">
        <v>329</v>
      </c>
      <c r="C86" s="107">
        <v>352</v>
      </c>
      <c r="D86" s="107" t="s">
        <v>1251</v>
      </c>
      <c r="E86" s="107">
        <v>2018</v>
      </c>
      <c r="F86" s="107">
        <v>84</v>
      </c>
      <c r="G86" s="107" t="s">
        <v>334</v>
      </c>
      <c r="H86" s="107" t="s">
        <v>1252</v>
      </c>
      <c r="I86" s="107" t="s">
        <v>336</v>
      </c>
      <c r="J86" s="107" t="s">
        <v>17</v>
      </c>
      <c r="K86" s="107">
        <v>1087996780</v>
      </c>
      <c r="L86" s="107" t="s">
        <v>380</v>
      </c>
      <c r="M86" s="107" t="s">
        <v>265</v>
      </c>
      <c r="N86" s="107" t="s">
        <v>1241</v>
      </c>
      <c r="O86" s="107" t="s">
        <v>1253</v>
      </c>
      <c r="P86" s="107">
        <v>18501239</v>
      </c>
      <c r="Q86" s="108">
        <v>21745</v>
      </c>
      <c r="R86" s="107" t="s">
        <v>20</v>
      </c>
      <c r="S86" s="107" t="s">
        <v>1254</v>
      </c>
      <c r="T86" s="107" t="s">
        <v>1255</v>
      </c>
      <c r="U86" s="109">
        <v>304277043</v>
      </c>
      <c r="V86" s="107" t="s">
        <v>269</v>
      </c>
      <c r="W86" s="131" t="s">
        <v>1051</v>
      </c>
      <c r="X86" s="102" t="s">
        <v>1239</v>
      </c>
      <c r="Y86" s="107" t="s">
        <v>440</v>
      </c>
      <c r="Z86" s="110">
        <v>6390000</v>
      </c>
      <c r="AA86" s="109">
        <v>142</v>
      </c>
      <c r="AB86" s="109">
        <v>0</v>
      </c>
      <c r="AC86" s="107">
        <v>0</v>
      </c>
      <c r="AD86" s="138" t="s">
        <v>1256</v>
      </c>
      <c r="AE86" s="111" t="s">
        <v>345</v>
      </c>
      <c r="AF86" s="111" t="s">
        <v>346</v>
      </c>
      <c r="AG86" s="107" t="s">
        <v>347</v>
      </c>
      <c r="AH86" s="107" t="s">
        <v>418</v>
      </c>
      <c r="AI86" s="231" t="s">
        <v>1055</v>
      </c>
      <c r="AJ86" s="102" t="s">
        <v>350</v>
      </c>
      <c r="AK86" s="107" t="s">
        <v>1239</v>
      </c>
      <c r="AL86" s="107" t="s">
        <v>263</v>
      </c>
      <c r="AM86" s="232" t="s">
        <v>1257</v>
      </c>
      <c r="AN86" s="232" t="s">
        <v>1258</v>
      </c>
      <c r="AO86" s="232" t="s">
        <v>1259</v>
      </c>
      <c r="AP86" s="232" t="s">
        <v>1260</v>
      </c>
      <c r="AQ86" s="232" t="s">
        <v>1261</v>
      </c>
      <c r="AR86" s="232" t="s">
        <v>1262</v>
      </c>
      <c r="AS86" s="233" t="s">
        <v>1263</v>
      </c>
      <c r="AT86" s="234"/>
      <c r="AU86" s="234"/>
      <c r="AV86" s="234"/>
      <c r="AW86" s="234"/>
      <c r="AX86" s="235"/>
      <c r="AY86" s="107"/>
      <c r="AZ86" s="107"/>
      <c r="BA86" s="107"/>
      <c r="BB86" s="107"/>
      <c r="BC86" s="107"/>
      <c r="BD86" s="107"/>
      <c r="BE86" s="107" t="s">
        <v>276</v>
      </c>
      <c r="BF86" s="107" t="s">
        <v>257</v>
      </c>
      <c r="BG86" s="160" t="s">
        <v>43</v>
      </c>
    </row>
    <row r="87" spans="1:59" ht="94.5" x14ac:dyDescent="0.25">
      <c r="A87" s="155" t="s">
        <v>1056</v>
      </c>
      <c r="B87" s="121"/>
      <c r="C87" s="121"/>
      <c r="D87" s="121"/>
      <c r="E87" s="121"/>
      <c r="F87" s="121">
        <v>85</v>
      </c>
      <c r="G87" s="121" t="s">
        <v>334</v>
      </c>
      <c r="H87" s="121" t="s">
        <v>1264</v>
      </c>
      <c r="I87" s="121" t="s">
        <v>336</v>
      </c>
      <c r="J87" s="121" t="s">
        <v>17</v>
      </c>
      <c r="K87" s="121">
        <v>1087996780</v>
      </c>
      <c r="L87" s="121"/>
      <c r="M87" s="121"/>
      <c r="N87" s="121"/>
      <c r="O87" s="121"/>
      <c r="P87" s="121"/>
      <c r="Q87" s="122"/>
      <c r="R87" s="121"/>
      <c r="S87" s="121"/>
      <c r="T87" s="121"/>
      <c r="U87" s="123"/>
      <c r="V87" s="121"/>
      <c r="W87" s="121"/>
      <c r="X87" s="94" t="s">
        <v>1195</v>
      </c>
      <c r="Y87" s="121"/>
      <c r="Z87" s="125"/>
      <c r="AA87" s="123"/>
      <c r="AB87" s="123"/>
      <c r="AC87" s="121"/>
      <c r="AD87" s="126"/>
      <c r="AE87" s="126"/>
      <c r="AF87" s="126"/>
      <c r="AG87" s="121"/>
      <c r="AH87" s="121"/>
      <c r="AI87" s="226"/>
      <c r="AJ87" s="124"/>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59" t="s">
        <v>43</v>
      </c>
    </row>
    <row r="88" spans="1:59" ht="78.75" x14ac:dyDescent="0.25">
      <c r="A88" s="153" t="s">
        <v>1400</v>
      </c>
      <c r="B88" s="107">
        <v>334</v>
      </c>
      <c r="C88" s="107">
        <v>360</v>
      </c>
      <c r="D88" s="107" t="s">
        <v>363</v>
      </c>
      <c r="E88" s="107">
        <v>2018</v>
      </c>
      <c r="F88" s="107">
        <v>86</v>
      </c>
      <c r="G88" s="107" t="s">
        <v>334</v>
      </c>
      <c r="H88" s="107" t="s">
        <v>1265</v>
      </c>
      <c r="I88" s="107" t="s">
        <v>336</v>
      </c>
      <c r="J88" s="107" t="s">
        <v>17</v>
      </c>
      <c r="K88" s="107">
        <v>1087996780</v>
      </c>
      <c r="L88" s="107" t="s">
        <v>380</v>
      </c>
      <c r="M88" s="107" t="s">
        <v>265</v>
      </c>
      <c r="N88" s="107" t="s">
        <v>1266</v>
      </c>
      <c r="O88" s="107" t="s">
        <v>1267</v>
      </c>
      <c r="P88" s="107">
        <v>24511507</v>
      </c>
      <c r="Q88" s="108">
        <v>23381</v>
      </c>
      <c r="R88" s="107" t="s">
        <v>20</v>
      </c>
      <c r="S88" s="107" t="s">
        <v>383</v>
      </c>
      <c r="T88" s="107" t="s">
        <v>1268</v>
      </c>
      <c r="U88" s="109">
        <v>3307593</v>
      </c>
      <c r="V88" s="107" t="s">
        <v>269</v>
      </c>
      <c r="W88" s="131" t="s">
        <v>1269</v>
      </c>
      <c r="X88" s="102" t="s">
        <v>1266</v>
      </c>
      <c r="Y88" s="107" t="s">
        <v>343</v>
      </c>
      <c r="Z88" s="110">
        <v>6075000</v>
      </c>
      <c r="AA88" s="109">
        <v>135</v>
      </c>
      <c r="AB88" s="109">
        <v>0</v>
      </c>
      <c r="AC88" s="107">
        <v>0</v>
      </c>
      <c r="AD88" s="139" t="s">
        <v>1270</v>
      </c>
      <c r="AE88" s="111" t="s">
        <v>345</v>
      </c>
      <c r="AF88" s="111" t="s">
        <v>346</v>
      </c>
      <c r="AG88" s="107" t="s">
        <v>373</v>
      </c>
      <c r="AH88" s="107" t="s">
        <v>374</v>
      </c>
      <c r="AI88" s="231" t="s">
        <v>78</v>
      </c>
      <c r="AJ88" s="102" t="s">
        <v>350</v>
      </c>
      <c r="AK88" s="107" t="s">
        <v>1266</v>
      </c>
      <c r="AL88" s="107" t="s">
        <v>263</v>
      </c>
      <c r="AM88" s="232" t="s">
        <v>1271</v>
      </c>
      <c r="AN88" s="232" t="s">
        <v>1272</v>
      </c>
      <c r="AO88" s="232" t="s">
        <v>1273</v>
      </c>
      <c r="AP88" s="232" t="s">
        <v>1274</v>
      </c>
      <c r="AQ88" s="232" t="s">
        <v>1275</v>
      </c>
      <c r="AR88" s="232" t="s">
        <v>587</v>
      </c>
      <c r="AS88" s="233" t="s">
        <v>1276</v>
      </c>
      <c r="AT88" s="234"/>
      <c r="AU88" s="234"/>
      <c r="AV88" s="234"/>
      <c r="AW88" s="234"/>
      <c r="AX88" s="234"/>
      <c r="AY88" s="234"/>
      <c r="AZ88" s="234"/>
      <c r="BA88" s="234"/>
      <c r="BB88" s="234"/>
      <c r="BC88" s="234"/>
      <c r="BD88" s="235"/>
      <c r="BE88" s="107" t="s">
        <v>276</v>
      </c>
      <c r="BF88" s="107" t="s">
        <v>281</v>
      </c>
      <c r="BG88" s="160" t="s">
        <v>43</v>
      </c>
    </row>
    <row r="89" spans="1:59" ht="63" x14ac:dyDescent="0.25">
      <c r="A89" s="151" t="s">
        <v>1277</v>
      </c>
      <c r="B89" s="91">
        <v>366</v>
      </c>
      <c r="C89" s="91">
        <v>366</v>
      </c>
      <c r="D89" s="91" t="s">
        <v>451</v>
      </c>
      <c r="E89" s="91">
        <v>2018</v>
      </c>
      <c r="F89" s="91">
        <v>87</v>
      </c>
      <c r="G89" s="91" t="s">
        <v>334</v>
      </c>
      <c r="H89" s="91" t="s">
        <v>1278</v>
      </c>
      <c r="I89" s="91" t="s">
        <v>336</v>
      </c>
      <c r="J89" s="91" t="s">
        <v>17</v>
      </c>
      <c r="K89" s="91">
        <v>1087996780</v>
      </c>
      <c r="L89" s="91" t="s">
        <v>616</v>
      </c>
      <c r="M89" s="91" t="s">
        <v>17</v>
      </c>
      <c r="N89" s="91" t="s">
        <v>1279</v>
      </c>
      <c r="O89" s="91">
        <v>0</v>
      </c>
      <c r="P89" s="91">
        <v>899999063</v>
      </c>
      <c r="Q89" s="92">
        <v>24839</v>
      </c>
      <c r="R89" s="91" t="s">
        <v>260</v>
      </c>
      <c r="S89" s="91">
        <v>0</v>
      </c>
      <c r="T89" s="91" t="s">
        <v>1280</v>
      </c>
      <c r="U89" s="93">
        <v>3165598</v>
      </c>
      <c r="V89" s="91" t="s">
        <v>269</v>
      </c>
      <c r="W89" s="136" t="s">
        <v>1281</v>
      </c>
      <c r="X89" s="94" t="s">
        <v>1195</v>
      </c>
      <c r="Y89" s="91" t="s">
        <v>343</v>
      </c>
      <c r="Z89" s="95">
        <v>1599150560</v>
      </c>
      <c r="AA89" s="93">
        <v>120</v>
      </c>
      <c r="AB89" s="93">
        <v>0</v>
      </c>
      <c r="AC89" s="91">
        <v>0</v>
      </c>
      <c r="AD89" s="96"/>
      <c r="AE89" s="96"/>
      <c r="AF89" s="96"/>
      <c r="AG89" s="91"/>
      <c r="AH89" s="91"/>
      <c r="AI89" s="227"/>
      <c r="AJ89" s="94"/>
      <c r="AK89" s="91"/>
      <c r="AL89" s="91"/>
      <c r="AM89" s="91"/>
      <c r="AN89" s="91"/>
      <c r="AO89" s="91"/>
      <c r="AP89" s="91"/>
      <c r="AQ89" s="91"/>
      <c r="AR89" s="91"/>
      <c r="AS89" s="91"/>
      <c r="AT89" s="91"/>
      <c r="AU89" s="91"/>
      <c r="AV89" s="91"/>
      <c r="AW89" s="91"/>
      <c r="AX89" s="91"/>
      <c r="AY89" s="91"/>
      <c r="AZ89" s="91"/>
      <c r="BA89" s="91"/>
      <c r="BB89" s="91"/>
      <c r="BC89" s="91"/>
      <c r="BD89" s="91"/>
      <c r="BE89" s="91"/>
      <c r="BF89" s="91"/>
      <c r="BG89" s="159" t="s">
        <v>43</v>
      </c>
    </row>
    <row r="90" spans="1:59" ht="94.5" x14ac:dyDescent="0.25">
      <c r="A90" s="153" t="s">
        <v>1056</v>
      </c>
      <c r="B90" s="107">
        <v>365</v>
      </c>
      <c r="C90" s="107">
        <v>289</v>
      </c>
      <c r="D90" s="107" t="s">
        <v>1282</v>
      </c>
      <c r="E90" s="107">
        <v>2018</v>
      </c>
      <c r="F90" s="107">
        <v>88</v>
      </c>
      <c r="G90" s="107" t="s">
        <v>334</v>
      </c>
      <c r="H90" s="107" t="s">
        <v>1283</v>
      </c>
      <c r="I90" s="107" t="s">
        <v>336</v>
      </c>
      <c r="J90" s="107" t="s">
        <v>17</v>
      </c>
      <c r="K90" s="107">
        <v>1087996780</v>
      </c>
      <c r="L90" s="107" t="s">
        <v>380</v>
      </c>
      <c r="M90" s="107" t="s">
        <v>265</v>
      </c>
      <c r="N90" s="107" t="s">
        <v>1284</v>
      </c>
      <c r="O90" s="107" t="s">
        <v>1285</v>
      </c>
      <c r="P90" s="107">
        <v>10073390</v>
      </c>
      <c r="Q90" s="108">
        <v>36301</v>
      </c>
      <c r="R90" s="107" t="s">
        <v>260</v>
      </c>
      <c r="S90" s="107" t="s">
        <v>1059</v>
      </c>
      <c r="T90" s="107" t="s">
        <v>1286</v>
      </c>
      <c r="U90" s="109">
        <v>3245522</v>
      </c>
      <c r="V90" s="107" t="s">
        <v>269</v>
      </c>
      <c r="W90" s="131" t="s">
        <v>1287</v>
      </c>
      <c r="X90" s="102" t="s">
        <v>1195</v>
      </c>
      <c r="Y90" s="107" t="s">
        <v>440</v>
      </c>
      <c r="Z90" s="110">
        <v>240000</v>
      </c>
      <c r="AA90" s="109">
        <v>124</v>
      </c>
      <c r="AB90" s="109">
        <v>0</v>
      </c>
      <c r="AC90" s="107">
        <v>0</v>
      </c>
      <c r="AD90" s="111" t="s">
        <v>1288</v>
      </c>
      <c r="AE90" s="111"/>
      <c r="AF90" s="111"/>
      <c r="AG90" s="107"/>
      <c r="AH90" s="107"/>
      <c r="AI90" s="231"/>
      <c r="AJ90" s="102"/>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60" t="s">
        <v>43</v>
      </c>
    </row>
    <row r="91" spans="1:59" ht="99" x14ac:dyDescent="0.3">
      <c r="A91" s="151" t="s">
        <v>1401</v>
      </c>
      <c r="B91" s="91">
        <v>367</v>
      </c>
      <c r="C91" s="91">
        <v>399</v>
      </c>
      <c r="D91" s="91" t="s">
        <v>451</v>
      </c>
      <c r="E91" s="91">
        <v>2018</v>
      </c>
      <c r="F91" s="91">
        <v>89</v>
      </c>
      <c r="G91" s="91" t="s">
        <v>334</v>
      </c>
      <c r="H91" s="91" t="s">
        <v>1289</v>
      </c>
      <c r="I91" s="91" t="s">
        <v>336</v>
      </c>
      <c r="J91" s="91" t="s">
        <v>17</v>
      </c>
      <c r="K91" s="91">
        <v>1087996780</v>
      </c>
      <c r="L91" s="91" t="s">
        <v>494</v>
      </c>
      <c r="M91" s="91" t="s">
        <v>264</v>
      </c>
      <c r="N91" s="91" t="s">
        <v>1290</v>
      </c>
      <c r="O91" s="91" t="s">
        <v>1291</v>
      </c>
      <c r="P91" s="91">
        <v>10134992</v>
      </c>
      <c r="Q91" s="92">
        <v>25482</v>
      </c>
      <c r="R91" s="91" t="s">
        <v>20</v>
      </c>
      <c r="S91" s="91" t="s">
        <v>786</v>
      </c>
      <c r="T91" s="91" t="s">
        <v>1292</v>
      </c>
      <c r="U91" s="93">
        <v>3363941</v>
      </c>
      <c r="V91" s="91" t="s">
        <v>261</v>
      </c>
      <c r="W91" s="136" t="s">
        <v>788</v>
      </c>
      <c r="X91" s="94" t="s">
        <v>1290</v>
      </c>
      <c r="Y91" s="91" t="s">
        <v>1293</v>
      </c>
      <c r="Z91" s="95">
        <v>20000000</v>
      </c>
      <c r="AA91" s="93">
        <v>120</v>
      </c>
      <c r="AB91" s="93">
        <v>0</v>
      </c>
      <c r="AC91" s="91">
        <v>0</v>
      </c>
      <c r="AD91" s="140" t="s">
        <v>1294</v>
      </c>
      <c r="AE91" s="96" t="s">
        <v>345</v>
      </c>
      <c r="AF91" s="96" t="s">
        <v>346</v>
      </c>
      <c r="AG91" s="91" t="s">
        <v>350</v>
      </c>
      <c r="AH91" s="91" t="s">
        <v>1081</v>
      </c>
      <c r="AI91" s="227" t="s">
        <v>792</v>
      </c>
      <c r="AJ91" s="94" t="s">
        <v>350</v>
      </c>
      <c r="AK91" s="91" t="s">
        <v>1290</v>
      </c>
      <c r="AL91" s="91" t="s">
        <v>132</v>
      </c>
      <c r="AM91" s="237" t="s">
        <v>1295</v>
      </c>
      <c r="AN91" s="237" t="s">
        <v>1296</v>
      </c>
      <c r="AO91" s="237" t="s">
        <v>1297</v>
      </c>
      <c r="AP91" s="237" t="s">
        <v>1298</v>
      </c>
      <c r="AQ91" s="237" t="s">
        <v>1299</v>
      </c>
      <c r="AR91" s="237" t="s">
        <v>1300</v>
      </c>
      <c r="AS91" s="239" t="s">
        <v>1301</v>
      </c>
      <c r="AT91" s="240"/>
      <c r="AU91" s="240"/>
      <c r="AV91" s="240"/>
      <c r="AW91" s="240"/>
      <c r="AX91" s="240"/>
      <c r="AY91" s="240"/>
      <c r="AZ91" s="240"/>
      <c r="BA91" s="240"/>
      <c r="BB91" s="240"/>
      <c r="BC91" s="240"/>
      <c r="BD91" s="241"/>
      <c r="BE91" s="91" t="s">
        <v>276</v>
      </c>
      <c r="BF91" s="91" t="s">
        <v>257</v>
      </c>
      <c r="BG91" s="159" t="s">
        <v>111</v>
      </c>
    </row>
    <row r="92" spans="1:59" ht="181.5" x14ac:dyDescent="0.3">
      <c r="A92" s="153" t="s">
        <v>1405</v>
      </c>
      <c r="B92" s="107">
        <v>369</v>
      </c>
      <c r="C92" s="107">
        <v>400</v>
      </c>
      <c r="D92" s="107" t="s">
        <v>451</v>
      </c>
      <c r="E92" s="107">
        <v>2018</v>
      </c>
      <c r="F92" s="107">
        <v>90</v>
      </c>
      <c r="G92" s="107" t="s">
        <v>334</v>
      </c>
      <c r="H92" s="107" t="s">
        <v>1302</v>
      </c>
      <c r="I92" s="107" t="s">
        <v>336</v>
      </c>
      <c r="J92" s="107" t="s">
        <v>17</v>
      </c>
      <c r="K92" s="107">
        <v>1087996780</v>
      </c>
      <c r="L92" s="107" t="s">
        <v>494</v>
      </c>
      <c r="M92" s="107" t="s">
        <v>264</v>
      </c>
      <c r="N92" s="107" t="s">
        <v>1290</v>
      </c>
      <c r="O92" s="107" t="s">
        <v>1303</v>
      </c>
      <c r="P92" s="107">
        <v>25153841</v>
      </c>
      <c r="Q92" s="108">
        <v>22802</v>
      </c>
      <c r="R92" s="107" t="s">
        <v>20</v>
      </c>
      <c r="S92" s="107" t="s">
        <v>843</v>
      </c>
      <c r="T92" s="107" t="s">
        <v>1304</v>
      </c>
      <c r="U92" s="109">
        <v>3006539659</v>
      </c>
      <c r="V92" s="107" t="s">
        <v>261</v>
      </c>
      <c r="W92" s="131" t="s">
        <v>1169</v>
      </c>
      <c r="X92" s="102" t="s">
        <v>1290</v>
      </c>
      <c r="Y92" s="107" t="s">
        <v>1293</v>
      </c>
      <c r="Z92" s="110">
        <v>24000000</v>
      </c>
      <c r="AA92" s="109">
        <v>120</v>
      </c>
      <c r="AB92" s="109">
        <v>0</v>
      </c>
      <c r="AC92" s="107">
        <v>0</v>
      </c>
      <c r="AD92" s="141" t="s">
        <v>1305</v>
      </c>
      <c r="AE92" s="111" t="s">
        <v>345</v>
      </c>
      <c r="AF92" s="111" t="s">
        <v>346</v>
      </c>
      <c r="AG92" s="107" t="s">
        <v>347</v>
      </c>
      <c r="AH92" s="107" t="s">
        <v>1081</v>
      </c>
      <c r="AI92" s="231" t="s">
        <v>96</v>
      </c>
      <c r="AJ92" s="102" t="s">
        <v>350</v>
      </c>
      <c r="AK92" s="107" t="s">
        <v>1290</v>
      </c>
      <c r="AL92" s="107" t="s">
        <v>132</v>
      </c>
      <c r="AM92" s="232" t="s">
        <v>1306</v>
      </c>
      <c r="AN92" s="232" t="s">
        <v>1307</v>
      </c>
      <c r="AO92" s="232" t="s">
        <v>1308</v>
      </c>
      <c r="AP92" s="232" t="s">
        <v>1309</v>
      </c>
      <c r="AQ92" s="232" t="s">
        <v>1310</v>
      </c>
      <c r="AR92" s="232" t="s">
        <v>1311</v>
      </c>
      <c r="AS92" s="248" t="s">
        <v>1312</v>
      </c>
      <c r="AT92" s="233" t="s">
        <v>1313</v>
      </c>
      <c r="AU92" s="234"/>
      <c r="AV92" s="234"/>
      <c r="AW92" s="234"/>
      <c r="AX92" s="234"/>
      <c r="AY92" s="234"/>
      <c r="AZ92" s="234"/>
      <c r="BA92" s="234"/>
      <c r="BB92" s="234"/>
      <c r="BC92" s="234"/>
      <c r="BD92" s="235"/>
      <c r="BE92" s="107" t="s">
        <v>277</v>
      </c>
      <c r="BF92" s="107" t="s">
        <v>257</v>
      </c>
      <c r="BG92" s="160" t="s">
        <v>43</v>
      </c>
    </row>
    <row r="93" spans="1:59" ht="165.75" x14ac:dyDescent="0.25">
      <c r="A93" s="154" t="s">
        <v>1314</v>
      </c>
      <c r="B93" s="113">
        <v>368</v>
      </c>
      <c r="C93" s="113">
        <v>401</v>
      </c>
      <c r="D93" s="113" t="s">
        <v>451</v>
      </c>
      <c r="E93" s="113">
        <v>2018</v>
      </c>
      <c r="F93" s="113">
        <v>91</v>
      </c>
      <c r="G93" s="113" t="s">
        <v>334</v>
      </c>
      <c r="H93" s="113" t="s">
        <v>1315</v>
      </c>
      <c r="I93" s="113" t="s">
        <v>336</v>
      </c>
      <c r="J93" s="113" t="s">
        <v>17</v>
      </c>
      <c r="K93" s="113">
        <v>1087996780</v>
      </c>
      <c r="L93" s="113" t="s">
        <v>1316</v>
      </c>
      <c r="M93" s="113" t="s">
        <v>8</v>
      </c>
      <c r="N93" s="113" t="s">
        <v>1290</v>
      </c>
      <c r="O93" s="113" t="s">
        <v>1317</v>
      </c>
      <c r="P93" s="113">
        <v>26430875</v>
      </c>
      <c r="Q93" s="114">
        <v>31128</v>
      </c>
      <c r="R93" s="113" t="s">
        <v>20</v>
      </c>
      <c r="S93" s="113" t="s">
        <v>1318</v>
      </c>
      <c r="T93" s="113" t="s">
        <v>1319</v>
      </c>
      <c r="U93" s="115">
        <v>3123062375</v>
      </c>
      <c r="V93" s="113" t="s">
        <v>261</v>
      </c>
      <c r="W93" s="136" t="s">
        <v>1320</v>
      </c>
      <c r="X93" s="94" t="s">
        <v>1290</v>
      </c>
      <c r="Y93" s="113" t="s">
        <v>1293</v>
      </c>
      <c r="Z93" s="117">
        <v>18000000</v>
      </c>
      <c r="AA93" s="115">
        <v>120</v>
      </c>
      <c r="AB93" s="115">
        <v>0</v>
      </c>
      <c r="AC93" s="113">
        <v>0</v>
      </c>
      <c r="AD93" s="142" t="s">
        <v>1321</v>
      </c>
      <c r="AE93" s="118" t="s">
        <v>345</v>
      </c>
      <c r="AF93" s="118" t="s">
        <v>346</v>
      </c>
      <c r="AG93" s="113" t="s">
        <v>388</v>
      </c>
      <c r="AH93" s="113" t="s">
        <v>374</v>
      </c>
      <c r="AI93" s="236" t="s">
        <v>99</v>
      </c>
      <c r="AJ93" s="116" t="s">
        <v>350</v>
      </c>
      <c r="AK93" s="113" t="s">
        <v>1290</v>
      </c>
      <c r="AL93" s="113" t="s">
        <v>132</v>
      </c>
      <c r="AM93" s="237" t="s">
        <v>1322</v>
      </c>
      <c r="AN93" s="237" t="s">
        <v>1323</v>
      </c>
      <c r="AO93" s="237" t="s">
        <v>1324</v>
      </c>
      <c r="AP93" s="237" t="s">
        <v>1325</v>
      </c>
      <c r="AQ93" s="238" t="s">
        <v>1326</v>
      </c>
      <c r="AR93" s="237" t="s">
        <v>1327</v>
      </c>
      <c r="AS93" s="237" t="s">
        <v>1328</v>
      </c>
      <c r="AT93" s="237" t="s">
        <v>1329</v>
      </c>
      <c r="AU93" s="239" t="s">
        <v>1330</v>
      </c>
      <c r="AV93" s="240"/>
      <c r="AW93" s="240"/>
      <c r="AX93" s="240"/>
      <c r="AY93" s="240"/>
      <c r="AZ93" s="240"/>
      <c r="BA93" s="240"/>
      <c r="BB93" s="240"/>
      <c r="BC93" s="240"/>
      <c r="BD93" s="241"/>
      <c r="BE93" s="113" t="s">
        <v>276</v>
      </c>
      <c r="BF93" s="113" t="s">
        <v>257</v>
      </c>
      <c r="BG93" s="159" t="s">
        <v>111</v>
      </c>
    </row>
    <row r="94" spans="1:59" ht="141.75" x14ac:dyDescent="0.25">
      <c r="A94" s="153" t="s">
        <v>1331</v>
      </c>
      <c r="B94" s="107">
        <v>376</v>
      </c>
      <c r="C94" s="107">
        <v>395</v>
      </c>
      <c r="D94" s="107" t="s">
        <v>451</v>
      </c>
      <c r="E94" s="107">
        <v>2018</v>
      </c>
      <c r="F94" s="107">
        <v>92</v>
      </c>
      <c r="G94" s="107" t="s">
        <v>334</v>
      </c>
      <c r="H94" s="107" t="s">
        <v>1332</v>
      </c>
      <c r="I94" s="107" t="s">
        <v>336</v>
      </c>
      <c r="J94" s="107" t="s">
        <v>17</v>
      </c>
      <c r="K94" s="107">
        <v>1087996780</v>
      </c>
      <c r="L94" s="107" t="s">
        <v>494</v>
      </c>
      <c r="M94" s="107" t="s">
        <v>264</v>
      </c>
      <c r="N94" s="107" t="s">
        <v>1333</v>
      </c>
      <c r="O94" s="107" t="s">
        <v>1334</v>
      </c>
      <c r="P94" s="107">
        <v>1094934494</v>
      </c>
      <c r="Q94" s="108">
        <v>34093</v>
      </c>
      <c r="R94" s="107" t="s">
        <v>20</v>
      </c>
      <c r="S94" s="107" t="s">
        <v>1335</v>
      </c>
      <c r="T94" s="107" t="s">
        <v>1336</v>
      </c>
      <c r="U94" s="109">
        <v>3105056865</v>
      </c>
      <c r="V94" s="107" t="s">
        <v>261</v>
      </c>
      <c r="W94" s="131" t="s">
        <v>1337</v>
      </c>
      <c r="X94" s="102" t="s">
        <v>1338</v>
      </c>
      <c r="Y94" s="107" t="s">
        <v>343</v>
      </c>
      <c r="Z94" s="110">
        <v>16000000</v>
      </c>
      <c r="AA94" s="109">
        <v>117</v>
      </c>
      <c r="AB94" s="109">
        <v>0</v>
      </c>
      <c r="AC94" s="107">
        <v>0</v>
      </c>
      <c r="AD94" s="111" t="s">
        <v>1687</v>
      </c>
      <c r="AE94" s="111" t="s">
        <v>345</v>
      </c>
      <c r="AF94" s="111" t="s">
        <v>346</v>
      </c>
      <c r="AG94" s="107" t="s">
        <v>417</v>
      </c>
      <c r="AH94" s="107" t="s">
        <v>418</v>
      </c>
      <c r="AI94" s="231" t="s">
        <v>91</v>
      </c>
      <c r="AJ94" s="107" t="s">
        <v>350</v>
      </c>
      <c r="AK94" s="107" t="s">
        <v>1338</v>
      </c>
      <c r="AL94" s="107" t="s">
        <v>132</v>
      </c>
      <c r="AM94" s="107" t="s">
        <v>1688</v>
      </c>
      <c r="AN94" s="107" t="s">
        <v>1689</v>
      </c>
      <c r="AO94" s="107" t="s">
        <v>1690</v>
      </c>
      <c r="AP94" s="107" t="s">
        <v>1691</v>
      </c>
      <c r="AQ94" s="107" t="s">
        <v>1692</v>
      </c>
      <c r="AR94" s="107" t="s">
        <v>1693</v>
      </c>
      <c r="AS94" s="107" t="s">
        <v>1328</v>
      </c>
      <c r="AT94" s="107"/>
      <c r="AU94" s="107"/>
      <c r="AV94" s="107"/>
      <c r="AW94" s="107"/>
      <c r="AX94" s="107"/>
      <c r="AY94" s="107"/>
      <c r="AZ94" s="107"/>
      <c r="BA94" s="107"/>
      <c r="BB94" s="107"/>
      <c r="BC94" s="107"/>
      <c r="BD94" s="107"/>
      <c r="BE94" s="107" t="s">
        <v>276</v>
      </c>
      <c r="BF94" s="107" t="s">
        <v>281</v>
      </c>
      <c r="BG94" s="160" t="s">
        <v>111</v>
      </c>
    </row>
    <row r="95" spans="1:59" ht="105.75" x14ac:dyDescent="0.25">
      <c r="A95" s="151" t="s">
        <v>1339</v>
      </c>
      <c r="B95" s="91">
        <v>370</v>
      </c>
      <c r="C95" s="91">
        <v>398</v>
      </c>
      <c r="D95" s="91" t="s">
        <v>451</v>
      </c>
      <c r="E95" s="91">
        <v>2018</v>
      </c>
      <c r="F95" s="91">
        <v>93</v>
      </c>
      <c r="G95" s="91" t="s">
        <v>334</v>
      </c>
      <c r="H95" s="91" t="s">
        <v>1340</v>
      </c>
      <c r="I95" s="91" t="s">
        <v>336</v>
      </c>
      <c r="J95" s="91" t="s">
        <v>17</v>
      </c>
      <c r="K95" s="91">
        <v>1087996780</v>
      </c>
      <c r="L95" s="91" t="s">
        <v>841</v>
      </c>
      <c r="M95" s="91" t="s">
        <v>8</v>
      </c>
      <c r="N95" s="91" t="s">
        <v>1279</v>
      </c>
      <c r="O95" s="91" t="s">
        <v>1341</v>
      </c>
      <c r="P95" s="91">
        <v>10135446</v>
      </c>
      <c r="Q95" s="92">
        <v>25551</v>
      </c>
      <c r="R95" s="91" t="s">
        <v>20</v>
      </c>
      <c r="S95" s="91" t="s">
        <v>1342</v>
      </c>
      <c r="T95" s="91" t="s">
        <v>1343</v>
      </c>
      <c r="U95" s="93">
        <v>3155308073</v>
      </c>
      <c r="V95" s="91" t="s">
        <v>261</v>
      </c>
      <c r="W95" s="136" t="s">
        <v>1344</v>
      </c>
      <c r="X95" s="94" t="s">
        <v>1290</v>
      </c>
      <c r="Y95" s="91" t="s">
        <v>1345</v>
      </c>
      <c r="Z95" s="95">
        <v>18000000</v>
      </c>
      <c r="AA95" s="93">
        <v>120</v>
      </c>
      <c r="AB95" s="93">
        <v>0</v>
      </c>
      <c r="AC95" s="91">
        <v>0</v>
      </c>
      <c r="AD95" s="142" t="s">
        <v>1346</v>
      </c>
      <c r="AE95" s="96" t="s">
        <v>345</v>
      </c>
      <c r="AF95" s="96" t="s">
        <v>346</v>
      </c>
      <c r="AG95" s="91" t="s">
        <v>373</v>
      </c>
      <c r="AH95" s="91" t="s">
        <v>374</v>
      </c>
      <c r="AI95" s="227" t="s">
        <v>1010</v>
      </c>
      <c r="AJ95" s="91" t="s">
        <v>350</v>
      </c>
      <c r="AK95" s="91" t="s">
        <v>1290</v>
      </c>
      <c r="AL95" s="91" t="s">
        <v>132</v>
      </c>
      <c r="AM95" s="237" t="s">
        <v>1347</v>
      </c>
      <c r="AN95" s="249" t="s">
        <v>1348</v>
      </c>
      <c r="AO95" s="237" t="s">
        <v>1349</v>
      </c>
      <c r="AP95" s="237" t="s">
        <v>1350</v>
      </c>
      <c r="AQ95" s="237" t="s">
        <v>1351</v>
      </c>
      <c r="AR95" s="237" t="s">
        <v>1352</v>
      </c>
      <c r="AS95" s="249" t="s">
        <v>1353</v>
      </c>
      <c r="AT95" s="249" t="s">
        <v>1354</v>
      </c>
      <c r="AU95" s="239" t="s">
        <v>1355</v>
      </c>
      <c r="AV95" s="240"/>
      <c r="AW95" s="240"/>
      <c r="AX95" s="240"/>
      <c r="AY95" s="240"/>
      <c r="AZ95" s="240"/>
      <c r="BA95" s="240"/>
      <c r="BB95" s="240"/>
      <c r="BC95" s="240"/>
      <c r="BD95" s="241"/>
      <c r="BE95" s="91" t="s">
        <v>276</v>
      </c>
      <c r="BF95" s="91" t="s">
        <v>257</v>
      </c>
      <c r="BG95" s="159" t="s">
        <v>111</v>
      </c>
    </row>
    <row r="96" spans="1:59" ht="126" x14ac:dyDescent="0.25">
      <c r="A96" s="153" t="s">
        <v>1356</v>
      </c>
      <c r="B96" s="107">
        <v>371</v>
      </c>
      <c r="C96" s="107">
        <v>396</v>
      </c>
      <c r="D96" s="107" t="s">
        <v>451</v>
      </c>
      <c r="E96" s="107">
        <v>2018</v>
      </c>
      <c r="F96" s="107">
        <v>94</v>
      </c>
      <c r="G96" s="107" t="s">
        <v>334</v>
      </c>
      <c r="H96" s="107" t="s">
        <v>1357</v>
      </c>
      <c r="I96" s="107" t="s">
        <v>336</v>
      </c>
      <c r="J96" s="107" t="s">
        <v>17</v>
      </c>
      <c r="K96" s="107">
        <v>1087996780</v>
      </c>
      <c r="L96" s="107" t="s">
        <v>841</v>
      </c>
      <c r="M96" s="107" t="s">
        <v>8</v>
      </c>
      <c r="N96" s="107" t="s">
        <v>1290</v>
      </c>
      <c r="O96" s="107" t="s">
        <v>1358</v>
      </c>
      <c r="P96" s="107">
        <v>75103761</v>
      </c>
      <c r="Q96" s="108">
        <v>31071</v>
      </c>
      <c r="R96" s="107" t="s">
        <v>20</v>
      </c>
      <c r="S96" s="107" t="s">
        <v>786</v>
      </c>
      <c r="T96" s="107" t="s">
        <v>1359</v>
      </c>
      <c r="U96" s="109">
        <v>3162889616</v>
      </c>
      <c r="V96" s="107" t="s">
        <v>261</v>
      </c>
      <c r="W96" s="107" t="s">
        <v>1360</v>
      </c>
      <c r="X96" s="102" t="s">
        <v>1290</v>
      </c>
      <c r="Y96" s="107" t="s">
        <v>1293</v>
      </c>
      <c r="Z96" s="110">
        <v>16000000</v>
      </c>
      <c r="AA96" s="109">
        <v>120</v>
      </c>
      <c r="AB96" s="109">
        <v>0</v>
      </c>
      <c r="AC96" s="107">
        <v>0</v>
      </c>
      <c r="AD96" s="111" t="s">
        <v>1679</v>
      </c>
      <c r="AE96" s="111" t="s">
        <v>345</v>
      </c>
      <c r="AF96" s="111" t="s">
        <v>346</v>
      </c>
      <c r="AG96" s="107" t="s">
        <v>417</v>
      </c>
      <c r="AH96" s="107" t="s">
        <v>418</v>
      </c>
      <c r="AI96" s="231" t="s">
        <v>1003</v>
      </c>
      <c r="AJ96" s="107" t="s">
        <v>350</v>
      </c>
      <c r="AK96" s="107" t="s">
        <v>1290</v>
      </c>
      <c r="AL96" s="107" t="s">
        <v>132</v>
      </c>
      <c r="AM96" s="107" t="s">
        <v>1680</v>
      </c>
      <c r="AN96" s="107" t="s">
        <v>1681</v>
      </c>
      <c r="AO96" s="107" t="s">
        <v>1682</v>
      </c>
      <c r="AP96" s="107" t="s">
        <v>1683</v>
      </c>
      <c r="AQ96" s="107" t="s">
        <v>1684</v>
      </c>
      <c r="AR96" s="107" t="s">
        <v>1327</v>
      </c>
      <c r="AS96" s="107" t="s">
        <v>1676</v>
      </c>
      <c r="AT96" s="107" t="s">
        <v>1685</v>
      </c>
      <c r="AU96" s="107" t="s">
        <v>1686</v>
      </c>
      <c r="AV96" s="107"/>
      <c r="AW96" s="107"/>
      <c r="AX96" s="107"/>
      <c r="AY96" s="107"/>
      <c r="AZ96" s="107"/>
      <c r="BA96" s="107"/>
      <c r="BB96" s="107"/>
      <c r="BC96" s="107"/>
      <c r="BD96" s="107"/>
      <c r="BE96" s="107" t="s">
        <v>276</v>
      </c>
      <c r="BF96" s="107" t="s">
        <v>257</v>
      </c>
      <c r="BG96" s="160" t="s">
        <v>111</v>
      </c>
    </row>
    <row r="97" spans="1:59" ht="141.75" x14ac:dyDescent="0.25">
      <c r="A97" s="151" t="s">
        <v>1361</v>
      </c>
      <c r="B97" s="91">
        <v>372</v>
      </c>
      <c r="C97" s="91">
        <v>394</v>
      </c>
      <c r="D97" s="91" t="s">
        <v>451</v>
      </c>
      <c r="E97" s="91">
        <v>2018</v>
      </c>
      <c r="F97" s="91">
        <v>95</v>
      </c>
      <c r="G97" s="91" t="s">
        <v>334</v>
      </c>
      <c r="H97" s="91" t="s">
        <v>1362</v>
      </c>
      <c r="I97" s="91" t="s">
        <v>336</v>
      </c>
      <c r="J97" s="91" t="s">
        <v>17</v>
      </c>
      <c r="K97" s="91">
        <v>1087996780</v>
      </c>
      <c r="L97" s="91" t="s">
        <v>1316</v>
      </c>
      <c r="M97" s="91" t="s">
        <v>8</v>
      </c>
      <c r="N97" s="91" t="s">
        <v>1290</v>
      </c>
      <c r="O97" s="91" t="s">
        <v>1038</v>
      </c>
      <c r="P97" s="91">
        <v>1088290332</v>
      </c>
      <c r="Q97" s="92">
        <v>33759</v>
      </c>
      <c r="R97" s="91" t="s">
        <v>20</v>
      </c>
      <c r="S97" s="91" t="s">
        <v>786</v>
      </c>
      <c r="T97" s="91" t="s">
        <v>1363</v>
      </c>
      <c r="U97" s="93">
        <v>3177006303</v>
      </c>
      <c r="V97" s="91" t="s">
        <v>261</v>
      </c>
      <c r="W97" s="136" t="s">
        <v>1364</v>
      </c>
      <c r="X97" s="94" t="s">
        <v>1290</v>
      </c>
      <c r="Y97" s="91" t="s">
        <v>1293</v>
      </c>
      <c r="Z97" s="95">
        <v>18000000</v>
      </c>
      <c r="AA97" s="93">
        <v>120</v>
      </c>
      <c r="AB97" s="93">
        <v>0</v>
      </c>
      <c r="AC97" s="91">
        <v>0</v>
      </c>
      <c r="AD97" s="96" t="s">
        <v>1662</v>
      </c>
      <c r="AE97" s="96" t="s">
        <v>345</v>
      </c>
      <c r="AF97" s="96" t="s">
        <v>346</v>
      </c>
      <c r="AG97" s="91" t="s">
        <v>417</v>
      </c>
      <c r="AH97" s="91" t="s">
        <v>418</v>
      </c>
      <c r="AI97" s="227" t="s">
        <v>732</v>
      </c>
      <c r="AJ97" s="91" t="s">
        <v>350</v>
      </c>
      <c r="AK97" s="91" t="s">
        <v>1290</v>
      </c>
      <c r="AL97" s="91" t="s">
        <v>132</v>
      </c>
      <c r="AM97" s="91" t="s">
        <v>1663</v>
      </c>
      <c r="AN97" s="91" t="s">
        <v>1664</v>
      </c>
      <c r="AO97" s="91" t="s">
        <v>1665</v>
      </c>
      <c r="AP97" s="91" t="s">
        <v>1666</v>
      </c>
      <c r="AQ97" s="91" t="s">
        <v>1667</v>
      </c>
      <c r="AR97" s="91" t="s">
        <v>1327</v>
      </c>
      <c r="AS97" s="91" t="s">
        <v>1328</v>
      </c>
      <c r="AT97" s="91" t="s">
        <v>1668</v>
      </c>
      <c r="AU97" s="91"/>
      <c r="AV97" s="91"/>
      <c r="AW97" s="91"/>
      <c r="AX97" s="91"/>
      <c r="AY97" s="91"/>
      <c r="AZ97" s="91"/>
      <c r="BA97" s="91"/>
      <c r="BB97" s="91"/>
      <c r="BC97" s="91"/>
      <c r="BD97" s="91"/>
      <c r="BE97" s="91" t="s">
        <v>277</v>
      </c>
      <c r="BF97" s="91" t="s">
        <v>257</v>
      </c>
      <c r="BG97" s="159" t="s">
        <v>111</v>
      </c>
    </row>
    <row r="98" spans="1:59" ht="126" x14ac:dyDescent="0.25">
      <c r="A98" s="153" t="s">
        <v>1365</v>
      </c>
      <c r="B98" s="107">
        <v>373</v>
      </c>
      <c r="C98" s="107">
        <v>397</v>
      </c>
      <c r="D98" s="107" t="s">
        <v>451</v>
      </c>
      <c r="E98" s="107">
        <v>2018</v>
      </c>
      <c r="F98" s="107">
        <v>96</v>
      </c>
      <c r="G98" s="107" t="s">
        <v>334</v>
      </c>
      <c r="H98" s="107" t="s">
        <v>1366</v>
      </c>
      <c r="I98" s="107" t="s">
        <v>336</v>
      </c>
      <c r="J98" s="107" t="s">
        <v>17</v>
      </c>
      <c r="K98" s="107">
        <v>1087996780</v>
      </c>
      <c r="L98" s="107" t="s">
        <v>841</v>
      </c>
      <c r="M98" s="107" t="s">
        <v>8</v>
      </c>
      <c r="N98" s="107" t="s">
        <v>1290</v>
      </c>
      <c r="O98" s="107" t="s">
        <v>1367</v>
      </c>
      <c r="P98" s="107">
        <v>22461113</v>
      </c>
      <c r="Q98" s="108">
        <v>28068</v>
      </c>
      <c r="R98" s="107" t="s">
        <v>20</v>
      </c>
      <c r="S98" s="107" t="s">
        <v>1368</v>
      </c>
      <c r="T98" s="107" t="s">
        <v>1369</v>
      </c>
      <c r="U98" s="109">
        <v>3108011845</v>
      </c>
      <c r="V98" s="107" t="s">
        <v>261</v>
      </c>
      <c r="W98" s="131" t="s">
        <v>1370</v>
      </c>
      <c r="X98" s="102" t="s">
        <v>1290</v>
      </c>
      <c r="Y98" s="107" t="s">
        <v>1293</v>
      </c>
      <c r="Z98" s="110">
        <v>16000000</v>
      </c>
      <c r="AA98" s="109">
        <v>120</v>
      </c>
      <c r="AB98" s="109">
        <v>0</v>
      </c>
      <c r="AC98" s="107">
        <v>0</v>
      </c>
      <c r="AD98" s="111" t="s">
        <v>1669</v>
      </c>
      <c r="AE98" s="111" t="s">
        <v>345</v>
      </c>
      <c r="AF98" s="111" t="s">
        <v>346</v>
      </c>
      <c r="AG98" s="107" t="s">
        <v>373</v>
      </c>
      <c r="AH98" s="107" t="s">
        <v>1081</v>
      </c>
      <c r="AI98" s="231" t="s">
        <v>455</v>
      </c>
      <c r="AJ98" s="107" t="s">
        <v>1083</v>
      </c>
      <c r="AK98" s="107" t="s">
        <v>1290</v>
      </c>
      <c r="AL98" s="107" t="s">
        <v>132</v>
      </c>
      <c r="AM98" s="107" t="s">
        <v>1670</v>
      </c>
      <c r="AN98" s="107" t="s">
        <v>1671</v>
      </c>
      <c r="AO98" s="107" t="s">
        <v>1672</v>
      </c>
      <c r="AP98" s="107" t="s">
        <v>1673</v>
      </c>
      <c r="AQ98" s="107" t="s">
        <v>1674</v>
      </c>
      <c r="AR98" s="107" t="s">
        <v>1675</v>
      </c>
      <c r="AS98" s="107" t="s">
        <v>1676</v>
      </c>
      <c r="AT98" s="107" t="s">
        <v>1677</v>
      </c>
      <c r="AU98" s="107" t="s">
        <v>1678</v>
      </c>
      <c r="AV98" s="107"/>
      <c r="AW98" s="107"/>
      <c r="AX98" s="107"/>
      <c r="AY98" s="107"/>
      <c r="AZ98" s="107"/>
      <c r="BA98" s="107"/>
      <c r="BB98" s="107"/>
      <c r="BC98" s="107"/>
      <c r="BD98" s="107"/>
      <c r="BE98" s="107" t="s">
        <v>276</v>
      </c>
      <c r="BF98" s="107" t="s">
        <v>257</v>
      </c>
      <c r="BG98" s="160" t="s">
        <v>43</v>
      </c>
    </row>
    <row r="99" spans="1:59" ht="63" x14ac:dyDescent="0.25">
      <c r="A99" s="151" t="s">
        <v>1449</v>
      </c>
      <c r="B99" s="91">
        <v>448</v>
      </c>
      <c r="C99" s="91">
        <v>430</v>
      </c>
      <c r="D99" s="91" t="s">
        <v>363</v>
      </c>
      <c r="E99" s="91">
        <v>2018</v>
      </c>
      <c r="F99" s="91">
        <v>97</v>
      </c>
      <c r="G99" s="91" t="s">
        <v>334</v>
      </c>
      <c r="H99" s="91" t="s">
        <v>1371</v>
      </c>
      <c r="I99" s="91" t="s">
        <v>336</v>
      </c>
      <c r="J99" s="91" t="s">
        <v>17</v>
      </c>
      <c r="K99" s="91">
        <v>1087996780</v>
      </c>
      <c r="L99" s="91" t="s">
        <v>380</v>
      </c>
      <c r="M99" s="91" t="s">
        <v>265</v>
      </c>
      <c r="N99" s="91" t="s">
        <v>1450</v>
      </c>
      <c r="O99" s="91" t="s">
        <v>1451</v>
      </c>
      <c r="P99" s="91">
        <v>18512533</v>
      </c>
      <c r="Q99" s="92">
        <v>27567</v>
      </c>
      <c r="R99" s="91" t="s">
        <v>20</v>
      </c>
      <c r="S99" s="91">
        <v>0</v>
      </c>
      <c r="T99" s="91" t="s">
        <v>1452</v>
      </c>
      <c r="U99" s="93">
        <v>3395921</v>
      </c>
      <c r="V99" s="91">
        <v>0</v>
      </c>
      <c r="W99" s="136" t="s">
        <v>1453</v>
      </c>
      <c r="X99" s="94" t="s">
        <v>1454</v>
      </c>
      <c r="Y99" s="91" t="s">
        <v>1454</v>
      </c>
      <c r="Z99" s="95">
        <v>14113400</v>
      </c>
      <c r="AA99" s="93">
        <v>1</v>
      </c>
      <c r="AB99" s="93">
        <v>0</v>
      </c>
      <c r="AC99" s="91">
        <v>0</v>
      </c>
      <c r="AD99" s="96" t="s">
        <v>1455</v>
      </c>
      <c r="AE99" s="96" t="s">
        <v>345</v>
      </c>
      <c r="AF99" s="96">
        <v>0</v>
      </c>
      <c r="AG99" s="91">
        <v>0</v>
      </c>
      <c r="AH99" s="91">
        <v>0</v>
      </c>
      <c r="AI99" s="227">
        <v>33</v>
      </c>
      <c r="AJ99" s="91">
        <v>0</v>
      </c>
      <c r="AK99" s="91">
        <v>0</v>
      </c>
      <c r="AL99" s="91" t="s">
        <v>132</v>
      </c>
      <c r="AM99" s="91"/>
      <c r="AN99" s="91"/>
      <c r="AO99" s="91"/>
      <c r="AP99" s="91"/>
      <c r="AQ99" s="91"/>
      <c r="AR99" s="91"/>
      <c r="AS99" s="91"/>
      <c r="AT99" s="91"/>
      <c r="AU99" s="91"/>
      <c r="AV99" s="91"/>
      <c r="AW99" s="91"/>
      <c r="AX99" s="91"/>
      <c r="AY99" s="91"/>
      <c r="AZ99" s="91"/>
      <c r="BA99" s="91"/>
      <c r="BB99" s="91"/>
      <c r="BC99" s="91"/>
      <c r="BD99" s="91"/>
      <c r="BE99" s="91"/>
      <c r="BF99" s="91"/>
      <c r="BG99" s="161"/>
    </row>
    <row r="100" spans="1:59" ht="78.75" x14ac:dyDescent="0.25">
      <c r="A100" s="153" t="s">
        <v>1456</v>
      </c>
      <c r="B100" s="107">
        <v>451</v>
      </c>
      <c r="C100" s="107">
        <v>487</v>
      </c>
      <c r="D100" s="107" t="s">
        <v>363</v>
      </c>
      <c r="E100" s="107">
        <v>2018</v>
      </c>
      <c r="F100" s="107">
        <v>98</v>
      </c>
      <c r="G100" s="107" t="s">
        <v>334</v>
      </c>
      <c r="H100" s="107" t="s">
        <v>1372</v>
      </c>
      <c r="I100" s="107" t="s">
        <v>336</v>
      </c>
      <c r="J100" s="107" t="s">
        <v>17</v>
      </c>
      <c r="K100" s="107">
        <v>1087996780</v>
      </c>
      <c r="L100" s="107" t="s">
        <v>494</v>
      </c>
      <c r="M100" s="107" t="s">
        <v>264</v>
      </c>
      <c r="N100" s="107" t="s">
        <v>1454</v>
      </c>
      <c r="O100" s="107" t="s">
        <v>1457</v>
      </c>
      <c r="P100" s="107">
        <v>1088008662</v>
      </c>
      <c r="Q100" s="108">
        <v>33553</v>
      </c>
      <c r="R100" s="107" t="s">
        <v>20</v>
      </c>
      <c r="S100" s="107" t="s">
        <v>843</v>
      </c>
      <c r="T100" s="107" t="s">
        <v>1458</v>
      </c>
      <c r="U100" s="109">
        <v>3218906267</v>
      </c>
      <c r="V100" s="107" t="s">
        <v>261</v>
      </c>
      <c r="W100" s="131" t="s">
        <v>845</v>
      </c>
      <c r="X100" s="102" t="s">
        <v>1454</v>
      </c>
      <c r="Y100" s="107" t="s">
        <v>343</v>
      </c>
      <c r="Z100" s="110">
        <v>8119999</v>
      </c>
      <c r="AA100" s="109">
        <v>87</v>
      </c>
      <c r="AB100" s="109">
        <v>0</v>
      </c>
      <c r="AC100" s="107">
        <v>0</v>
      </c>
      <c r="AD100" s="111" t="s">
        <v>1459</v>
      </c>
      <c r="AE100" s="111" t="s">
        <v>345</v>
      </c>
      <c r="AF100" s="111" t="s">
        <v>346</v>
      </c>
      <c r="AG100" s="107" t="s">
        <v>347</v>
      </c>
      <c r="AH100" s="107" t="s">
        <v>374</v>
      </c>
      <c r="AI100" s="231">
        <v>62</v>
      </c>
      <c r="AJ100" s="107" t="s">
        <v>350</v>
      </c>
      <c r="AK100" s="107" t="s">
        <v>1454</v>
      </c>
      <c r="AL100" s="107" t="s">
        <v>263</v>
      </c>
      <c r="AM100" s="107" t="s">
        <v>1460</v>
      </c>
      <c r="AN100" s="107" t="s">
        <v>1461</v>
      </c>
      <c r="AO100" s="107" t="s">
        <v>1462</v>
      </c>
      <c r="AP100" s="107" t="s">
        <v>1463</v>
      </c>
      <c r="AQ100" s="107" t="s">
        <v>1464</v>
      </c>
      <c r="AR100" s="107" t="s">
        <v>1465</v>
      </c>
      <c r="AS100" s="107" t="s">
        <v>1466</v>
      </c>
      <c r="AT100" s="107" t="s">
        <v>1467</v>
      </c>
      <c r="AU100" s="107" t="s">
        <v>1468</v>
      </c>
      <c r="AV100" s="107"/>
      <c r="AW100" s="107"/>
      <c r="AX100" s="107"/>
      <c r="AY100" s="107"/>
      <c r="AZ100" s="107"/>
      <c r="BA100" s="107"/>
      <c r="BB100" s="107"/>
      <c r="BC100" s="107"/>
      <c r="BD100" s="107"/>
      <c r="BE100" s="107" t="s">
        <v>276</v>
      </c>
      <c r="BF100" s="107" t="s">
        <v>257</v>
      </c>
      <c r="BG100" s="162" t="s">
        <v>111</v>
      </c>
    </row>
    <row r="101" spans="1:59" ht="78.75" x14ac:dyDescent="0.25">
      <c r="A101" s="151" t="s">
        <v>1469</v>
      </c>
      <c r="B101" s="91">
        <v>452</v>
      </c>
      <c r="C101" s="91">
        <v>485</v>
      </c>
      <c r="D101" s="91" t="s">
        <v>363</v>
      </c>
      <c r="E101" s="91">
        <v>2018</v>
      </c>
      <c r="F101" s="91">
        <v>99</v>
      </c>
      <c r="G101" s="91" t="s">
        <v>334</v>
      </c>
      <c r="H101" s="91" t="s">
        <v>1373</v>
      </c>
      <c r="I101" s="91" t="s">
        <v>336</v>
      </c>
      <c r="J101" s="91" t="s">
        <v>17</v>
      </c>
      <c r="K101" s="91">
        <v>1087996780</v>
      </c>
      <c r="L101" s="91" t="s">
        <v>616</v>
      </c>
      <c r="M101" s="91" t="s">
        <v>17</v>
      </c>
      <c r="N101" s="91" t="s">
        <v>1454</v>
      </c>
      <c r="O101" s="91">
        <v>0</v>
      </c>
      <c r="P101" s="91">
        <v>1088273771</v>
      </c>
      <c r="Q101" s="92">
        <v>32813</v>
      </c>
      <c r="R101" s="91" t="s">
        <v>20</v>
      </c>
      <c r="S101" s="91" t="s">
        <v>366</v>
      </c>
      <c r="T101" s="91" t="s">
        <v>1470</v>
      </c>
      <c r="U101" s="93">
        <v>3321609</v>
      </c>
      <c r="V101" s="91" t="s">
        <v>269</v>
      </c>
      <c r="W101" s="136" t="s">
        <v>1471</v>
      </c>
      <c r="X101" s="94" t="s">
        <v>1454</v>
      </c>
      <c r="Y101" s="91" t="s">
        <v>343</v>
      </c>
      <c r="Z101" s="95">
        <v>7830000</v>
      </c>
      <c r="AA101" s="93">
        <v>87</v>
      </c>
      <c r="AB101" s="93">
        <v>0</v>
      </c>
      <c r="AC101" s="91">
        <v>0</v>
      </c>
      <c r="AD101" s="96" t="s">
        <v>1472</v>
      </c>
      <c r="AE101" s="96" t="s">
        <v>345</v>
      </c>
      <c r="AF101" s="96" t="s">
        <v>346</v>
      </c>
      <c r="AG101" s="91" t="s">
        <v>347</v>
      </c>
      <c r="AH101" s="91" t="s">
        <v>374</v>
      </c>
      <c r="AI101" s="227">
        <v>71</v>
      </c>
      <c r="AJ101" s="91" t="s">
        <v>350</v>
      </c>
      <c r="AK101" s="91" t="s">
        <v>1454</v>
      </c>
      <c r="AL101" s="91" t="s">
        <v>263</v>
      </c>
      <c r="AM101" s="91" t="s">
        <v>1473</v>
      </c>
      <c r="AN101" s="91" t="s">
        <v>1474</v>
      </c>
      <c r="AO101" s="91" t="s">
        <v>1475</v>
      </c>
      <c r="AP101" s="91" t="s">
        <v>1476</v>
      </c>
      <c r="AQ101" s="91" t="s">
        <v>1477</v>
      </c>
      <c r="AR101" s="91" t="s">
        <v>1478</v>
      </c>
      <c r="AS101" s="91" t="s">
        <v>1479</v>
      </c>
      <c r="AT101" s="91" t="s">
        <v>1480</v>
      </c>
      <c r="AU101" s="91"/>
      <c r="AV101" s="91"/>
      <c r="AW101" s="91"/>
      <c r="AX101" s="91"/>
      <c r="AY101" s="91"/>
      <c r="AZ101" s="91"/>
      <c r="BA101" s="91"/>
      <c r="BB101" s="91"/>
      <c r="BC101" s="91"/>
      <c r="BD101" s="91"/>
      <c r="BE101" s="91" t="s">
        <v>276</v>
      </c>
      <c r="BF101" s="91" t="s">
        <v>257</v>
      </c>
      <c r="BG101" s="161" t="s">
        <v>111</v>
      </c>
    </row>
    <row r="102" spans="1:59" ht="78.75" x14ac:dyDescent="0.25">
      <c r="A102" s="153" t="s">
        <v>1482</v>
      </c>
      <c r="B102" s="107">
        <v>461</v>
      </c>
      <c r="C102" s="107">
        <v>490</v>
      </c>
      <c r="D102" s="107" t="s">
        <v>451</v>
      </c>
      <c r="E102" s="107">
        <v>2018</v>
      </c>
      <c r="F102" s="107">
        <v>100</v>
      </c>
      <c r="G102" s="107" t="s">
        <v>334</v>
      </c>
      <c r="H102" s="107" t="s">
        <v>1374</v>
      </c>
      <c r="I102" s="107" t="s">
        <v>336</v>
      </c>
      <c r="J102" s="107" t="s">
        <v>17</v>
      </c>
      <c r="K102" s="107">
        <v>1087996780</v>
      </c>
      <c r="L102" s="107" t="s">
        <v>380</v>
      </c>
      <c r="M102" s="107" t="s">
        <v>264</v>
      </c>
      <c r="N102" s="107" t="s">
        <v>1454</v>
      </c>
      <c r="O102" s="107" t="s">
        <v>1483</v>
      </c>
      <c r="P102" s="107">
        <v>1088317709</v>
      </c>
      <c r="Q102" s="108">
        <v>34466</v>
      </c>
      <c r="R102" s="107" t="s">
        <v>20</v>
      </c>
      <c r="S102" s="107" t="s">
        <v>1503</v>
      </c>
      <c r="T102" s="107" t="s">
        <v>1484</v>
      </c>
      <c r="U102" s="109">
        <v>3187088425</v>
      </c>
      <c r="V102" s="107" t="s">
        <v>269</v>
      </c>
      <c r="W102" s="131" t="s">
        <v>1485</v>
      </c>
      <c r="X102" s="102" t="s">
        <v>1486</v>
      </c>
      <c r="Y102" s="107" t="s">
        <v>343</v>
      </c>
      <c r="Z102" s="110">
        <v>6306666</v>
      </c>
      <c r="AA102" s="109">
        <v>86</v>
      </c>
      <c r="AB102" s="109">
        <v>0</v>
      </c>
      <c r="AC102" s="107">
        <v>0</v>
      </c>
      <c r="AD102" s="111" t="s">
        <v>1487</v>
      </c>
      <c r="AE102" s="111" t="s">
        <v>345</v>
      </c>
      <c r="AF102" s="111" t="s">
        <v>346</v>
      </c>
      <c r="AG102" s="107" t="s">
        <v>350</v>
      </c>
      <c r="AH102" s="107" t="s">
        <v>374</v>
      </c>
      <c r="AI102" s="231">
        <v>9</v>
      </c>
      <c r="AJ102" s="107" t="s">
        <v>1488</v>
      </c>
      <c r="AK102" s="107" t="s">
        <v>1489</v>
      </c>
      <c r="AL102" s="107" t="s">
        <v>263</v>
      </c>
      <c r="AM102" s="107" t="s">
        <v>1490</v>
      </c>
      <c r="AN102" s="107" t="s">
        <v>1491</v>
      </c>
      <c r="AO102" s="107" t="s">
        <v>1492</v>
      </c>
      <c r="AP102" s="107" t="s">
        <v>1493</v>
      </c>
      <c r="AQ102" s="107" t="s">
        <v>1494</v>
      </c>
      <c r="AR102" s="107" t="s">
        <v>1495</v>
      </c>
      <c r="AS102" s="107" t="s">
        <v>1496</v>
      </c>
      <c r="AT102" s="107" t="s">
        <v>1497</v>
      </c>
      <c r="AU102" s="107"/>
      <c r="AV102" s="107"/>
      <c r="AW102" s="107"/>
      <c r="AX102" s="107"/>
      <c r="AY102" s="107"/>
      <c r="AZ102" s="107"/>
      <c r="BA102" s="107"/>
      <c r="BB102" s="107"/>
      <c r="BC102" s="107"/>
      <c r="BD102" s="107"/>
      <c r="BE102" s="107" t="s">
        <v>276</v>
      </c>
      <c r="BF102" s="107" t="s">
        <v>1498</v>
      </c>
      <c r="BG102" s="162" t="s">
        <v>43</v>
      </c>
    </row>
    <row r="103" spans="1:59" ht="78.75" x14ac:dyDescent="0.25">
      <c r="A103" s="151" t="s">
        <v>1499</v>
      </c>
      <c r="B103" s="91">
        <v>456</v>
      </c>
      <c r="C103" s="91">
        <v>486</v>
      </c>
      <c r="D103" s="91" t="s">
        <v>363</v>
      </c>
      <c r="E103" s="91">
        <v>2018</v>
      </c>
      <c r="F103" s="91">
        <v>101</v>
      </c>
      <c r="G103" s="91" t="s">
        <v>334</v>
      </c>
      <c r="H103" s="91" t="s">
        <v>1375</v>
      </c>
      <c r="I103" s="91" t="s">
        <v>336</v>
      </c>
      <c r="J103" s="91" t="s">
        <v>17</v>
      </c>
      <c r="K103" s="91">
        <v>1087996780</v>
      </c>
      <c r="L103" s="91" t="s">
        <v>494</v>
      </c>
      <c r="M103" s="91" t="s">
        <v>264</v>
      </c>
      <c r="N103" s="91" t="s">
        <v>1500</v>
      </c>
      <c r="O103" s="91" t="s">
        <v>1501</v>
      </c>
      <c r="P103" s="91">
        <v>42101225</v>
      </c>
      <c r="Q103" s="92">
        <v>25901</v>
      </c>
      <c r="R103" s="91" t="s">
        <v>20</v>
      </c>
      <c r="S103" s="91" t="s">
        <v>1502</v>
      </c>
      <c r="T103" s="91" t="s">
        <v>1504</v>
      </c>
      <c r="U103" s="93">
        <v>3216134234</v>
      </c>
      <c r="V103" s="91" t="s">
        <v>261</v>
      </c>
      <c r="W103" s="136" t="s">
        <v>853</v>
      </c>
      <c r="X103" s="94" t="s">
        <v>1500</v>
      </c>
      <c r="Y103" s="91" t="s">
        <v>1440</v>
      </c>
      <c r="Z103" s="95">
        <v>5533333</v>
      </c>
      <c r="AA103" s="93">
        <v>83</v>
      </c>
      <c r="AB103" s="93">
        <v>0</v>
      </c>
      <c r="AC103" s="91">
        <v>0</v>
      </c>
      <c r="AD103" s="96" t="s">
        <v>1505</v>
      </c>
      <c r="AE103" s="96" t="s">
        <v>345</v>
      </c>
      <c r="AF103" s="96" t="s">
        <v>346</v>
      </c>
      <c r="AG103" s="91" t="s">
        <v>1187</v>
      </c>
      <c r="AH103" s="91" t="s">
        <v>1081</v>
      </c>
      <c r="AI103" s="227">
        <v>25</v>
      </c>
      <c r="AJ103" s="91" t="s">
        <v>350</v>
      </c>
      <c r="AK103" s="91" t="s">
        <v>1506</v>
      </c>
      <c r="AL103" s="91" t="s">
        <v>263</v>
      </c>
      <c r="AM103" s="91" t="s">
        <v>1507</v>
      </c>
      <c r="AN103" s="91" t="s">
        <v>1508</v>
      </c>
      <c r="AO103" s="91" t="s">
        <v>1509</v>
      </c>
      <c r="AP103" s="91" t="s">
        <v>1510</v>
      </c>
      <c r="AQ103" s="91" t="s">
        <v>1511</v>
      </c>
      <c r="AR103" s="91" t="s">
        <v>1512</v>
      </c>
      <c r="AS103" s="91" t="s">
        <v>1513</v>
      </c>
      <c r="AT103" s="91" t="s">
        <v>1514</v>
      </c>
      <c r="AU103" s="91"/>
      <c r="AV103" s="91"/>
      <c r="AW103" s="91"/>
      <c r="AX103" s="91"/>
      <c r="AY103" s="91"/>
      <c r="AZ103" s="91"/>
      <c r="BA103" s="91"/>
      <c r="BB103" s="91"/>
      <c r="BC103" s="91"/>
      <c r="BD103" s="91"/>
      <c r="BE103" s="91" t="s">
        <v>276</v>
      </c>
      <c r="BF103" s="91" t="s">
        <v>1498</v>
      </c>
      <c r="BG103" s="161" t="s">
        <v>111</v>
      </c>
    </row>
    <row r="104" spans="1:59" ht="78.75" x14ac:dyDescent="0.25">
      <c r="A104" s="153" t="s">
        <v>1515</v>
      </c>
      <c r="B104" s="107">
        <v>460</v>
      </c>
      <c r="C104" s="107">
        <v>491</v>
      </c>
      <c r="D104" s="107" t="s">
        <v>1516</v>
      </c>
      <c r="E104" s="107">
        <v>2018</v>
      </c>
      <c r="F104" s="107">
        <v>102</v>
      </c>
      <c r="G104" s="107" t="s">
        <v>334</v>
      </c>
      <c r="H104" s="107" t="s">
        <v>1376</v>
      </c>
      <c r="I104" s="107" t="s">
        <v>336</v>
      </c>
      <c r="J104" s="107" t="s">
        <v>17</v>
      </c>
      <c r="K104" s="107">
        <v>1087996780</v>
      </c>
      <c r="L104" s="107" t="s">
        <v>380</v>
      </c>
      <c r="M104" s="107" t="s">
        <v>265</v>
      </c>
      <c r="N104" s="107" t="s">
        <v>1517</v>
      </c>
      <c r="O104" s="107" t="s">
        <v>1518</v>
      </c>
      <c r="P104" s="107">
        <v>42121553</v>
      </c>
      <c r="Q104" s="108">
        <v>27878</v>
      </c>
      <c r="R104" s="107" t="s">
        <v>20</v>
      </c>
      <c r="S104" s="107" t="s">
        <v>1067</v>
      </c>
      <c r="T104" s="107" t="s">
        <v>1519</v>
      </c>
      <c r="U104" s="109">
        <v>3113704157</v>
      </c>
      <c r="V104" s="107" t="s">
        <v>269</v>
      </c>
      <c r="W104" s="131" t="s">
        <v>1069</v>
      </c>
      <c r="X104" s="102" t="s">
        <v>1517</v>
      </c>
      <c r="Y104" s="107" t="s">
        <v>1520</v>
      </c>
      <c r="Z104" s="110">
        <v>8400000</v>
      </c>
      <c r="AA104" s="109">
        <v>72</v>
      </c>
      <c r="AB104" s="109">
        <v>0</v>
      </c>
      <c r="AC104" s="107">
        <v>0</v>
      </c>
      <c r="AD104" s="111" t="s">
        <v>1521</v>
      </c>
      <c r="AE104" s="96" t="s">
        <v>345</v>
      </c>
      <c r="AF104" s="96" t="s">
        <v>346</v>
      </c>
      <c r="AG104" s="107" t="s">
        <v>350</v>
      </c>
      <c r="AH104" s="107" t="s">
        <v>374</v>
      </c>
      <c r="AI104" s="231">
        <v>53</v>
      </c>
      <c r="AJ104" s="107" t="s">
        <v>350</v>
      </c>
      <c r="AK104" s="107" t="s">
        <v>1517</v>
      </c>
      <c r="AL104" s="107" t="s">
        <v>263</v>
      </c>
      <c r="AM104" s="107" t="s">
        <v>1522</v>
      </c>
      <c r="AN104" s="107" t="s">
        <v>1523</v>
      </c>
      <c r="AO104" s="107" t="s">
        <v>1524</v>
      </c>
      <c r="AP104" s="107" t="s">
        <v>1525</v>
      </c>
      <c r="AQ104" s="107" t="s">
        <v>1526</v>
      </c>
      <c r="AR104" s="107"/>
      <c r="AS104" s="107"/>
      <c r="AT104" s="107"/>
      <c r="AU104" s="107"/>
      <c r="AV104" s="107"/>
      <c r="AW104" s="107"/>
      <c r="AX104" s="107"/>
      <c r="AY104" s="107"/>
      <c r="AZ104" s="107"/>
      <c r="BA104" s="107"/>
      <c r="BB104" s="107"/>
      <c r="BC104" s="107"/>
      <c r="BD104" s="107"/>
      <c r="BE104" s="107" t="s">
        <v>276</v>
      </c>
      <c r="BF104" s="107" t="s">
        <v>257</v>
      </c>
      <c r="BG104" s="162" t="s">
        <v>1527</v>
      </c>
    </row>
    <row r="105" spans="1:59" ht="78.75" x14ac:dyDescent="0.25">
      <c r="A105" s="151" t="s">
        <v>1528</v>
      </c>
      <c r="B105" s="91">
        <v>462</v>
      </c>
      <c r="C105" s="91">
        <v>495</v>
      </c>
      <c r="D105" s="91" t="s">
        <v>363</v>
      </c>
      <c r="E105" s="91">
        <v>2018</v>
      </c>
      <c r="F105" s="91">
        <v>103</v>
      </c>
      <c r="G105" s="91" t="s">
        <v>334</v>
      </c>
      <c r="H105" s="91" t="s">
        <v>1377</v>
      </c>
      <c r="I105" s="91" t="s">
        <v>336</v>
      </c>
      <c r="J105" s="91" t="s">
        <v>17</v>
      </c>
      <c r="K105" s="91">
        <v>1087996780</v>
      </c>
      <c r="L105" s="91" t="s">
        <v>514</v>
      </c>
      <c r="M105" s="91" t="s">
        <v>266</v>
      </c>
      <c r="N105" s="91" t="s">
        <v>1517</v>
      </c>
      <c r="O105" s="91" t="s">
        <v>1529</v>
      </c>
      <c r="P105" s="91">
        <v>4263842</v>
      </c>
      <c r="Q105" s="92">
        <v>31176</v>
      </c>
      <c r="R105" s="91" t="s">
        <v>20</v>
      </c>
      <c r="S105" s="91" t="s">
        <v>535</v>
      </c>
      <c r="T105" s="91" t="s">
        <v>1530</v>
      </c>
      <c r="U105" s="93">
        <v>3137076841</v>
      </c>
      <c r="V105" s="91" t="s">
        <v>261</v>
      </c>
      <c r="W105" s="136" t="s">
        <v>1137</v>
      </c>
      <c r="X105" s="94" t="s">
        <v>1531</v>
      </c>
      <c r="Y105" s="91" t="s">
        <v>343</v>
      </c>
      <c r="Z105" s="95">
        <v>3555000</v>
      </c>
      <c r="AA105" s="93">
        <v>79</v>
      </c>
      <c r="AB105" s="93">
        <v>0</v>
      </c>
      <c r="AC105" s="91">
        <v>0</v>
      </c>
      <c r="AD105" s="96"/>
      <c r="AE105" s="96" t="s">
        <v>345</v>
      </c>
      <c r="AF105" s="96" t="s">
        <v>346</v>
      </c>
      <c r="AG105" s="91" t="s">
        <v>347</v>
      </c>
      <c r="AH105" s="91" t="s">
        <v>374</v>
      </c>
      <c r="AI105" s="227">
        <v>42</v>
      </c>
      <c r="AJ105" s="91" t="s">
        <v>350</v>
      </c>
      <c r="AK105" s="91" t="s">
        <v>1517</v>
      </c>
      <c r="AL105" s="91" t="s">
        <v>263</v>
      </c>
      <c r="AM105" s="91"/>
      <c r="AN105" s="91"/>
      <c r="AO105" s="91"/>
      <c r="AP105" s="91"/>
      <c r="AQ105" s="91"/>
      <c r="AR105" s="91"/>
      <c r="AS105" s="91"/>
      <c r="AT105" s="91"/>
      <c r="AU105" s="91"/>
      <c r="AV105" s="91"/>
      <c r="AW105" s="91"/>
      <c r="AX105" s="91"/>
      <c r="AY105" s="91"/>
      <c r="AZ105" s="91"/>
      <c r="BA105" s="91"/>
      <c r="BB105" s="91"/>
      <c r="BC105" s="91"/>
      <c r="BD105" s="91"/>
      <c r="BE105" s="91" t="s">
        <v>276</v>
      </c>
      <c r="BF105" s="91" t="s">
        <v>1498</v>
      </c>
      <c r="BG105" s="161" t="s">
        <v>111</v>
      </c>
    </row>
    <row r="106" spans="1:59" ht="63" x14ac:dyDescent="0.25">
      <c r="A106" s="153" t="s">
        <v>1589</v>
      </c>
      <c r="B106" s="107">
        <v>469</v>
      </c>
      <c r="C106" s="107">
        <v>482</v>
      </c>
      <c r="D106" s="107" t="s">
        <v>1590</v>
      </c>
      <c r="E106" s="107">
        <v>2018</v>
      </c>
      <c r="F106" s="107">
        <v>104</v>
      </c>
      <c r="G106" s="107" t="s">
        <v>334</v>
      </c>
      <c r="H106" s="107" t="s">
        <v>1378</v>
      </c>
      <c r="I106" s="107" t="s">
        <v>336</v>
      </c>
      <c r="J106" s="107" t="s">
        <v>17</v>
      </c>
      <c r="K106" s="107">
        <v>1087996780</v>
      </c>
      <c r="L106" s="107" t="s">
        <v>380</v>
      </c>
      <c r="M106" s="107" t="s">
        <v>265</v>
      </c>
      <c r="N106" s="107" t="s">
        <v>1591</v>
      </c>
      <c r="O106" s="107" t="s">
        <v>1592</v>
      </c>
      <c r="P106" s="107">
        <v>900354843</v>
      </c>
      <c r="Q106" s="108">
        <v>42943</v>
      </c>
      <c r="R106" s="107" t="s">
        <v>260</v>
      </c>
      <c r="S106" s="107">
        <v>0</v>
      </c>
      <c r="T106" s="107" t="s">
        <v>1593</v>
      </c>
      <c r="U106" s="109">
        <v>3104057197</v>
      </c>
      <c r="V106" s="107">
        <v>0</v>
      </c>
      <c r="W106" s="131" t="s">
        <v>1597</v>
      </c>
      <c r="X106" s="102" t="s">
        <v>1423</v>
      </c>
      <c r="Y106" s="107" t="s">
        <v>902</v>
      </c>
      <c r="Z106" s="110">
        <v>3867500</v>
      </c>
      <c r="AA106" s="109">
        <v>15</v>
      </c>
      <c r="AB106" s="109">
        <v>0</v>
      </c>
      <c r="AC106" s="107">
        <v>0</v>
      </c>
      <c r="AD106" s="111" t="s">
        <v>1594</v>
      </c>
      <c r="AE106" s="111" t="s">
        <v>1595</v>
      </c>
      <c r="AF106" s="111">
        <v>0</v>
      </c>
      <c r="AG106" s="107">
        <v>0</v>
      </c>
      <c r="AH106" s="107">
        <v>0</v>
      </c>
      <c r="AI106" s="231">
        <v>0</v>
      </c>
      <c r="AJ106" s="107">
        <v>0</v>
      </c>
      <c r="AK106" s="107" t="s">
        <v>1423</v>
      </c>
      <c r="AL106" s="107" t="s">
        <v>132</v>
      </c>
      <c r="AM106" s="107"/>
      <c r="AN106" s="107"/>
      <c r="AO106" s="107"/>
      <c r="AP106" s="107"/>
      <c r="AQ106" s="107"/>
      <c r="AR106" s="107"/>
      <c r="AS106" s="107"/>
      <c r="AT106" s="107"/>
      <c r="AU106" s="107"/>
      <c r="AV106" s="107"/>
      <c r="AW106" s="107"/>
      <c r="AX106" s="107"/>
      <c r="AY106" s="107"/>
      <c r="AZ106" s="107"/>
      <c r="BA106" s="107"/>
      <c r="BB106" s="107"/>
      <c r="BC106" s="107"/>
      <c r="BD106" s="107"/>
      <c r="BE106" s="107" t="s">
        <v>277</v>
      </c>
      <c r="BF106" s="107" t="s">
        <v>1596</v>
      </c>
      <c r="BG106" s="162">
        <v>0</v>
      </c>
    </row>
    <row r="107" spans="1:59" ht="78.75" x14ac:dyDescent="0.25">
      <c r="A107" s="151" t="s">
        <v>1532</v>
      </c>
      <c r="B107" s="91">
        <v>466</v>
      </c>
      <c r="C107" s="91">
        <v>499</v>
      </c>
      <c r="D107" s="91" t="s">
        <v>363</v>
      </c>
      <c r="E107" s="91">
        <v>2018</v>
      </c>
      <c r="F107" s="91">
        <v>105</v>
      </c>
      <c r="G107" s="91" t="s">
        <v>334</v>
      </c>
      <c r="H107" s="91" t="s">
        <v>1379</v>
      </c>
      <c r="I107" s="91" t="s">
        <v>336</v>
      </c>
      <c r="J107" s="91" t="s">
        <v>17</v>
      </c>
      <c r="K107" s="91">
        <v>1087996780</v>
      </c>
      <c r="L107" s="91" t="s">
        <v>380</v>
      </c>
      <c r="M107" s="91" t="s">
        <v>265</v>
      </c>
      <c r="N107" s="91" t="s">
        <v>1423</v>
      </c>
      <c r="O107" s="91" t="s">
        <v>1533</v>
      </c>
      <c r="P107" s="91">
        <v>10126214</v>
      </c>
      <c r="Q107" s="92">
        <v>23802</v>
      </c>
      <c r="R107" s="91" t="s">
        <v>20</v>
      </c>
      <c r="S107" s="91" t="s">
        <v>1534</v>
      </c>
      <c r="T107" s="91" t="s">
        <v>1535</v>
      </c>
      <c r="U107" s="93">
        <v>3117663746</v>
      </c>
      <c r="V107" s="91" t="s">
        <v>261</v>
      </c>
      <c r="W107" s="136" t="s">
        <v>889</v>
      </c>
      <c r="X107" s="94" t="s">
        <v>1423</v>
      </c>
      <c r="Y107" s="91" t="s">
        <v>343</v>
      </c>
      <c r="Z107" s="95">
        <v>3750000</v>
      </c>
      <c r="AA107" s="93">
        <v>75</v>
      </c>
      <c r="AB107" s="93">
        <v>0</v>
      </c>
      <c r="AC107" s="91">
        <v>0</v>
      </c>
      <c r="AD107" s="96" t="s">
        <v>1536</v>
      </c>
      <c r="AE107" s="96" t="s">
        <v>345</v>
      </c>
      <c r="AF107" s="96" t="s">
        <v>346</v>
      </c>
      <c r="AG107" s="91" t="s">
        <v>1187</v>
      </c>
      <c r="AH107" s="91" t="s">
        <v>1081</v>
      </c>
      <c r="AI107" s="227">
        <v>14</v>
      </c>
      <c r="AJ107" s="91" t="s">
        <v>350</v>
      </c>
      <c r="AK107" s="91" t="s">
        <v>1423</v>
      </c>
      <c r="AL107" s="91" t="s">
        <v>263</v>
      </c>
      <c r="AM107" s="91" t="s">
        <v>1537</v>
      </c>
      <c r="AN107" s="91" t="s">
        <v>1538</v>
      </c>
      <c r="AO107" s="91" t="s">
        <v>1539</v>
      </c>
      <c r="AP107" s="91" t="s">
        <v>1540</v>
      </c>
      <c r="AQ107" s="91" t="s">
        <v>1541</v>
      </c>
      <c r="AR107" s="91" t="s">
        <v>1542</v>
      </c>
      <c r="AS107" s="91" t="s">
        <v>1543</v>
      </c>
      <c r="AT107" s="91" t="s">
        <v>1435</v>
      </c>
      <c r="AU107" s="91" t="s">
        <v>1544</v>
      </c>
      <c r="AV107" s="91"/>
      <c r="AW107" s="91"/>
      <c r="AX107" s="91"/>
      <c r="AY107" s="91"/>
      <c r="AZ107" s="91"/>
      <c r="BA107" s="91"/>
      <c r="BB107" s="91"/>
      <c r="BC107" s="91"/>
      <c r="BD107" s="91"/>
      <c r="BE107" s="91" t="s">
        <v>276</v>
      </c>
      <c r="BF107" s="91" t="s">
        <v>281</v>
      </c>
      <c r="BG107" s="161" t="s">
        <v>111</v>
      </c>
    </row>
    <row r="108" spans="1:59" ht="78.75" x14ac:dyDescent="0.25">
      <c r="A108" s="153" t="s">
        <v>1437</v>
      </c>
      <c r="B108" s="107">
        <v>465</v>
      </c>
      <c r="C108" s="107">
        <v>498</v>
      </c>
      <c r="D108" s="107" t="s">
        <v>363</v>
      </c>
      <c r="E108" s="107">
        <v>2018</v>
      </c>
      <c r="F108" s="107">
        <v>106</v>
      </c>
      <c r="G108" s="107" t="s">
        <v>334</v>
      </c>
      <c r="H108" s="107" t="s">
        <v>1380</v>
      </c>
      <c r="I108" s="107" t="s">
        <v>336</v>
      </c>
      <c r="J108" s="107" t="s">
        <v>17</v>
      </c>
      <c r="K108" s="107">
        <v>1087996780</v>
      </c>
      <c r="L108" s="107" t="s">
        <v>514</v>
      </c>
      <c r="M108" s="107" t="s">
        <v>266</v>
      </c>
      <c r="N108" s="107" t="s">
        <v>1423</v>
      </c>
      <c r="O108" s="107" t="s">
        <v>1438</v>
      </c>
      <c r="P108" s="107">
        <v>42004550</v>
      </c>
      <c r="Q108" s="108">
        <v>23974</v>
      </c>
      <c r="R108" s="107" t="s">
        <v>20</v>
      </c>
      <c r="S108" s="107" t="s">
        <v>535</v>
      </c>
      <c r="T108" s="107" t="s">
        <v>1439</v>
      </c>
      <c r="U108" s="109">
        <v>3116282947</v>
      </c>
      <c r="V108" s="107" t="s">
        <v>261</v>
      </c>
      <c r="W108" s="131" t="s">
        <v>720</v>
      </c>
      <c r="X108" s="102" t="s">
        <v>1423</v>
      </c>
      <c r="Y108" s="107" t="s">
        <v>1440</v>
      </c>
      <c r="Z108" s="110">
        <v>3375000</v>
      </c>
      <c r="AA108" s="109">
        <v>75</v>
      </c>
      <c r="AB108" s="109">
        <v>0</v>
      </c>
      <c r="AC108" s="107" t="s">
        <v>371</v>
      </c>
      <c r="AD108" s="111" t="s">
        <v>1441</v>
      </c>
      <c r="AE108" s="111" t="s">
        <v>345</v>
      </c>
      <c r="AF108" s="111" t="s">
        <v>346</v>
      </c>
      <c r="AG108" s="107" t="s">
        <v>1187</v>
      </c>
      <c r="AH108" s="107" t="s">
        <v>348</v>
      </c>
      <c r="AI108" s="231">
        <v>50</v>
      </c>
      <c r="AJ108" s="107" t="s">
        <v>350</v>
      </c>
      <c r="AK108" s="107" t="s">
        <v>1423</v>
      </c>
      <c r="AL108" s="107" t="s">
        <v>263</v>
      </c>
      <c r="AM108" s="107" t="s">
        <v>1442</v>
      </c>
      <c r="AN108" s="107" t="s">
        <v>1443</v>
      </c>
      <c r="AO108" s="107" t="s">
        <v>1444</v>
      </c>
      <c r="AP108" s="107" t="s">
        <v>1445</v>
      </c>
      <c r="AQ108" s="107" t="s">
        <v>1446</v>
      </c>
      <c r="AR108" s="107" t="s">
        <v>1447</v>
      </c>
      <c r="AS108" s="107" t="s">
        <v>1448</v>
      </c>
      <c r="AT108" s="107"/>
      <c r="AU108" s="107"/>
      <c r="AV108" s="107"/>
      <c r="AW108" s="107"/>
      <c r="AX108" s="107"/>
      <c r="AY108" s="107"/>
      <c r="AZ108" s="107"/>
      <c r="BA108" s="107"/>
      <c r="BB108" s="107"/>
      <c r="BC108" s="107"/>
      <c r="BD108" s="107"/>
      <c r="BE108" s="107" t="s">
        <v>276</v>
      </c>
      <c r="BF108" s="107" t="s">
        <v>281</v>
      </c>
      <c r="BG108" s="162" t="s">
        <v>111</v>
      </c>
    </row>
    <row r="109" spans="1:59" ht="78.75" x14ac:dyDescent="0.25">
      <c r="A109" s="157" t="s">
        <v>1545</v>
      </c>
      <c r="B109" s="142">
        <v>464</v>
      </c>
      <c r="C109" s="142">
        <v>497</v>
      </c>
      <c r="D109" s="142" t="s">
        <v>363</v>
      </c>
      <c r="E109" s="142">
        <v>2018</v>
      </c>
      <c r="F109" s="91">
        <v>107</v>
      </c>
      <c r="G109" s="142" t="s">
        <v>334</v>
      </c>
      <c r="H109" s="142" t="s">
        <v>1380</v>
      </c>
      <c r="I109" s="142" t="s">
        <v>336</v>
      </c>
      <c r="J109" s="142" t="s">
        <v>17</v>
      </c>
      <c r="K109" s="142">
        <v>1087996780</v>
      </c>
      <c r="L109" s="142" t="s">
        <v>380</v>
      </c>
      <c r="M109" s="142" t="s">
        <v>265</v>
      </c>
      <c r="N109" s="142" t="s">
        <v>1423</v>
      </c>
      <c r="O109" s="142" t="s">
        <v>1546</v>
      </c>
      <c r="P109" s="142">
        <v>251059640</v>
      </c>
      <c r="Q109" s="280">
        <v>23408</v>
      </c>
      <c r="R109" s="250" t="s">
        <v>20</v>
      </c>
      <c r="S109" s="142" t="s">
        <v>1547</v>
      </c>
      <c r="T109" s="142" t="s">
        <v>1548</v>
      </c>
      <c r="U109" s="143">
        <v>3148108499</v>
      </c>
      <c r="V109" s="142" t="s">
        <v>261</v>
      </c>
      <c r="W109" s="281" t="s">
        <v>744</v>
      </c>
      <c r="X109" s="94" t="s">
        <v>1423</v>
      </c>
      <c r="Y109" s="142" t="s">
        <v>343</v>
      </c>
      <c r="Z109" s="142">
        <v>4250000</v>
      </c>
      <c r="AA109" s="143">
        <v>75</v>
      </c>
      <c r="AB109" s="142">
        <v>0</v>
      </c>
      <c r="AC109" s="144">
        <v>0</v>
      </c>
      <c r="AD109" s="144" t="s">
        <v>1549</v>
      </c>
      <c r="AE109" s="144" t="s">
        <v>345</v>
      </c>
      <c r="AF109" s="142" t="s">
        <v>346</v>
      </c>
      <c r="AG109" s="142" t="s">
        <v>417</v>
      </c>
      <c r="AH109" s="142" t="s">
        <v>1081</v>
      </c>
      <c r="AI109" s="143">
        <v>40</v>
      </c>
      <c r="AJ109" s="142" t="s">
        <v>350</v>
      </c>
      <c r="AK109" s="142" t="s">
        <v>1423</v>
      </c>
      <c r="AL109" s="142" t="s">
        <v>263</v>
      </c>
      <c r="AM109" s="142" t="s">
        <v>1550</v>
      </c>
      <c r="AN109" s="142" t="s">
        <v>1551</v>
      </c>
      <c r="AO109" s="142" t="s">
        <v>1552</v>
      </c>
      <c r="AP109" s="142" t="s">
        <v>1553</v>
      </c>
      <c r="AQ109" s="142" t="s">
        <v>1554</v>
      </c>
      <c r="AR109" s="142"/>
      <c r="AS109" s="142"/>
      <c r="AT109" s="142"/>
      <c r="AU109" s="142"/>
      <c r="AV109" s="142"/>
      <c r="AW109" s="142"/>
      <c r="AX109" s="142"/>
      <c r="AY109" s="142"/>
      <c r="AZ109" s="142"/>
      <c r="BA109" s="142"/>
      <c r="BB109" s="142"/>
      <c r="BC109" s="142"/>
      <c r="BD109" s="142"/>
      <c r="BE109" s="142" t="s">
        <v>276</v>
      </c>
      <c r="BF109" s="142" t="s">
        <v>281</v>
      </c>
      <c r="BG109" s="161" t="s">
        <v>1527</v>
      </c>
    </row>
    <row r="110" spans="1:59" ht="78.75" x14ac:dyDescent="0.25">
      <c r="A110" s="158" t="s">
        <v>1422</v>
      </c>
      <c r="B110" s="139">
        <v>467</v>
      </c>
      <c r="C110" s="139">
        <v>500</v>
      </c>
      <c r="D110" s="139" t="s">
        <v>363</v>
      </c>
      <c r="E110" s="139">
        <v>2018</v>
      </c>
      <c r="F110" s="107">
        <v>108</v>
      </c>
      <c r="G110" s="139" t="s">
        <v>334</v>
      </c>
      <c r="H110" s="139" t="s">
        <v>1380</v>
      </c>
      <c r="I110" s="139" t="s">
        <v>336</v>
      </c>
      <c r="J110" s="139" t="s">
        <v>17</v>
      </c>
      <c r="K110" s="139">
        <v>1087996780</v>
      </c>
      <c r="L110" s="139" t="s">
        <v>514</v>
      </c>
      <c r="M110" s="139" t="s">
        <v>266</v>
      </c>
      <c r="N110" s="139" t="s">
        <v>1423</v>
      </c>
      <c r="O110" s="139" t="s">
        <v>1424</v>
      </c>
      <c r="P110" s="139">
        <v>1087994742</v>
      </c>
      <c r="Q110" s="275">
        <v>32260</v>
      </c>
      <c r="R110" s="251" t="s">
        <v>20</v>
      </c>
      <c r="S110" s="139" t="s">
        <v>535</v>
      </c>
      <c r="T110" s="139" t="s">
        <v>1425</v>
      </c>
      <c r="U110" s="145">
        <v>3132780767</v>
      </c>
      <c r="V110" s="139" t="s">
        <v>261</v>
      </c>
      <c r="W110" s="276" t="s">
        <v>1426</v>
      </c>
      <c r="X110" s="102" t="s">
        <v>1423</v>
      </c>
      <c r="Y110" s="139" t="s">
        <v>1427</v>
      </c>
      <c r="Z110" s="139">
        <v>3375000</v>
      </c>
      <c r="AA110" s="145">
        <v>75</v>
      </c>
      <c r="AB110" s="139">
        <v>0</v>
      </c>
      <c r="AC110" s="146" t="s">
        <v>371</v>
      </c>
      <c r="AD110" s="146" t="s">
        <v>1421</v>
      </c>
      <c r="AE110" s="146" t="s">
        <v>345</v>
      </c>
      <c r="AF110" s="139" t="s">
        <v>346</v>
      </c>
      <c r="AG110" s="139" t="s">
        <v>417</v>
      </c>
      <c r="AH110" s="139" t="s">
        <v>374</v>
      </c>
      <c r="AI110" s="145">
        <v>42</v>
      </c>
      <c r="AJ110" s="139" t="s">
        <v>350</v>
      </c>
      <c r="AK110" s="139" t="s">
        <v>1423</v>
      </c>
      <c r="AL110" s="139" t="s">
        <v>263</v>
      </c>
      <c r="AM110" s="139" t="s">
        <v>1428</v>
      </c>
      <c r="AN110" s="139" t="s">
        <v>1429</v>
      </c>
      <c r="AO110" s="139" t="s">
        <v>1430</v>
      </c>
      <c r="AP110" s="139" t="s">
        <v>1431</v>
      </c>
      <c r="AQ110" s="139" t="s">
        <v>1432</v>
      </c>
      <c r="AR110" s="139" t="s">
        <v>1433</v>
      </c>
      <c r="AS110" s="139" t="s">
        <v>1434</v>
      </c>
      <c r="AT110" s="139" t="s">
        <v>1435</v>
      </c>
      <c r="AU110" s="139" t="s">
        <v>1436</v>
      </c>
      <c r="AV110" s="139"/>
      <c r="AW110" s="139"/>
      <c r="AX110" s="139"/>
      <c r="AY110" s="139"/>
      <c r="AZ110" s="139"/>
      <c r="BA110" s="139"/>
      <c r="BB110" s="139"/>
      <c r="BC110" s="139"/>
      <c r="BD110" s="139"/>
      <c r="BE110" s="139" t="s">
        <v>276</v>
      </c>
      <c r="BF110" s="139" t="s">
        <v>281</v>
      </c>
      <c r="BG110" s="162" t="s">
        <v>111</v>
      </c>
    </row>
    <row r="111" spans="1:59" ht="78.75" x14ac:dyDescent="0.25">
      <c r="A111" s="157" t="s">
        <v>1555</v>
      </c>
      <c r="B111" s="142">
        <v>471</v>
      </c>
      <c r="C111" s="142">
        <v>457</v>
      </c>
      <c r="D111" s="142" t="s">
        <v>451</v>
      </c>
      <c r="E111" s="142">
        <v>2018</v>
      </c>
      <c r="F111" s="91">
        <v>109</v>
      </c>
      <c r="G111" s="142" t="s">
        <v>334</v>
      </c>
      <c r="H111" s="142" t="s">
        <v>1380</v>
      </c>
      <c r="I111" s="142" t="s">
        <v>336</v>
      </c>
      <c r="J111" s="142" t="s">
        <v>17</v>
      </c>
      <c r="K111" s="142">
        <v>1087996780</v>
      </c>
      <c r="L111" s="142" t="s">
        <v>380</v>
      </c>
      <c r="M111" s="142" t="s">
        <v>265</v>
      </c>
      <c r="N111" s="142" t="s">
        <v>1556</v>
      </c>
      <c r="O111" s="142" t="s">
        <v>1557</v>
      </c>
      <c r="P111" s="142">
        <v>4429865</v>
      </c>
      <c r="Q111" s="142">
        <v>19821</v>
      </c>
      <c r="R111" s="250" t="s">
        <v>20</v>
      </c>
      <c r="S111" s="142" t="s">
        <v>1558</v>
      </c>
      <c r="T111" s="142" t="s">
        <v>1559</v>
      </c>
      <c r="U111" s="143">
        <v>3116307958</v>
      </c>
      <c r="V111" s="142" t="s">
        <v>269</v>
      </c>
      <c r="W111" s="142" t="s">
        <v>1560</v>
      </c>
      <c r="X111" s="94" t="s">
        <v>1556</v>
      </c>
      <c r="Y111" s="142" t="s">
        <v>440</v>
      </c>
      <c r="Z111" s="142">
        <v>3000000</v>
      </c>
      <c r="AA111" s="143">
        <v>72</v>
      </c>
      <c r="AB111" s="142">
        <v>0</v>
      </c>
      <c r="AC111" s="144" t="s">
        <v>371</v>
      </c>
      <c r="AD111" s="144" t="s">
        <v>1561</v>
      </c>
      <c r="AE111" s="144" t="s">
        <v>345</v>
      </c>
      <c r="AF111" s="142" t="s">
        <v>346</v>
      </c>
      <c r="AG111" s="142" t="s">
        <v>350</v>
      </c>
      <c r="AH111" s="142" t="s">
        <v>1562</v>
      </c>
      <c r="AI111" s="143">
        <v>65</v>
      </c>
      <c r="AJ111" s="142" t="s">
        <v>350</v>
      </c>
      <c r="AK111" s="142" t="s">
        <v>1563</v>
      </c>
      <c r="AL111" s="142" t="s">
        <v>263</v>
      </c>
      <c r="AM111" s="142" t="s">
        <v>1564</v>
      </c>
      <c r="AN111" s="142" t="s">
        <v>1565</v>
      </c>
      <c r="AO111" s="142"/>
      <c r="AP111" s="142"/>
      <c r="AQ111" s="142"/>
      <c r="AR111" s="142"/>
      <c r="AS111" s="142"/>
      <c r="AT111" s="142"/>
      <c r="AU111" s="142"/>
      <c r="AV111" s="142"/>
      <c r="AW111" s="142"/>
      <c r="AX111" s="142"/>
      <c r="AY111" s="142"/>
      <c r="AZ111" s="142"/>
      <c r="BA111" s="142"/>
      <c r="BB111" s="142"/>
      <c r="BC111" s="142"/>
      <c r="BD111" s="142"/>
      <c r="BE111" s="142" t="s">
        <v>276</v>
      </c>
      <c r="BF111" s="142" t="s">
        <v>281</v>
      </c>
      <c r="BG111" s="161" t="s">
        <v>43</v>
      </c>
    </row>
    <row r="112" spans="1:59" ht="78.75" x14ac:dyDescent="0.25">
      <c r="A112" s="158" t="s">
        <v>1566</v>
      </c>
      <c r="B112" s="139">
        <v>474</v>
      </c>
      <c r="C112" s="139">
        <v>504</v>
      </c>
      <c r="D112" s="139" t="s">
        <v>363</v>
      </c>
      <c r="E112" s="139">
        <v>2018</v>
      </c>
      <c r="F112" s="107">
        <v>110</v>
      </c>
      <c r="G112" s="139" t="s">
        <v>334</v>
      </c>
      <c r="H112" s="139" t="s">
        <v>1380</v>
      </c>
      <c r="I112" s="139" t="s">
        <v>336</v>
      </c>
      <c r="J112" s="139" t="s">
        <v>17</v>
      </c>
      <c r="K112" s="139">
        <v>1087996780</v>
      </c>
      <c r="L112" s="139" t="s">
        <v>380</v>
      </c>
      <c r="M112" s="139" t="s">
        <v>265</v>
      </c>
      <c r="N112" s="139" t="s">
        <v>1567</v>
      </c>
      <c r="O112" s="139" t="s">
        <v>1568</v>
      </c>
      <c r="P112" s="139">
        <v>1088319065</v>
      </c>
      <c r="Q112" s="139">
        <v>34529</v>
      </c>
      <c r="R112" s="251" t="s">
        <v>20</v>
      </c>
      <c r="S112" s="139" t="s">
        <v>606</v>
      </c>
      <c r="T112" s="139" t="s">
        <v>1569</v>
      </c>
      <c r="U112" s="145">
        <v>3138691861</v>
      </c>
      <c r="V112" s="139" t="s">
        <v>269</v>
      </c>
      <c r="W112" s="139" t="s">
        <v>1570</v>
      </c>
      <c r="X112" s="102" t="s">
        <v>1571</v>
      </c>
      <c r="Y112" s="139" t="s">
        <v>440</v>
      </c>
      <c r="Z112" s="139">
        <v>3060000</v>
      </c>
      <c r="AA112" s="145">
        <v>68</v>
      </c>
      <c r="AB112" s="139">
        <v>0</v>
      </c>
      <c r="AC112" s="146">
        <v>0</v>
      </c>
      <c r="AD112" s="146" t="s">
        <v>1572</v>
      </c>
      <c r="AE112" s="146" t="s">
        <v>345</v>
      </c>
      <c r="AF112" s="139" t="s">
        <v>346</v>
      </c>
      <c r="AG112" s="139" t="s">
        <v>417</v>
      </c>
      <c r="AH112" s="139" t="s">
        <v>418</v>
      </c>
      <c r="AI112" s="145">
        <v>65</v>
      </c>
      <c r="AJ112" s="139" t="s">
        <v>350</v>
      </c>
      <c r="AK112" s="139" t="s">
        <v>1567</v>
      </c>
      <c r="AL112" s="139" t="s">
        <v>263</v>
      </c>
      <c r="AM112" s="139" t="s">
        <v>1573</v>
      </c>
      <c r="AN112" s="139" t="s">
        <v>1574</v>
      </c>
      <c r="AO112" s="139" t="s">
        <v>1575</v>
      </c>
      <c r="AP112" s="139" t="s">
        <v>1576</v>
      </c>
      <c r="AQ112" s="139" t="s">
        <v>1577</v>
      </c>
      <c r="AR112" s="139"/>
      <c r="AS112" s="139"/>
      <c r="AT112" s="139"/>
      <c r="AU112" s="139"/>
      <c r="AV112" s="139"/>
      <c r="AW112" s="139"/>
      <c r="AX112" s="139"/>
      <c r="AY112" s="139"/>
      <c r="AZ112" s="139"/>
      <c r="BA112" s="139"/>
      <c r="BB112" s="139"/>
      <c r="BC112" s="139"/>
      <c r="BD112" s="139"/>
      <c r="BE112" s="139" t="s">
        <v>276</v>
      </c>
      <c r="BF112" s="139" t="s">
        <v>281</v>
      </c>
      <c r="BG112" s="162" t="s">
        <v>43</v>
      </c>
    </row>
    <row r="113" spans="1:59" ht="78.75" x14ac:dyDescent="0.25">
      <c r="A113" s="157" t="s">
        <v>1578</v>
      </c>
      <c r="B113" s="142">
        <v>475</v>
      </c>
      <c r="C113" s="142">
        <v>505</v>
      </c>
      <c r="D113" s="142" t="s">
        <v>363</v>
      </c>
      <c r="E113" s="142">
        <v>2018</v>
      </c>
      <c r="F113" s="91">
        <v>111</v>
      </c>
      <c r="G113" s="142" t="s">
        <v>334</v>
      </c>
      <c r="H113" s="142" t="s">
        <v>1380</v>
      </c>
      <c r="I113" s="142" t="s">
        <v>336</v>
      </c>
      <c r="J113" s="142" t="s">
        <v>17</v>
      </c>
      <c r="K113" s="142">
        <v>1087996780</v>
      </c>
      <c r="L113" s="142" t="s">
        <v>616</v>
      </c>
      <c r="M113" s="142" t="s">
        <v>17</v>
      </c>
      <c r="N113" s="142" t="s">
        <v>1567</v>
      </c>
      <c r="O113" s="142">
        <v>0</v>
      </c>
      <c r="P113" s="142">
        <v>75094575</v>
      </c>
      <c r="Q113" s="142" t="s">
        <v>1579</v>
      </c>
      <c r="R113" s="250" t="s">
        <v>20</v>
      </c>
      <c r="S113" s="142" t="s">
        <v>340</v>
      </c>
      <c r="T113" s="142" t="s">
        <v>1580</v>
      </c>
      <c r="U113" s="143">
        <v>8769071</v>
      </c>
      <c r="V113" s="142" t="s">
        <v>269</v>
      </c>
      <c r="W113" s="142" t="s">
        <v>769</v>
      </c>
      <c r="X113" s="94" t="s">
        <v>1571</v>
      </c>
      <c r="Y113" s="142" t="s">
        <v>1293</v>
      </c>
      <c r="Z113" s="142">
        <v>8040000</v>
      </c>
      <c r="AA113" s="143">
        <v>67</v>
      </c>
      <c r="AB113" s="142">
        <v>0</v>
      </c>
      <c r="AC113" s="144">
        <v>0</v>
      </c>
      <c r="AD113" s="144" t="s">
        <v>1581</v>
      </c>
      <c r="AE113" s="144" t="s">
        <v>345</v>
      </c>
      <c r="AF113" s="142" t="s">
        <v>346</v>
      </c>
      <c r="AG113" s="142" t="s">
        <v>350</v>
      </c>
      <c r="AH113" s="142" t="s">
        <v>1081</v>
      </c>
      <c r="AI113" s="143">
        <v>75</v>
      </c>
      <c r="AJ113" s="142" t="s">
        <v>350</v>
      </c>
      <c r="AK113" s="142" t="s">
        <v>1567</v>
      </c>
      <c r="AL113" s="142" t="s">
        <v>263</v>
      </c>
      <c r="AM113" s="142" t="s">
        <v>1582</v>
      </c>
      <c r="AN113" s="142" t="s">
        <v>1583</v>
      </c>
      <c r="AO113" s="142" t="s">
        <v>1584</v>
      </c>
      <c r="AP113" s="142" t="s">
        <v>1585</v>
      </c>
      <c r="AQ113" s="142" t="s">
        <v>1586</v>
      </c>
      <c r="AR113" s="142" t="s">
        <v>1587</v>
      </c>
      <c r="AS113" s="142" t="s">
        <v>1588</v>
      </c>
      <c r="AT113" s="142"/>
      <c r="AU113" s="142"/>
      <c r="AV113" s="142"/>
      <c r="AW113" s="142"/>
      <c r="AX113" s="142"/>
      <c r="AY113" s="142"/>
      <c r="AZ113" s="142"/>
      <c r="BA113" s="142"/>
      <c r="BB113" s="142"/>
      <c r="BC113" s="142"/>
      <c r="BD113" s="142"/>
      <c r="BE113" s="142" t="s">
        <v>276</v>
      </c>
      <c r="BF113" s="142" t="s">
        <v>257</v>
      </c>
      <c r="BG113" s="161" t="s">
        <v>43</v>
      </c>
    </row>
    <row r="114" spans="1:59" ht="63" x14ac:dyDescent="0.25">
      <c r="A114" s="158"/>
      <c r="B114" s="139"/>
      <c r="C114" s="139"/>
      <c r="D114" s="139"/>
      <c r="E114" s="139"/>
      <c r="F114" s="107">
        <v>112</v>
      </c>
      <c r="G114" s="139" t="s">
        <v>334</v>
      </c>
      <c r="H114" s="139" t="s">
        <v>1380</v>
      </c>
      <c r="I114" s="139" t="s">
        <v>336</v>
      </c>
      <c r="J114" s="139" t="s">
        <v>17</v>
      </c>
      <c r="K114" s="139">
        <v>1087996780</v>
      </c>
      <c r="L114" s="139"/>
      <c r="M114" s="139"/>
      <c r="N114" s="139"/>
      <c r="O114" s="139"/>
      <c r="P114" s="139"/>
      <c r="Q114" s="139"/>
      <c r="R114" s="251"/>
      <c r="S114" s="139"/>
      <c r="T114" s="139"/>
      <c r="U114" s="145"/>
      <c r="V114" s="139"/>
      <c r="W114" s="139"/>
      <c r="X114" s="102" t="s">
        <v>1195</v>
      </c>
      <c r="Y114" s="139"/>
      <c r="Z114" s="139"/>
      <c r="AA114" s="145"/>
      <c r="AB114" s="139"/>
      <c r="AC114" s="146"/>
      <c r="AD114" s="146"/>
      <c r="AE114" s="146"/>
      <c r="AF114" s="139"/>
      <c r="AG114" s="139"/>
      <c r="AH114" s="139"/>
      <c r="AI114" s="145"/>
      <c r="AJ114" s="139"/>
      <c r="AK114" s="139"/>
      <c r="AL114" s="139"/>
      <c r="AM114" s="139"/>
      <c r="AN114" s="139"/>
      <c r="AO114" s="139"/>
      <c r="AP114" s="139"/>
      <c r="AQ114" s="139"/>
      <c r="AR114" s="139"/>
      <c r="AS114" s="139"/>
      <c r="AT114" s="139"/>
      <c r="AU114" s="139"/>
      <c r="AV114" s="139"/>
      <c r="AW114" s="139"/>
      <c r="AX114" s="139"/>
      <c r="AY114" s="139"/>
      <c r="AZ114" s="139"/>
      <c r="BA114" s="139"/>
      <c r="BB114" s="139"/>
      <c r="BC114" s="139"/>
      <c r="BD114" s="139"/>
      <c r="BE114" s="139"/>
      <c r="BF114" s="139"/>
      <c r="BG114" s="162"/>
    </row>
    <row r="115" spans="1:59" ht="63" x14ac:dyDescent="0.25">
      <c r="A115" s="157"/>
      <c r="B115" s="142"/>
      <c r="C115" s="142"/>
      <c r="D115" s="142"/>
      <c r="E115" s="142"/>
      <c r="F115" s="91">
        <v>113</v>
      </c>
      <c r="G115" s="142" t="s">
        <v>334</v>
      </c>
      <c r="H115" s="142" t="s">
        <v>1380</v>
      </c>
      <c r="I115" s="142" t="s">
        <v>336</v>
      </c>
      <c r="J115" s="142" t="s">
        <v>17</v>
      </c>
      <c r="K115" s="142">
        <v>1087996780</v>
      </c>
      <c r="L115" s="142"/>
      <c r="M115" s="142"/>
      <c r="N115" s="142"/>
      <c r="O115" s="142"/>
      <c r="P115" s="142"/>
      <c r="Q115" s="142"/>
      <c r="R115" s="250"/>
      <c r="S115" s="142"/>
      <c r="T115" s="142"/>
      <c r="U115" s="143"/>
      <c r="V115" s="142"/>
      <c r="W115" s="142"/>
      <c r="X115" s="94" t="s">
        <v>1195</v>
      </c>
      <c r="Y115" s="142"/>
      <c r="Z115" s="142"/>
      <c r="AA115" s="143"/>
      <c r="AB115" s="142"/>
      <c r="AC115" s="144"/>
      <c r="AD115" s="144"/>
      <c r="AE115" s="144"/>
      <c r="AF115" s="142"/>
      <c r="AG115" s="142"/>
      <c r="AH115" s="142"/>
      <c r="AI115" s="143"/>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61"/>
    </row>
    <row r="116" spans="1:59" ht="63" x14ac:dyDescent="0.25">
      <c r="A116" s="158"/>
      <c r="B116" s="139"/>
      <c r="C116" s="139"/>
      <c r="D116" s="139"/>
      <c r="E116" s="139"/>
      <c r="F116" s="107">
        <v>114</v>
      </c>
      <c r="G116" s="139" t="s">
        <v>334</v>
      </c>
      <c r="H116" s="139" t="s">
        <v>1380</v>
      </c>
      <c r="I116" s="139" t="s">
        <v>336</v>
      </c>
      <c r="J116" s="139" t="s">
        <v>17</v>
      </c>
      <c r="K116" s="139">
        <v>1087996780</v>
      </c>
      <c r="L116" s="139"/>
      <c r="M116" s="139"/>
      <c r="N116" s="139"/>
      <c r="O116" s="139"/>
      <c r="P116" s="139"/>
      <c r="Q116" s="139"/>
      <c r="R116" s="251"/>
      <c r="S116" s="139"/>
      <c r="T116" s="139"/>
      <c r="U116" s="145"/>
      <c r="V116" s="139"/>
      <c r="W116" s="139"/>
      <c r="X116" s="102" t="s">
        <v>1195</v>
      </c>
      <c r="Y116" s="139"/>
      <c r="Z116" s="139"/>
      <c r="AA116" s="145"/>
      <c r="AB116" s="139"/>
      <c r="AC116" s="146"/>
      <c r="AD116" s="146"/>
      <c r="AE116" s="146"/>
      <c r="AF116" s="139"/>
      <c r="AG116" s="139"/>
      <c r="AH116" s="139"/>
      <c r="AI116" s="145"/>
      <c r="AJ116" s="139"/>
      <c r="AK116" s="139"/>
      <c r="AL116" s="139"/>
      <c r="AM116" s="139"/>
      <c r="AN116" s="139"/>
      <c r="AO116" s="139"/>
      <c r="AP116" s="139"/>
      <c r="AQ116" s="139"/>
      <c r="AR116" s="139"/>
      <c r="AS116" s="139"/>
      <c r="AT116" s="139"/>
      <c r="AU116" s="139"/>
      <c r="AV116" s="139"/>
      <c r="AW116" s="139"/>
      <c r="AX116" s="139"/>
      <c r="AY116" s="139"/>
      <c r="AZ116" s="139"/>
      <c r="BA116" s="139"/>
      <c r="BB116" s="139"/>
      <c r="BC116" s="139"/>
      <c r="BD116" s="139"/>
      <c r="BE116" s="139"/>
      <c r="BF116" s="139"/>
      <c r="BG116" s="162"/>
    </row>
    <row r="117" spans="1:59" ht="63" x14ac:dyDescent="0.25">
      <c r="A117" s="157"/>
      <c r="B117" s="142"/>
      <c r="C117" s="142"/>
      <c r="D117" s="142"/>
      <c r="E117" s="142"/>
      <c r="F117" s="91">
        <v>115</v>
      </c>
      <c r="G117" s="142" t="s">
        <v>334</v>
      </c>
      <c r="H117" s="142" t="s">
        <v>1380</v>
      </c>
      <c r="I117" s="142" t="s">
        <v>336</v>
      </c>
      <c r="J117" s="142" t="s">
        <v>17</v>
      </c>
      <c r="K117" s="142">
        <v>1087996780</v>
      </c>
      <c r="L117" s="142"/>
      <c r="M117" s="142"/>
      <c r="N117" s="142"/>
      <c r="O117" s="142"/>
      <c r="P117" s="142"/>
      <c r="Q117" s="142"/>
      <c r="R117" s="250"/>
      <c r="S117" s="142"/>
      <c r="T117" s="142"/>
      <c r="U117" s="143"/>
      <c r="V117" s="142"/>
      <c r="W117" s="142"/>
      <c r="X117" s="94" t="s">
        <v>1195</v>
      </c>
      <c r="Y117" s="142"/>
      <c r="Z117" s="142"/>
      <c r="AA117" s="143"/>
      <c r="AB117" s="142"/>
      <c r="AC117" s="144"/>
      <c r="AD117" s="144"/>
      <c r="AE117" s="144"/>
      <c r="AF117" s="142"/>
      <c r="AG117" s="142"/>
      <c r="AH117" s="142"/>
      <c r="AI117" s="143"/>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61"/>
    </row>
    <row r="118" spans="1:59" ht="63" x14ac:dyDescent="0.25">
      <c r="A118" s="158"/>
      <c r="B118" s="139"/>
      <c r="C118" s="139"/>
      <c r="D118" s="139"/>
      <c r="E118" s="139"/>
      <c r="F118" s="107">
        <v>116</v>
      </c>
      <c r="G118" s="139" t="s">
        <v>334</v>
      </c>
      <c r="H118" s="139" t="s">
        <v>1380</v>
      </c>
      <c r="I118" s="139" t="s">
        <v>336</v>
      </c>
      <c r="J118" s="139" t="s">
        <v>17</v>
      </c>
      <c r="K118" s="139">
        <v>1087996780</v>
      </c>
      <c r="L118" s="139"/>
      <c r="M118" s="139"/>
      <c r="N118" s="139"/>
      <c r="O118" s="139"/>
      <c r="P118" s="139"/>
      <c r="Q118" s="139"/>
      <c r="R118" s="251"/>
      <c r="S118" s="139"/>
      <c r="T118" s="139"/>
      <c r="U118" s="145"/>
      <c r="V118" s="139"/>
      <c r="W118" s="139"/>
      <c r="X118" s="102" t="s">
        <v>1195</v>
      </c>
      <c r="Y118" s="139"/>
      <c r="Z118" s="139"/>
      <c r="AA118" s="145"/>
      <c r="AB118" s="139"/>
      <c r="AC118" s="146"/>
      <c r="AD118" s="146"/>
      <c r="AE118" s="146"/>
      <c r="AF118" s="139"/>
      <c r="AG118" s="139"/>
      <c r="AH118" s="139"/>
      <c r="AI118" s="145"/>
      <c r="AJ118" s="139"/>
      <c r="AK118" s="139"/>
      <c r="AL118" s="139"/>
      <c r="AM118" s="139"/>
      <c r="AN118" s="139"/>
      <c r="AO118" s="139"/>
      <c r="AP118" s="139"/>
      <c r="AQ118" s="139"/>
      <c r="AR118" s="139"/>
      <c r="AS118" s="139"/>
      <c r="AT118" s="139"/>
      <c r="AU118" s="139"/>
      <c r="AV118" s="139"/>
      <c r="AW118" s="139"/>
      <c r="AX118" s="139"/>
      <c r="AY118" s="139"/>
      <c r="AZ118" s="139"/>
      <c r="BA118" s="139"/>
      <c r="BB118" s="139"/>
      <c r="BC118" s="139"/>
      <c r="BD118" s="139"/>
      <c r="BE118" s="139"/>
      <c r="BF118" s="139"/>
      <c r="BG118" s="162"/>
    </row>
    <row r="119" spans="1:59" ht="63" x14ac:dyDescent="0.25">
      <c r="A119" s="157"/>
      <c r="B119" s="142"/>
      <c r="C119" s="142"/>
      <c r="D119" s="142"/>
      <c r="E119" s="142"/>
      <c r="F119" s="91">
        <v>117</v>
      </c>
      <c r="G119" s="142" t="s">
        <v>334</v>
      </c>
      <c r="H119" s="142" t="s">
        <v>1380</v>
      </c>
      <c r="I119" s="142" t="s">
        <v>336</v>
      </c>
      <c r="J119" s="142" t="s">
        <v>17</v>
      </c>
      <c r="K119" s="142">
        <v>1087996780</v>
      </c>
      <c r="L119" s="142"/>
      <c r="M119" s="142"/>
      <c r="N119" s="142"/>
      <c r="O119" s="142"/>
      <c r="P119" s="142"/>
      <c r="Q119" s="142"/>
      <c r="R119" s="250"/>
      <c r="S119" s="142"/>
      <c r="T119" s="142"/>
      <c r="U119" s="143"/>
      <c r="V119" s="142"/>
      <c r="W119" s="142"/>
      <c r="X119" s="94" t="s">
        <v>1195</v>
      </c>
      <c r="Y119" s="142"/>
      <c r="Z119" s="142"/>
      <c r="AA119" s="143"/>
      <c r="AB119" s="142"/>
      <c r="AC119" s="144"/>
      <c r="AD119" s="144"/>
      <c r="AE119" s="144"/>
      <c r="AF119" s="142"/>
      <c r="AG119" s="142"/>
      <c r="AH119" s="142"/>
      <c r="AI119" s="143"/>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61"/>
    </row>
    <row r="120" spans="1:59" ht="63" x14ac:dyDescent="0.25">
      <c r="A120" s="158"/>
      <c r="B120" s="139"/>
      <c r="C120" s="139"/>
      <c r="D120" s="139"/>
      <c r="E120" s="139"/>
      <c r="F120" s="107">
        <v>118</v>
      </c>
      <c r="G120" s="139" t="s">
        <v>334</v>
      </c>
      <c r="H120" s="139" t="s">
        <v>1380</v>
      </c>
      <c r="I120" s="139" t="s">
        <v>336</v>
      </c>
      <c r="J120" s="139" t="s">
        <v>17</v>
      </c>
      <c r="K120" s="139">
        <v>1087996780</v>
      </c>
      <c r="L120" s="139"/>
      <c r="M120" s="139"/>
      <c r="N120" s="139"/>
      <c r="O120" s="139"/>
      <c r="P120" s="139"/>
      <c r="Q120" s="139"/>
      <c r="R120" s="251"/>
      <c r="S120" s="139"/>
      <c r="T120" s="139"/>
      <c r="U120" s="145"/>
      <c r="V120" s="139"/>
      <c r="W120" s="139"/>
      <c r="X120" s="102" t="s">
        <v>1195</v>
      </c>
      <c r="Y120" s="139"/>
      <c r="Z120" s="139"/>
      <c r="AA120" s="145"/>
      <c r="AB120" s="139"/>
      <c r="AC120" s="146"/>
      <c r="AD120" s="146"/>
      <c r="AE120" s="146"/>
      <c r="AF120" s="139"/>
      <c r="AG120" s="139"/>
      <c r="AH120" s="139"/>
      <c r="AI120" s="145"/>
      <c r="AJ120" s="139"/>
      <c r="AK120" s="139"/>
      <c r="AL120" s="139"/>
      <c r="AM120" s="139"/>
      <c r="AN120" s="139"/>
      <c r="AO120" s="139"/>
      <c r="AP120" s="139"/>
      <c r="AQ120" s="139"/>
      <c r="AR120" s="139"/>
      <c r="AS120" s="139"/>
      <c r="AT120" s="139"/>
      <c r="AU120" s="139"/>
      <c r="AV120" s="139"/>
      <c r="AW120" s="139"/>
      <c r="AX120" s="139"/>
      <c r="AY120" s="139"/>
      <c r="AZ120" s="139"/>
      <c r="BA120" s="139"/>
      <c r="BB120" s="139"/>
      <c r="BC120" s="139"/>
      <c r="BD120" s="139"/>
      <c r="BE120" s="139"/>
      <c r="BF120" s="139"/>
      <c r="BG120" s="162"/>
    </row>
    <row r="121" spans="1:59" ht="63" x14ac:dyDescent="0.25">
      <c r="A121" s="157"/>
      <c r="B121" s="142"/>
      <c r="C121" s="142"/>
      <c r="D121" s="142"/>
      <c r="E121" s="142"/>
      <c r="F121" s="91">
        <v>119</v>
      </c>
      <c r="G121" s="142" t="s">
        <v>334</v>
      </c>
      <c r="H121" s="142" t="s">
        <v>1380</v>
      </c>
      <c r="I121" s="142" t="s">
        <v>336</v>
      </c>
      <c r="J121" s="142" t="s">
        <v>17</v>
      </c>
      <c r="K121" s="142">
        <v>1087996780</v>
      </c>
      <c r="L121" s="142"/>
      <c r="M121" s="142"/>
      <c r="N121" s="142"/>
      <c r="O121" s="142"/>
      <c r="P121" s="142"/>
      <c r="Q121" s="142"/>
      <c r="R121" s="250"/>
      <c r="S121" s="142"/>
      <c r="T121" s="142"/>
      <c r="U121" s="143"/>
      <c r="V121" s="142"/>
      <c r="W121" s="142"/>
      <c r="X121" s="94" t="s">
        <v>1195</v>
      </c>
      <c r="Y121" s="142"/>
      <c r="Z121" s="142"/>
      <c r="AA121" s="143"/>
      <c r="AB121" s="142"/>
      <c r="AC121" s="144"/>
      <c r="AD121" s="144"/>
      <c r="AE121" s="144"/>
      <c r="AF121" s="142"/>
      <c r="AG121" s="142"/>
      <c r="AH121" s="142"/>
      <c r="AI121" s="143"/>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61"/>
    </row>
    <row r="122" spans="1:59" ht="63" x14ac:dyDescent="0.25">
      <c r="A122" s="158"/>
      <c r="B122" s="139"/>
      <c r="C122" s="139"/>
      <c r="D122" s="139"/>
      <c r="E122" s="139"/>
      <c r="F122" s="107">
        <v>120</v>
      </c>
      <c r="G122" s="139" t="s">
        <v>334</v>
      </c>
      <c r="H122" s="139" t="s">
        <v>1380</v>
      </c>
      <c r="I122" s="139" t="s">
        <v>336</v>
      </c>
      <c r="J122" s="139" t="s">
        <v>17</v>
      </c>
      <c r="K122" s="139">
        <v>1087996780</v>
      </c>
      <c r="L122" s="139"/>
      <c r="M122" s="139"/>
      <c r="N122" s="139"/>
      <c r="O122" s="139"/>
      <c r="P122" s="139"/>
      <c r="Q122" s="139"/>
      <c r="R122" s="251"/>
      <c r="S122" s="139"/>
      <c r="T122" s="139"/>
      <c r="U122" s="145"/>
      <c r="V122" s="139"/>
      <c r="W122" s="139"/>
      <c r="X122" s="102" t="s">
        <v>1195</v>
      </c>
      <c r="Y122" s="139"/>
      <c r="Z122" s="139"/>
      <c r="AA122" s="145"/>
      <c r="AB122" s="139"/>
      <c r="AC122" s="146"/>
      <c r="AD122" s="146"/>
      <c r="AE122" s="146"/>
      <c r="AF122" s="139"/>
      <c r="AG122" s="139"/>
      <c r="AH122" s="139"/>
      <c r="AI122" s="145"/>
      <c r="AJ122" s="139"/>
      <c r="AK122" s="139"/>
      <c r="AL122" s="139"/>
      <c r="AM122" s="139"/>
      <c r="AN122" s="139"/>
      <c r="AO122" s="139"/>
      <c r="AP122" s="139"/>
      <c r="AQ122" s="139"/>
      <c r="AR122" s="139"/>
      <c r="AS122" s="139"/>
      <c r="AT122" s="139"/>
      <c r="AU122" s="139"/>
      <c r="AV122" s="139"/>
      <c r="AW122" s="139"/>
      <c r="AX122" s="139"/>
      <c r="AY122" s="139"/>
      <c r="AZ122" s="139"/>
      <c r="BA122" s="139"/>
      <c r="BB122" s="139"/>
      <c r="BC122" s="139"/>
      <c r="BD122" s="139"/>
      <c r="BE122" s="139"/>
      <c r="BF122" s="139"/>
      <c r="BG122" s="162"/>
    </row>
    <row r="123" spans="1:59" ht="63" x14ac:dyDescent="0.25">
      <c r="A123" s="157"/>
      <c r="B123" s="142"/>
      <c r="C123" s="142"/>
      <c r="D123" s="142"/>
      <c r="E123" s="142"/>
      <c r="F123" s="91">
        <v>121</v>
      </c>
      <c r="G123" s="142" t="s">
        <v>334</v>
      </c>
      <c r="H123" s="142" t="s">
        <v>1380</v>
      </c>
      <c r="I123" s="142" t="s">
        <v>336</v>
      </c>
      <c r="J123" s="142" t="s">
        <v>17</v>
      </c>
      <c r="K123" s="142">
        <v>1087996780</v>
      </c>
      <c r="L123" s="142"/>
      <c r="M123" s="142"/>
      <c r="N123" s="142"/>
      <c r="O123" s="142"/>
      <c r="P123" s="142"/>
      <c r="Q123" s="142"/>
      <c r="R123" s="250"/>
      <c r="S123" s="142"/>
      <c r="T123" s="142"/>
      <c r="U123" s="143"/>
      <c r="V123" s="142"/>
      <c r="W123" s="142"/>
      <c r="X123" s="94" t="s">
        <v>1195</v>
      </c>
      <c r="Y123" s="142"/>
      <c r="Z123" s="142"/>
      <c r="AA123" s="143"/>
      <c r="AB123" s="142"/>
      <c r="AC123" s="144"/>
      <c r="AD123" s="144"/>
      <c r="AE123" s="144"/>
      <c r="AF123" s="142"/>
      <c r="AG123" s="142"/>
      <c r="AH123" s="142"/>
      <c r="AI123" s="143"/>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61"/>
    </row>
    <row r="124" spans="1:59" x14ac:dyDescent="0.25">
      <c r="A124" s="158"/>
      <c r="B124" s="139"/>
      <c r="C124" s="139"/>
      <c r="D124" s="139"/>
      <c r="E124" s="139"/>
      <c r="F124" s="139"/>
      <c r="G124" s="139"/>
      <c r="H124" s="139"/>
      <c r="I124" s="139"/>
      <c r="J124" s="139"/>
      <c r="K124" s="139"/>
      <c r="L124" s="139"/>
      <c r="M124" s="139"/>
      <c r="N124" s="139"/>
      <c r="O124" s="139"/>
      <c r="P124" s="139"/>
      <c r="Q124" s="139"/>
      <c r="R124" s="251"/>
      <c r="S124" s="139"/>
      <c r="T124" s="139"/>
      <c r="U124" s="145"/>
      <c r="V124" s="139"/>
      <c r="W124" s="139"/>
      <c r="X124" s="102" t="s">
        <v>1195</v>
      </c>
      <c r="Y124" s="139"/>
      <c r="Z124" s="139"/>
      <c r="AA124" s="145"/>
      <c r="AB124" s="139"/>
      <c r="AC124" s="146"/>
      <c r="AD124" s="146"/>
      <c r="AE124" s="146"/>
      <c r="AF124" s="139"/>
      <c r="AG124" s="139"/>
      <c r="AH124" s="139"/>
      <c r="AI124" s="145"/>
      <c r="AJ124" s="139"/>
      <c r="AK124" s="139"/>
      <c r="AL124" s="139"/>
      <c r="AM124" s="139"/>
      <c r="AN124" s="139"/>
      <c r="AO124" s="139"/>
      <c r="AP124" s="139"/>
      <c r="AQ124" s="139"/>
      <c r="AR124" s="139"/>
      <c r="AS124" s="139"/>
      <c r="AT124" s="139"/>
      <c r="AU124" s="139"/>
      <c r="AV124" s="139"/>
      <c r="AW124" s="139"/>
      <c r="AX124" s="139"/>
      <c r="AY124" s="139"/>
      <c r="AZ124" s="139"/>
      <c r="BA124" s="139"/>
      <c r="BB124" s="139"/>
      <c r="BC124" s="139"/>
      <c r="BD124" s="139"/>
      <c r="BE124" s="139"/>
      <c r="BF124" s="139"/>
      <c r="BG124" s="162"/>
    </row>
    <row r="125" spans="1:59" x14ac:dyDescent="0.25">
      <c r="A125" s="157"/>
      <c r="B125" s="142"/>
      <c r="C125" s="142"/>
      <c r="D125" s="142"/>
      <c r="E125" s="142"/>
      <c r="F125" s="142"/>
      <c r="G125" s="142"/>
      <c r="H125" s="142"/>
      <c r="I125" s="142"/>
      <c r="J125" s="142"/>
      <c r="K125" s="142"/>
      <c r="L125" s="142"/>
      <c r="M125" s="142"/>
      <c r="N125" s="142"/>
      <c r="O125" s="142"/>
      <c r="P125" s="142"/>
      <c r="Q125" s="142"/>
      <c r="R125" s="250"/>
      <c r="S125" s="142"/>
      <c r="T125" s="142"/>
      <c r="U125" s="143"/>
      <c r="V125" s="142"/>
      <c r="W125" s="142"/>
      <c r="X125" s="94" t="s">
        <v>1195</v>
      </c>
      <c r="Y125" s="142"/>
      <c r="Z125" s="142"/>
      <c r="AA125" s="143"/>
      <c r="AB125" s="142"/>
      <c r="AC125" s="144"/>
      <c r="AD125" s="144"/>
      <c r="AE125" s="144"/>
      <c r="AF125" s="142"/>
      <c r="AG125" s="142"/>
      <c r="AH125" s="142"/>
      <c r="AI125" s="143"/>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61"/>
    </row>
    <row r="126" spans="1:59" x14ac:dyDescent="0.25">
      <c r="A126" s="158"/>
      <c r="B126" s="139"/>
      <c r="C126" s="139"/>
      <c r="D126" s="139"/>
      <c r="E126" s="139"/>
      <c r="F126" s="139"/>
      <c r="G126" s="139"/>
      <c r="H126" s="139"/>
      <c r="I126" s="139"/>
      <c r="J126" s="139"/>
      <c r="K126" s="139"/>
      <c r="L126" s="139"/>
      <c r="M126" s="139"/>
      <c r="N126" s="139"/>
      <c r="O126" s="139"/>
      <c r="P126" s="139"/>
      <c r="Q126" s="139"/>
      <c r="R126" s="251"/>
      <c r="S126" s="139"/>
      <c r="T126" s="139"/>
      <c r="U126" s="145"/>
      <c r="V126" s="139"/>
      <c r="W126" s="139"/>
      <c r="X126" s="102" t="s">
        <v>1195</v>
      </c>
      <c r="Y126" s="139"/>
      <c r="Z126" s="139"/>
      <c r="AA126" s="145"/>
      <c r="AB126" s="139"/>
      <c r="AC126" s="146"/>
      <c r="AD126" s="146"/>
      <c r="AE126" s="146"/>
      <c r="AF126" s="139"/>
      <c r="AG126" s="139"/>
      <c r="AH126" s="139"/>
      <c r="AI126" s="145"/>
      <c r="AJ126" s="139"/>
      <c r="AK126" s="139"/>
      <c r="AL126" s="139"/>
      <c r="AM126" s="139"/>
      <c r="AN126" s="139"/>
      <c r="AO126" s="139"/>
      <c r="AP126" s="139"/>
      <c r="AQ126" s="139"/>
      <c r="AR126" s="139"/>
      <c r="AS126" s="139"/>
      <c r="AT126" s="139"/>
      <c r="AU126" s="139"/>
      <c r="AV126" s="139"/>
      <c r="AW126" s="139"/>
      <c r="AX126" s="139"/>
      <c r="AY126" s="139"/>
      <c r="AZ126" s="139"/>
      <c r="BA126" s="139"/>
      <c r="BB126" s="139"/>
      <c r="BC126" s="139"/>
      <c r="BD126" s="139"/>
      <c r="BE126" s="139"/>
      <c r="BF126" s="139"/>
      <c r="BG126" s="162"/>
    </row>
    <row r="127" spans="1:59" x14ac:dyDescent="0.25">
      <c r="A127" s="157"/>
      <c r="B127" s="142"/>
      <c r="C127" s="142"/>
      <c r="D127" s="142"/>
      <c r="E127" s="142"/>
      <c r="F127" s="142"/>
      <c r="G127" s="142"/>
      <c r="H127" s="142"/>
      <c r="I127" s="142"/>
      <c r="J127" s="142"/>
      <c r="K127" s="142"/>
      <c r="L127" s="142"/>
      <c r="M127" s="142"/>
      <c r="N127" s="142"/>
      <c r="O127" s="142"/>
      <c r="P127" s="142"/>
      <c r="Q127" s="142"/>
      <c r="R127" s="250"/>
      <c r="S127" s="142"/>
      <c r="T127" s="142"/>
      <c r="U127" s="143"/>
      <c r="V127" s="142"/>
      <c r="W127" s="142"/>
      <c r="X127" s="94" t="s">
        <v>1195</v>
      </c>
      <c r="Y127" s="142"/>
      <c r="Z127" s="142"/>
      <c r="AA127" s="143"/>
      <c r="AB127" s="142"/>
      <c r="AC127" s="144"/>
      <c r="AD127" s="144"/>
      <c r="AE127" s="144"/>
      <c r="AF127" s="142"/>
      <c r="AG127" s="142"/>
      <c r="AH127" s="142"/>
      <c r="AI127" s="143"/>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61"/>
    </row>
    <row r="128" spans="1:59" x14ac:dyDescent="0.25">
      <c r="A128" s="158"/>
      <c r="B128" s="139"/>
      <c r="C128" s="139"/>
      <c r="D128" s="139"/>
      <c r="E128" s="139"/>
      <c r="F128" s="139"/>
      <c r="G128" s="139"/>
      <c r="H128" s="139"/>
      <c r="I128" s="139"/>
      <c r="J128" s="139"/>
      <c r="K128" s="139"/>
      <c r="L128" s="139"/>
      <c r="M128" s="139"/>
      <c r="N128" s="139"/>
      <c r="O128" s="139"/>
      <c r="P128" s="139"/>
      <c r="Q128" s="139"/>
      <c r="R128" s="251"/>
      <c r="S128" s="139"/>
      <c r="T128" s="139"/>
      <c r="U128" s="145"/>
      <c r="V128" s="139"/>
      <c r="W128" s="139"/>
      <c r="X128" s="102" t="s">
        <v>1195</v>
      </c>
      <c r="Y128" s="139"/>
      <c r="Z128" s="139"/>
      <c r="AA128" s="145"/>
      <c r="AB128" s="139"/>
      <c r="AC128" s="146"/>
      <c r="AD128" s="146"/>
      <c r="AE128" s="146"/>
      <c r="AF128" s="139"/>
      <c r="AG128" s="139"/>
      <c r="AH128" s="139"/>
      <c r="AI128" s="145"/>
      <c r="AJ128" s="139"/>
      <c r="AK128" s="139"/>
      <c r="AL128" s="139"/>
      <c r="AM128" s="139"/>
      <c r="AN128" s="139"/>
      <c r="AO128" s="139"/>
      <c r="AP128" s="139"/>
      <c r="AQ128" s="139"/>
      <c r="AR128" s="139"/>
      <c r="AS128" s="139"/>
      <c r="AT128" s="139"/>
      <c r="AU128" s="139"/>
      <c r="AV128" s="139"/>
      <c r="AW128" s="139"/>
      <c r="AX128" s="139"/>
      <c r="AY128" s="139"/>
      <c r="AZ128" s="139"/>
      <c r="BA128" s="139"/>
      <c r="BB128" s="139"/>
      <c r="BC128" s="139"/>
      <c r="BD128" s="139"/>
      <c r="BE128" s="139"/>
      <c r="BF128" s="139"/>
      <c r="BG128" s="162"/>
    </row>
    <row r="129" spans="1:59" x14ac:dyDescent="0.25">
      <c r="A129" s="157"/>
      <c r="B129" s="142"/>
      <c r="C129" s="142"/>
      <c r="D129" s="142"/>
      <c r="E129" s="142"/>
      <c r="F129" s="142"/>
      <c r="G129" s="142"/>
      <c r="H129" s="142"/>
      <c r="I129" s="142"/>
      <c r="J129" s="142"/>
      <c r="K129" s="142"/>
      <c r="L129" s="142"/>
      <c r="M129" s="142"/>
      <c r="N129" s="142"/>
      <c r="O129" s="142"/>
      <c r="P129" s="142"/>
      <c r="Q129" s="142"/>
      <c r="R129" s="250"/>
      <c r="S129" s="142"/>
      <c r="T129" s="142"/>
      <c r="U129" s="143"/>
      <c r="V129" s="142"/>
      <c r="W129" s="142"/>
      <c r="X129" s="94" t="s">
        <v>1195</v>
      </c>
      <c r="Y129" s="142"/>
      <c r="Z129" s="142"/>
      <c r="AA129" s="143"/>
      <c r="AB129" s="142"/>
      <c r="AC129" s="144"/>
      <c r="AD129" s="144"/>
      <c r="AE129" s="144"/>
      <c r="AF129" s="142"/>
      <c r="AG129" s="142"/>
      <c r="AH129" s="142"/>
      <c r="AI129" s="143"/>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61"/>
    </row>
    <row r="130" spans="1:59" x14ac:dyDescent="0.25">
      <c r="A130" s="158"/>
      <c r="B130" s="139"/>
      <c r="C130" s="139"/>
      <c r="D130" s="139"/>
      <c r="E130" s="139"/>
      <c r="F130" s="139"/>
      <c r="G130" s="139"/>
      <c r="H130" s="139"/>
      <c r="I130" s="139"/>
      <c r="J130" s="139"/>
      <c r="K130" s="139"/>
      <c r="L130" s="139"/>
      <c r="M130" s="139"/>
      <c r="N130" s="139"/>
      <c r="O130" s="139"/>
      <c r="P130" s="139"/>
      <c r="Q130" s="139"/>
      <c r="R130" s="251"/>
      <c r="S130" s="139"/>
      <c r="T130" s="139"/>
      <c r="U130" s="145"/>
      <c r="V130" s="139"/>
      <c r="W130" s="139"/>
      <c r="X130" s="102" t="s">
        <v>1195</v>
      </c>
      <c r="Y130" s="139"/>
      <c r="Z130" s="139"/>
      <c r="AA130" s="145"/>
      <c r="AB130" s="139"/>
      <c r="AC130" s="146"/>
      <c r="AD130" s="146"/>
      <c r="AE130" s="146"/>
      <c r="AF130" s="139"/>
      <c r="AG130" s="139"/>
      <c r="AH130" s="139"/>
      <c r="AI130" s="145"/>
      <c r="AJ130" s="139"/>
      <c r="AK130" s="139"/>
      <c r="AL130" s="139"/>
      <c r="AM130" s="139"/>
      <c r="AN130" s="139"/>
      <c r="AO130" s="139"/>
      <c r="AP130" s="139"/>
      <c r="AQ130" s="139"/>
      <c r="AR130" s="139"/>
      <c r="AS130" s="139"/>
      <c r="AT130" s="139"/>
      <c r="AU130" s="139"/>
      <c r="AV130" s="139"/>
      <c r="AW130" s="139"/>
      <c r="AX130" s="139"/>
      <c r="AY130" s="139"/>
      <c r="AZ130" s="139"/>
      <c r="BA130" s="139"/>
      <c r="BB130" s="139"/>
      <c r="BC130" s="139"/>
      <c r="BD130" s="139"/>
      <c r="BE130" s="139"/>
      <c r="BF130" s="139"/>
      <c r="BG130" s="162"/>
    </row>
    <row r="131" spans="1:59" x14ac:dyDescent="0.25">
      <c r="A131" s="157"/>
      <c r="B131" s="142"/>
      <c r="C131" s="142"/>
      <c r="D131" s="142"/>
      <c r="E131" s="142"/>
      <c r="F131" s="142"/>
      <c r="G131" s="142"/>
      <c r="H131" s="142"/>
      <c r="I131" s="142"/>
      <c r="J131" s="142"/>
      <c r="K131" s="142"/>
      <c r="L131" s="142"/>
      <c r="M131" s="142"/>
      <c r="N131" s="142"/>
      <c r="O131" s="142"/>
      <c r="P131" s="142"/>
      <c r="Q131" s="142"/>
      <c r="R131" s="250"/>
      <c r="S131" s="142"/>
      <c r="T131" s="142"/>
      <c r="U131" s="143"/>
      <c r="V131" s="142"/>
      <c r="W131" s="142"/>
      <c r="X131" s="94" t="s">
        <v>1195</v>
      </c>
      <c r="Y131" s="142"/>
      <c r="Z131" s="142"/>
      <c r="AA131" s="143"/>
      <c r="AB131" s="142"/>
      <c r="AC131" s="144"/>
      <c r="AD131" s="144"/>
      <c r="AE131" s="144"/>
      <c r="AF131" s="142"/>
      <c r="AG131" s="142"/>
      <c r="AH131" s="142"/>
      <c r="AI131" s="143"/>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61"/>
    </row>
    <row r="132" spans="1:59" x14ac:dyDescent="0.25">
      <c r="A132" s="158"/>
      <c r="B132" s="139"/>
      <c r="C132" s="139"/>
      <c r="D132" s="139"/>
      <c r="E132" s="139"/>
      <c r="F132" s="139"/>
      <c r="G132" s="139"/>
      <c r="H132" s="139"/>
      <c r="I132" s="139"/>
      <c r="J132" s="139"/>
      <c r="K132" s="139"/>
      <c r="L132" s="139"/>
      <c r="M132" s="139"/>
      <c r="N132" s="139"/>
      <c r="O132" s="139"/>
      <c r="P132" s="139"/>
      <c r="Q132" s="139"/>
      <c r="R132" s="251"/>
      <c r="S132" s="139"/>
      <c r="T132" s="139"/>
      <c r="U132" s="145"/>
      <c r="V132" s="139"/>
      <c r="W132" s="139"/>
      <c r="X132" s="102" t="s">
        <v>1195</v>
      </c>
      <c r="Y132" s="139"/>
      <c r="Z132" s="139"/>
      <c r="AA132" s="145"/>
      <c r="AB132" s="139"/>
      <c r="AC132" s="146"/>
      <c r="AD132" s="146"/>
      <c r="AE132" s="146"/>
      <c r="AF132" s="139"/>
      <c r="AG132" s="139"/>
      <c r="AH132" s="139"/>
      <c r="AI132" s="145"/>
      <c r="AJ132" s="139"/>
      <c r="AK132" s="139"/>
      <c r="AL132" s="139"/>
      <c r="AM132" s="139"/>
      <c r="AN132" s="139"/>
      <c r="AO132" s="139"/>
      <c r="AP132" s="139"/>
      <c r="AQ132" s="139"/>
      <c r="AR132" s="139"/>
      <c r="AS132" s="139"/>
      <c r="AT132" s="139"/>
      <c r="AU132" s="139"/>
      <c r="AV132" s="139"/>
      <c r="AW132" s="139"/>
      <c r="AX132" s="139"/>
      <c r="AY132" s="139"/>
      <c r="AZ132" s="139"/>
      <c r="BA132" s="139"/>
      <c r="BB132" s="139"/>
      <c r="BC132" s="139"/>
      <c r="BD132" s="139"/>
      <c r="BE132" s="139"/>
      <c r="BF132" s="139"/>
      <c r="BG132" s="162"/>
    </row>
    <row r="133" spans="1:59" x14ac:dyDescent="0.25">
      <c r="A133" s="157"/>
      <c r="B133" s="142"/>
      <c r="C133" s="142"/>
      <c r="D133" s="142"/>
      <c r="E133" s="142"/>
      <c r="F133" s="142"/>
      <c r="G133" s="142"/>
      <c r="H133" s="142"/>
      <c r="I133" s="142"/>
      <c r="J133" s="142"/>
      <c r="K133" s="142"/>
      <c r="L133" s="142"/>
      <c r="M133" s="142"/>
      <c r="N133" s="142"/>
      <c r="O133" s="142"/>
      <c r="P133" s="142"/>
      <c r="Q133" s="142"/>
      <c r="R133" s="250"/>
      <c r="S133" s="142"/>
      <c r="T133" s="142"/>
      <c r="U133" s="143"/>
      <c r="V133" s="142"/>
      <c r="W133" s="142"/>
      <c r="X133" s="94" t="s">
        <v>1195</v>
      </c>
      <c r="Y133" s="142"/>
      <c r="Z133" s="142"/>
      <c r="AA133" s="143"/>
      <c r="AB133" s="142"/>
      <c r="AC133" s="144"/>
      <c r="AD133" s="144"/>
      <c r="AE133" s="144"/>
      <c r="AF133" s="142"/>
      <c r="AG133" s="142"/>
      <c r="AH133" s="142"/>
      <c r="AI133" s="143"/>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61"/>
    </row>
    <row r="134" spans="1:59" x14ac:dyDescent="0.25">
      <c r="A134" s="158"/>
      <c r="B134" s="139"/>
      <c r="C134" s="139"/>
      <c r="D134" s="139"/>
      <c r="E134" s="139"/>
      <c r="F134" s="139"/>
      <c r="G134" s="139"/>
      <c r="H134" s="139"/>
      <c r="I134" s="139"/>
      <c r="J134" s="139"/>
      <c r="K134" s="139"/>
      <c r="L134" s="139"/>
      <c r="M134" s="139"/>
      <c r="N134" s="139"/>
      <c r="O134" s="139"/>
      <c r="P134" s="139"/>
      <c r="Q134" s="139"/>
      <c r="R134" s="251"/>
      <c r="S134" s="139"/>
      <c r="T134" s="139"/>
      <c r="U134" s="145"/>
      <c r="V134" s="139"/>
      <c r="W134" s="139"/>
      <c r="X134" s="102" t="s">
        <v>1195</v>
      </c>
      <c r="Y134" s="139"/>
      <c r="Z134" s="139"/>
      <c r="AA134" s="145"/>
      <c r="AB134" s="139"/>
      <c r="AC134" s="146"/>
      <c r="AD134" s="146"/>
      <c r="AE134" s="146"/>
      <c r="AF134" s="139"/>
      <c r="AG134" s="139"/>
      <c r="AH134" s="139"/>
      <c r="AI134" s="145"/>
      <c r="AJ134" s="139"/>
      <c r="AK134" s="139"/>
      <c r="AL134" s="139"/>
      <c r="AM134" s="139"/>
      <c r="AN134" s="139"/>
      <c r="AO134" s="139"/>
      <c r="AP134" s="139"/>
      <c r="AQ134" s="139"/>
      <c r="AR134" s="139"/>
      <c r="AS134" s="139"/>
      <c r="AT134" s="139"/>
      <c r="AU134" s="139"/>
      <c r="AV134" s="139"/>
      <c r="AW134" s="139"/>
      <c r="AX134" s="139"/>
      <c r="AY134" s="139"/>
      <c r="AZ134" s="139"/>
      <c r="BA134" s="139"/>
      <c r="BB134" s="139"/>
      <c r="BC134" s="139"/>
      <c r="BD134" s="139"/>
      <c r="BE134" s="139"/>
      <c r="BF134" s="139"/>
      <c r="BG134" s="162"/>
    </row>
    <row r="135" spans="1:59" x14ac:dyDescent="0.25">
      <c r="A135" s="157"/>
      <c r="B135" s="142"/>
      <c r="C135" s="142"/>
      <c r="D135" s="142"/>
      <c r="E135" s="142"/>
      <c r="F135" s="142"/>
      <c r="G135" s="142"/>
      <c r="H135" s="142"/>
      <c r="I135" s="142"/>
      <c r="J135" s="142"/>
      <c r="K135" s="142"/>
      <c r="L135" s="142"/>
      <c r="M135" s="142"/>
      <c r="N135" s="142"/>
      <c r="O135" s="142"/>
      <c r="P135" s="142"/>
      <c r="Q135" s="142"/>
      <c r="R135" s="250"/>
      <c r="S135" s="142"/>
      <c r="T135" s="142"/>
      <c r="U135" s="143"/>
      <c r="V135" s="142"/>
      <c r="W135" s="142"/>
      <c r="X135" s="94" t="s">
        <v>1195</v>
      </c>
      <c r="Y135" s="142"/>
      <c r="Z135" s="142"/>
      <c r="AA135" s="143"/>
      <c r="AB135" s="142"/>
      <c r="AC135" s="144"/>
      <c r="AD135" s="144"/>
      <c r="AE135" s="144"/>
      <c r="AF135" s="142"/>
      <c r="AG135" s="142"/>
      <c r="AH135" s="142"/>
      <c r="AI135" s="143"/>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61"/>
    </row>
    <row r="136" spans="1:59" x14ac:dyDescent="0.25">
      <c r="A136" s="158"/>
      <c r="B136" s="139"/>
      <c r="C136" s="139"/>
      <c r="D136" s="139"/>
      <c r="E136" s="139"/>
      <c r="F136" s="139"/>
      <c r="G136" s="139"/>
      <c r="H136" s="139"/>
      <c r="I136" s="139"/>
      <c r="J136" s="139"/>
      <c r="K136" s="139"/>
      <c r="L136" s="139"/>
      <c r="M136" s="139"/>
      <c r="N136" s="139"/>
      <c r="O136" s="139"/>
      <c r="P136" s="139"/>
      <c r="Q136" s="139"/>
      <c r="R136" s="251"/>
      <c r="S136" s="139"/>
      <c r="T136" s="139"/>
      <c r="U136" s="145"/>
      <c r="V136" s="139"/>
      <c r="W136" s="139"/>
      <c r="X136" s="102" t="s">
        <v>1195</v>
      </c>
      <c r="Y136" s="139"/>
      <c r="Z136" s="139"/>
      <c r="AA136" s="145"/>
      <c r="AB136" s="139"/>
      <c r="AC136" s="146"/>
      <c r="AD136" s="146"/>
      <c r="AE136" s="146"/>
      <c r="AF136" s="139"/>
      <c r="AG136" s="139"/>
      <c r="AH136" s="139"/>
      <c r="AI136" s="145"/>
      <c r="AJ136" s="139"/>
      <c r="AK136" s="139"/>
      <c r="AL136" s="139"/>
      <c r="AM136" s="139"/>
      <c r="AN136" s="139"/>
      <c r="AO136" s="139"/>
      <c r="AP136" s="139"/>
      <c r="AQ136" s="139"/>
      <c r="AR136" s="139"/>
      <c r="AS136" s="139"/>
      <c r="AT136" s="139"/>
      <c r="AU136" s="139"/>
      <c r="AV136" s="139"/>
      <c r="AW136" s="139"/>
      <c r="AX136" s="139"/>
      <c r="AY136" s="139"/>
      <c r="AZ136" s="139"/>
      <c r="BA136" s="139"/>
      <c r="BB136" s="139"/>
      <c r="BC136" s="139"/>
      <c r="BD136" s="139"/>
      <c r="BE136" s="139"/>
      <c r="BF136" s="139"/>
      <c r="BG136" s="162"/>
    </row>
    <row r="137" spans="1:59" x14ac:dyDescent="0.25">
      <c r="A137" s="157"/>
      <c r="B137" s="142"/>
      <c r="C137" s="142"/>
      <c r="D137" s="142"/>
      <c r="E137" s="142"/>
      <c r="F137" s="142"/>
      <c r="G137" s="142"/>
      <c r="H137" s="142"/>
      <c r="I137" s="142"/>
      <c r="J137" s="142"/>
      <c r="K137" s="142"/>
      <c r="L137" s="142"/>
      <c r="M137" s="142"/>
      <c r="N137" s="142"/>
      <c r="O137" s="142"/>
      <c r="P137" s="142"/>
      <c r="Q137" s="142"/>
      <c r="R137" s="250"/>
      <c r="S137" s="142"/>
      <c r="T137" s="142"/>
      <c r="U137" s="143"/>
      <c r="V137" s="142"/>
      <c r="W137" s="142"/>
      <c r="X137" s="94" t="s">
        <v>1195</v>
      </c>
      <c r="Y137" s="142"/>
      <c r="Z137" s="142"/>
      <c r="AA137" s="143"/>
      <c r="AB137" s="142"/>
      <c r="AC137" s="144"/>
      <c r="AD137" s="144"/>
      <c r="AE137" s="144"/>
      <c r="AF137" s="142"/>
      <c r="AG137" s="142"/>
      <c r="AH137" s="142"/>
      <c r="AI137" s="143"/>
      <c r="AJ137" s="142"/>
      <c r="AK137" s="142"/>
      <c r="AL137" s="142"/>
      <c r="AM137" s="142"/>
      <c r="AN137" s="142"/>
      <c r="AO137" s="142"/>
      <c r="AP137" s="142"/>
      <c r="AQ137" s="142"/>
      <c r="AR137" s="142"/>
      <c r="AS137" s="142"/>
      <c r="AT137" s="142"/>
      <c r="AU137" s="142"/>
      <c r="AV137" s="142"/>
      <c r="AW137" s="142"/>
      <c r="AX137" s="142"/>
      <c r="AY137" s="142"/>
      <c r="AZ137" s="142"/>
      <c r="BA137" s="142"/>
      <c r="BB137" s="142"/>
      <c r="BC137" s="142"/>
      <c r="BD137" s="142"/>
      <c r="BE137" s="142"/>
      <c r="BF137" s="142"/>
      <c r="BG137" s="161"/>
    </row>
    <row r="138" spans="1:59" x14ac:dyDescent="0.25">
      <c r="A138" s="158"/>
      <c r="B138" s="139"/>
      <c r="C138" s="139"/>
      <c r="D138" s="139"/>
      <c r="E138" s="139"/>
      <c r="F138" s="139"/>
      <c r="G138" s="139"/>
      <c r="H138" s="139"/>
      <c r="I138" s="139"/>
      <c r="J138" s="139"/>
      <c r="K138" s="139"/>
      <c r="L138" s="139"/>
      <c r="M138" s="139"/>
      <c r="N138" s="139"/>
      <c r="O138" s="139"/>
      <c r="P138" s="139"/>
      <c r="Q138" s="139"/>
      <c r="R138" s="251"/>
      <c r="S138" s="139"/>
      <c r="T138" s="139"/>
      <c r="U138" s="145"/>
      <c r="V138" s="139"/>
      <c r="W138" s="139"/>
      <c r="X138" s="102" t="s">
        <v>1195</v>
      </c>
      <c r="Y138" s="139"/>
      <c r="Z138" s="139"/>
      <c r="AA138" s="145"/>
      <c r="AB138" s="139"/>
      <c r="AC138" s="146"/>
      <c r="AD138" s="146"/>
      <c r="AE138" s="146"/>
      <c r="AF138" s="139"/>
      <c r="AG138" s="139"/>
      <c r="AH138" s="139"/>
      <c r="AI138" s="145"/>
      <c r="AJ138" s="139"/>
      <c r="AK138" s="139"/>
      <c r="AL138" s="139"/>
      <c r="AM138" s="139"/>
      <c r="AN138" s="139"/>
      <c r="AO138" s="139"/>
      <c r="AP138" s="139"/>
      <c r="AQ138" s="139"/>
      <c r="AR138" s="139"/>
      <c r="AS138" s="139"/>
      <c r="AT138" s="139"/>
      <c r="AU138" s="139"/>
      <c r="AV138" s="139"/>
      <c r="AW138" s="139"/>
      <c r="AX138" s="139"/>
      <c r="AY138" s="139"/>
      <c r="AZ138" s="139"/>
      <c r="BA138" s="139"/>
      <c r="BB138" s="139"/>
      <c r="BC138" s="139"/>
      <c r="BD138" s="139"/>
      <c r="BE138" s="139"/>
      <c r="BF138" s="139"/>
      <c r="BG138" s="162"/>
    </row>
    <row r="139" spans="1:59" x14ac:dyDescent="0.25">
      <c r="A139" s="157"/>
      <c r="B139" s="142"/>
      <c r="C139" s="142"/>
      <c r="D139" s="142"/>
      <c r="E139" s="142"/>
      <c r="F139" s="142"/>
      <c r="G139" s="142"/>
      <c r="H139" s="142"/>
      <c r="I139" s="142"/>
      <c r="J139" s="142"/>
      <c r="K139" s="142"/>
      <c r="L139" s="142"/>
      <c r="M139" s="142"/>
      <c r="N139" s="142"/>
      <c r="O139" s="142"/>
      <c r="P139" s="142"/>
      <c r="Q139" s="142"/>
      <c r="R139" s="250"/>
      <c r="S139" s="142"/>
      <c r="T139" s="142"/>
      <c r="U139" s="143"/>
      <c r="V139" s="142"/>
      <c r="W139" s="142"/>
      <c r="X139" s="94" t="s">
        <v>1195</v>
      </c>
      <c r="Y139" s="142"/>
      <c r="Z139" s="142"/>
      <c r="AA139" s="143"/>
      <c r="AB139" s="142"/>
      <c r="AC139" s="144"/>
      <c r="AD139" s="144"/>
      <c r="AE139" s="144"/>
      <c r="AF139" s="142"/>
      <c r="AG139" s="142"/>
      <c r="AH139" s="142"/>
      <c r="AI139" s="143"/>
      <c r="AJ139" s="142"/>
      <c r="AK139" s="142"/>
      <c r="AL139" s="142"/>
      <c r="AM139" s="142"/>
      <c r="AN139" s="142"/>
      <c r="AO139" s="142"/>
      <c r="AP139" s="142"/>
      <c r="AQ139" s="142"/>
      <c r="AR139" s="142"/>
      <c r="AS139" s="142"/>
      <c r="AT139" s="142"/>
      <c r="AU139" s="142"/>
      <c r="AV139" s="142"/>
      <c r="AW139" s="142"/>
      <c r="AX139" s="142"/>
      <c r="AY139" s="142"/>
      <c r="AZ139" s="142"/>
      <c r="BA139" s="142"/>
      <c r="BB139" s="142"/>
      <c r="BC139" s="142"/>
      <c r="BD139" s="142"/>
      <c r="BE139" s="142"/>
      <c r="BF139" s="142"/>
      <c r="BG139" s="161"/>
    </row>
    <row r="140" spans="1:59" x14ac:dyDescent="0.25">
      <c r="A140" s="158"/>
      <c r="B140" s="139"/>
      <c r="C140" s="139"/>
      <c r="D140" s="139"/>
      <c r="E140" s="139"/>
      <c r="F140" s="139"/>
      <c r="G140" s="139"/>
      <c r="H140" s="139"/>
      <c r="I140" s="139"/>
      <c r="J140" s="139"/>
      <c r="K140" s="139"/>
      <c r="L140" s="139"/>
      <c r="M140" s="139"/>
      <c r="N140" s="139"/>
      <c r="O140" s="139"/>
      <c r="P140" s="139"/>
      <c r="Q140" s="139"/>
      <c r="R140" s="251"/>
      <c r="S140" s="139"/>
      <c r="T140" s="139"/>
      <c r="U140" s="145"/>
      <c r="V140" s="139"/>
      <c r="W140" s="139"/>
      <c r="X140" s="102" t="s">
        <v>1195</v>
      </c>
      <c r="Y140" s="139"/>
      <c r="Z140" s="139"/>
      <c r="AA140" s="145"/>
      <c r="AB140" s="139"/>
      <c r="AC140" s="146"/>
      <c r="AD140" s="146"/>
      <c r="AE140" s="146"/>
      <c r="AF140" s="139"/>
      <c r="AG140" s="139"/>
      <c r="AH140" s="139"/>
      <c r="AI140" s="145"/>
      <c r="AJ140" s="139"/>
      <c r="AK140" s="139"/>
      <c r="AL140" s="139"/>
      <c r="AM140" s="139"/>
      <c r="AN140" s="139"/>
      <c r="AO140" s="139"/>
      <c r="AP140" s="139"/>
      <c r="AQ140" s="139"/>
      <c r="AR140" s="139"/>
      <c r="AS140" s="139"/>
      <c r="AT140" s="139"/>
      <c r="AU140" s="139"/>
      <c r="AV140" s="139"/>
      <c r="AW140" s="139"/>
      <c r="AX140" s="139"/>
      <c r="AY140" s="139"/>
      <c r="AZ140" s="139"/>
      <c r="BA140" s="139"/>
      <c r="BB140" s="139"/>
      <c r="BC140" s="139"/>
      <c r="BD140" s="139"/>
      <c r="BE140" s="139"/>
      <c r="BF140" s="139"/>
      <c r="BG140" s="162"/>
    </row>
    <row r="141" spans="1:59" x14ac:dyDescent="0.25">
      <c r="A141" s="157"/>
      <c r="B141" s="142"/>
      <c r="C141" s="142"/>
      <c r="D141" s="142"/>
      <c r="E141" s="142"/>
      <c r="F141" s="142"/>
      <c r="G141" s="142"/>
      <c r="H141" s="142"/>
      <c r="I141" s="142"/>
      <c r="J141" s="142"/>
      <c r="K141" s="142"/>
      <c r="L141" s="142"/>
      <c r="M141" s="142"/>
      <c r="N141" s="142"/>
      <c r="O141" s="142"/>
      <c r="P141" s="142"/>
      <c r="Q141" s="142"/>
      <c r="R141" s="250"/>
      <c r="S141" s="142"/>
      <c r="T141" s="142"/>
      <c r="U141" s="143"/>
      <c r="V141" s="142"/>
      <c r="W141" s="142"/>
      <c r="X141" s="94" t="s">
        <v>1195</v>
      </c>
      <c r="Y141" s="142"/>
      <c r="Z141" s="142"/>
      <c r="AA141" s="143"/>
      <c r="AB141" s="142"/>
      <c r="AC141" s="144"/>
      <c r="AD141" s="144"/>
      <c r="AE141" s="144"/>
      <c r="AF141" s="142"/>
      <c r="AG141" s="142"/>
      <c r="AH141" s="142"/>
      <c r="AI141" s="143"/>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61"/>
    </row>
    <row r="142" spans="1:59" x14ac:dyDescent="0.25">
      <c r="A142" s="158"/>
      <c r="B142" s="139"/>
      <c r="C142" s="139"/>
      <c r="D142" s="139"/>
      <c r="E142" s="139"/>
      <c r="F142" s="139"/>
      <c r="G142" s="139"/>
      <c r="H142" s="139"/>
      <c r="I142" s="139"/>
      <c r="J142" s="139"/>
      <c r="K142" s="139"/>
      <c r="L142" s="139"/>
      <c r="M142" s="139"/>
      <c r="N142" s="139"/>
      <c r="O142" s="139"/>
      <c r="P142" s="139"/>
      <c r="Q142" s="139"/>
      <c r="R142" s="251"/>
      <c r="S142" s="139"/>
      <c r="T142" s="139"/>
      <c r="U142" s="145"/>
      <c r="V142" s="139"/>
      <c r="W142" s="139"/>
      <c r="X142" s="102" t="s">
        <v>1195</v>
      </c>
      <c r="Y142" s="139"/>
      <c r="Z142" s="139"/>
      <c r="AA142" s="145"/>
      <c r="AB142" s="139"/>
      <c r="AC142" s="146"/>
      <c r="AD142" s="146"/>
      <c r="AE142" s="146"/>
      <c r="AF142" s="139"/>
      <c r="AG142" s="139"/>
      <c r="AH142" s="139"/>
      <c r="AI142" s="145"/>
      <c r="AJ142" s="139"/>
      <c r="AK142" s="139"/>
      <c r="AL142" s="139"/>
      <c r="AM142" s="139"/>
      <c r="AN142" s="139"/>
      <c r="AO142" s="139"/>
      <c r="AP142" s="139"/>
      <c r="AQ142" s="139"/>
      <c r="AR142" s="139"/>
      <c r="AS142" s="139"/>
      <c r="AT142" s="139"/>
      <c r="AU142" s="139"/>
      <c r="AV142" s="139"/>
      <c r="AW142" s="139"/>
      <c r="AX142" s="139"/>
      <c r="AY142" s="139"/>
      <c r="AZ142" s="139"/>
      <c r="BA142" s="139"/>
      <c r="BB142" s="139"/>
      <c r="BC142" s="139"/>
      <c r="BD142" s="139"/>
      <c r="BE142" s="139"/>
      <c r="BF142" s="139"/>
      <c r="BG142" s="162"/>
    </row>
    <row r="143" spans="1:59" x14ac:dyDescent="0.25">
      <c r="A143" s="157"/>
      <c r="B143" s="142"/>
      <c r="C143" s="142"/>
      <c r="D143" s="142"/>
      <c r="E143" s="142"/>
      <c r="F143" s="142"/>
      <c r="G143" s="142"/>
      <c r="H143" s="142"/>
      <c r="I143" s="142"/>
      <c r="J143" s="142"/>
      <c r="K143" s="142"/>
      <c r="L143" s="142"/>
      <c r="M143" s="142"/>
      <c r="N143" s="142"/>
      <c r="O143" s="142"/>
      <c r="P143" s="142"/>
      <c r="Q143" s="142"/>
      <c r="R143" s="250"/>
      <c r="S143" s="142"/>
      <c r="T143" s="142"/>
      <c r="U143" s="143"/>
      <c r="V143" s="142"/>
      <c r="W143" s="142"/>
      <c r="X143" s="94" t="s">
        <v>1195</v>
      </c>
      <c r="Y143" s="142"/>
      <c r="Z143" s="142"/>
      <c r="AA143" s="143"/>
      <c r="AB143" s="142"/>
      <c r="AC143" s="144"/>
      <c r="AD143" s="144"/>
      <c r="AE143" s="144"/>
      <c r="AF143" s="142"/>
      <c r="AG143" s="142"/>
      <c r="AH143" s="142"/>
      <c r="AI143" s="143"/>
      <c r="AJ143" s="142"/>
      <c r="AK143" s="142"/>
      <c r="AL143" s="142"/>
      <c r="AM143" s="142"/>
      <c r="AN143" s="142"/>
      <c r="AO143" s="142"/>
      <c r="AP143" s="142"/>
      <c r="AQ143" s="142"/>
      <c r="AR143" s="142"/>
      <c r="AS143" s="142"/>
      <c r="AT143" s="142"/>
      <c r="AU143" s="142"/>
      <c r="AV143" s="142"/>
      <c r="AW143" s="142"/>
      <c r="AX143" s="142"/>
      <c r="AY143" s="142"/>
      <c r="AZ143" s="142"/>
      <c r="BA143" s="142"/>
      <c r="BB143" s="142"/>
      <c r="BC143" s="142"/>
      <c r="BD143" s="142"/>
      <c r="BE143" s="142"/>
      <c r="BF143" s="142"/>
      <c r="BG143" s="161"/>
    </row>
    <row r="144" spans="1:59" x14ac:dyDescent="0.25">
      <c r="A144" s="158"/>
      <c r="B144" s="139"/>
      <c r="C144" s="139"/>
      <c r="D144" s="139"/>
      <c r="E144" s="139"/>
      <c r="F144" s="139"/>
      <c r="G144" s="139"/>
      <c r="H144" s="139"/>
      <c r="I144" s="139"/>
      <c r="J144" s="139"/>
      <c r="K144" s="139"/>
      <c r="L144" s="139"/>
      <c r="M144" s="139"/>
      <c r="N144" s="139"/>
      <c r="O144" s="139"/>
      <c r="P144" s="139"/>
      <c r="Q144" s="139"/>
      <c r="R144" s="251"/>
      <c r="S144" s="139"/>
      <c r="T144" s="139"/>
      <c r="U144" s="145"/>
      <c r="V144" s="139"/>
      <c r="W144" s="139"/>
      <c r="X144" s="102" t="s">
        <v>1195</v>
      </c>
      <c r="Y144" s="139"/>
      <c r="Z144" s="139"/>
      <c r="AA144" s="145"/>
      <c r="AB144" s="139"/>
      <c r="AC144" s="146"/>
      <c r="AD144" s="146"/>
      <c r="AE144" s="146"/>
      <c r="AF144" s="139"/>
      <c r="AG144" s="139"/>
      <c r="AH144" s="139"/>
      <c r="AI144" s="145"/>
      <c r="AJ144" s="139"/>
      <c r="AK144" s="139"/>
      <c r="AL144" s="139"/>
      <c r="AM144" s="139"/>
      <c r="AN144" s="139"/>
      <c r="AO144" s="139"/>
      <c r="AP144" s="139"/>
      <c r="AQ144" s="139"/>
      <c r="AR144" s="139"/>
      <c r="AS144" s="139"/>
      <c r="AT144" s="139"/>
      <c r="AU144" s="139"/>
      <c r="AV144" s="139"/>
      <c r="AW144" s="139"/>
      <c r="AX144" s="139"/>
      <c r="AY144" s="139"/>
      <c r="AZ144" s="139"/>
      <c r="BA144" s="139"/>
      <c r="BB144" s="139"/>
      <c r="BC144" s="139"/>
      <c r="BD144" s="139"/>
      <c r="BE144" s="139"/>
      <c r="BF144" s="139"/>
      <c r="BG144" s="162"/>
    </row>
    <row r="145" spans="1:59" x14ac:dyDescent="0.25">
      <c r="A145" s="157"/>
      <c r="B145" s="142"/>
      <c r="C145" s="142"/>
      <c r="D145" s="142"/>
      <c r="E145" s="142"/>
      <c r="F145" s="142"/>
      <c r="G145" s="142"/>
      <c r="H145" s="142"/>
      <c r="I145" s="142"/>
      <c r="J145" s="142"/>
      <c r="K145" s="142"/>
      <c r="L145" s="142"/>
      <c r="M145" s="142"/>
      <c r="N145" s="142"/>
      <c r="O145" s="142"/>
      <c r="P145" s="142"/>
      <c r="Q145" s="142"/>
      <c r="R145" s="250"/>
      <c r="S145" s="142"/>
      <c r="T145" s="142"/>
      <c r="U145" s="143"/>
      <c r="V145" s="142"/>
      <c r="W145" s="142"/>
      <c r="X145" s="94" t="s">
        <v>1195</v>
      </c>
      <c r="Y145" s="142"/>
      <c r="Z145" s="142"/>
      <c r="AA145" s="143"/>
      <c r="AB145" s="142"/>
      <c r="AC145" s="144"/>
      <c r="AD145" s="144"/>
      <c r="AE145" s="144"/>
      <c r="AF145" s="142"/>
      <c r="AG145" s="142"/>
      <c r="AH145" s="142"/>
      <c r="AI145" s="143"/>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61"/>
    </row>
    <row r="146" spans="1:59" x14ac:dyDescent="0.25">
      <c r="A146" s="158"/>
      <c r="B146" s="139"/>
      <c r="C146" s="139"/>
      <c r="D146" s="139"/>
      <c r="E146" s="139"/>
      <c r="F146" s="139"/>
      <c r="G146" s="139"/>
      <c r="H146" s="139"/>
      <c r="I146" s="139"/>
      <c r="J146" s="139"/>
      <c r="K146" s="139"/>
      <c r="L146" s="139"/>
      <c r="M146" s="139"/>
      <c r="N146" s="139"/>
      <c r="O146" s="139"/>
      <c r="P146" s="139"/>
      <c r="Q146" s="139"/>
      <c r="R146" s="251"/>
      <c r="S146" s="139"/>
      <c r="T146" s="139"/>
      <c r="U146" s="145"/>
      <c r="V146" s="139"/>
      <c r="W146" s="139"/>
      <c r="X146" s="102" t="s">
        <v>1195</v>
      </c>
      <c r="Y146" s="139"/>
      <c r="Z146" s="139"/>
      <c r="AA146" s="145"/>
      <c r="AB146" s="139"/>
      <c r="AC146" s="146"/>
      <c r="AD146" s="146"/>
      <c r="AE146" s="146"/>
      <c r="AF146" s="139"/>
      <c r="AG146" s="139"/>
      <c r="AH146" s="139"/>
      <c r="AI146" s="145"/>
      <c r="AJ146" s="139"/>
      <c r="AK146" s="139"/>
      <c r="AL146" s="139"/>
      <c r="AM146" s="139"/>
      <c r="AN146" s="139"/>
      <c r="AO146" s="139"/>
      <c r="AP146" s="139"/>
      <c r="AQ146" s="139"/>
      <c r="AR146" s="139"/>
      <c r="AS146" s="139"/>
      <c r="AT146" s="139"/>
      <c r="AU146" s="139"/>
      <c r="AV146" s="139"/>
      <c r="AW146" s="139"/>
      <c r="AX146" s="139"/>
      <c r="AY146" s="139"/>
      <c r="AZ146" s="139"/>
      <c r="BA146" s="139"/>
      <c r="BB146" s="139"/>
      <c r="BC146" s="139"/>
      <c r="BD146" s="139"/>
      <c r="BE146" s="139"/>
      <c r="BF146" s="139"/>
      <c r="BG146" s="162"/>
    </row>
    <row r="147" spans="1:59" x14ac:dyDescent="0.25">
      <c r="A147" s="157"/>
      <c r="B147" s="142"/>
      <c r="C147" s="142"/>
      <c r="D147" s="142"/>
      <c r="E147" s="142"/>
      <c r="F147" s="142"/>
      <c r="G147" s="142"/>
      <c r="H147" s="142"/>
      <c r="I147" s="142"/>
      <c r="J147" s="142"/>
      <c r="K147" s="142"/>
      <c r="L147" s="142"/>
      <c r="M147" s="142"/>
      <c r="N147" s="142"/>
      <c r="O147" s="142"/>
      <c r="P147" s="142"/>
      <c r="Q147" s="142"/>
      <c r="R147" s="250"/>
      <c r="S147" s="142"/>
      <c r="T147" s="142"/>
      <c r="U147" s="143"/>
      <c r="V147" s="142"/>
      <c r="W147" s="142"/>
      <c r="X147" s="94" t="s">
        <v>1195</v>
      </c>
      <c r="Y147" s="142"/>
      <c r="Z147" s="142"/>
      <c r="AA147" s="143"/>
      <c r="AB147" s="142"/>
      <c r="AC147" s="144"/>
      <c r="AD147" s="144"/>
      <c r="AE147" s="144"/>
      <c r="AF147" s="142"/>
      <c r="AG147" s="142"/>
      <c r="AH147" s="142"/>
      <c r="AI147" s="143"/>
      <c r="AJ147" s="142"/>
      <c r="AK147" s="142"/>
      <c r="AL147" s="142"/>
      <c r="AM147" s="142"/>
      <c r="AN147" s="142"/>
      <c r="AO147" s="142"/>
      <c r="AP147" s="142"/>
      <c r="AQ147" s="142"/>
      <c r="AR147" s="142"/>
      <c r="AS147" s="142"/>
      <c r="AT147" s="142"/>
      <c r="AU147" s="142"/>
      <c r="AV147" s="142"/>
      <c r="AW147" s="142"/>
      <c r="AX147" s="142"/>
      <c r="AY147" s="142"/>
      <c r="AZ147" s="142"/>
      <c r="BA147" s="142"/>
      <c r="BB147" s="142"/>
      <c r="BC147" s="142"/>
      <c r="BD147" s="142"/>
      <c r="BE147" s="142"/>
      <c r="BF147" s="142"/>
      <c r="BG147" s="161"/>
    </row>
    <row r="148" spans="1:59" x14ac:dyDescent="0.25">
      <c r="A148" s="158"/>
      <c r="B148" s="139"/>
      <c r="C148" s="139"/>
      <c r="D148" s="139"/>
      <c r="E148" s="139"/>
      <c r="F148" s="139"/>
      <c r="G148" s="139"/>
      <c r="H148" s="139"/>
      <c r="I148" s="139"/>
      <c r="J148" s="139"/>
      <c r="K148" s="139"/>
      <c r="L148" s="139"/>
      <c r="M148" s="139"/>
      <c r="N148" s="139"/>
      <c r="O148" s="139"/>
      <c r="P148" s="139"/>
      <c r="Q148" s="139"/>
      <c r="R148" s="251"/>
      <c r="S148" s="139"/>
      <c r="T148" s="139"/>
      <c r="U148" s="145"/>
      <c r="V148" s="139"/>
      <c r="W148" s="139"/>
      <c r="X148" s="102" t="s">
        <v>1195</v>
      </c>
      <c r="Y148" s="139"/>
      <c r="Z148" s="139"/>
      <c r="AA148" s="145"/>
      <c r="AB148" s="139"/>
      <c r="AC148" s="146"/>
      <c r="AD148" s="146"/>
      <c r="AE148" s="146"/>
      <c r="AF148" s="139"/>
      <c r="AG148" s="139"/>
      <c r="AH148" s="139"/>
      <c r="AI148" s="145"/>
      <c r="AJ148" s="139"/>
      <c r="AK148" s="139"/>
      <c r="AL148" s="139"/>
      <c r="AM148" s="139"/>
      <c r="AN148" s="139"/>
      <c r="AO148" s="139"/>
      <c r="AP148" s="139"/>
      <c r="AQ148" s="139"/>
      <c r="AR148" s="139"/>
      <c r="AS148" s="139"/>
      <c r="AT148" s="139"/>
      <c r="AU148" s="139"/>
      <c r="AV148" s="139"/>
      <c r="AW148" s="139"/>
      <c r="AX148" s="139"/>
      <c r="AY148" s="139"/>
      <c r="AZ148" s="139"/>
      <c r="BA148" s="139"/>
      <c r="BB148" s="139"/>
      <c r="BC148" s="139"/>
      <c r="BD148" s="139"/>
      <c r="BE148" s="139"/>
      <c r="BF148" s="139"/>
      <c r="BG148" s="162"/>
    </row>
    <row r="149" spans="1:59" x14ac:dyDescent="0.25">
      <c r="A149" s="157"/>
      <c r="B149" s="142"/>
      <c r="C149" s="142"/>
      <c r="D149" s="142"/>
      <c r="E149" s="142"/>
      <c r="F149" s="142"/>
      <c r="G149" s="142"/>
      <c r="H149" s="142"/>
      <c r="I149" s="142"/>
      <c r="J149" s="142"/>
      <c r="K149" s="142"/>
      <c r="L149" s="142"/>
      <c r="M149" s="142"/>
      <c r="N149" s="142"/>
      <c r="O149" s="142"/>
      <c r="P149" s="142"/>
      <c r="Q149" s="142"/>
      <c r="R149" s="250"/>
      <c r="S149" s="142"/>
      <c r="T149" s="142"/>
      <c r="U149" s="143"/>
      <c r="V149" s="142"/>
      <c r="W149" s="142"/>
      <c r="X149" s="94" t="s">
        <v>1195</v>
      </c>
      <c r="Y149" s="142"/>
      <c r="Z149" s="142"/>
      <c r="AA149" s="143"/>
      <c r="AB149" s="142"/>
      <c r="AC149" s="144"/>
      <c r="AD149" s="144"/>
      <c r="AE149" s="144"/>
      <c r="AF149" s="142"/>
      <c r="AG149" s="142"/>
      <c r="AH149" s="142"/>
      <c r="AI149" s="143"/>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61"/>
    </row>
    <row r="150" spans="1:59" x14ac:dyDescent="0.25">
      <c r="A150" s="158"/>
      <c r="B150" s="139"/>
      <c r="C150" s="139"/>
      <c r="D150" s="139"/>
      <c r="E150" s="139"/>
      <c r="F150" s="139"/>
      <c r="G150" s="139"/>
      <c r="H150" s="139"/>
      <c r="I150" s="139"/>
      <c r="J150" s="139"/>
      <c r="K150" s="139"/>
      <c r="L150" s="139"/>
      <c r="M150" s="139"/>
      <c r="N150" s="139"/>
      <c r="O150" s="139"/>
      <c r="P150" s="139"/>
      <c r="Q150" s="139"/>
      <c r="R150" s="251"/>
      <c r="S150" s="139"/>
      <c r="T150" s="139"/>
      <c r="U150" s="145"/>
      <c r="V150" s="139"/>
      <c r="W150" s="139"/>
      <c r="X150" s="102" t="s">
        <v>1195</v>
      </c>
      <c r="Y150" s="139"/>
      <c r="Z150" s="139"/>
      <c r="AA150" s="145"/>
      <c r="AB150" s="139"/>
      <c r="AC150" s="146"/>
      <c r="AD150" s="146"/>
      <c r="AE150" s="146"/>
      <c r="AF150" s="139"/>
      <c r="AG150" s="139"/>
      <c r="AH150" s="139"/>
      <c r="AI150" s="145"/>
      <c r="AJ150" s="139"/>
      <c r="AK150" s="139"/>
      <c r="AL150" s="139"/>
      <c r="AM150" s="139"/>
      <c r="AN150" s="139"/>
      <c r="AO150" s="139"/>
      <c r="AP150" s="139"/>
      <c r="AQ150" s="139"/>
      <c r="AR150" s="139"/>
      <c r="AS150" s="139"/>
      <c r="AT150" s="139"/>
      <c r="AU150" s="139"/>
      <c r="AV150" s="139"/>
      <c r="AW150" s="139"/>
      <c r="AX150" s="139"/>
      <c r="AY150" s="139"/>
      <c r="AZ150" s="139"/>
      <c r="BA150" s="139"/>
      <c r="BB150" s="139"/>
      <c r="BC150" s="139"/>
      <c r="BD150" s="139"/>
      <c r="BE150" s="139"/>
      <c r="BF150" s="139"/>
      <c r="BG150" s="162"/>
    </row>
    <row r="151" spans="1:59" x14ac:dyDescent="0.25">
      <c r="A151" s="157"/>
      <c r="B151" s="142"/>
      <c r="C151" s="142"/>
      <c r="D151" s="142"/>
      <c r="E151" s="142"/>
      <c r="F151" s="142"/>
      <c r="G151" s="142"/>
      <c r="H151" s="142"/>
      <c r="I151" s="142"/>
      <c r="J151" s="142"/>
      <c r="K151" s="142"/>
      <c r="L151" s="142"/>
      <c r="M151" s="142"/>
      <c r="N151" s="142"/>
      <c r="O151" s="142"/>
      <c r="P151" s="142"/>
      <c r="Q151" s="142"/>
      <c r="R151" s="250"/>
      <c r="S151" s="142"/>
      <c r="T151" s="142"/>
      <c r="U151" s="143"/>
      <c r="V151" s="142"/>
      <c r="W151" s="142"/>
      <c r="X151" s="94" t="s">
        <v>1195</v>
      </c>
      <c r="Y151" s="142"/>
      <c r="Z151" s="142"/>
      <c r="AA151" s="143"/>
      <c r="AB151" s="142"/>
      <c r="AC151" s="144"/>
      <c r="AD151" s="144"/>
      <c r="AE151" s="144"/>
      <c r="AF151" s="142"/>
      <c r="AG151" s="142"/>
      <c r="AH151" s="142"/>
      <c r="AI151" s="143"/>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61"/>
    </row>
    <row r="152" spans="1:59" x14ac:dyDescent="0.25">
      <c r="A152" s="158"/>
      <c r="B152" s="139"/>
      <c r="C152" s="139"/>
      <c r="D152" s="139"/>
      <c r="E152" s="139"/>
      <c r="F152" s="139"/>
      <c r="G152" s="139"/>
      <c r="H152" s="139"/>
      <c r="I152" s="139"/>
      <c r="J152" s="139"/>
      <c r="K152" s="139"/>
      <c r="L152" s="139"/>
      <c r="M152" s="139"/>
      <c r="N152" s="139"/>
      <c r="O152" s="139"/>
      <c r="P152" s="139"/>
      <c r="Q152" s="139"/>
      <c r="R152" s="251"/>
      <c r="S152" s="139"/>
      <c r="T152" s="139"/>
      <c r="U152" s="145"/>
      <c r="V152" s="139"/>
      <c r="W152" s="139"/>
      <c r="X152" s="102" t="s">
        <v>1195</v>
      </c>
      <c r="Y152" s="139"/>
      <c r="Z152" s="139"/>
      <c r="AA152" s="145"/>
      <c r="AB152" s="139"/>
      <c r="AC152" s="146"/>
      <c r="AD152" s="146"/>
      <c r="AE152" s="146"/>
      <c r="AF152" s="139"/>
      <c r="AG152" s="139"/>
      <c r="AH152" s="139"/>
      <c r="AI152" s="145"/>
      <c r="AJ152" s="139"/>
      <c r="AK152" s="139"/>
      <c r="AL152" s="139"/>
      <c r="AM152" s="139"/>
      <c r="AN152" s="139"/>
      <c r="AO152" s="139"/>
      <c r="AP152" s="139"/>
      <c r="AQ152" s="139"/>
      <c r="AR152" s="139"/>
      <c r="AS152" s="139"/>
      <c r="AT152" s="139"/>
      <c r="AU152" s="139"/>
      <c r="AV152" s="139"/>
      <c r="AW152" s="139"/>
      <c r="AX152" s="139"/>
      <c r="AY152" s="139"/>
      <c r="AZ152" s="139"/>
      <c r="BA152" s="139"/>
      <c r="BB152" s="139"/>
      <c r="BC152" s="139"/>
      <c r="BD152" s="139"/>
      <c r="BE152" s="139"/>
      <c r="BF152" s="139"/>
      <c r="BG152" s="162"/>
    </row>
    <row r="153" spans="1:59" x14ac:dyDescent="0.25">
      <c r="A153" s="157"/>
      <c r="B153" s="142"/>
      <c r="C153" s="142"/>
      <c r="D153" s="142"/>
      <c r="E153" s="142"/>
      <c r="F153" s="142"/>
      <c r="G153" s="142"/>
      <c r="H153" s="142"/>
      <c r="I153" s="142"/>
      <c r="J153" s="142"/>
      <c r="K153" s="142"/>
      <c r="L153" s="142"/>
      <c r="M153" s="142"/>
      <c r="N153" s="142"/>
      <c r="O153" s="142"/>
      <c r="P153" s="142"/>
      <c r="Q153" s="142"/>
      <c r="R153" s="250"/>
      <c r="S153" s="142"/>
      <c r="T153" s="142"/>
      <c r="U153" s="143"/>
      <c r="V153" s="142"/>
      <c r="W153" s="142"/>
      <c r="X153" s="94" t="s">
        <v>1195</v>
      </c>
      <c r="Y153" s="142"/>
      <c r="Z153" s="142"/>
      <c r="AA153" s="143"/>
      <c r="AB153" s="142"/>
      <c r="AC153" s="144"/>
      <c r="AD153" s="144"/>
      <c r="AE153" s="144"/>
      <c r="AF153" s="142"/>
      <c r="AG153" s="142"/>
      <c r="AH153" s="142"/>
      <c r="AI153" s="143"/>
      <c r="AJ153" s="142"/>
      <c r="AK153" s="142"/>
      <c r="AL153" s="142"/>
      <c r="AM153" s="142"/>
      <c r="AN153" s="142"/>
      <c r="AO153" s="142"/>
      <c r="AP153" s="142"/>
      <c r="AQ153" s="142"/>
      <c r="AR153" s="142"/>
      <c r="AS153" s="142"/>
      <c r="AT153" s="142"/>
      <c r="AU153" s="142"/>
      <c r="AV153" s="142"/>
      <c r="AW153" s="142"/>
      <c r="AX153" s="142"/>
      <c r="AY153" s="142"/>
      <c r="AZ153" s="142"/>
      <c r="BA153" s="142"/>
      <c r="BB153" s="142"/>
      <c r="BC153" s="142"/>
      <c r="BD153" s="142"/>
      <c r="BE153" s="142"/>
      <c r="BF153" s="142"/>
      <c r="BG153" s="161"/>
    </row>
    <row r="154" spans="1:59" x14ac:dyDescent="0.25">
      <c r="A154" s="158"/>
      <c r="B154" s="139"/>
      <c r="C154" s="139"/>
      <c r="D154" s="139"/>
      <c r="E154" s="139"/>
      <c r="F154" s="139"/>
      <c r="G154" s="139"/>
      <c r="H154" s="139"/>
      <c r="I154" s="139"/>
      <c r="J154" s="139"/>
      <c r="K154" s="139"/>
      <c r="L154" s="139"/>
      <c r="M154" s="139"/>
      <c r="N154" s="139"/>
      <c r="O154" s="139"/>
      <c r="P154" s="139"/>
      <c r="Q154" s="139"/>
      <c r="R154" s="251"/>
      <c r="S154" s="139"/>
      <c r="T154" s="139"/>
      <c r="U154" s="145"/>
      <c r="V154" s="139"/>
      <c r="W154" s="139"/>
      <c r="X154" s="102" t="s">
        <v>1195</v>
      </c>
      <c r="Y154" s="139"/>
      <c r="Z154" s="139"/>
      <c r="AA154" s="145"/>
      <c r="AB154" s="139"/>
      <c r="AC154" s="146"/>
      <c r="AD154" s="146"/>
      <c r="AE154" s="146"/>
      <c r="AF154" s="139"/>
      <c r="AG154" s="139"/>
      <c r="AH154" s="139"/>
      <c r="AI154" s="145"/>
      <c r="AJ154" s="139"/>
      <c r="AK154" s="139"/>
      <c r="AL154" s="139"/>
      <c r="AM154" s="139"/>
      <c r="AN154" s="139"/>
      <c r="AO154" s="139"/>
      <c r="AP154" s="139"/>
      <c r="AQ154" s="139"/>
      <c r="AR154" s="139"/>
      <c r="AS154" s="139"/>
      <c r="AT154" s="139"/>
      <c r="AU154" s="139"/>
      <c r="AV154" s="139"/>
      <c r="AW154" s="139"/>
      <c r="AX154" s="139"/>
      <c r="AY154" s="139"/>
      <c r="AZ154" s="139"/>
      <c r="BA154" s="139"/>
      <c r="BB154" s="139"/>
      <c r="BC154" s="139"/>
      <c r="BD154" s="139"/>
      <c r="BE154" s="139"/>
      <c r="BF154" s="139"/>
      <c r="BG154" s="162"/>
    </row>
    <row r="155" spans="1:59" x14ac:dyDescent="0.25">
      <c r="A155" s="157"/>
      <c r="B155" s="142"/>
      <c r="C155" s="142"/>
      <c r="D155" s="142"/>
      <c r="E155" s="142"/>
      <c r="F155" s="142"/>
      <c r="G155" s="142"/>
      <c r="H155" s="142"/>
      <c r="I155" s="142"/>
      <c r="J155" s="142"/>
      <c r="K155" s="142"/>
      <c r="L155" s="142"/>
      <c r="M155" s="142"/>
      <c r="N155" s="142"/>
      <c r="O155" s="142"/>
      <c r="P155" s="142"/>
      <c r="Q155" s="142"/>
      <c r="R155" s="250"/>
      <c r="S155" s="142"/>
      <c r="T155" s="142"/>
      <c r="U155" s="143"/>
      <c r="V155" s="142"/>
      <c r="W155" s="142"/>
      <c r="X155" s="94" t="s">
        <v>1195</v>
      </c>
      <c r="Y155" s="142"/>
      <c r="Z155" s="142"/>
      <c r="AA155" s="143"/>
      <c r="AB155" s="142"/>
      <c r="AC155" s="144"/>
      <c r="AD155" s="144"/>
      <c r="AE155" s="144"/>
      <c r="AF155" s="142"/>
      <c r="AG155" s="142"/>
      <c r="AH155" s="142"/>
      <c r="AI155" s="143"/>
      <c r="AJ155" s="142"/>
      <c r="AK155" s="142"/>
      <c r="AL155" s="142"/>
      <c r="AM155" s="142"/>
      <c r="AN155" s="142"/>
      <c r="AO155" s="142"/>
      <c r="AP155" s="142"/>
      <c r="AQ155" s="142"/>
      <c r="AR155" s="142"/>
      <c r="AS155" s="142"/>
      <c r="AT155" s="142"/>
      <c r="AU155" s="142"/>
      <c r="AV155" s="142"/>
      <c r="AW155" s="142"/>
      <c r="AX155" s="142"/>
      <c r="AY155" s="142"/>
      <c r="AZ155" s="142"/>
      <c r="BA155" s="142"/>
      <c r="BB155" s="142"/>
      <c r="BC155" s="142"/>
      <c r="BD155" s="142"/>
      <c r="BE155" s="142"/>
      <c r="BF155" s="142"/>
      <c r="BG155" s="161"/>
    </row>
    <row r="156" spans="1:59" x14ac:dyDescent="0.25">
      <c r="A156" s="158"/>
      <c r="B156" s="139"/>
      <c r="C156" s="139"/>
      <c r="D156" s="139"/>
      <c r="E156" s="139"/>
      <c r="F156" s="139"/>
      <c r="G156" s="139"/>
      <c r="H156" s="139"/>
      <c r="I156" s="139"/>
      <c r="J156" s="139"/>
      <c r="K156" s="139"/>
      <c r="L156" s="139"/>
      <c r="M156" s="139"/>
      <c r="N156" s="139"/>
      <c r="O156" s="139"/>
      <c r="P156" s="139"/>
      <c r="Q156" s="139"/>
      <c r="R156" s="251"/>
      <c r="S156" s="139"/>
      <c r="T156" s="139"/>
      <c r="U156" s="145"/>
      <c r="V156" s="139"/>
      <c r="W156" s="139"/>
      <c r="X156" s="102" t="s">
        <v>1195</v>
      </c>
      <c r="Y156" s="139"/>
      <c r="Z156" s="139"/>
      <c r="AA156" s="145"/>
      <c r="AB156" s="139"/>
      <c r="AC156" s="146"/>
      <c r="AD156" s="146"/>
      <c r="AE156" s="146"/>
      <c r="AF156" s="139"/>
      <c r="AG156" s="139"/>
      <c r="AH156" s="139"/>
      <c r="AI156" s="145"/>
      <c r="AJ156" s="139"/>
      <c r="AK156" s="139"/>
      <c r="AL156" s="139"/>
      <c r="AM156" s="139"/>
      <c r="AN156" s="139"/>
      <c r="AO156" s="139"/>
      <c r="AP156" s="139"/>
      <c r="AQ156" s="139"/>
      <c r="AR156" s="139"/>
      <c r="AS156" s="139"/>
      <c r="AT156" s="139"/>
      <c r="AU156" s="139"/>
      <c r="AV156" s="139"/>
      <c r="AW156" s="139"/>
      <c r="AX156" s="139"/>
      <c r="AY156" s="139"/>
      <c r="AZ156" s="139"/>
      <c r="BA156" s="139"/>
      <c r="BB156" s="139"/>
      <c r="BC156" s="139"/>
      <c r="BD156" s="139"/>
      <c r="BE156" s="139"/>
      <c r="BF156" s="139"/>
      <c r="BG156" s="162"/>
    </row>
    <row r="157" spans="1:59" x14ac:dyDescent="0.25">
      <c r="A157" s="157"/>
      <c r="B157" s="142"/>
      <c r="C157" s="142"/>
      <c r="D157" s="142"/>
      <c r="E157" s="142"/>
      <c r="F157" s="142"/>
      <c r="G157" s="142"/>
      <c r="H157" s="142"/>
      <c r="I157" s="142"/>
      <c r="J157" s="142"/>
      <c r="K157" s="142"/>
      <c r="L157" s="142"/>
      <c r="M157" s="142"/>
      <c r="N157" s="142"/>
      <c r="O157" s="142"/>
      <c r="P157" s="142"/>
      <c r="Q157" s="142"/>
      <c r="R157" s="250"/>
      <c r="S157" s="142"/>
      <c r="T157" s="142"/>
      <c r="U157" s="143"/>
      <c r="V157" s="142"/>
      <c r="W157" s="142"/>
      <c r="X157" s="94" t="s">
        <v>1195</v>
      </c>
      <c r="Y157" s="142"/>
      <c r="Z157" s="142"/>
      <c r="AA157" s="143"/>
      <c r="AB157" s="142"/>
      <c r="AC157" s="144"/>
      <c r="AD157" s="144"/>
      <c r="AE157" s="144"/>
      <c r="AF157" s="142"/>
      <c r="AG157" s="142"/>
      <c r="AH157" s="142"/>
      <c r="AI157" s="143"/>
      <c r="AJ157" s="142"/>
      <c r="AK157" s="142"/>
      <c r="AL157" s="142"/>
      <c r="AM157" s="142"/>
      <c r="AN157" s="142"/>
      <c r="AO157" s="142"/>
      <c r="AP157" s="142"/>
      <c r="AQ157" s="142"/>
      <c r="AR157" s="142"/>
      <c r="AS157" s="142"/>
      <c r="AT157" s="142"/>
      <c r="AU157" s="142"/>
      <c r="AV157" s="142"/>
      <c r="AW157" s="142"/>
      <c r="AX157" s="142"/>
      <c r="AY157" s="142"/>
      <c r="AZ157" s="142"/>
      <c r="BA157" s="142"/>
      <c r="BB157" s="142"/>
      <c r="BC157" s="142"/>
      <c r="BD157" s="142"/>
      <c r="BE157" s="142"/>
      <c r="BF157" s="142"/>
      <c r="BG157" s="161"/>
    </row>
    <row r="158" spans="1:59" x14ac:dyDescent="0.25">
      <c r="A158" s="158"/>
      <c r="B158" s="139"/>
      <c r="C158" s="139"/>
      <c r="D158" s="139"/>
      <c r="E158" s="139"/>
      <c r="F158" s="139"/>
      <c r="G158" s="139"/>
      <c r="H158" s="139"/>
      <c r="I158" s="139"/>
      <c r="J158" s="139"/>
      <c r="K158" s="139"/>
      <c r="L158" s="139"/>
      <c r="M158" s="139"/>
      <c r="N158" s="139"/>
      <c r="O158" s="139"/>
      <c r="P158" s="139"/>
      <c r="Q158" s="139"/>
      <c r="R158" s="251"/>
      <c r="S158" s="139"/>
      <c r="T158" s="139"/>
      <c r="U158" s="145"/>
      <c r="V158" s="139"/>
      <c r="W158" s="139"/>
      <c r="X158" s="102" t="s">
        <v>1195</v>
      </c>
      <c r="Y158" s="139"/>
      <c r="Z158" s="139"/>
      <c r="AA158" s="145"/>
      <c r="AB158" s="139"/>
      <c r="AC158" s="146"/>
      <c r="AD158" s="146"/>
      <c r="AE158" s="146"/>
      <c r="AF158" s="139"/>
      <c r="AG158" s="139"/>
      <c r="AH158" s="139"/>
      <c r="AI158" s="145"/>
      <c r="AJ158" s="139"/>
      <c r="AK158" s="139"/>
      <c r="AL158" s="139"/>
      <c r="AM158" s="139"/>
      <c r="AN158" s="139"/>
      <c r="AO158" s="139"/>
      <c r="AP158" s="139"/>
      <c r="AQ158" s="139"/>
      <c r="AR158" s="139"/>
      <c r="AS158" s="139"/>
      <c r="AT158" s="139"/>
      <c r="AU158" s="139"/>
      <c r="AV158" s="139"/>
      <c r="AW158" s="139"/>
      <c r="AX158" s="139"/>
      <c r="AY158" s="139"/>
      <c r="AZ158" s="139"/>
      <c r="BA158" s="139"/>
      <c r="BB158" s="139"/>
      <c r="BC158" s="139"/>
      <c r="BD158" s="139"/>
      <c r="BE158" s="139"/>
      <c r="BF158" s="139"/>
      <c r="BG158" s="162"/>
    </row>
    <row r="159" spans="1:59" x14ac:dyDescent="0.25">
      <c r="A159" s="157"/>
      <c r="B159" s="142"/>
      <c r="C159" s="142"/>
      <c r="D159" s="142"/>
      <c r="E159" s="142"/>
      <c r="F159" s="142"/>
      <c r="G159" s="142"/>
      <c r="H159" s="142"/>
      <c r="I159" s="142"/>
      <c r="J159" s="142"/>
      <c r="K159" s="142"/>
      <c r="L159" s="142"/>
      <c r="M159" s="142"/>
      <c r="N159" s="142"/>
      <c r="O159" s="142"/>
      <c r="P159" s="142"/>
      <c r="Q159" s="142"/>
      <c r="R159" s="250"/>
      <c r="S159" s="142"/>
      <c r="T159" s="142"/>
      <c r="U159" s="143"/>
      <c r="V159" s="142"/>
      <c r="W159" s="142"/>
      <c r="X159" s="94" t="s">
        <v>1195</v>
      </c>
      <c r="Y159" s="142"/>
      <c r="Z159" s="142"/>
      <c r="AA159" s="143"/>
      <c r="AB159" s="142"/>
      <c r="AC159" s="144"/>
      <c r="AD159" s="144"/>
      <c r="AE159" s="144"/>
      <c r="AF159" s="142"/>
      <c r="AG159" s="142"/>
      <c r="AH159" s="142"/>
      <c r="AI159" s="143"/>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61"/>
    </row>
    <row r="160" spans="1:59" x14ac:dyDescent="0.25">
      <c r="A160" s="158"/>
      <c r="B160" s="139"/>
      <c r="C160" s="139"/>
      <c r="D160" s="139"/>
      <c r="E160" s="139"/>
      <c r="F160" s="139"/>
      <c r="G160" s="139"/>
      <c r="H160" s="139"/>
      <c r="I160" s="139"/>
      <c r="J160" s="139"/>
      <c r="K160" s="139"/>
      <c r="L160" s="139"/>
      <c r="M160" s="139"/>
      <c r="N160" s="139"/>
      <c r="O160" s="139"/>
      <c r="P160" s="139"/>
      <c r="Q160" s="139"/>
      <c r="R160" s="251"/>
      <c r="S160" s="139"/>
      <c r="T160" s="139"/>
      <c r="U160" s="145"/>
      <c r="V160" s="139"/>
      <c r="W160" s="139"/>
      <c r="X160" s="102" t="s">
        <v>1195</v>
      </c>
      <c r="Y160" s="139"/>
      <c r="Z160" s="139"/>
      <c r="AA160" s="145"/>
      <c r="AB160" s="139"/>
      <c r="AC160" s="146"/>
      <c r="AD160" s="146"/>
      <c r="AE160" s="146"/>
      <c r="AF160" s="139"/>
      <c r="AG160" s="139"/>
      <c r="AH160" s="139"/>
      <c r="AI160" s="145"/>
      <c r="AJ160" s="139"/>
      <c r="AK160" s="139"/>
      <c r="AL160" s="139"/>
      <c r="AM160" s="139"/>
      <c r="AN160" s="139"/>
      <c r="AO160" s="139"/>
      <c r="AP160" s="139"/>
      <c r="AQ160" s="139"/>
      <c r="AR160" s="139"/>
      <c r="AS160" s="139"/>
      <c r="AT160" s="139"/>
      <c r="AU160" s="139"/>
      <c r="AV160" s="139"/>
      <c r="AW160" s="139"/>
      <c r="AX160" s="139"/>
      <c r="AY160" s="139"/>
      <c r="AZ160" s="139"/>
      <c r="BA160" s="139"/>
      <c r="BB160" s="139"/>
      <c r="BC160" s="139"/>
      <c r="BD160" s="139"/>
      <c r="BE160" s="139"/>
      <c r="BF160" s="139"/>
      <c r="BG160" s="162"/>
    </row>
    <row r="161" spans="1:59" x14ac:dyDescent="0.25">
      <c r="A161" s="157"/>
      <c r="B161" s="142"/>
      <c r="C161" s="142"/>
      <c r="D161" s="142"/>
      <c r="E161" s="142"/>
      <c r="F161" s="142"/>
      <c r="G161" s="142"/>
      <c r="H161" s="142"/>
      <c r="I161" s="142"/>
      <c r="J161" s="142"/>
      <c r="K161" s="142"/>
      <c r="L161" s="142"/>
      <c r="M161" s="142"/>
      <c r="N161" s="142"/>
      <c r="O161" s="142"/>
      <c r="P161" s="142"/>
      <c r="Q161" s="142"/>
      <c r="R161" s="250"/>
      <c r="S161" s="142"/>
      <c r="T161" s="142"/>
      <c r="U161" s="143"/>
      <c r="V161" s="142"/>
      <c r="W161" s="142"/>
      <c r="X161" s="94" t="s">
        <v>1195</v>
      </c>
      <c r="Y161" s="142"/>
      <c r="Z161" s="142"/>
      <c r="AA161" s="143"/>
      <c r="AB161" s="142"/>
      <c r="AC161" s="144"/>
      <c r="AD161" s="144"/>
      <c r="AE161" s="144"/>
      <c r="AF161" s="142"/>
      <c r="AG161" s="142"/>
      <c r="AH161" s="142"/>
      <c r="AI161" s="143"/>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61"/>
    </row>
    <row r="162" spans="1:59" x14ac:dyDescent="0.25">
      <c r="A162" s="158"/>
      <c r="B162" s="139"/>
      <c r="C162" s="139"/>
      <c r="D162" s="139"/>
      <c r="E162" s="139"/>
      <c r="F162" s="139"/>
      <c r="G162" s="139"/>
      <c r="H162" s="139"/>
      <c r="I162" s="139"/>
      <c r="J162" s="139"/>
      <c r="K162" s="139"/>
      <c r="L162" s="139"/>
      <c r="M162" s="139"/>
      <c r="N162" s="139"/>
      <c r="O162" s="139"/>
      <c r="P162" s="139"/>
      <c r="Q162" s="139"/>
      <c r="R162" s="251"/>
      <c r="S162" s="139"/>
      <c r="T162" s="139"/>
      <c r="U162" s="145"/>
      <c r="V162" s="139"/>
      <c r="W162" s="139"/>
      <c r="X162" s="102" t="s">
        <v>1195</v>
      </c>
      <c r="Y162" s="139"/>
      <c r="Z162" s="139"/>
      <c r="AA162" s="145"/>
      <c r="AB162" s="139"/>
      <c r="AC162" s="146"/>
      <c r="AD162" s="146"/>
      <c r="AE162" s="146"/>
      <c r="AF162" s="139"/>
      <c r="AG162" s="139"/>
      <c r="AH162" s="139"/>
      <c r="AI162" s="145"/>
      <c r="AJ162" s="139"/>
      <c r="AK162" s="139"/>
      <c r="AL162" s="139"/>
      <c r="AM162" s="139"/>
      <c r="AN162" s="139"/>
      <c r="AO162" s="139"/>
      <c r="AP162" s="139"/>
      <c r="AQ162" s="139"/>
      <c r="AR162" s="139"/>
      <c r="AS162" s="139"/>
      <c r="AT162" s="139"/>
      <c r="AU162" s="139"/>
      <c r="AV162" s="139"/>
      <c r="AW162" s="139"/>
      <c r="AX162" s="139"/>
      <c r="AY162" s="139"/>
      <c r="AZ162" s="139"/>
      <c r="BA162" s="139"/>
      <c r="BB162" s="139"/>
      <c r="BC162" s="139"/>
      <c r="BD162" s="139"/>
      <c r="BE162" s="139"/>
      <c r="BF162" s="139"/>
      <c r="BG162" s="162"/>
    </row>
    <row r="163" spans="1:59" x14ac:dyDescent="0.25">
      <c r="A163" s="157"/>
      <c r="B163" s="142"/>
      <c r="C163" s="142"/>
      <c r="D163" s="142"/>
      <c r="E163" s="142"/>
      <c r="F163" s="142"/>
      <c r="G163" s="142"/>
      <c r="H163" s="142"/>
      <c r="I163" s="142"/>
      <c r="J163" s="142"/>
      <c r="K163" s="142"/>
      <c r="L163" s="142"/>
      <c r="M163" s="142"/>
      <c r="N163" s="142"/>
      <c r="O163" s="142"/>
      <c r="P163" s="142"/>
      <c r="Q163" s="142"/>
      <c r="R163" s="250"/>
      <c r="S163" s="142"/>
      <c r="T163" s="142"/>
      <c r="U163" s="143"/>
      <c r="V163" s="142"/>
      <c r="W163" s="142"/>
      <c r="X163" s="94" t="s">
        <v>1195</v>
      </c>
      <c r="Y163" s="142"/>
      <c r="Z163" s="142"/>
      <c r="AA163" s="143"/>
      <c r="AB163" s="142"/>
      <c r="AC163" s="144"/>
      <c r="AD163" s="144"/>
      <c r="AE163" s="144"/>
      <c r="AF163" s="142"/>
      <c r="AG163" s="142"/>
      <c r="AH163" s="142"/>
      <c r="AI163" s="143"/>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61"/>
    </row>
    <row r="164" spans="1:59" x14ac:dyDescent="0.25">
      <c r="A164" s="158"/>
      <c r="B164" s="139"/>
      <c r="C164" s="139"/>
      <c r="D164" s="139"/>
      <c r="E164" s="139"/>
      <c r="F164" s="139"/>
      <c r="G164" s="139"/>
      <c r="H164" s="139"/>
      <c r="I164" s="139"/>
      <c r="J164" s="139"/>
      <c r="K164" s="139"/>
      <c r="L164" s="139"/>
      <c r="M164" s="139"/>
      <c r="N164" s="139"/>
      <c r="O164" s="139"/>
      <c r="P164" s="139"/>
      <c r="Q164" s="139"/>
      <c r="R164" s="251"/>
      <c r="S164" s="139"/>
      <c r="T164" s="139"/>
      <c r="U164" s="145"/>
      <c r="V164" s="139"/>
      <c r="W164" s="139"/>
      <c r="X164" s="102" t="s">
        <v>1195</v>
      </c>
      <c r="Y164" s="139"/>
      <c r="Z164" s="139"/>
      <c r="AA164" s="145"/>
      <c r="AB164" s="139"/>
      <c r="AC164" s="146"/>
      <c r="AD164" s="146"/>
      <c r="AE164" s="146"/>
      <c r="AF164" s="139"/>
      <c r="AG164" s="139"/>
      <c r="AH164" s="139"/>
      <c r="AI164" s="145"/>
      <c r="AJ164" s="139"/>
      <c r="AK164" s="139"/>
      <c r="AL164" s="139"/>
      <c r="AM164" s="139"/>
      <c r="AN164" s="139"/>
      <c r="AO164" s="139"/>
      <c r="AP164" s="139"/>
      <c r="AQ164" s="139"/>
      <c r="AR164" s="139"/>
      <c r="AS164" s="139"/>
      <c r="AT164" s="139"/>
      <c r="AU164" s="139"/>
      <c r="AV164" s="139"/>
      <c r="AW164" s="139"/>
      <c r="AX164" s="139"/>
      <c r="AY164" s="139"/>
      <c r="AZ164" s="139"/>
      <c r="BA164" s="139"/>
      <c r="BB164" s="139"/>
      <c r="BC164" s="139"/>
      <c r="BD164" s="139"/>
      <c r="BE164" s="139"/>
      <c r="BF164" s="139"/>
      <c r="BG164" s="162"/>
    </row>
    <row r="165" spans="1:59" x14ac:dyDescent="0.25">
      <c r="A165" s="157"/>
      <c r="B165" s="142"/>
      <c r="C165" s="142"/>
      <c r="D165" s="142"/>
      <c r="E165" s="142"/>
      <c r="F165" s="142"/>
      <c r="G165" s="142"/>
      <c r="H165" s="142"/>
      <c r="I165" s="142"/>
      <c r="J165" s="142"/>
      <c r="K165" s="142"/>
      <c r="L165" s="142"/>
      <c r="M165" s="142"/>
      <c r="N165" s="142"/>
      <c r="O165" s="142"/>
      <c r="P165" s="142"/>
      <c r="Q165" s="142"/>
      <c r="R165" s="250"/>
      <c r="S165" s="142"/>
      <c r="T165" s="142"/>
      <c r="U165" s="143"/>
      <c r="V165" s="142"/>
      <c r="W165" s="142"/>
      <c r="X165" s="94" t="s">
        <v>1195</v>
      </c>
      <c r="Y165" s="142"/>
      <c r="Z165" s="142"/>
      <c r="AA165" s="143"/>
      <c r="AB165" s="142"/>
      <c r="AC165" s="144"/>
      <c r="AD165" s="144"/>
      <c r="AE165" s="144"/>
      <c r="AF165" s="142"/>
      <c r="AG165" s="142"/>
      <c r="AH165" s="142"/>
      <c r="AI165" s="143"/>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61"/>
    </row>
    <row r="166" spans="1:59" x14ac:dyDescent="0.25">
      <c r="A166" s="158"/>
      <c r="B166" s="139"/>
      <c r="C166" s="139"/>
      <c r="D166" s="139"/>
      <c r="E166" s="139"/>
      <c r="F166" s="139"/>
      <c r="G166" s="139"/>
      <c r="H166" s="139"/>
      <c r="I166" s="139"/>
      <c r="J166" s="139"/>
      <c r="K166" s="139"/>
      <c r="L166" s="139"/>
      <c r="M166" s="139"/>
      <c r="N166" s="139"/>
      <c r="O166" s="139"/>
      <c r="P166" s="139"/>
      <c r="Q166" s="139"/>
      <c r="R166" s="251"/>
      <c r="S166" s="139"/>
      <c r="T166" s="139"/>
      <c r="U166" s="145"/>
      <c r="V166" s="139"/>
      <c r="W166" s="139"/>
      <c r="X166" s="102" t="s">
        <v>1195</v>
      </c>
      <c r="Y166" s="139"/>
      <c r="Z166" s="139"/>
      <c r="AA166" s="145"/>
      <c r="AB166" s="139"/>
      <c r="AC166" s="146"/>
      <c r="AD166" s="146"/>
      <c r="AE166" s="146"/>
      <c r="AF166" s="139"/>
      <c r="AG166" s="139"/>
      <c r="AH166" s="139"/>
      <c r="AI166" s="145"/>
      <c r="AJ166" s="139"/>
      <c r="AK166" s="139"/>
      <c r="AL166" s="139"/>
      <c r="AM166" s="139"/>
      <c r="AN166" s="139"/>
      <c r="AO166" s="139"/>
      <c r="AP166" s="139"/>
      <c r="AQ166" s="139"/>
      <c r="AR166" s="139"/>
      <c r="AS166" s="139"/>
      <c r="AT166" s="139"/>
      <c r="AU166" s="139"/>
      <c r="AV166" s="139"/>
      <c r="AW166" s="139"/>
      <c r="AX166" s="139"/>
      <c r="AY166" s="139"/>
      <c r="AZ166" s="139"/>
      <c r="BA166" s="139"/>
      <c r="BB166" s="139"/>
      <c r="BC166" s="139"/>
      <c r="BD166" s="139"/>
      <c r="BE166" s="139"/>
      <c r="BF166" s="139"/>
      <c r="BG166" s="162"/>
    </row>
    <row r="167" spans="1:59" x14ac:dyDescent="0.25">
      <c r="A167" s="157"/>
      <c r="B167" s="142"/>
      <c r="C167" s="142"/>
      <c r="D167" s="142"/>
      <c r="E167" s="142"/>
      <c r="F167" s="142"/>
      <c r="G167" s="142"/>
      <c r="H167" s="142"/>
      <c r="I167" s="142"/>
      <c r="J167" s="142"/>
      <c r="K167" s="142"/>
      <c r="L167" s="142"/>
      <c r="M167" s="142"/>
      <c r="N167" s="142"/>
      <c r="O167" s="142"/>
      <c r="P167" s="142"/>
      <c r="Q167" s="142"/>
      <c r="R167" s="250"/>
      <c r="S167" s="142"/>
      <c r="T167" s="142"/>
      <c r="U167" s="143"/>
      <c r="V167" s="142"/>
      <c r="W167" s="142"/>
      <c r="X167" s="94" t="s">
        <v>1195</v>
      </c>
      <c r="Y167" s="142"/>
      <c r="Z167" s="142"/>
      <c r="AA167" s="143"/>
      <c r="AB167" s="142"/>
      <c r="AC167" s="144"/>
      <c r="AD167" s="144"/>
      <c r="AE167" s="144"/>
      <c r="AF167" s="142"/>
      <c r="AG167" s="142"/>
      <c r="AH167" s="142"/>
      <c r="AI167" s="143"/>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61"/>
    </row>
    <row r="168" spans="1:59" x14ac:dyDescent="0.25">
      <c r="A168" s="158"/>
      <c r="B168" s="139"/>
      <c r="C168" s="139"/>
      <c r="D168" s="139"/>
      <c r="E168" s="139"/>
      <c r="F168" s="139"/>
      <c r="G168" s="139"/>
      <c r="H168" s="139"/>
      <c r="I168" s="139"/>
      <c r="J168" s="139"/>
      <c r="K168" s="139"/>
      <c r="L168" s="139"/>
      <c r="M168" s="139"/>
      <c r="N168" s="139"/>
      <c r="O168" s="139"/>
      <c r="P168" s="139"/>
      <c r="Q168" s="139"/>
      <c r="R168" s="251"/>
      <c r="S168" s="139"/>
      <c r="T168" s="139"/>
      <c r="U168" s="145"/>
      <c r="V168" s="139"/>
      <c r="W168" s="139"/>
      <c r="X168" s="102" t="s">
        <v>1195</v>
      </c>
      <c r="Y168" s="139"/>
      <c r="Z168" s="139"/>
      <c r="AA168" s="145"/>
      <c r="AB168" s="139"/>
      <c r="AC168" s="146"/>
      <c r="AD168" s="146"/>
      <c r="AE168" s="146"/>
      <c r="AF168" s="139"/>
      <c r="AG168" s="139"/>
      <c r="AH168" s="139"/>
      <c r="AI168" s="145"/>
      <c r="AJ168" s="139"/>
      <c r="AK168" s="139"/>
      <c r="AL168" s="139"/>
      <c r="AM168" s="139"/>
      <c r="AN168" s="139"/>
      <c r="AO168" s="139"/>
      <c r="AP168" s="139"/>
      <c r="AQ168" s="139"/>
      <c r="AR168" s="139"/>
      <c r="AS168" s="139"/>
      <c r="AT168" s="139"/>
      <c r="AU168" s="139"/>
      <c r="AV168" s="139"/>
      <c r="AW168" s="139"/>
      <c r="AX168" s="139"/>
      <c r="AY168" s="139"/>
      <c r="AZ168" s="139"/>
      <c r="BA168" s="139"/>
      <c r="BB168" s="139"/>
      <c r="BC168" s="139"/>
      <c r="BD168" s="139"/>
      <c r="BE168" s="139"/>
      <c r="BF168" s="139"/>
      <c r="BG168" s="162"/>
    </row>
    <row r="169" spans="1:59" x14ac:dyDescent="0.25">
      <c r="A169" s="157"/>
      <c r="B169" s="142"/>
      <c r="C169" s="142"/>
      <c r="D169" s="142"/>
      <c r="E169" s="142"/>
      <c r="F169" s="142"/>
      <c r="G169" s="142"/>
      <c r="H169" s="142"/>
      <c r="I169" s="142"/>
      <c r="J169" s="142"/>
      <c r="K169" s="142"/>
      <c r="L169" s="142"/>
      <c r="M169" s="142"/>
      <c r="N169" s="142"/>
      <c r="O169" s="142"/>
      <c r="P169" s="142"/>
      <c r="Q169" s="142"/>
      <c r="R169" s="250"/>
      <c r="S169" s="142"/>
      <c r="T169" s="142"/>
      <c r="U169" s="143"/>
      <c r="V169" s="142"/>
      <c r="W169" s="142"/>
      <c r="X169" s="94" t="s">
        <v>1195</v>
      </c>
      <c r="Y169" s="142"/>
      <c r="Z169" s="142"/>
      <c r="AA169" s="143"/>
      <c r="AB169" s="142"/>
      <c r="AC169" s="144"/>
      <c r="AD169" s="144"/>
      <c r="AE169" s="144"/>
      <c r="AF169" s="142"/>
      <c r="AG169" s="142"/>
      <c r="AH169" s="142"/>
      <c r="AI169" s="143"/>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61"/>
    </row>
    <row r="170" spans="1:59" x14ac:dyDescent="0.25">
      <c r="A170" s="158"/>
      <c r="B170" s="139"/>
      <c r="C170" s="139"/>
      <c r="D170" s="139"/>
      <c r="E170" s="139"/>
      <c r="F170" s="139"/>
      <c r="G170" s="139"/>
      <c r="H170" s="139"/>
      <c r="I170" s="139"/>
      <c r="J170" s="139"/>
      <c r="K170" s="139"/>
      <c r="L170" s="139"/>
      <c r="M170" s="139"/>
      <c r="N170" s="139"/>
      <c r="O170" s="139"/>
      <c r="P170" s="139"/>
      <c r="Q170" s="139"/>
      <c r="R170" s="251"/>
      <c r="S170" s="139"/>
      <c r="T170" s="139"/>
      <c r="U170" s="145"/>
      <c r="V170" s="139"/>
      <c r="W170" s="139"/>
      <c r="X170" s="102" t="s">
        <v>1195</v>
      </c>
      <c r="Y170" s="139"/>
      <c r="Z170" s="139"/>
      <c r="AA170" s="145"/>
      <c r="AB170" s="139"/>
      <c r="AC170" s="146"/>
      <c r="AD170" s="146"/>
      <c r="AE170" s="146"/>
      <c r="AF170" s="139"/>
      <c r="AG170" s="139"/>
      <c r="AH170" s="139"/>
      <c r="AI170" s="145"/>
      <c r="AJ170" s="139"/>
      <c r="AK170" s="139"/>
      <c r="AL170" s="139"/>
      <c r="AM170" s="139"/>
      <c r="AN170" s="139"/>
      <c r="AO170" s="139"/>
      <c r="AP170" s="139"/>
      <c r="AQ170" s="139"/>
      <c r="AR170" s="139"/>
      <c r="AS170" s="139"/>
      <c r="AT170" s="139"/>
      <c r="AU170" s="139"/>
      <c r="AV170" s="139"/>
      <c r="AW170" s="139"/>
      <c r="AX170" s="139"/>
      <c r="AY170" s="139"/>
      <c r="AZ170" s="139"/>
      <c r="BA170" s="139"/>
      <c r="BB170" s="139"/>
      <c r="BC170" s="139"/>
      <c r="BD170" s="139"/>
      <c r="BE170" s="139"/>
      <c r="BF170" s="139"/>
      <c r="BG170" s="162"/>
    </row>
    <row r="171" spans="1:59" x14ac:dyDescent="0.25">
      <c r="A171" s="157"/>
      <c r="B171" s="142"/>
      <c r="C171" s="142"/>
      <c r="D171" s="142"/>
      <c r="E171" s="142"/>
      <c r="F171" s="142"/>
      <c r="G171" s="142"/>
      <c r="H171" s="142"/>
      <c r="I171" s="142"/>
      <c r="J171" s="142"/>
      <c r="K171" s="142"/>
      <c r="L171" s="142"/>
      <c r="M171" s="142"/>
      <c r="N171" s="142"/>
      <c r="O171" s="142"/>
      <c r="P171" s="142"/>
      <c r="Q171" s="142"/>
      <c r="R171" s="250"/>
      <c r="S171" s="142"/>
      <c r="T171" s="142"/>
      <c r="U171" s="143"/>
      <c r="V171" s="142"/>
      <c r="W171" s="142"/>
      <c r="X171" s="94" t="s">
        <v>1195</v>
      </c>
      <c r="Y171" s="142"/>
      <c r="Z171" s="142"/>
      <c r="AA171" s="143"/>
      <c r="AB171" s="142"/>
      <c r="AC171" s="144"/>
      <c r="AD171" s="144"/>
      <c r="AE171" s="144"/>
      <c r="AF171" s="142"/>
      <c r="AG171" s="142"/>
      <c r="AH171" s="142"/>
      <c r="AI171" s="143"/>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61"/>
    </row>
    <row r="172" spans="1:59" x14ac:dyDescent="0.25">
      <c r="A172" s="158"/>
      <c r="B172" s="139"/>
      <c r="C172" s="139"/>
      <c r="D172" s="139"/>
      <c r="E172" s="139"/>
      <c r="F172" s="139"/>
      <c r="G172" s="139"/>
      <c r="H172" s="139"/>
      <c r="I172" s="139"/>
      <c r="J172" s="139"/>
      <c r="K172" s="139"/>
      <c r="L172" s="139"/>
      <c r="M172" s="139"/>
      <c r="N172" s="139"/>
      <c r="O172" s="139"/>
      <c r="P172" s="139"/>
      <c r="Q172" s="139"/>
      <c r="R172" s="251"/>
      <c r="S172" s="139"/>
      <c r="T172" s="139"/>
      <c r="U172" s="145"/>
      <c r="V172" s="139"/>
      <c r="W172" s="139"/>
      <c r="X172" s="102" t="s">
        <v>1195</v>
      </c>
      <c r="Y172" s="139"/>
      <c r="Z172" s="139"/>
      <c r="AA172" s="145"/>
      <c r="AB172" s="139"/>
      <c r="AC172" s="146"/>
      <c r="AD172" s="146"/>
      <c r="AE172" s="146"/>
      <c r="AF172" s="139"/>
      <c r="AG172" s="139"/>
      <c r="AH172" s="139"/>
      <c r="AI172" s="145"/>
      <c r="AJ172" s="139"/>
      <c r="AK172" s="139"/>
      <c r="AL172" s="139"/>
      <c r="AM172" s="139"/>
      <c r="AN172" s="139"/>
      <c r="AO172" s="139"/>
      <c r="AP172" s="139"/>
      <c r="AQ172" s="139"/>
      <c r="AR172" s="139"/>
      <c r="AS172" s="139"/>
      <c r="AT172" s="139"/>
      <c r="AU172" s="139"/>
      <c r="AV172" s="139"/>
      <c r="AW172" s="139"/>
      <c r="AX172" s="139"/>
      <c r="AY172" s="139"/>
      <c r="AZ172" s="139"/>
      <c r="BA172" s="139"/>
      <c r="BB172" s="139"/>
      <c r="BC172" s="139"/>
      <c r="BD172" s="139"/>
      <c r="BE172" s="139"/>
      <c r="BF172" s="139"/>
      <c r="BG172" s="162"/>
    </row>
    <row r="173" spans="1:59" x14ac:dyDescent="0.25">
      <c r="A173" s="157"/>
      <c r="B173" s="142"/>
      <c r="C173" s="142"/>
      <c r="D173" s="142"/>
      <c r="E173" s="142"/>
      <c r="F173" s="142"/>
      <c r="G173" s="142"/>
      <c r="H173" s="142"/>
      <c r="I173" s="142"/>
      <c r="J173" s="142"/>
      <c r="K173" s="142"/>
      <c r="L173" s="142"/>
      <c r="M173" s="142"/>
      <c r="N173" s="142"/>
      <c r="O173" s="142"/>
      <c r="P173" s="142"/>
      <c r="Q173" s="142"/>
      <c r="R173" s="250"/>
      <c r="S173" s="142"/>
      <c r="T173" s="142"/>
      <c r="U173" s="143"/>
      <c r="V173" s="142"/>
      <c r="W173" s="142"/>
      <c r="X173" s="94" t="s">
        <v>1195</v>
      </c>
      <c r="Y173" s="142"/>
      <c r="Z173" s="142"/>
      <c r="AA173" s="143"/>
      <c r="AB173" s="142"/>
      <c r="AC173" s="144"/>
      <c r="AD173" s="144"/>
      <c r="AE173" s="144"/>
      <c r="AF173" s="142"/>
      <c r="AG173" s="142"/>
      <c r="AH173" s="142"/>
      <c r="AI173" s="143"/>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61"/>
    </row>
    <row r="174" spans="1:59" x14ac:dyDescent="0.25">
      <c r="A174" s="158"/>
      <c r="B174" s="139"/>
      <c r="C174" s="139"/>
      <c r="D174" s="139"/>
      <c r="E174" s="139"/>
      <c r="F174" s="139"/>
      <c r="G174" s="139"/>
      <c r="H174" s="139"/>
      <c r="I174" s="139"/>
      <c r="J174" s="139"/>
      <c r="K174" s="139"/>
      <c r="L174" s="139"/>
      <c r="M174" s="139"/>
      <c r="N174" s="139"/>
      <c r="O174" s="139"/>
      <c r="P174" s="139"/>
      <c r="Q174" s="139"/>
      <c r="R174" s="251"/>
      <c r="S174" s="139"/>
      <c r="T174" s="139"/>
      <c r="U174" s="145"/>
      <c r="V174" s="139"/>
      <c r="W174" s="139"/>
      <c r="X174" s="102" t="s">
        <v>1195</v>
      </c>
      <c r="Y174" s="139"/>
      <c r="Z174" s="139"/>
      <c r="AA174" s="145"/>
      <c r="AB174" s="139"/>
      <c r="AC174" s="146"/>
      <c r="AD174" s="146"/>
      <c r="AE174" s="146"/>
      <c r="AF174" s="139"/>
      <c r="AG174" s="139"/>
      <c r="AH174" s="139"/>
      <c r="AI174" s="145"/>
      <c r="AJ174" s="139"/>
      <c r="AK174" s="139"/>
      <c r="AL174" s="139"/>
      <c r="AM174" s="139"/>
      <c r="AN174" s="139"/>
      <c r="AO174" s="139"/>
      <c r="AP174" s="139"/>
      <c r="AQ174" s="139"/>
      <c r="AR174" s="139"/>
      <c r="AS174" s="139"/>
      <c r="AT174" s="139"/>
      <c r="AU174" s="139"/>
      <c r="AV174" s="139"/>
      <c r="AW174" s="139"/>
      <c r="AX174" s="139"/>
      <c r="AY174" s="139"/>
      <c r="AZ174" s="139"/>
      <c r="BA174" s="139"/>
      <c r="BB174" s="139"/>
      <c r="BC174" s="139"/>
      <c r="BD174" s="139"/>
      <c r="BE174" s="139"/>
      <c r="BF174" s="139"/>
      <c r="BG174" s="162"/>
    </row>
    <row r="175" spans="1:59" x14ac:dyDescent="0.25">
      <c r="A175" s="157"/>
      <c r="B175" s="142"/>
      <c r="C175" s="142"/>
      <c r="D175" s="142"/>
      <c r="E175" s="142"/>
      <c r="F175" s="142"/>
      <c r="G175" s="142"/>
      <c r="H175" s="142"/>
      <c r="I175" s="142"/>
      <c r="J175" s="142"/>
      <c r="K175" s="142"/>
      <c r="L175" s="142"/>
      <c r="M175" s="142"/>
      <c r="N175" s="142"/>
      <c r="O175" s="142"/>
      <c r="P175" s="142"/>
      <c r="Q175" s="142"/>
      <c r="R175" s="250"/>
      <c r="S175" s="142"/>
      <c r="T175" s="142"/>
      <c r="U175" s="143"/>
      <c r="V175" s="142"/>
      <c r="W175" s="142"/>
      <c r="X175" s="94" t="s">
        <v>1195</v>
      </c>
      <c r="Y175" s="142"/>
      <c r="Z175" s="142"/>
      <c r="AA175" s="143"/>
      <c r="AB175" s="142"/>
      <c r="AC175" s="144"/>
      <c r="AD175" s="144"/>
      <c r="AE175" s="144"/>
      <c r="AF175" s="142"/>
      <c r="AG175" s="142"/>
      <c r="AH175" s="142"/>
      <c r="AI175" s="143"/>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61"/>
    </row>
    <row r="176" spans="1:59" x14ac:dyDescent="0.25">
      <c r="A176" s="158"/>
      <c r="B176" s="139"/>
      <c r="C176" s="139"/>
      <c r="D176" s="139"/>
      <c r="E176" s="139"/>
      <c r="F176" s="139"/>
      <c r="G176" s="139"/>
      <c r="H176" s="139"/>
      <c r="I176" s="139"/>
      <c r="J176" s="139"/>
      <c r="K176" s="139"/>
      <c r="L176" s="139"/>
      <c r="M176" s="139"/>
      <c r="N176" s="139"/>
      <c r="O176" s="139"/>
      <c r="P176" s="139"/>
      <c r="Q176" s="139"/>
      <c r="R176" s="251"/>
      <c r="S176" s="139"/>
      <c r="T176" s="139"/>
      <c r="U176" s="145"/>
      <c r="V176" s="139"/>
      <c r="W176" s="139"/>
      <c r="X176" s="102" t="s">
        <v>1195</v>
      </c>
      <c r="Y176" s="139"/>
      <c r="Z176" s="139"/>
      <c r="AA176" s="145"/>
      <c r="AB176" s="139"/>
      <c r="AC176" s="146"/>
      <c r="AD176" s="146"/>
      <c r="AE176" s="146"/>
      <c r="AF176" s="139"/>
      <c r="AG176" s="139"/>
      <c r="AH176" s="139"/>
      <c r="AI176" s="145"/>
      <c r="AJ176" s="139"/>
      <c r="AK176" s="139"/>
      <c r="AL176" s="139"/>
      <c r="AM176" s="139"/>
      <c r="AN176" s="139"/>
      <c r="AO176" s="139"/>
      <c r="AP176" s="139"/>
      <c r="AQ176" s="139"/>
      <c r="AR176" s="139"/>
      <c r="AS176" s="139"/>
      <c r="AT176" s="139"/>
      <c r="AU176" s="139"/>
      <c r="AV176" s="139"/>
      <c r="AW176" s="139"/>
      <c r="AX176" s="139"/>
      <c r="AY176" s="139"/>
      <c r="AZ176" s="139"/>
      <c r="BA176" s="139"/>
      <c r="BB176" s="139"/>
      <c r="BC176" s="139"/>
      <c r="BD176" s="139"/>
      <c r="BE176" s="139"/>
      <c r="BF176" s="139"/>
      <c r="BG176" s="162"/>
    </row>
    <row r="177" spans="1:59" x14ac:dyDescent="0.25">
      <c r="A177" s="157"/>
      <c r="B177" s="142"/>
      <c r="C177" s="142"/>
      <c r="D177" s="142"/>
      <c r="E177" s="142"/>
      <c r="F177" s="142"/>
      <c r="G177" s="142"/>
      <c r="H177" s="142"/>
      <c r="I177" s="142"/>
      <c r="J177" s="142"/>
      <c r="K177" s="142"/>
      <c r="L177" s="142"/>
      <c r="M177" s="142"/>
      <c r="N177" s="142"/>
      <c r="O177" s="142"/>
      <c r="P177" s="142"/>
      <c r="Q177" s="142"/>
      <c r="R177" s="250"/>
      <c r="S177" s="142"/>
      <c r="T177" s="142"/>
      <c r="U177" s="143"/>
      <c r="V177" s="142"/>
      <c r="W177" s="142"/>
      <c r="X177" s="94" t="s">
        <v>1195</v>
      </c>
      <c r="Y177" s="142"/>
      <c r="Z177" s="142"/>
      <c r="AA177" s="143"/>
      <c r="AB177" s="142"/>
      <c r="AC177" s="144"/>
      <c r="AD177" s="144"/>
      <c r="AE177" s="144"/>
      <c r="AF177" s="142"/>
      <c r="AG177" s="142"/>
      <c r="AH177" s="142"/>
      <c r="AI177" s="143"/>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61"/>
    </row>
    <row r="178" spans="1:59" x14ac:dyDescent="0.25">
      <c r="A178" s="158"/>
      <c r="B178" s="139"/>
      <c r="C178" s="139"/>
      <c r="D178" s="139"/>
      <c r="E178" s="139"/>
      <c r="F178" s="139"/>
      <c r="G178" s="139"/>
      <c r="H178" s="139"/>
      <c r="I178" s="139"/>
      <c r="J178" s="139"/>
      <c r="K178" s="139"/>
      <c r="L178" s="139"/>
      <c r="M178" s="139"/>
      <c r="N178" s="139"/>
      <c r="O178" s="139"/>
      <c r="P178" s="139"/>
      <c r="Q178" s="139"/>
      <c r="R178" s="251"/>
      <c r="S178" s="139"/>
      <c r="T178" s="139"/>
      <c r="U178" s="145"/>
      <c r="V178" s="139"/>
      <c r="W178" s="139"/>
      <c r="X178" s="102" t="s">
        <v>1195</v>
      </c>
      <c r="Y178" s="139"/>
      <c r="Z178" s="139"/>
      <c r="AA178" s="145"/>
      <c r="AB178" s="139"/>
      <c r="AC178" s="146"/>
      <c r="AD178" s="146"/>
      <c r="AE178" s="146"/>
      <c r="AF178" s="139"/>
      <c r="AG178" s="139"/>
      <c r="AH178" s="139"/>
      <c r="AI178" s="145"/>
      <c r="AJ178" s="139"/>
      <c r="AK178" s="139"/>
      <c r="AL178" s="139"/>
      <c r="AM178" s="139"/>
      <c r="AN178" s="139"/>
      <c r="AO178" s="139"/>
      <c r="AP178" s="139"/>
      <c r="AQ178" s="139"/>
      <c r="AR178" s="139"/>
      <c r="AS178" s="139"/>
      <c r="AT178" s="139"/>
      <c r="AU178" s="139"/>
      <c r="AV178" s="139"/>
      <c r="AW178" s="139"/>
      <c r="AX178" s="139"/>
      <c r="AY178" s="139"/>
      <c r="AZ178" s="139"/>
      <c r="BA178" s="139"/>
      <c r="BB178" s="139"/>
      <c r="BC178" s="139"/>
      <c r="BD178" s="139"/>
      <c r="BE178" s="139"/>
      <c r="BF178" s="139"/>
      <c r="BG178" s="162"/>
    </row>
    <row r="179" spans="1:59" x14ac:dyDescent="0.25">
      <c r="A179" s="157"/>
      <c r="B179" s="142"/>
      <c r="C179" s="142"/>
      <c r="D179" s="142"/>
      <c r="E179" s="142"/>
      <c r="F179" s="142"/>
      <c r="G179" s="142"/>
      <c r="H179" s="142"/>
      <c r="I179" s="142"/>
      <c r="J179" s="142"/>
      <c r="K179" s="142"/>
      <c r="L179" s="142"/>
      <c r="M179" s="142"/>
      <c r="N179" s="142"/>
      <c r="O179" s="142"/>
      <c r="P179" s="142"/>
      <c r="Q179" s="142"/>
      <c r="R179" s="250"/>
      <c r="S179" s="142"/>
      <c r="T179" s="142"/>
      <c r="U179" s="143"/>
      <c r="V179" s="142"/>
      <c r="W179" s="142"/>
      <c r="X179" s="94" t="s">
        <v>1195</v>
      </c>
      <c r="Y179" s="142"/>
      <c r="Z179" s="142"/>
      <c r="AA179" s="143"/>
      <c r="AB179" s="142"/>
      <c r="AC179" s="144"/>
      <c r="AD179" s="144"/>
      <c r="AE179" s="144"/>
      <c r="AF179" s="142"/>
      <c r="AG179" s="142"/>
      <c r="AH179" s="142"/>
      <c r="AI179" s="143"/>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61"/>
    </row>
    <row r="180" spans="1:59" x14ac:dyDescent="0.25">
      <c r="A180" s="158"/>
      <c r="B180" s="139"/>
      <c r="C180" s="139"/>
      <c r="D180" s="139"/>
      <c r="E180" s="139"/>
      <c r="F180" s="139"/>
      <c r="G180" s="139"/>
      <c r="H180" s="139"/>
      <c r="I180" s="139"/>
      <c r="J180" s="139"/>
      <c r="K180" s="139"/>
      <c r="L180" s="139"/>
      <c r="M180" s="139"/>
      <c r="N180" s="139"/>
      <c r="O180" s="139"/>
      <c r="P180" s="139"/>
      <c r="Q180" s="139"/>
      <c r="R180" s="251"/>
      <c r="S180" s="139"/>
      <c r="T180" s="139"/>
      <c r="U180" s="145"/>
      <c r="V180" s="139"/>
      <c r="W180" s="139"/>
      <c r="X180" s="102" t="s">
        <v>1195</v>
      </c>
      <c r="Y180" s="139"/>
      <c r="Z180" s="139"/>
      <c r="AA180" s="145"/>
      <c r="AB180" s="139"/>
      <c r="AC180" s="146"/>
      <c r="AD180" s="146"/>
      <c r="AE180" s="146"/>
      <c r="AF180" s="139"/>
      <c r="AG180" s="139"/>
      <c r="AH180" s="139"/>
      <c r="AI180" s="145"/>
      <c r="AJ180" s="139"/>
      <c r="AK180" s="139"/>
      <c r="AL180" s="139"/>
      <c r="AM180" s="139"/>
      <c r="AN180" s="139"/>
      <c r="AO180" s="139"/>
      <c r="AP180" s="139"/>
      <c r="AQ180" s="139"/>
      <c r="AR180" s="139"/>
      <c r="AS180" s="139"/>
      <c r="AT180" s="139"/>
      <c r="AU180" s="139"/>
      <c r="AV180" s="139"/>
      <c r="AW180" s="139"/>
      <c r="AX180" s="139"/>
      <c r="AY180" s="139"/>
      <c r="AZ180" s="139"/>
      <c r="BA180" s="139"/>
      <c r="BB180" s="139"/>
      <c r="BC180" s="139"/>
      <c r="BD180" s="139"/>
      <c r="BE180" s="139"/>
      <c r="BF180" s="139"/>
      <c r="BG180" s="162"/>
    </row>
    <row r="181" spans="1:59" x14ac:dyDescent="0.25">
      <c r="A181" s="157"/>
      <c r="B181" s="142"/>
      <c r="C181" s="142"/>
      <c r="D181" s="142"/>
      <c r="E181" s="142"/>
      <c r="F181" s="142"/>
      <c r="G181" s="142"/>
      <c r="H181" s="142"/>
      <c r="I181" s="142"/>
      <c r="J181" s="142"/>
      <c r="K181" s="142"/>
      <c r="L181" s="142"/>
      <c r="M181" s="142"/>
      <c r="N181" s="142"/>
      <c r="O181" s="142"/>
      <c r="P181" s="142"/>
      <c r="Q181" s="142"/>
      <c r="R181" s="250"/>
      <c r="S181" s="142"/>
      <c r="T181" s="142"/>
      <c r="U181" s="143"/>
      <c r="V181" s="142"/>
      <c r="W181" s="142"/>
      <c r="X181" s="94" t="s">
        <v>1195</v>
      </c>
      <c r="Y181" s="142"/>
      <c r="Z181" s="142"/>
      <c r="AA181" s="143"/>
      <c r="AB181" s="142"/>
      <c r="AC181" s="144"/>
      <c r="AD181" s="144"/>
      <c r="AE181" s="144"/>
      <c r="AF181" s="142"/>
      <c r="AG181" s="142"/>
      <c r="AH181" s="142"/>
      <c r="AI181" s="143"/>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61"/>
    </row>
    <row r="182" spans="1:59" x14ac:dyDescent="0.25">
      <c r="A182" s="158"/>
      <c r="B182" s="139"/>
      <c r="C182" s="139"/>
      <c r="D182" s="139"/>
      <c r="E182" s="139"/>
      <c r="F182" s="139"/>
      <c r="G182" s="139"/>
      <c r="H182" s="139"/>
      <c r="I182" s="139"/>
      <c r="J182" s="139"/>
      <c r="K182" s="139"/>
      <c r="L182" s="139"/>
      <c r="M182" s="139"/>
      <c r="N182" s="139"/>
      <c r="O182" s="139"/>
      <c r="P182" s="139"/>
      <c r="Q182" s="139"/>
      <c r="R182" s="251"/>
      <c r="S182" s="139"/>
      <c r="T182" s="139"/>
      <c r="U182" s="145"/>
      <c r="V182" s="139"/>
      <c r="W182" s="139"/>
      <c r="X182" s="102" t="s">
        <v>1195</v>
      </c>
      <c r="Y182" s="139"/>
      <c r="Z182" s="139"/>
      <c r="AA182" s="145"/>
      <c r="AB182" s="139"/>
      <c r="AC182" s="146"/>
      <c r="AD182" s="146"/>
      <c r="AE182" s="146"/>
      <c r="AF182" s="139"/>
      <c r="AG182" s="139"/>
      <c r="AH182" s="139"/>
      <c r="AI182" s="145"/>
      <c r="AJ182" s="139"/>
      <c r="AK182" s="139"/>
      <c r="AL182" s="139"/>
      <c r="AM182" s="139"/>
      <c r="AN182" s="139"/>
      <c r="AO182" s="139"/>
      <c r="AP182" s="139"/>
      <c r="AQ182" s="139"/>
      <c r="AR182" s="139"/>
      <c r="AS182" s="139"/>
      <c r="AT182" s="139"/>
      <c r="AU182" s="139"/>
      <c r="AV182" s="139"/>
      <c r="AW182" s="139"/>
      <c r="AX182" s="139"/>
      <c r="AY182" s="139"/>
      <c r="AZ182" s="139"/>
      <c r="BA182" s="139"/>
      <c r="BB182" s="139"/>
      <c r="BC182" s="139"/>
      <c r="BD182" s="139"/>
      <c r="BE182" s="139"/>
      <c r="BF182" s="139"/>
      <c r="BG182" s="162"/>
    </row>
    <row r="183" spans="1:59" x14ac:dyDescent="0.25">
      <c r="A183" s="157"/>
      <c r="B183" s="142"/>
      <c r="C183" s="142"/>
      <c r="D183" s="142"/>
      <c r="E183" s="142"/>
      <c r="F183" s="142"/>
      <c r="G183" s="142"/>
      <c r="H183" s="142"/>
      <c r="I183" s="142"/>
      <c r="J183" s="142"/>
      <c r="K183" s="142"/>
      <c r="L183" s="142"/>
      <c r="M183" s="142"/>
      <c r="N183" s="142"/>
      <c r="O183" s="142"/>
      <c r="P183" s="142"/>
      <c r="Q183" s="142"/>
      <c r="R183" s="250"/>
      <c r="S183" s="142"/>
      <c r="T183" s="142"/>
      <c r="U183" s="143"/>
      <c r="V183" s="142"/>
      <c r="W183" s="142"/>
      <c r="X183" s="94" t="s">
        <v>1195</v>
      </c>
      <c r="Y183" s="142"/>
      <c r="Z183" s="142"/>
      <c r="AA183" s="143"/>
      <c r="AB183" s="142"/>
      <c r="AC183" s="144"/>
      <c r="AD183" s="144"/>
      <c r="AE183" s="144"/>
      <c r="AF183" s="142"/>
      <c r="AG183" s="142"/>
      <c r="AH183" s="142"/>
      <c r="AI183" s="143"/>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61"/>
    </row>
    <row r="184" spans="1:59" x14ac:dyDescent="0.25">
      <c r="A184" s="158"/>
      <c r="B184" s="139"/>
      <c r="C184" s="139"/>
      <c r="D184" s="139"/>
      <c r="E184" s="139"/>
      <c r="F184" s="139"/>
      <c r="G184" s="139"/>
      <c r="H184" s="139"/>
      <c r="I184" s="139"/>
      <c r="J184" s="139"/>
      <c r="K184" s="139"/>
      <c r="L184" s="139"/>
      <c r="M184" s="139"/>
      <c r="N184" s="139"/>
      <c r="O184" s="139"/>
      <c r="P184" s="139"/>
      <c r="Q184" s="139"/>
      <c r="R184" s="251"/>
      <c r="S184" s="139"/>
      <c r="T184" s="139"/>
      <c r="U184" s="145"/>
      <c r="V184" s="139"/>
      <c r="W184" s="139"/>
      <c r="X184" s="102" t="s">
        <v>1195</v>
      </c>
      <c r="Y184" s="139"/>
      <c r="Z184" s="139"/>
      <c r="AA184" s="145"/>
      <c r="AB184" s="139"/>
      <c r="AC184" s="146"/>
      <c r="AD184" s="146"/>
      <c r="AE184" s="146"/>
      <c r="AF184" s="139"/>
      <c r="AG184" s="139"/>
      <c r="AH184" s="139"/>
      <c r="AI184" s="145"/>
      <c r="AJ184" s="139"/>
      <c r="AK184" s="139"/>
      <c r="AL184" s="139"/>
      <c r="AM184" s="139"/>
      <c r="AN184" s="139"/>
      <c r="AO184" s="139"/>
      <c r="AP184" s="139"/>
      <c r="AQ184" s="139"/>
      <c r="AR184" s="139"/>
      <c r="AS184" s="139"/>
      <c r="AT184" s="139"/>
      <c r="AU184" s="139"/>
      <c r="AV184" s="139"/>
      <c r="AW184" s="139"/>
      <c r="AX184" s="139"/>
      <c r="AY184" s="139"/>
      <c r="AZ184" s="139"/>
      <c r="BA184" s="139"/>
      <c r="BB184" s="139"/>
      <c r="BC184" s="139"/>
      <c r="BD184" s="139"/>
      <c r="BE184" s="139"/>
      <c r="BF184" s="139"/>
      <c r="BG184" s="162"/>
    </row>
    <row r="185" spans="1:59" x14ac:dyDescent="0.25">
      <c r="A185" s="157"/>
      <c r="B185" s="142"/>
      <c r="C185" s="142"/>
      <c r="D185" s="142"/>
      <c r="E185" s="142"/>
      <c r="F185" s="142"/>
      <c r="G185" s="142"/>
      <c r="H185" s="142"/>
      <c r="I185" s="142"/>
      <c r="J185" s="142"/>
      <c r="K185" s="142"/>
      <c r="L185" s="142"/>
      <c r="M185" s="142"/>
      <c r="N185" s="142"/>
      <c r="O185" s="142"/>
      <c r="P185" s="142"/>
      <c r="Q185" s="142"/>
      <c r="R185" s="250"/>
      <c r="S185" s="142"/>
      <c r="T185" s="142"/>
      <c r="U185" s="143"/>
      <c r="V185" s="142"/>
      <c r="W185" s="142"/>
      <c r="X185" s="94" t="s">
        <v>1195</v>
      </c>
      <c r="Y185" s="142"/>
      <c r="Z185" s="142"/>
      <c r="AA185" s="143"/>
      <c r="AB185" s="142"/>
      <c r="AC185" s="144"/>
      <c r="AD185" s="144"/>
      <c r="AE185" s="144"/>
      <c r="AF185" s="142"/>
      <c r="AG185" s="142"/>
      <c r="AH185" s="142"/>
      <c r="AI185" s="143"/>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61"/>
    </row>
    <row r="186" spans="1:59" x14ac:dyDescent="0.25">
      <c r="A186" s="158"/>
      <c r="B186" s="139"/>
      <c r="C186" s="139"/>
      <c r="D186" s="139"/>
      <c r="E186" s="139"/>
      <c r="F186" s="139"/>
      <c r="G186" s="139"/>
      <c r="H186" s="139"/>
      <c r="I186" s="139"/>
      <c r="J186" s="139"/>
      <c r="K186" s="139"/>
      <c r="L186" s="139"/>
      <c r="M186" s="139"/>
      <c r="N186" s="139"/>
      <c r="O186" s="139"/>
      <c r="P186" s="139"/>
      <c r="Q186" s="139"/>
      <c r="R186" s="251"/>
      <c r="S186" s="139"/>
      <c r="T186" s="139"/>
      <c r="U186" s="145"/>
      <c r="V186" s="139"/>
      <c r="W186" s="139"/>
      <c r="X186" s="102" t="s">
        <v>1195</v>
      </c>
      <c r="Y186" s="139"/>
      <c r="Z186" s="139"/>
      <c r="AA186" s="145"/>
      <c r="AB186" s="139"/>
      <c r="AC186" s="146"/>
      <c r="AD186" s="146"/>
      <c r="AE186" s="146"/>
      <c r="AF186" s="139"/>
      <c r="AG186" s="139"/>
      <c r="AH186" s="139"/>
      <c r="AI186" s="145"/>
      <c r="AJ186" s="139"/>
      <c r="AK186" s="139"/>
      <c r="AL186" s="139"/>
      <c r="AM186" s="139"/>
      <c r="AN186" s="139"/>
      <c r="AO186" s="139"/>
      <c r="AP186" s="139"/>
      <c r="AQ186" s="139"/>
      <c r="AR186" s="139"/>
      <c r="AS186" s="139"/>
      <c r="AT186" s="139"/>
      <c r="AU186" s="139"/>
      <c r="AV186" s="139"/>
      <c r="AW186" s="139"/>
      <c r="AX186" s="139"/>
      <c r="AY186" s="139"/>
      <c r="AZ186" s="139"/>
      <c r="BA186" s="139"/>
      <c r="BB186" s="139"/>
      <c r="BC186" s="139"/>
      <c r="BD186" s="139"/>
      <c r="BE186" s="139"/>
      <c r="BF186" s="139"/>
      <c r="BG186" s="162"/>
    </row>
    <row r="187" spans="1:59" x14ac:dyDescent="0.25">
      <c r="A187" s="157"/>
      <c r="B187" s="142"/>
      <c r="C187" s="142"/>
      <c r="D187" s="142"/>
      <c r="E187" s="142"/>
      <c r="F187" s="142"/>
      <c r="G187" s="142"/>
      <c r="H187" s="142"/>
      <c r="I187" s="142"/>
      <c r="J187" s="142"/>
      <c r="K187" s="142"/>
      <c r="L187" s="142"/>
      <c r="M187" s="142"/>
      <c r="N187" s="142"/>
      <c r="O187" s="142"/>
      <c r="P187" s="142"/>
      <c r="Q187" s="142"/>
      <c r="R187" s="250"/>
      <c r="S187" s="142"/>
      <c r="T187" s="142"/>
      <c r="U187" s="143"/>
      <c r="V187" s="142"/>
      <c r="W187" s="142"/>
      <c r="X187" s="94" t="s">
        <v>1195</v>
      </c>
      <c r="Y187" s="142"/>
      <c r="Z187" s="142"/>
      <c r="AA187" s="143"/>
      <c r="AB187" s="142"/>
      <c r="AC187" s="144"/>
      <c r="AD187" s="144"/>
      <c r="AE187" s="144"/>
      <c r="AF187" s="142"/>
      <c r="AG187" s="142"/>
      <c r="AH187" s="142"/>
      <c r="AI187" s="143"/>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61"/>
    </row>
    <row r="188" spans="1:59" x14ac:dyDescent="0.25">
      <c r="A188" s="158"/>
      <c r="B188" s="139"/>
      <c r="C188" s="139"/>
      <c r="D188" s="139"/>
      <c r="E188" s="139"/>
      <c r="F188" s="139"/>
      <c r="G188" s="139"/>
      <c r="H188" s="139"/>
      <c r="I188" s="139"/>
      <c r="J188" s="139"/>
      <c r="K188" s="139"/>
      <c r="L188" s="139"/>
      <c r="M188" s="139"/>
      <c r="N188" s="139"/>
      <c r="O188" s="139"/>
      <c r="P188" s="139"/>
      <c r="Q188" s="139"/>
      <c r="R188" s="251"/>
      <c r="S188" s="139"/>
      <c r="T188" s="139"/>
      <c r="U188" s="145"/>
      <c r="V188" s="139"/>
      <c r="W188" s="139"/>
      <c r="X188" s="102" t="s">
        <v>1195</v>
      </c>
      <c r="Y188" s="139"/>
      <c r="Z188" s="139"/>
      <c r="AA188" s="145"/>
      <c r="AB188" s="139"/>
      <c r="AC188" s="146"/>
      <c r="AD188" s="146"/>
      <c r="AE188" s="146"/>
      <c r="AF188" s="139"/>
      <c r="AG188" s="139"/>
      <c r="AH188" s="139"/>
      <c r="AI188" s="145"/>
      <c r="AJ188" s="139"/>
      <c r="AK188" s="139"/>
      <c r="AL188" s="139"/>
      <c r="AM188" s="139"/>
      <c r="AN188" s="139"/>
      <c r="AO188" s="139"/>
      <c r="AP188" s="139"/>
      <c r="AQ188" s="139"/>
      <c r="AR188" s="139"/>
      <c r="AS188" s="139"/>
      <c r="AT188" s="139"/>
      <c r="AU188" s="139"/>
      <c r="AV188" s="139"/>
      <c r="AW188" s="139"/>
      <c r="AX188" s="139"/>
      <c r="AY188" s="139"/>
      <c r="AZ188" s="139"/>
      <c r="BA188" s="139"/>
      <c r="BB188" s="139"/>
      <c r="BC188" s="139"/>
      <c r="BD188" s="139"/>
      <c r="BE188" s="139"/>
      <c r="BF188" s="139"/>
      <c r="BG188" s="162"/>
    </row>
    <row r="189" spans="1:59" x14ac:dyDescent="0.25">
      <c r="A189" s="157"/>
      <c r="B189" s="142"/>
      <c r="C189" s="142"/>
      <c r="D189" s="142"/>
      <c r="E189" s="142"/>
      <c r="F189" s="142"/>
      <c r="G189" s="142"/>
      <c r="H189" s="142"/>
      <c r="I189" s="142"/>
      <c r="J189" s="142"/>
      <c r="K189" s="142"/>
      <c r="L189" s="142"/>
      <c r="M189" s="142"/>
      <c r="N189" s="142"/>
      <c r="O189" s="142"/>
      <c r="P189" s="142"/>
      <c r="Q189" s="142"/>
      <c r="R189" s="250"/>
      <c r="S189" s="142"/>
      <c r="T189" s="142"/>
      <c r="U189" s="143"/>
      <c r="V189" s="142"/>
      <c r="W189" s="142"/>
      <c r="X189" s="94" t="s">
        <v>1195</v>
      </c>
      <c r="Y189" s="142"/>
      <c r="Z189" s="142"/>
      <c r="AA189" s="143"/>
      <c r="AB189" s="142"/>
      <c r="AC189" s="144"/>
      <c r="AD189" s="144"/>
      <c r="AE189" s="144"/>
      <c r="AF189" s="142"/>
      <c r="AG189" s="142"/>
      <c r="AH189" s="142"/>
      <c r="AI189" s="143"/>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61"/>
    </row>
    <row r="190" spans="1:59" x14ac:dyDescent="0.25">
      <c r="A190" s="158"/>
      <c r="B190" s="139"/>
      <c r="C190" s="139"/>
      <c r="D190" s="139"/>
      <c r="E190" s="139"/>
      <c r="F190" s="139"/>
      <c r="G190" s="139"/>
      <c r="H190" s="139"/>
      <c r="I190" s="139"/>
      <c r="J190" s="139"/>
      <c r="K190" s="139"/>
      <c r="L190" s="139"/>
      <c r="M190" s="139"/>
      <c r="N190" s="139"/>
      <c r="O190" s="139"/>
      <c r="P190" s="139"/>
      <c r="Q190" s="139"/>
      <c r="R190" s="251"/>
      <c r="S190" s="139"/>
      <c r="T190" s="139"/>
      <c r="U190" s="145"/>
      <c r="V190" s="139"/>
      <c r="W190" s="139"/>
      <c r="X190" s="102" t="s">
        <v>1195</v>
      </c>
      <c r="Y190" s="139"/>
      <c r="Z190" s="139"/>
      <c r="AA190" s="145"/>
      <c r="AB190" s="139"/>
      <c r="AC190" s="146"/>
      <c r="AD190" s="146"/>
      <c r="AE190" s="146"/>
      <c r="AF190" s="139"/>
      <c r="AG190" s="139"/>
      <c r="AH190" s="139"/>
      <c r="AI190" s="145"/>
      <c r="AJ190" s="139"/>
      <c r="AK190" s="139"/>
      <c r="AL190" s="139"/>
      <c r="AM190" s="139"/>
      <c r="AN190" s="139"/>
      <c r="AO190" s="139"/>
      <c r="AP190" s="139"/>
      <c r="AQ190" s="139"/>
      <c r="AR190" s="139"/>
      <c r="AS190" s="139"/>
      <c r="AT190" s="139"/>
      <c r="AU190" s="139"/>
      <c r="AV190" s="139"/>
      <c r="AW190" s="139"/>
      <c r="AX190" s="139"/>
      <c r="AY190" s="139"/>
      <c r="AZ190" s="139"/>
      <c r="BA190" s="139"/>
      <c r="BB190" s="139"/>
      <c r="BC190" s="139"/>
      <c r="BD190" s="139"/>
      <c r="BE190" s="139"/>
      <c r="BF190" s="139"/>
      <c r="BG190" s="162"/>
    </row>
    <row r="191" spans="1:59" x14ac:dyDescent="0.25">
      <c r="A191" s="157"/>
      <c r="B191" s="142"/>
      <c r="C191" s="142"/>
      <c r="D191" s="142"/>
      <c r="E191" s="142"/>
      <c r="F191" s="142"/>
      <c r="G191" s="142"/>
      <c r="H191" s="142"/>
      <c r="I191" s="142"/>
      <c r="J191" s="142"/>
      <c r="K191" s="142"/>
      <c r="L191" s="142"/>
      <c r="M191" s="142"/>
      <c r="N191" s="142"/>
      <c r="O191" s="142"/>
      <c r="P191" s="142"/>
      <c r="Q191" s="142"/>
      <c r="R191" s="250"/>
      <c r="S191" s="142"/>
      <c r="T191" s="142"/>
      <c r="U191" s="143"/>
      <c r="V191" s="142"/>
      <c r="W191" s="142"/>
      <c r="X191" s="94" t="s">
        <v>1195</v>
      </c>
      <c r="Y191" s="142"/>
      <c r="Z191" s="142"/>
      <c r="AA191" s="143"/>
      <c r="AB191" s="142"/>
      <c r="AC191" s="144"/>
      <c r="AD191" s="144"/>
      <c r="AE191" s="144"/>
      <c r="AF191" s="142"/>
      <c r="AG191" s="142"/>
      <c r="AH191" s="142"/>
      <c r="AI191" s="143"/>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61"/>
    </row>
    <row r="192" spans="1:59" x14ac:dyDescent="0.25">
      <c r="A192" s="158"/>
      <c r="B192" s="139"/>
      <c r="C192" s="139"/>
      <c r="D192" s="139"/>
      <c r="E192" s="139"/>
      <c r="F192" s="139"/>
      <c r="G192" s="139"/>
      <c r="H192" s="139"/>
      <c r="I192" s="139"/>
      <c r="J192" s="139"/>
      <c r="K192" s="139"/>
      <c r="L192" s="139"/>
      <c r="M192" s="139"/>
      <c r="N192" s="139"/>
      <c r="O192" s="139"/>
      <c r="P192" s="139"/>
      <c r="Q192" s="139"/>
      <c r="R192" s="251"/>
      <c r="S192" s="139"/>
      <c r="T192" s="139"/>
      <c r="U192" s="145"/>
      <c r="V192" s="139"/>
      <c r="W192" s="139"/>
      <c r="X192" s="102" t="s">
        <v>1195</v>
      </c>
      <c r="Y192" s="139"/>
      <c r="Z192" s="139"/>
      <c r="AA192" s="145"/>
      <c r="AB192" s="139"/>
      <c r="AC192" s="146"/>
      <c r="AD192" s="146"/>
      <c r="AE192" s="146"/>
      <c r="AF192" s="139"/>
      <c r="AG192" s="139"/>
      <c r="AH192" s="139"/>
      <c r="AI192" s="145"/>
      <c r="AJ192" s="139"/>
      <c r="AK192" s="139"/>
      <c r="AL192" s="139"/>
      <c r="AM192" s="139"/>
      <c r="AN192" s="139"/>
      <c r="AO192" s="139"/>
      <c r="AP192" s="139"/>
      <c r="AQ192" s="139"/>
      <c r="AR192" s="139"/>
      <c r="AS192" s="139"/>
      <c r="AT192" s="139"/>
      <c r="AU192" s="139"/>
      <c r="AV192" s="139"/>
      <c r="AW192" s="139"/>
      <c r="AX192" s="139"/>
      <c r="AY192" s="139"/>
      <c r="AZ192" s="139"/>
      <c r="BA192" s="139"/>
      <c r="BB192" s="139"/>
      <c r="BC192" s="139"/>
      <c r="BD192" s="139"/>
      <c r="BE192" s="139"/>
      <c r="BF192" s="139"/>
      <c r="BG192" s="162"/>
    </row>
    <row r="193" spans="1:59" x14ac:dyDescent="0.25">
      <c r="A193" s="157"/>
      <c r="B193" s="142"/>
      <c r="C193" s="142"/>
      <c r="D193" s="142"/>
      <c r="E193" s="142"/>
      <c r="F193" s="142"/>
      <c r="G193" s="142"/>
      <c r="H193" s="142"/>
      <c r="I193" s="142"/>
      <c r="J193" s="142"/>
      <c r="K193" s="142"/>
      <c r="L193" s="142"/>
      <c r="M193" s="142"/>
      <c r="N193" s="142"/>
      <c r="O193" s="142"/>
      <c r="P193" s="142"/>
      <c r="Q193" s="142"/>
      <c r="R193" s="250"/>
      <c r="S193" s="142"/>
      <c r="T193" s="142"/>
      <c r="U193" s="143"/>
      <c r="V193" s="142"/>
      <c r="W193" s="142"/>
      <c r="X193" s="94" t="s">
        <v>1195</v>
      </c>
      <c r="Y193" s="142"/>
      <c r="Z193" s="142"/>
      <c r="AA193" s="143"/>
      <c r="AB193" s="142"/>
      <c r="AC193" s="144"/>
      <c r="AD193" s="144"/>
      <c r="AE193" s="144"/>
      <c r="AF193" s="142"/>
      <c r="AG193" s="142"/>
      <c r="AH193" s="142"/>
      <c r="AI193" s="143"/>
      <c r="AJ193" s="142"/>
      <c r="AK193" s="142"/>
      <c r="AL193" s="142"/>
      <c r="AM193" s="142"/>
      <c r="AN193" s="142"/>
      <c r="AO193" s="142"/>
      <c r="AP193" s="142"/>
      <c r="AQ193" s="142"/>
      <c r="AR193" s="142"/>
      <c r="AS193" s="142"/>
      <c r="AT193" s="142"/>
      <c r="AU193" s="142"/>
      <c r="AV193" s="142"/>
      <c r="AW193" s="142"/>
      <c r="AX193" s="142"/>
      <c r="AY193" s="142"/>
      <c r="AZ193" s="142"/>
      <c r="BA193" s="142"/>
      <c r="BB193" s="142"/>
      <c r="BC193" s="142"/>
      <c r="BD193" s="142"/>
      <c r="BE193" s="142"/>
      <c r="BF193" s="142"/>
      <c r="BG193" s="161"/>
    </row>
    <row r="194" spans="1:59" x14ac:dyDescent="0.25">
      <c r="A194" s="158"/>
      <c r="B194" s="139"/>
      <c r="C194" s="139"/>
      <c r="D194" s="139"/>
      <c r="E194" s="139"/>
      <c r="F194" s="139"/>
      <c r="G194" s="139"/>
      <c r="H194" s="139"/>
      <c r="I194" s="139"/>
      <c r="J194" s="139"/>
      <c r="K194" s="139"/>
      <c r="L194" s="139"/>
      <c r="M194" s="139"/>
      <c r="N194" s="139"/>
      <c r="O194" s="139"/>
      <c r="P194" s="139"/>
      <c r="Q194" s="139"/>
      <c r="R194" s="251"/>
      <c r="S194" s="139"/>
      <c r="T194" s="139"/>
      <c r="U194" s="145"/>
      <c r="V194" s="139"/>
      <c r="W194" s="139"/>
      <c r="X194" s="102" t="s">
        <v>1195</v>
      </c>
      <c r="Y194" s="139"/>
      <c r="Z194" s="139"/>
      <c r="AA194" s="145"/>
      <c r="AB194" s="139"/>
      <c r="AC194" s="146"/>
      <c r="AD194" s="146"/>
      <c r="AE194" s="146"/>
      <c r="AF194" s="139"/>
      <c r="AG194" s="139"/>
      <c r="AH194" s="139"/>
      <c r="AI194" s="145"/>
      <c r="AJ194" s="139"/>
      <c r="AK194" s="139"/>
      <c r="AL194" s="139"/>
      <c r="AM194" s="139"/>
      <c r="AN194" s="139"/>
      <c r="AO194" s="139"/>
      <c r="AP194" s="139"/>
      <c r="AQ194" s="139"/>
      <c r="AR194" s="139"/>
      <c r="AS194" s="139"/>
      <c r="AT194" s="139"/>
      <c r="AU194" s="139"/>
      <c r="AV194" s="139"/>
      <c r="AW194" s="139"/>
      <c r="AX194" s="139"/>
      <c r="AY194" s="139"/>
      <c r="AZ194" s="139"/>
      <c r="BA194" s="139"/>
      <c r="BB194" s="139"/>
      <c r="BC194" s="139"/>
      <c r="BD194" s="139"/>
      <c r="BE194" s="139"/>
      <c r="BF194" s="139"/>
      <c r="BG194" s="162"/>
    </row>
    <row r="195" spans="1:59" x14ac:dyDescent="0.25">
      <c r="A195" s="157"/>
      <c r="B195" s="142"/>
      <c r="C195" s="142"/>
      <c r="D195" s="142"/>
      <c r="E195" s="142"/>
      <c r="F195" s="142"/>
      <c r="G195" s="142"/>
      <c r="H195" s="142"/>
      <c r="I195" s="142"/>
      <c r="J195" s="142"/>
      <c r="K195" s="142"/>
      <c r="L195" s="142"/>
      <c r="M195" s="142"/>
      <c r="N195" s="142"/>
      <c r="O195" s="142"/>
      <c r="P195" s="142"/>
      <c r="Q195" s="142"/>
      <c r="R195" s="250"/>
      <c r="S195" s="142"/>
      <c r="T195" s="142"/>
      <c r="U195" s="143"/>
      <c r="V195" s="142"/>
      <c r="W195" s="142"/>
      <c r="X195" s="94" t="s">
        <v>1195</v>
      </c>
      <c r="Y195" s="142"/>
      <c r="Z195" s="142"/>
      <c r="AA195" s="143"/>
      <c r="AB195" s="142"/>
      <c r="AC195" s="144"/>
      <c r="AD195" s="144"/>
      <c r="AE195" s="144"/>
      <c r="AF195" s="142"/>
      <c r="AG195" s="142"/>
      <c r="AH195" s="142"/>
      <c r="AI195" s="143"/>
      <c r="AJ195" s="142"/>
      <c r="AK195" s="142"/>
      <c r="AL195" s="142"/>
      <c r="AM195" s="142"/>
      <c r="AN195" s="142"/>
      <c r="AO195" s="142"/>
      <c r="AP195" s="142"/>
      <c r="AQ195" s="142"/>
      <c r="AR195" s="142"/>
      <c r="AS195" s="142"/>
      <c r="AT195" s="142"/>
      <c r="AU195" s="142"/>
      <c r="AV195" s="142"/>
      <c r="AW195" s="142"/>
      <c r="AX195" s="142"/>
      <c r="AY195" s="142"/>
      <c r="AZ195" s="142"/>
      <c r="BA195" s="142"/>
      <c r="BB195" s="142"/>
      <c r="BC195" s="142"/>
      <c r="BD195" s="142"/>
      <c r="BE195" s="142"/>
      <c r="BF195" s="142"/>
      <c r="BG195" s="161"/>
    </row>
    <row r="196" spans="1:59" x14ac:dyDescent="0.25">
      <c r="A196" s="158"/>
      <c r="B196" s="139"/>
      <c r="C196" s="139"/>
      <c r="D196" s="139"/>
      <c r="E196" s="139"/>
      <c r="F196" s="139"/>
      <c r="G196" s="139"/>
      <c r="H196" s="139"/>
      <c r="I196" s="139"/>
      <c r="J196" s="139"/>
      <c r="K196" s="139"/>
      <c r="L196" s="139"/>
      <c r="M196" s="139"/>
      <c r="N196" s="139"/>
      <c r="O196" s="139"/>
      <c r="P196" s="139"/>
      <c r="Q196" s="139"/>
      <c r="R196" s="251"/>
      <c r="S196" s="139"/>
      <c r="T196" s="139"/>
      <c r="U196" s="145"/>
      <c r="V196" s="139"/>
      <c r="W196" s="139"/>
      <c r="X196" s="102" t="s">
        <v>1195</v>
      </c>
      <c r="Y196" s="139"/>
      <c r="Z196" s="139"/>
      <c r="AA196" s="145"/>
      <c r="AB196" s="139"/>
      <c r="AC196" s="146"/>
      <c r="AD196" s="146"/>
      <c r="AE196" s="146"/>
      <c r="AF196" s="139"/>
      <c r="AG196" s="139"/>
      <c r="AH196" s="139"/>
      <c r="AI196" s="145"/>
      <c r="AJ196" s="139"/>
      <c r="AK196" s="139"/>
      <c r="AL196" s="139"/>
      <c r="AM196" s="139"/>
      <c r="AN196" s="139"/>
      <c r="AO196" s="139"/>
      <c r="AP196" s="139"/>
      <c r="AQ196" s="139"/>
      <c r="AR196" s="139"/>
      <c r="AS196" s="139"/>
      <c r="AT196" s="139"/>
      <c r="AU196" s="139"/>
      <c r="AV196" s="139"/>
      <c r="AW196" s="139"/>
      <c r="AX196" s="139"/>
      <c r="AY196" s="139"/>
      <c r="AZ196" s="139"/>
      <c r="BA196" s="139"/>
      <c r="BB196" s="139"/>
      <c r="BC196" s="139"/>
      <c r="BD196" s="139"/>
      <c r="BE196" s="139"/>
      <c r="BF196" s="139"/>
      <c r="BG196" s="162"/>
    </row>
    <row r="197" spans="1:59" x14ac:dyDescent="0.25">
      <c r="A197" s="157"/>
      <c r="B197" s="142"/>
      <c r="C197" s="142"/>
      <c r="D197" s="142"/>
      <c r="E197" s="142"/>
      <c r="F197" s="142"/>
      <c r="G197" s="142"/>
      <c r="H197" s="142"/>
      <c r="I197" s="142"/>
      <c r="J197" s="142"/>
      <c r="K197" s="142"/>
      <c r="L197" s="142"/>
      <c r="M197" s="142"/>
      <c r="N197" s="142"/>
      <c r="O197" s="142"/>
      <c r="P197" s="142"/>
      <c r="Q197" s="142"/>
      <c r="R197" s="250"/>
      <c r="S197" s="142"/>
      <c r="T197" s="142"/>
      <c r="U197" s="143"/>
      <c r="V197" s="142"/>
      <c r="W197" s="142"/>
      <c r="X197" s="94" t="s">
        <v>1195</v>
      </c>
      <c r="Y197" s="142"/>
      <c r="Z197" s="142"/>
      <c r="AA197" s="143"/>
      <c r="AB197" s="142"/>
      <c r="AC197" s="144"/>
      <c r="AD197" s="144"/>
      <c r="AE197" s="144"/>
      <c r="AF197" s="142"/>
      <c r="AG197" s="142"/>
      <c r="AH197" s="142"/>
      <c r="AI197" s="143"/>
      <c r="AJ197" s="142"/>
      <c r="AK197" s="142"/>
      <c r="AL197" s="142"/>
      <c r="AM197" s="142"/>
      <c r="AN197" s="142"/>
      <c r="AO197" s="142"/>
      <c r="AP197" s="142"/>
      <c r="AQ197" s="142"/>
      <c r="AR197" s="142"/>
      <c r="AS197" s="142"/>
      <c r="AT197" s="142"/>
      <c r="AU197" s="142"/>
      <c r="AV197" s="142"/>
      <c r="AW197" s="142"/>
      <c r="AX197" s="142"/>
      <c r="AY197" s="142"/>
      <c r="AZ197" s="142"/>
      <c r="BA197" s="142"/>
      <c r="BB197" s="142"/>
      <c r="BC197" s="142"/>
      <c r="BD197" s="142"/>
      <c r="BE197" s="142"/>
      <c r="BF197" s="142"/>
      <c r="BG197" s="161"/>
    </row>
    <row r="198" spans="1:59" x14ac:dyDescent="0.25">
      <c r="A198" s="158"/>
      <c r="B198" s="139"/>
      <c r="C198" s="139"/>
      <c r="D198" s="139"/>
      <c r="E198" s="139"/>
      <c r="F198" s="139"/>
      <c r="G198" s="139"/>
      <c r="H198" s="139"/>
      <c r="I198" s="139"/>
      <c r="J198" s="139"/>
      <c r="K198" s="139"/>
      <c r="L198" s="139"/>
      <c r="M198" s="139"/>
      <c r="N198" s="139"/>
      <c r="O198" s="139"/>
      <c r="P198" s="139"/>
      <c r="Q198" s="139"/>
      <c r="R198" s="251"/>
      <c r="S198" s="139"/>
      <c r="T198" s="139"/>
      <c r="U198" s="145"/>
      <c r="V198" s="139"/>
      <c r="W198" s="139"/>
      <c r="X198" s="102" t="s">
        <v>1195</v>
      </c>
      <c r="Y198" s="139"/>
      <c r="Z198" s="139"/>
      <c r="AA198" s="145"/>
      <c r="AB198" s="139"/>
      <c r="AC198" s="146"/>
      <c r="AD198" s="146"/>
      <c r="AE198" s="146"/>
      <c r="AF198" s="139"/>
      <c r="AG198" s="139"/>
      <c r="AH198" s="139"/>
      <c r="AI198" s="145"/>
      <c r="AJ198" s="139"/>
      <c r="AK198" s="139"/>
      <c r="AL198" s="139"/>
      <c r="AM198" s="139"/>
      <c r="AN198" s="139"/>
      <c r="AO198" s="139"/>
      <c r="AP198" s="139"/>
      <c r="AQ198" s="139"/>
      <c r="AR198" s="139"/>
      <c r="AS198" s="139"/>
      <c r="AT198" s="139"/>
      <c r="AU198" s="139"/>
      <c r="AV198" s="139"/>
      <c r="AW198" s="139"/>
      <c r="AX198" s="139"/>
      <c r="AY198" s="139"/>
      <c r="AZ198" s="139"/>
      <c r="BA198" s="139"/>
      <c r="BB198" s="139"/>
      <c r="BC198" s="139"/>
      <c r="BD198" s="139"/>
      <c r="BE198" s="139"/>
      <c r="BF198" s="139"/>
      <c r="BG198" s="162"/>
    </row>
    <row r="199" spans="1:59" x14ac:dyDescent="0.25">
      <c r="A199" s="157"/>
      <c r="B199" s="142"/>
      <c r="C199" s="142"/>
      <c r="D199" s="142"/>
      <c r="E199" s="142"/>
      <c r="F199" s="142"/>
      <c r="G199" s="142"/>
      <c r="H199" s="142"/>
      <c r="I199" s="142"/>
      <c r="J199" s="142"/>
      <c r="K199" s="142"/>
      <c r="L199" s="142"/>
      <c r="M199" s="142"/>
      <c r="N199" s="142"/>
      <c r="O199" s="142"/>
      <c r="P199" s="142"/>
      <c r="Q199" s="142"/>
      <c r="R199" s="250"/>
      <c r="S199" s="142"/>
      <c r="T199" s="142"/>
      <c r="U199" s="143"/>
      <c r="V199" s="142"/>
      <c r="W199" s="142"/>
      <c r="X199" s="94" t="s">
        <v>1195</v>
      </c>
      <c r="Y199" s="142"/>
      <c r="Z199" s="142"/>
      <c r="AA199" s="143"/>
      <c r="AB199" s="142"/>
      <c r="AC199" s="144"/>
      <c r="AD199" s="144"/>
      <c r="AE199" s="144"/>
      <c r="AF199" s="142"/>
      <c r="AG199" s="142"/>
      <c r="AH199" s="142"/>
      <c r="AI199" s="143"/>
      <c r="AJ199" s="142"/>
      <c r="AK199" s="142"/>
      <c r="AL199" s="142"/>
      <c r="AM199" s="142"/>
      <c r="AN199" s="142"/>
      <c r="AO199" s="142"/>
      <c r="AP199" s="142"/>
      <c r="AQ199" s="142"/>
      <c r="AR199" s="142"/>
      <c r="AS199" s="142"/>
      <c r="AT199" s="142"/>
      <c r="AU199" s="142"/>
      <c r="AV199" s="142"/>
      <c r="AW199" s="142"/>
      <c r="AX199" s="142"/>
      <c r="AY199" s="142"/>
      <c r="AZ199" s="142"/>
      <c r="BA199" s="142"/>
      <c r="BB199" s="142"/>
      <c r="BC199" s="142"/>
      <c r="BD199" s="142"/>
      <c r="BE199" s="142"/>
      <c r="BF199" s="142"/>
      <c r="BG199" s="161"/>
    </row>
    <row r="200" spans="1:59" x14ac:dyDescent="0.25">
      <c r="A200" s="158"/>
      <c r="B200" s="139"/>
      <c r="C200" s="139"/>
      <c r="D200" s="139"/>
      <c r="E200" s="139"/>
      <c r="F200" s="139"/>
      <c r="G200" s="139"/>
      <c r="H200" s="139"/>
      <c r="I200" s="139"/>
      <c r="J200" s="139"/>
      <c r="K200" s="139"/>
      <c r="L200" s="139"/>
      <c r="M200" s="139"/>
      <c r="N200" s="139"/>
      <c r="O200" s="139"/>
      <c r="P200" s="139"/>
      <c r="Q200" s="139"/>
      <c r="R200" s="251"/>
      <c r="S200" s="139"/>
      <c r="T200" s="139"/>
      <c r="U200" s="145"/>
      <c r="V200" s="139"/>
      <c r="W200" s="139"/>
      <c r="X200" s="102" t="s">
        <v>1195</v>
      </c>
      <c r="Y200" s="139"/>
      <c r="Z200" s="139"/>
      <c r="AA200" s="145"/>
      <c r="AB200" s="139"/>
      <c r="AC200" s="146"/>
      <c r="AD200" s="146"/>
      <c r="AE200" s="146"/>
      <c r="AF200" s="139"/>
      <c r="AG200" s="139"/>
      <c r="AH200" s="139"/>
      <c r="AI200" s="145"/>
      <c r="AJ200" s="139"/>
      <c r="AK200" s="139"/>
      <c r="AL200" s="139"/>
      <c r="AM200" s="139"/>
      <c r="AN200" s="139"/>
      <c r="AO200" s="139"/>
      <c r="AP200" s="139"/>
      <c r="AQ200" s="139"/>
      <c r="AR200" s="139"/>
      <c r="AS200" s="139"/>
      <c r="AT200" s="139"/>
      <c r="AU200" s="139"/>
      <c r="AV200" s="139"/>
      <c r="AW200" s="139"/>
      <c r="AX200" s="139"/>
      <c r="AY200" s="139"/>
      <c r="AZ200" s="139"/>
      <c r="BA200" s="139"/>
      <c r="BB200" s="139"/>
      <c r="BC200" s="139"/>
      <c r="BD200" s="139"/>
      <c r="BE200" s="139"/>
      <c r="BF200" s="139"/>
      <c r="BG200" s="162"/>
    </row>
    <row r="201" spans="1:59" x14ac:dyDescent="0.25">
      <c r="A201" s="157"/>
      <c r="B201" s="142"/>
      <c r="C201" s="142"/>
      <c r="D201" s="142"/>
      <c r="E201" s="142"/>
      <c r="F201" s="142"/>
      <c r="G201" s="142"/>
      <c r="H201" s="142"/>
      <c r="I201" s="142"/>
      <c r="J201" s="142"/>
      <c r="K201" s="142"/>
      <c r="L201" s="142"/>
      <c r="M201" s="142"/>
      <c r="N201" s="142"/>
      <c r="O201" s="142"/>
      <c r="P201" s="142"/>
      <c r="Q201" s="142"/>
      <c r="R201" s="250"/>
      <c r="S201" s="142"/>
      <c r="T201" s="142"/>
      <c r="U201" s="143"/>
      <c r="V201" s="142"/>
      <c r="W201" s="142"/>
      <c r="X201" s="94" t="s">
        <v>1195</v>
      </c>
      <c r="Y201" s="142"/>
      <c r="Z201" s="142"/>
      <c r="AA201" s="143"/>
      <c r="AB201" s="142"/>
      <c r="AC201" s="144"/>
      <c r="AD201" s="144"/>
      <c r="AE201" s="144"/>
      <c r="AF201" s="142"/>
      <c r="AG201" s="142"/>
      <c r="AH201" s="142"/>
      <c r="AI201" s="143"/>
      <c r="AJ201" s="142"/>
      <c r="AK201" s="142"/>
      <c r="AL201" s="142"/>
      <c r="AM201" s="142"/>
      <c r="AN201" s="142"/>
      <c r="AO201" s="142"/>
      <c r="AP201" s="142"/>
      <c r="AQ201" s="142"/>
      <c r="AR201" s="142"/>
      <c r="AS201" s="142"/>
      <c r="AT201" s="142"/>
      <c r="AU201" s="142"/>
      <c r="AV201" s="142"/>
      <c r="AW201" s="142"/>
      <c r="AX201" s="142"/>
      <c r="AY201" s="142"/>
      <c r="AZ201" s="142"/>
      <c r="BA201" s="142"/>
      <c r="BB201" s="142"/>
      <c r="BC201" s="142"/>
      <c r="BD201" s="142"/>
      <c r="BE201" s="142"/>
      <c r="BF201" s="142"/>
      <c r="BG201" s="161"/>
    </row>
    <row r="202" spans="1:59" x14ac:dyDescent="0.25">
      <c r="A202" s="158"/>
      <c r="B202" s="139"/>
      <c r="C202" s="139"/>
      <c r="D202" s="139"/>
      <c r="E202" s="139"/>
      <c r="F202" s="139"/>
      <c r="G202" s="139"/>
      <c r="H202" s="139"/>
      <c r="I202" s="139"/>
      <c r="J202" s="139"/>
      <c r="K202" s="139"/>
      <c r="L202" s="139"/>
      <c r="M202" s="139"/>
      <c r="N202" s="139"/>
      <c r="O202" s="139"/>
      <c r="P202" s="139"/>
      <c r="Q202" s="139"/>
      <c r="R202" s="251"/>
      <c r="S202" s="139"/>
      <c r="T202" s="139"/>
      <c r="U202" s="145"/>
      <c r="V202" s="139"/>
      <c r="W202" s="139"/>
      <c r="X202" s="102" t="s">
        <v>1195</v>
      </c>
      <c r="Y202" s="139"/>
      <c r="Z202" s="139"/>
      <c r="AA202" s="145"/>
      <c r="AB202" s="139"/>
      <c r="AC202" s="146"/>
      <c r="AD202" s="146"/>
      <c r="AE202" s="146"/>
      <c r="AF202" s="139"/>
      <c r="AG202" s="139"/>
      <c r="AH202" s="139"/>
      <c r="AI202" s="145"/>
      <c r="AJ202" s="139"/>
      <c r="AK202" s="139"/>
      <c r="AL202" s="139"/>
      <c r="AM202" s="139"/>
      <c r="AN202" s="139"/>
      <c r="AO202" s="139"/>
      <c r="AP202" s="139"/>
      <c r="AQ202" s="139"/>
      <c r="AR202" s="139"/>
      <c r="AS202" s="139"/>
      <c r="AT202" s="139"/>
      <c r="AU202" s="139"/>
      <c r="AV202" s="139"/>
      <c r="AW202" s="139"/>
      <c r="AX202" s="139"/>
      <c r="AY202" s="139"/>
      <c r="AZ202" s="139"/>
      <c r="BA202" s="139"/>
      <c r="BB202" s="139"/>
      <c r="BC202" s="139"/>
      <c r="BD202" s="139"/>
      <c r="BE202" s="139"/>
      <c r="BF202" s="139"/>
      <c r="BG202" s="162"/>
    </row>
    <row r="203" spans="1:59" x14ac:dyDescent="0.25">
      <c r="A203" s="157"/>
      <c r="B203" s="142"/>
      <c r="C203" s="142"/>
      <c r="D203" s="142"/>
      <c r="E203" s="142"/>
      <c r="F203" s="142"/>
      <c r="G203" s="142"/>
      <c r="H203" s="142"/>
      <c r="I203" s="142"/>
      <c r="J203" s="142"/>
      <c r="K203" s="142"/>
      <c r="L203" s="142"/>
      <c r="M203" s="142"/>
      <c r="N203" s="142"/>
      <c r="O203" s="142"/>
      <c r="P203" s="142"/>
      <c r="Q203" s="142"/>
      <c r="R203" s="250"/>
      <c r="S203" s="142"/>
      <c r="T203" s="142"/>
      <c r="U203" s="143"/>
      <c r="V203" s="142"/>
      <c r="W203" s="142"/>
      <c r="X203" s="94" t="s">
        <v>1195</v>
      </c>
      <c r="Y203" s="142"/>
      <c r="Z203" s="142"/>
      <c r="AA203" s="143"/>
      <c r="AB203" s="142"/>
      <c r="AC203" s="144"/>
      <c r="AD203" s="144"/>
      <c r="AE203" s="144"/>
      <c r="AF203" s="142"/>
      <c r="AG203" s="142"/>
      <c r="AH203" s="142"/>
      <c r="AI203" s="143"/>
      <c r="AJ203" s="142"/>
      <c r="AK203" s="142"/>
      <c r="AL203" s="142"/>
      <c r="AM203" s="142"/>
      <c r="AN203" s="142"/>
      <c r="AO203" s="142"/>
      <c r="AP203" s="142"/>
      <c r="AQ203" s="142"/>
      <c r="AR203" s="142"/>
      <c r="AS203" s="142"/>
      <c r="AT203" s="142"/>
      <c r="AU203" s="142"/>
      <c r="AV203" s="142"/>
      <c r="AW203" s="142"/>
      <c r="AX203" s="142"/>
      <c r="AY203" s="142"/>
      <c r="AZ203" s="142"/>
      <c r="BA203" s="142"/>
      <c r="BB203" s="142"/>
      <c r="BC203" s="142"/>
      <c r="BD203" s="142"/>
      <c r="BE203" s="142"/>
      <c r="BF203" s="142"/>
      <c r="BG203" s="161"/>
    </row>
    <row r="204" spans="1:59" x14ac:dyDescent="0.25">
      <c r="A204" s="158"/>
      <c r="B204" s="139"/>
      <c r="C204" s="139"/>
      <c r="D204" s="139"/>
      <c r="E204" s="139"/>
      <c r="F204" s="139"/>
      <c r="G204" s="139"/>
      <c r="H204" s="139"/>
      <c r="I204" s="139"/>
      <c r="J204" s="139"/>
      <c r="K204" s="139"/>
      <c r="L204" s="139"/>
      <c r="M204" s="139"/>
      <c r="N204" s="139"/>
      <c r="O204" s="139"/>
      <c r="P204" s="139"/>
      <c r="Q204" s="139"/>
      <c r="R204" s="251"/>
      <c r="S204" s="139"/>
      <c r="T204" s="139"/>
      <c r="U204" s="145"/>
      <c r="V204" s="139"/>
      <c r="W204" s="139"/>
      <c r="X204" s="102" t="s">
        <v>1195</v>
      </c>
      <c r="Y204" s="139"/>
      <c r="Z204" s="139"/>
      <c r="AA204" s="145"/>
      <c r="AB204" s="139"/>
      <c r="AC204" s="146"/>
      <c r="AD204" s="146"/>
      <c r="AE204" s="146"/>
      <c r="AF204" s="139"/>
      <c r="AG204" s="139"/>
      <c r="AH204" s="139"/>
      <c r="AI204" s="145"/>
      <c r="AJ204" s="139"/>
      <c r="AK204" s="139"/>
      <c r="AL204" s="139"/>
      <c r="AM204" s="139"/>
      <c r="AN204" s="139"/>
      <c r="AO204" s="139"/>
      <c r="AP204" s="139"/>
      <c r="AQ204" s="139"/>
      <c r="AR204" s="139"/>
      <c r="AS204" s="139"/>
      <c r="AT204" s="139"/>
      <c r="AU204" s="139"/>
      <c r="AV204" s="139"/>
      <c r="AW204" s="139"/>
      <c r="AX204" s="139"/>
      <c r="AY204" s="139"/>
      <c r="AZ204" s="139"/>
      <c r="BA204" s="139"/>
      <c r="BB204" s="139"/>
      <c r="BC204" s="139"/>
      <c r="BD204" s="139"/>
      <c r="BE204" s="139"/>
      <c r="BF204" s="139"/>
      <c r="BG204" s="162"/>
    </row>
    <row r="205" spans="1:59" x14ac:dyDescent="0.25">
      <c r="A205" s="157"/>
      <c r="B205" s="142"/>
      <c r="C205" s="142"/>
      <c r="D205" s="142"/>
      <c r="E205" s="142"/>
      <c r="F205" s="142"/>
      <c r="G205" s="142"/>
      <c r="H205" s="142"/>
      <c r="I205" s="142"/>
      <c r="J205" s="142"/>
      <c r="K205" s="142"/>
      <c r="L205" s="142"/>
      <c r="M205" s="142"/>
      <c r="N205" s="142"/>
      <c r="O205" s="142"/>
      <c r="P205" s="142"/>
      <c r="Q205" s="142"/>
      <c r="R205" s="250"/>
      <c r="S205" s="142"/>
      <c r="T205" s="142"/>
      <c r="U205" s="143"/>
      <c r="V205" s="142"/>
      <c r="W205" s="142"/>
      <c r="X205" s="94" t="s">
        <v>1195</v>
      </c>
      <c r="Y205" s="142"/>
      <c r="Z205" s="142"/>
      <c r="AA205" s="143"/>
      <c r="AB205" s="142"/>
      <c r="AC205" s="144"/>
      <c r="AD205" s="144"/>
      <c r="AE205" s="144"/>
      <c r="AF205" s="142"/>
      <c r="AG205" s="142"/>
      <c r="AH205" s="142"/>
      <c r="AI205" s="143"/>
      <c r="AJ205" s="142"/>
      <c r="AK205" s="142"/>
      <c r="AL205" s="142"/>
      <c r="AM205" s="142"/>
      <c r="AN205" s="142"/>
      <c r="AO205" s="142"/>
      <c r="AP205" s="142"/>
      <c r="AQ205" s="142"/>
      <c r="AR205" s="142"/>
      <c r="AS205" s="142"/>
      <c r="AT205" s="142"/>
      <c r="AU205" s="142"/>
      <c r="AV205" s="142"/>
      <c r="AW205" s="142"/>
      <c r="AX205" s="142"/>
      <c r="AY205" s="142"/>
      <c r="AZ205" s="142"/>
      <c r="BA205" s="142"/>
      <c r="BB205" s="142"/>
      <c r="BC205" s="142"/>
      <c r="BD205" s="142"/>
      <c r="BE205" s="142"/>
      <c r="BF205" s="142"/>
      <c r="BG205" s="161"/>
    </row>
    <row r="206" spans="1:59" x14ac:dyDescent="0.25">
      <c r="A206" s="158"/>
      <c r="B206" s="139"/>
      <c r="C206" s="139"/>
      <c r="D206" s="139"/>
      <c r="E206" s="139"/>
      <c r="F206" s="139"/>
      <c r="G206" s="139"/>
      <c r="H206" s="139"/>
      <c r="I206" s="139"/>
      <c r="J206" s="139"/>
      <c r="K206" s="139"/>
      <c r="L206" s="139"/>
      <c r="M206" s="139"/>
      <c r="N206" s="139"/>
      <c r="O206" s="139"/>
      <c r="P206" s="139"/>
      <c r="Q206" s="139"/>
      <c r="R206" s="251"/>
      <c r="S206" s="139"/>
      <c r="T206" s="139"/>
      <c r="U206" s="145"/>
      <c r="V206" s="139"/>
      <c r="W206" s="139"/>
      <c r="X206" s="102" t="s">
        <v>1195</v>
      </c>
      <c r="Y206" s="139"/>
      <c r="Z206" s="139"/>
      <c r="AA206" s="145"/>
      <c r="AB206" s="139"/>
      <c r="AC206" s="146"/>
      <c r="AD206" s="146"/>
      <c r="AE206" s="146"/>
      <c r="AF206" s="139"/>
      <c r="AG206" s="139"/>
      <c r="AH206" s="139"/>
      <c r="AI206" s="145"/>
      <c r="AJ206" s="139"/>
      <c r="AK206" s="139"/>
      <c r="AL206" s="139"/>
      <c r="AM206" s="139"/>
      <c r="AN206" s="139"/>
      <c r="AO206" s="139"/>
      <c r="AP206" s="139"/>
      <c r="AQ206" s="139"/>
      <c r="AR206" s="139"/>
      <c r="AS206" s="139"/>
      <c r="AT206" s="139"/>
      <c r="AU206" s="139"/>
      <c r="AV206" s="139"/>
      <c r="AW206" s="139"/>
      <c r="AX206" s="139"/>
      <c r="AY206" s="139"/>
      <c r="AZ206" s="139"/>
      <c r="BA206" s="139"/>
      <c r="BB206" s="139"/>
      <c r="BC206" s="139"/>
      <c r="BD206" s="139"/>
      <c r="BE206" s="139"/>
      <c r="BF206" s="139"/>
      <c r="BG206" s="162"/>
    </row>
    <row r="207" spans="1:59" x14ac:dyDescent="0.25">
      <c r="A207" s="157"/>
      <c r="B207" s="142"/>
      <c r="C207" s="142"/>
      <c r="D207" s="142"/>
      <c r="E207" s="142"/>
      <c r="F207" s="142"/>
      <c r="G207" s="142"/>
      <c r="H207" s="142"/>
      <c r="I207" s="142"/>
      <c r="J207" s="142"/>
      <c r="K207" s="142"/>
      <c r="L207" s="142"/>
      <c r="M207" s="142"/>
      <c r="N207" s="142"/>
      <c r="O207" s="142"/>
      <c r="P207" s="142"/>
      <c r="Q207" s="142"/>
      <c r="R207" s="250"/>
      <c r="S207" s="142"/>
      <c r="T207" s="142"/>
      <c r="U207" s="143"/>
      <c r="V207" s="142"/>
      <c r="W207" s="142"/>
      <c r="X207" s="94" t="s">
        <v>1195</v>
      </c>
      <c r="Y207" s="142"/>
      <c r="Z207" s="142"/>
      <c r="AA207" s="143"/>
      <c r="AB207" s="142"/>
      <c r="AC207" s="144"/>
      <c r="AD207" s="144"/>
      <c r="AE207" s="144"/>
      <c r="AF207" s="142"/>
      <c r="AG207" s="142"/>
      <c r="AH207" s="142"/>
      <c r="AI207" s="143"/>
      <c r="AJ207" s="142"/>
      <c r="AK207" s="142"/>
      <c r="AL207" s="142"/>
      <c r="AM207" s="142"/>
      <c r="AN207" s="142"/>
      <c r="AO207" s="142"/>
      <c r="AP207" s="142"/>
      <c r="AQ207" s="142"/>
      <c r="AR207" s="142"/>
      <c r="AS207" s="142"/>
      <c r="AT207" s="142"/>
      <c r="AU207" s="142"/>
      <c r="AV207" s="142"/>
      <c r="AW207" s="142"/>
      <c r="AX207" s="142"/>
      <c r="AY207" s="142"/>
      <c r="AZ207" s="142"/>
      <c r="BA207" s="142"/>
      <c r="BB207" s="142"/>
      <c r="BC207" s="142"/>
      <c r="BD207" s="142"/>
      <c r="BE207" s="142"/>
      <c r="BF207" s="142"/>
      <c r="BG207" s="161"/>
    </row>
    <row r="208" spans="1:59" x14ac:dyDescent="0.25">
      <c r="A208" s="158"/>
      <c r="B208" s="139"/>
      <c r="C208" s="139"/>
      <c r="D208" s="139"/>
      <c r="E208" s="139"/>
      <c r="F208" s="139"/>
      <c r="G208" s="139"/>
      <c r="H208" s="139"/>
      <c r="I208" s="139"/>
      <c r="J208" s="139"/>
      <c r="K208" s="139"/>
      <c r="L208" s="139"/>
      <c r="M208" s="139"/>
      <c r="N208" s="139"/>
      <c r="O208" s="139"/>
      <c r="P208" s="139"/>
      <c r="Q208" s="139"/>
      <c r="R208" s="251"/>
      <c r="S208" s="139"/>
      <c r="T208" s="139"/>
      <c r="U208" s="145"/>
      <c r="V208" s="139"/>
      <c r="W208" s="139"/>
      <c r="X208" s="102" t="s">
        <v>1195</v>
      </c>
      <c r="Y208" s="139"/>
      <c r="Z208" s="139"/>
      <c r="AA208" s="145"/>
      <c r="AB208" s="139"/>
      <c r="AC208" s="146"/>
      <c r="AD208" s="146"/>
      <c r="AE208" s="146"/>
      <c r="AF208" s="139"/>
      <c r="AG208" s="139"/>
      <c r="AH208" s="139"/>
      <c r="AI208" s="145"/>
      <c r="AJ208" s="139"/>
      <c r="AK208" s="139"/>
      <c r="AL208" s="139"/>
      <c r="AM208" s="139"/>
      <c r="AN208" s="139"/>
      <c r="AO208" s="139"/>
      <c r="AP208" s="139"/>
      <c r="AQ208" s="139"/>
      <c r="AR208" s="139"/>
      <c r="AS208" s="139"/>
      <c r="AT208" s="139"/>
      <c r="AU208" s="139"/>
      <c r="AV208" s="139"/>
      <c r="AW208" s="139"/>
      <c r="AX208" s="139"/>
      <c r="AY208" s="139"/>
      <c r="AZ208" s="139"/>
      <c r="BA208" s="139"/>
      <c r="BB208" s="139"/>
      <c r="BC208" s="139"/>
      <c r="BD208" s="139"/>
      <c r="BE208" s="139"/>
      <c r="BF208" s="139"/>
      <c r="BG208" s="162"/>
    </row>
    <row r="209" spans="1:59" x14ac:dyDescent="0.25">
      <c r="A209" s="157"/>
      <c r="B209" s="142"/>
      <c r="C209" s="142"/>
      <c r="D209" s="142"/>
      <c r="E209" s="142"/>
      <c r="F209" s="142"/>
      <c r="G209" s="142"/>
      <c r="H209" s="142"/>
      <c r="I209" s="142"/>
      <c r="J209" s="142"/>
      <c r="K209" s="142"/>
      <c r="L209" s="142"/>
      <c r="M209" s="142"/>
      <c r="N209" s="142"/>
      <c r="O209" s="142"/>
      <c r="P209" s="142"/>
      <c r="Q209" s="142"/>
      <c r="R209" s="250"/>
      <c r="S209" s="142"/>
      <c r="T209" s="142"/>
      <c r="U209" s="143"/>
      <c r="V209" s="142"/>
      <c r="W209" s="142"/>
      <c r="X209" s="94" t="s">
        <v>1195</v>
      </c>
      <c r="Y209" s="142"/>
      <c r="Z209" s="142"/>
      <c r="AA209" s="143"/>
      <c r="AB209" s="142"/>
      <c r="AC209" s="144"/>
      <c r="AD209" s="144"/>
      <c r="AE209" s="144"/>
      <c r="AF209" s="142"/>
      <c r="AG209" s="142"/>
      <c r="AH209" s="142"/>
      <c r="AI209" s="143"/>
      <c r="AJ209" s="142"/>
      <c r="AK209" s="142"/>
      <c r="AL209" s="142"/>
      <c r="AM209" s="142"/>
      <c r="AN209" s="142"/>
      <c r="AO209" s="142"/>
      <c r="AP209" s="142"/>
      <c r="AQ209" s="142"/>
      <c r="AR209" s="142"/>
      <c r="AS209" s="142"/>
      <c r="AT209" s="142"/>
      <c r="AU209" s="142"/>
      <c r="AV209" s="142"/>
      <c r="AW209" s="142"/>
      <c r="AX209" s="142"/>
      <c r="AY209" s="142"/>
      <c r="AZ209" s="142"/>
      <c r="BA209" s="142"/>
      <c r="BB209" s="142"/>
      <c r="BC209" s="142"/>
      <c r="BD209" s="142"/>
      <c r="BE209" s="142"/>
      <c r="BF209" s="142"/>
      <c r="BG209" s="161"/>
    </row>
    <row r="210" spans="1:59" x14ac:dyDescent="0.25">
      <c r="A210" s="158"/>
      <c r="B210" s="139"/>
      <c r="C210" s="139"/>
      <c r="D210" s="139"/>
      <c r="E210" s="139"/>
      <c r="F210" s="139"/>
      <c r="G210" s="139"/>
      <c r="H210" s="139"/>
      <c r="I210" s="139"/>
      <c r="J210" s="139"/>
      <c r="K210" s="139"/>
      <c r="L210" s="139"/>
      <c r="M210" s="139"/>
      <c r="N210" s="139"/>
      <c r="O210" s="139"/>
      <c r="P210" s="139"/>
      <c r="Q210" s="139"/>
      <c r="R210" s="251"/>
      <c r="S210" s="139"/>
      <c r="T210" s="139"/>
      <c r="U210" s="145"/>
      <c r="V210" s="139"/>
      <c r="W210" s="139"/>
      <c r="X210" s="102" t="s">
        <v>1195</v>
      </c>
      <c r="Y210" s="139"/>
      <c r="Z210" s="139"/>
      <c r="AA210" s="145"/>
      <c r="AB210" s="139"/>
      <c r="AC210" s="146"/>
      <c r="AD210" s="146"/>
      <c r="AE210" s="146"/>
      <c r="AF210" s="139"/>
      <c r="AG210" s="139"/>
      <c r="AH210" s="139"/>
      <c r="AI210" s="145"/>
      <c r="AJ210" s="139"/>
      <c r="AK210" s="139"/>
      <c r="AL210" s="139"/>
      <c r="AM210" s="139"/>
      <c r="AN210" s="139"/>
      <c r="AO210" s="139"/>
      <c r="AP210" s="139"/>
      <c r="AQ210" s="139"/>
      <c r="AR210" s="139"/>
      <c r="AS210" s="139"/>
      <c r="AT210" s="139"/>
      <c r="AU210" s="139"/>
      <c r="AV210" s="139"/>
      <c r="AW210" s="139"/>
      <c r="AX210" s="139"/>
      <c r="AY210" s="139"/>
      <c r="AZ210" s="139"/>
      <c r="BA210" s="139"/>
      <c r="BB210" s="139"/>
      <c r="BC210" s="139"/>
      <c r="BD210" s="139"/>
      <c r="BE210" s="139"/>
      <c r="BF210" s="139"/>
      <c r="BG210" s="162"/>
    </row>
    <row r="211" spans="1:59" x14ac:dyDescent="0.25">
      <c r="A211" s="157"/>
      <c r="B211" s="142"/>
      <c r="C211" s="142"/>
      <c r="D211" s="142"/>
      <c r="E211" s="142"/>
      <c r="F211" s="142"/>
      <c r="G211" s="142"/>
      <c r="H211" s="142"/>
      <c r="I211" s="142"/>
      <c r="J211" s="142"/>
      <c r="K211" s="142"/>
      <c r="L211" s="142"/>
      <c r="M211" s="142"/>
      <c r="N211" s="142"/>
      <c r="O211" s="142"/>
      <c r="P211" s="142"/>
      <c r="Q211" s="142"/>
      <c r="R211" s="250"/>
      <c r="S211" s="142"/>
      <c r="T211" s="142"/>
      <c r="U211" s="143"/>
      <c r="V211" s="142"/>
      <c r="W211" s="142"/>
      <c r="X211" s="94" t="s">
        <v>1195</v>
      </c>
      <c r="Y211" s="142"/>
      <c r="Z211" s="142"/>
      <c r="AA211" s="143"/>
      <c r="AB211" s="142"/>
      <c r="AC211" s="144"/>
      <c r="AD211" s="144"/>
      <c r="AE211" s="144"/>
      <c r="AF211" s="142"/>
      <c r="AG211" s="142"/>
      <c r="AH211" s="142"/>
      <c r="AI211" s="143"/>
      <c r="AJ211" s="142"/>
      <c r="AK211" s="142"/>
      <c r="AL211" s="142"/>
      <c r="AM211" s="142"/>
      <c r="AN211" s="142"/>
      <c r="AO211" s="142"/>
      <c r="AP211" s="142"/>
      <c r="AQ211" s="142"/>
      <c r="AR211" s="142"/>
      <c r="AS211" s="142"/>
      <c r="AT211" s="142"/>
      <c r="AU211" s="142"/>
      <c r="AV211" s="142"/>
      <c r="AW211" s="142"/>
      <c r="AX211" s="142"/>
      <c r="AY211" s="142"/>
      <c r="AZ211" s="142"/>
      <c r="BA211" s="142"/>
      <c r="BB211" s="142"/>
      <c r="BC211" s="142"/>
      <c r="BD211" s="142"/>
      <c r="BE211" s="142"/>
      <c r="BF211" s="142"/>
      <c r="BG211" s="161"/>
    </row>
    <row r="212" spans="1:59" x14ac:dyDescent="0.25">
      <c r="A212" s="158"/>
      <c r="B212" s="139"/>
      <c r="C212" s="139"/>
      <c r="D212" s="139"/>
      <c r="E212" s="139"/>
      <c r="F212" s="139"/>
      <c r="G212" s="139"/>
      <c r="H212" s="139"/>
      <c r="I212" s="139"/>
      <c r="J212" s="139"/>
      <c r="K212" s="139"/>
      <c r="L212" s="139"/>
      <c r="M212" s="139"/>
      <c r="N212" s="139"/>
      <c r="O212" s="139"/>
      <c r="P212" s="139"/>
      <c r="Q212" s="139"/>
      <c r="R212" s="251"/>
      <c r="S212" s="139"/>
      <c r="T212" s="139"/>
      <c r="U212" s="145"/>
      <c r="V212" s="139"/>
      <c r="W212" s="139"/>
      <c r="X212" s="102" t="s">
        <v>1195</v>
      </c>
      <c r="Y212" s="139"/>
      <c r="Z212" s="139"/>
      <c r="AA212" s="145"/>
      <c r="AB212" s="139"/>
      <c r="AC212" s="146"/>
      <c r="AD212" s="146"/>
      <c r="AE212" s="146"/>
      <c r="AF212" s="139"/>
      <c r="AG212" s="139"/>
      <c r="AH212" s="139"/>
      <c r="AI212" s="145"/>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62"/>
    </row>
    <row r="213" spans="1:59" x14ac:dyDescent="0.25">
      <c r="A213" s="157"/>
      <c r="B213" s="142"/>
      <c r="C213" s="142"/>
      <c r="D213" s="142"/>
      <c r="E213" s="142"/>
      <c r="F213" s="142"/>
      <c r="G213" s="142"/>
      <c r="H213" s="142"/>
      <c r="I213" s="142"/>
      <c r="J213" s="142"/>
      <c r="K213" s="142"/>
      <c r="L213" s="142"/>
      <c r="M213" s="142"/>
      <c r="N213" s="142"/>
      <c r="O213" s="142"/>
      <c r="P213" s="142"/>
      <c r="Q213" s="142"/>
      <c r="R213" s="250"/>
      <c r="S213" s="142"/>
      <c r="T213" s="142"/>
      <c r="U213" s="143"/>
      <c r="V213" s="142"/>
      <c r="W213" s="142"/>
      <c r="X213" s="94" t="s">
        <v>1195</v>
      </c>
      <c r="Y213" s="142"/>
      <c r="Z213" s="142"/>
      <c r="AA213" s="143"/>
      <c r="AB213" s="142"/>
      <c r="AC213" s="144"/>
      <c r="AD213" s="144"/>
      <c r="AE213" s="144"/>
      <c r="AF213" s="142"/>
      <c r="AG213" s="142"/>
      <c r="AH213" s="142"/>
      <c r="AI213" s="143"/>
      <c r="AJ213" s="142"/>
      <c r="AK213" s="142"/>
      <c r="AL213" s="142"/>
      <c r="AM213" s="142"/>
      <c r="AN213" s="142"/>
      <c r="AO213" s="142"/>
      <c r="AP213" s="142"/>
      <c r="AQ213" s="142"/>
      <c r="AR213" s="142"/>
      <c r="AS213" s="142"/>
      <c r="AT213" s="142"/>
      <c r="AU213" s="142"/>
      <c r="AV213" s="142"/>
      <c r="AW213" s="142"/>
      <c r="AX213" s="142"/>
      <c r="AY213" s="142"/>
      <c r="AZ213" s="142"/>
      <c r="BA213" s="142"/>
      <c r="BB213" s="142"/>
      <c r="BC213" s="142"/>
      <c r="BD213" s="142"/>
      <c r="BE213" s="142"/>
      <c r="BF213" s="142"/>
      <c r="BG213" s="161"/>
    </row>
    <row r="214" spans="1:59" x14ac:dyDescent="0.25">
      <c r="A214" s="158"/>
      <c r="B214" s="139"/>
      <c r="C214" s="139"/>
      <c r="D214" s="139"/>
      <c r="E214" s="139"/>
      <c r="F214" s="139"/>
      <c r="G214" s="139"/>
      <c r="H214" s="139"/>
      <c r="I214" s="139"/>
      <c r="J214" s="139"/>
      <c r="K214" s="139"/>
      <c r="L214" s="139"/>
      <c r="M214" s="139"/>
      <c r="N214" s="139"/>
      <c r="O214" s="139"/>
      <c r="P214" s="139"/>
      <c r="Q214" s="139"/>
      <c r="R214" s="251"/>
      <c r="S214" s="139"/>
      <c r="T214" s="139"/>
      <c r="U214" s="145"/>
      <c r="V214" s="139"/>
      <c r="W214" s="139"/>
      <c r="X214" s="102" t="s">
        <v>1195</v>
      </c>
      <c r="Y214" s="139"/>
      <c r="Z214" s="139"/>
      <c r="AA214" s="145"/>
      <c r="AB214" s="139"/>
      <c r="AC214" s="146"/>
      <c r="AD214" s="146"/>
      <c r="AE214" s="146"/>
      <c r="AF214" s="139"/>
      <c r="AG214" s="139"/>
      <c r="AH214" s="139"/>
      <c r="AI214" s="145"/>
      <c r="AJ214" s="139"/>
      <c r="AK214" s="139"/>
      <c r="AL214" s="139"/>
      <c r="AM214" s="139"/>
      <c r="AN214" s="139"/>
      <c r="AO214" s="139"/>
      <c r="AP214" s="139"/>
      <c r="AQ214" s="139"/>
      <c r="AR214" s="139"/>
      <c r="AS214" s="139"/>
      <c r="AT214" s="139"/>
      <c r="AU214" s="139"/>
      <c r="AV214" s="139"/>
      <c r="AW214" s="139"/>
      <c r="AX214" s="139"/>
      <c r="AY214" s="139"/>
      <c r="AZ214" s="139"/>
      <c r="BA214" s="139"/>
      <c r="BB214" s="139"/>
      <c r="BC214" s="139"/>
      <c r="BD214" s="139"/>
      <c r="BE214" s="139"/>
      <c r="BF214" s="139"/>
      <c r="BG214" s="162"/>
    </row>
    <row r="215" spans="1:59" x14ac:dyDescent="0.25">
      <c r="A215" s="157"/>
      <c r="B215" s="142"/>
      <c r="C215" s="142"/>
      <c r="D215" s="142"/>
      <c r="E215" s="142"/>
      <c r="F215" s="142"/>
      <c r="G215" s="142"/>
      <c r="H215" s="142"/>
      <c r="I215" s="142"/>
      <c r="J215" s="142"/>
      <c r="K215" s="142"/>
      <c r="L215" s="142"/>
      <c r="M215" s="142"/>
      <c r="N215" s="142"/>
      <c r="O215" s="142"/>
      <c r="P215" s="142"/>
      <c r="Q215" s="142"/>
      <c r="R215" s="250"/>
      <c r="S215" s="142"/>
      <c r="T215" s="142"/>
      <c r="U215" s="143"/>
      <c r="V215" s="142"/>
      <c r="W215" s="142"/>
      <c r="X215" s="94" t="s">
        <v>1195</v>
      </c>
      <c r="Y215" s="142"/>
      <c r="Z215" s="142"/>
      <c r="AA215" s="143"/>
      <c r="AB215" s="142"/>
      <c r="AC215" s="144"/>
      <c r="AD215" s="144"/>
      <c r="AE215" s="144"/>
      <c r="AF215" s="142"/>
      <c r="AG215" s="142"/>
      <c r="AH215" s="142"/>
      <c r="AI215" s="143"/>
      <c r="AJ215" s="142"/>
      <c r="AK215" s="142"/>
      <c r="AL215" s="142"/>
      <c r="AM215" s="142"/>
      <c r="AN215" s="142"/>
      <c r="AO215" s="142"/>
      <c r="AP215" s="142"/>
      <c r="AQ215" s="142"/>
      <c r="AR215" s="142"/>
      <c r="AS215" s="142"/>
      <c r="AT215" s="142"/>
      <c r="AU215" s="142"/>
      <c r="AV215" s="142"/>
      <c r="AW215" s="142"/>
      <c r="AX215" s="142"/>
      <c r="AY215" s="142"/>
      <c r="AZ215" s="142"/>
      <c r="BA215" s="142"/>
      <c r="BB215" s="142"/>
      <c r="BC215" s="142"/>
      <c r="BD215" s="142"/>
      <c r="BE215" s="142"/>
      <c r="BF215" s="142"/>
      <c r="BG215" s="161"/>
    </row>
    <row r="216" spans="1:59" x14ac:dyDescent="0.25">
      <c r="A216" s="158"/>
      <c r="B216" s="139"/>
      <c r="C216" s="139"/>
      <c r="D216" s="139"/>
      <c r="E216" s="139"/>
      <c r="F216" s="139"/>
      <c r="G216" s="139"/>
      <c r="H216" s="139"/>
      <c r="I216" s="139"/>
      <c r="J216" s="139"/>
      <c r="K216" s="139"/>
      <c r="L216" s="139"/>
      <c r="M216" s="139"/>
      <c r="N216" s="139"/>
      <c r="O216" s="139"/>
      <c r="P216" s="139"/>
      <c r="Q216" s="139"/>
      <c r="R216" s="251"/>
      <c r="S216" s="139"/>
      <c r="T216" s="139"/>
      <c r="U216" s="145"/>
      <c r="V216" s="139"/>
      <c r="W216" s="139"/>
      <c r="X216" s="102" t="s">
        <v>1195</v>
      </c>
      <c r="Y216" s="139"/>
      <c r="Z216" s="139"/>
      <c r="AA216" s="145"/>
      <c r="AB216" s="139"/>
      <c r="AC216" s="146"/>
      <c r="AD216" s="146"/>
      <c r="AE216" s="146"/>
      <c r="AF216" s="139"/>
      <c r="AG216" s="139"/>
      <c r="AH216" s="139"/>
      <c r="AI216" s="145"/>
      <c r="AJ216" s="139"/>
      <c r="AK216" s="139"/>
      <c r="AL216" s="139"/>
      <c r="AM216" s="139"/>
      <c r="AN216" s="139"/>
      <c r="AO216" s="139"/>
      <c r="AP216" s="139"/>
      <c r="AQ216" s="139"/>
      <c r="AR216" s="139"/>
      <c r="AS216" s="139"/>
      <c r="AT216" s="139"/>
      <c r="AU216" s="139"/>
      <c r="AV216" s="139"/>
      <c r="AW216" s="139"/>
      <c r="AX216" s="139"/>
      <c r="AY216" s="139"/>
      <c r="AZ216" s="139"/>
      <c r="BA216" s="139"/>
      <c r="BB216" s="139"/>
      <c r="BC216" s="139"/>
      <c r="BD216" s="139"/>
      <c r="BE216" s="139"/>
      <c r="BF216" s="139"/>
      <c r="BG216" s="162"/>
    </row>
    <row r="217" spans="1:59" x14ac:dyDescent="0.25">
      <c r="A217" s="157"/>
      <c r="B217" s="142"/>
      <c r="C217" s="142"/>
      <c r="D217" s="142"/>
      <c r="E217" s="142"/>
      <c r="F217" s="142"/>
      <c r="G217" s="142"/>
      <c r="H217" s="142"/>
      <c r="I217" s="142"/>
      <c r="J217" s="142"/>
      <c r="K217" s="142"/>
      <c r="L217" s="142"/>
      <c r="M217" s="142"/>
      <c r="N217" s="142"/>
      <c r="O217" s="142"/>
      <c r="P217" s="142"/>
      <c r="Q217" s="142"/>
      <c r="R217" s="250"/>
      <c r="S217" s="142"/>
      <c r="T217" s="142"/>
      <c r="U217" s="143"/>
      <c r="V217" s="142"/>
      <c r="W217" s="142"/>
      <c r="X217" s="94" t="s">
        <v>1195</v>
      </c>
      <c r="Y217" s="142"/>
      <c r="Z217" s="142"/>
      <c r="AA217" s="143"/>
      <c r="AB217" s="142"/>
      <c r="AC217" s="144"/>
      <c r="AD217" s="144"/>
      <c r="AE217" s="144"/>
      <c r="AF217" s="142"/>
      <c r="AG217" s="142"/>
      <c r="AH217" s="142"/>
      <c r="AI217" s="143"/>
      <c r="AJ217" s="142"/>
      <c r="AK217" s="142"/>
      <c r="AL217" s="142"/>
      <c r="AM217" s="142"/>
      <c r="AN217" s="142"/>
      <c r="AO217" s="142"/>
      <c r="AP217" s="142"/>
      <c r="AQ217" s="142"/>
      <c r="AR217" s="142"/>
      <c r="AS217" s="142"/>
      <c r="AT217" s="142"/>
      <c r="AU217" s="142"/>
      <c r="AV217" s="142"/>
      <c r="AW217" s="142"/>
      <c r="AX217" s="142"/>
      <c r="AY217" s="142"/>
      <c r="AZ217" s="142"/>
      <c r="BA217" s="142"/>
      <c r="BB217" s="142"/>
      <c r="BC217" s="142"/>
      <c r="BD217" s="142"/>
      <c r="BE217" s="142"/>
      <c r="BF217" s="142"/>
      <c r="BG217" s="161"/>
    </row>
    <row r="218" spans="1:59" x14ac:dyDescent="0.25">
      <c r="A218" s="158"/>
      <c r="B218" s="139"/>
      <c r="C218" s="139"/>
      <c r="D218" s="139"/>
      <c r="E218" s="139"/>
      <c r="F218" s="139"/>
      <c r="G218" s="139"/>
      <c r="H218" s="139"/>
      <c r="I218" s="139"/>
      <c r="J218" s="139"/>
      <c r="K218" s="139"/>
      <c r="L218" s="139"/>
      <c r="M218" s="139"/>
      <c r="N218" s="139"/>
      <c r="O218" s="139"/>
      <c r="P218" s="139"/>
      <c r="Q218" s="139"/>
      <c r="R218" s="251"/>
      <c r="S218" s="139"/>
      <c r="T218" s="139"/>
      <c r="U218" s="145"/>
      <c r="V218" s="139"/>
      <c r="W218" s="139"/>
      <c r="X218" s="102" t="s">
        <v>1195</v>
      </c>
      <c r="Y218" s="139"/>
      <c r="Z218" s="139"/>
      <c r="AA218" s="145"/>
      <c r="AB218" s="139"/>
      <c r="AC218" s="146"/>
      <c r="AD218" s="146"/>
      <c r="AE218" s="146"/>
      <c r="AF218" s="139"/>
      <c r="AG218" s="139"/>
      <c r="AH218" s="139"/>
      <c r="AI218" s="145"/>
      <c r="AJ218" s="139"/>
      <c r="AK218" s="139"/>
      <c r="AL218" s="139"/>
      <c r="AM218" s="139"/>
      <c r="AN218" s="139"/>
      <c r="AO218" s="139"/>
      <c r="AP218" s="139"/>
      <c r="AQ218" s="139"/>
      <c r="AR218" s="139"/>
      <c r="AS218" s="139"/>
      <c r="AT218" s="139"/>
      <c r="AU218" s="139"/>
      <c r="AV218" s="139"/>
      <c r="AW218" s="139"/>
      <c r="AX218" s="139"/>
      <c r="AY218" s="139"/>
      <c r="AZ218" s="139"/>
      <c r="BA218" s="139"/>
      <c r="BB218" s="139"/>
      <c r="BC218" s="139"/>
      <c r="BD218" s="139"/>
      <c r="BE218" s="139"/>
      <c r="BF218" s="139"/>
      <c r="BG218" s="162"/>
    </row>
    <row r="219" spans="1:59" x14ac:dyDescent="0.25">
      <c r="A219" s="157"/>
      <c r="B219" s="142"/>
      <c r="C219" s="142"/>
      <c r="D219" s="142"/>
      <c r="E219" s="142"/>
      <c r="F219" s="142"/>
      <c r="G219" s="142"/>
      <c r="H219" s="142"/>
      <c r="I219" s="142"/>
      <c r="J219" s="142"/>
      <c r="K219" s="142"/>
      <c r="L219" s="142"/>
      <c r="M219" s="142"/>
      <c r="N219" s="142"/>
      <c r="O219" s="142"/>
      <c r="P219" s="142"/>
      <c r="Q219" s="142"/>
      <c r="R219" s="250"/>
      <c r="S219" s="142"/>
      <c r="T219" s="142"/>
      <c r="U219" s="143"/>
      <c r="V219" s="142"/>
      <c r="W219" s="142"/>
      <c r="X219" s="94" t="s">
        <v>1195</v>
      </c>
      <c r="Y219" s="142"/>
      <c r="Z219" s="142"/>
      <c r="AA219" s="143"/>
      <c r="AB219" s="142"/>
      <c r="AC219" s="144"/>
      <c r="AD219" s="144"/>
      <c r="AE219" s="144"/>
      <c r="AF219" s="142"/>
      <c r="AG219" s="142"/>
      <c r="AH219" s="142"/>
      <c r="AI219" s="143"/>
      <c r="AJ219" s="142"/>
      <c r="AK219" s="142"/>
      <c r="AL219" s="142"/>
      <c r="AM219" s="142"/>
      <c r="AN219" s="142"/>
      <c r="AO219" s="142"/>
      <c r="AP219" s="142"/>
      <c r="AQ219" s="142"/>
      <c r="AR219" s="142"/>
      <c r="AS219" s="142"/>
      <c r="AT219" s="142"/>
      <c r="AU219" s="142"/>
      <c r="AV219" s="142"/>
      <c r="AW219" s="142"/>
      <c r="AX219" s="142"/>
      <c r="AY219" s="142"/>
      <c r="AZ219" s="142"/>
      <c r="BA219" s="142"/>
      <c r="BB219" s="142"/>
      <c r="BC219" s="142"/>
      <c r="BD219" s="142"/>
      <c r="BE219" s="142"/>
      <c r="BF219" s="142"/>
      <c r="BG219" s="161"/>
    </row>
    <row r="220" spans="1:59" x14ac:dyDescent="0.25">
      <c r="A220" s="158"/>
      <c r="B220" s="139"/>
      <c r="C220" s="139"/>
      <c r="D220" s="139"/>
      <c r="E220" s="139"/>
      <c r="F220" s="139"/>
      <c r="G220" s="139"/>
      <c r="H220" s="139"/>
      <c r="I220" s="139"/>
      <c r="J220" s="139"/>
      <c r="K220" s="139"/>
      <c r="L220" s="139"/>
      <c r="M220" s="139"/>
      <c r="N220" s="139"/>
      <c r="O220" s="139"/>
      <c r="P220" s="139"/>
      <c r="Q220" s="139"/>
      <c r="R220" s="251"/>
      <c r="S220" s="139"/>
      <c r="T220" s="139"/>
      <c r="U220" s="145"/>
      <c r="V220" s="139"/>
      <c r="W220" s="139"/>
      <c r="X220" s="102" t="s">
        <v>1195</v>
      </c>
      <c r="Y220" s="139"/>
      <c r="Z220" s="139"/>
      <c r="AA220" s="145"/>
      <c r="AB220" s="139"/>
      <c r="AC220" s="146"/>
      <c r="AD220" s="146"/>
      <c r="AE220" s="146"/>
      <c r="AF220" s="139"/>
      <c r="AG220" s="139"/>
      <c r="AH220" s="139"/>
      <c r="AI220" s="145"/>
      <c r="AJ220" s="139"/>
      <c r="AK220" s="139"/>
      <c r="AL220" s="139"/>
      <c r="AM220" s="139"/>
      <c r="AN220" s="139"/>
      <c r="AO220" s="139"/>
      <c r="AP220" s="139"/>
      <c r="AQ220" s="139"/>
      <c r="AR220" s="139"/>
      <c r="AS220" s="139"/>
      <c r="AT220" s="139"/>
      <c r="AU220" s="139"/>
      <c r="AV220" s="139"/>
      <c r="AW220" s="139"/>
      <c r="AX220" s="139"/>
      <c r="AY220" s="139"/>
      <c r="AZ220" s="139"/>
      <c r="BA220" s="139"/>
      <c r="BB220" s="139"/>
      <c r="BC220" s="139"/>
      <c r="BD220" s="139"/>
      <c r="BE220" s="139"/>
      <c r="BF220" s="139"/>
      <c r="BG220" s="162"/>
    </row>
    <row r="221" spans="1:59" x14ac:dyDescent="0.25">
      <c r="A221" s="157"/>
      <c r="B221" s="142"/>
      <c r="C221" s="142"/>
      <c r="D221" s="142"/>
      <c r="E221" s="142"/>
      <c r="F221" s="142"/>
      <c r="G221" s="142"/>
      <c r="H221" s="142"/>
      <c r="I221" s="142"/>
      <c r="J221" s="142"/>
      <c r="K221" s="142"/>
      <c r="L221" s="142"/>
      <c r="M221" s="142"/>
      <c r="N221" s="142"/>
      <c r="O221" s="142"/>
      <c r="P221" s="142"/>
      <c r="Q221" s="142"/>
      <c r="R221" s="250"/>
      <c r="S221" s="142"/>
      <c r="T221" s="142"/>
      <c r="U221" s="143"/>
      <c r="V221" s="142"/>
      <c r="W221" s="142"/>
      <c r="X221" s="94" t="s">
        <v>1195</v>
      </c>
      <c r="Y221" s="142"/>
      <c r="Z221" s="142"/>
      <c r="AA221" s="143"/>
      <c r="AB221" s="142"/>
      <c r="AC221" s="144"/>
      <c r="AD221" s="144"/>
      <c r="AE221" s="144"/>
      <c r="AF221" s="142"/>
      <c r="AG221" s="142"/>
      <c r="AH221" s="142"/>
      <c r="AI221" s="143"/>
      <c r="AJ221" s="142"/>
      <c r="AK221" s="142"/>
      <c r="AL221" s="142"/>
      <c r="AM221" s="142"/>
      <c r="AN221" s="142"/>
      <c r="AO221" s="142"/>
      <c r="AP221" s="142"/>
      <c r="AQ221" s="142"/>
      <c r="AR221" s="142"/>
      <c r="AS221" s="142"/>
      <c r="AT221" s="142"/>
      <c r="AU221" s="142"/>
      <c r="AV221" s="142"/>
      <c r="AW221" s="142"/>
      <c r="AX221" s="142"/>
      <c r="AY221" s="142"/>
      <c r="AZ221" s="142"/>
      <c r="BA221" s="142"/>
      <c r="BB221" s="142"/>
      <c r="BC221" s="142"/>
      <c r="BD221" s="142"/>
      <c r="BE221" s="142"/>
      <c r="BF221" s="142"/>
      <c r="BG221" s="161"/>
    </row>
    <row r="222" spans="1:59" x14ac:dyDescent="0.25">
      <c r="A222" s="158"/>
      <c r="B222" s="139"/>
      <c r="C222" s="139"/>
      <c r="D222" s="139"/>
      <c r="E222" s="139"/>
      <c r="F222" s="139"/>
      <c r="G222" s="139"/>
      <c r="H222" s="139"/>
      <c r="I222" s="139"/>
      <c r="J222" s="139"/>
      <c r="K222" s="139"/>
      <c r="L222" s="139"/>
      <c r="M222" s="139"/>
      <c r="N222" s="139"/>
      <c r="O222" s="139"/>
      <c r="P222" s="139"/>
      <c r="Q222" s="139"/>
      <c r="R222" s="251"/>
      <c r="S222" s="139"/>
      <c r="T222" s="139"/>
      <c r="U222" s="145"/>
      <c r="V222" s="139"/>
      <c r="W222" s="139"/>
      <c r="X222" s="102" t="s">
        <v>1195</v>
      </c>
      <c r="Y222" s="139"/>
      <c r="Z222" s="139"/>
      <c r="AA222" s="145"/>
      <c r="AB222" s="139"/>
      <c r="AC222" s="146"/>
      <c r="AD222" s="146"/>
      <c r="AE222" s="146"/>
      <c r="AF222" s="139"/>
      <c r="AG222" s="139"/>
      <c r="AH222" s="139"/>
      <c r="AI222" s="145"/>
      <c r="AJ222" s="139"/>
      <c r="AK222" s="139"/>
      <c r="AL222" s="139"/>
      <c r="AM222" s="139"/>
      <c r="AN222" s="139"/>
      <c r="AO222" s="139"/>
      <c r="AP222" s="139"/>
      <c r="AQ222" s="139"/>
      <c r="AR222" s="139"/>
      <c r="AS222" s="139"/>
      <c r="AT222" s="139"/>
      <c r="AU222" s="139"/>
      <c r="AV222" s="139"/>
      <c r="AW222" s="139"/>
      <c r="AX222" s="139"/>
      <c r="AY222" s="139"/>
      <c r="AZ222" s="139"/>
      <c r="BA222" s="139"/>
      <c r="BB222" s="139"/>
      <c r="BC222" s="139"/>
      <c r="BD222" s="139"/>
      <c r="BE222" s="139"/>
      <c r="BF222" s="139"/>
      <c r="BG222" s="162"/>
    </row>
    <row r="223" spans="1:59" x14ac:dyDescent="0.25">
      <c r="A223" s="157"/>
      <c r="B223" s="142"/>
      <c r="C223" s="142"/>
      <c r="D223" s="142"/>
      <c r="E223" s="142"/>
      <c r="F223" s="142"/>
      <c r="G223" s="142"/>
      <c r="H223" s="142"/>
      <c r="I223" s="142"/>
      <c r="J223" s="142"/>
      <c r="K223" s="142"/>
      <c r="L223" s="142"/>
      <c r="M223" s="142"/>
      <c r="N223" s="142"/>
      <c r="O223" s="142"/>
      <c r="P223" s="142"/>
      <c r="Q223" s="142"/>
      <c r="R223" s="250"/>
      <c r="S223" s="142"/>
      <c r="T223" s="142"/>
      <c r="U223" s="143"/>
      <c r="V223" s="142"/>
      <c r="W223" s="142"/>
      <c r="X223" s="94" t="s">
        <v>1195</v>
      </c>
      <c r="Y223" s="142"/>
      <c r="Z223" s="142"/>
      <c r="AA223" s="143"/>
      <c r="AB223" s="142"/>
      <c r="AC223" s="144"/>
      <c r="AD223" s="144"/>
      <c r="AE223" s="144"/>
      <c r="AF223" s="142"/>
      <c r="AG223" s="142"/>
      <c r="AH223" s="142"/>
      <c r="AI223" s="143"/>
      <c r="AJ223" s="142"/>
      <c r="AK223" s="142"/>
      <c r="AL223" s="142"/>
      <c r="AM223" s="142"/>
      <c r="AN223" s="142"/>
      <c r="AO223" s="142"/>
      <c r="AP223" s="142"/>
      <c r="AQ223" s="142"/>
      <c r="AR223" s="142"/>
      <c r="AS223" s="142"/>
      <c r="AT223" s="142"/>
      <c r="AU223" s="142"/>
      <c r="AV223" s="142"/>
      <c r="AW223" s="142"/>
      <c r="AX223" s="142"/>
      <c r="AY223" s="142"/>
      <c r="AZ223" s="142"/>
      <c r="BA223" s="142"/>
      <c r="BB223" s="142"/>
      <c r="BC223" s="142"/>
      <c r="BD223" s="142"/>
      <c r="BE223" s="142"/>
      <c r="BF223" s="142"/>
      <c r="BG223" s="161"/>
    </row>
    <row r="224" spans="1:59" x14ac:dyDescent="0.25">
      <c r="A224" s="158"/>
      <c r="B224" s="139"/>
      <c r="C224" s="139"/>
      <c r="D224" s="139"/>
      <c r="E224" s="139"/>
      <c r="F224" s="139"/>
      <c r="G224" s="139"/>
      <c r="H224" s="139"/>
      <c r="I224" s="139"/>
      <c r="J224" s="139"/>
      <c r="K224" s="139"/>
      <c r="L224" s="139"/>
      <c r="M224" s="139"/>
      <c r="N224" s="139"/>
      <c r="O224" s="139"/>
      <c r="P224" s="139"/>
      <c r="Q224" s="139"/>
      <c r="R224" s="251"/>
      <c r="S224" s="139"/>
      <c r="T224" s="139"/>
      <c r="U224" s="145"/>
      <c r="V224" s="139"/>
      <c r="W224" s="139"/>
      <c r="X224" s="102" t="s">
        <v>1195</v>
      </c>
      <c r="Y224" s="139"/>
      <c r="Z224" s="139"/>
      <c r="AA224" s="145"/>
      <c r="AB224" s="139"/>
      <c r="AC224" s="146"/>
      <c r="AD224" s="146"/>
      <c r="AE224" s="146"/>
      <c r="AF224" s="139"/>
      <c r="AG224" s="139"/>
      <c r="AH224" s="139"/>
      <c r="AI224" s="145"/>
      <c r="AJ224" s="139"/>
      <c r="AK224" s="139"/>
      <c r="AL224" s="139"/>
      <c r="AM224" s="139"/>
      <c r="AN224" s="139"/>
      <c r="AO224" s="139"/>
      <c r="AP224" s="139"/>
      <c r="AQ224" s="139"/>
      <c r="AR224" s="139"/>
      <c r="AS224" s="139"/>
      <c r="AT224" s="139"/>
      <c r="AU224" s="139"/>
      <c r="AV224" s="139"/>
      <c r="AW224" s="139"/>
      <c r="AX224" s="139"/>
      <c r="AY224" s="139"/>
      <c r="AZ224" s="139"/>
      <c r="BA224" s="139"/>
      <c r="BB224" s="139"/>
      <c r="BC224" s="139"/>
      <c r="BD224" s="139"/>
      <c r="BE224" s="139"/>
      <c r="BF224" s="139"/>
      <c r="BG224" s="162"/>
    </row>
    <row r="225" spans="1:59" x14ac:dyDescent="0.25">
      <c r="A225" s="157"/>
      <c r="B225" s="142"/>
      <c r="C225" s="142"/>
      <c r="D225" s="142"/>
      <c r="E225" s="142"/>
      <c r="F225" s="142"/>
      <c r="G225" s="142"/>
      <c r="H225" s="142"/>
      <c r="I225" s="142"/>
      <c r="J225" s="142"/>
      <c r="K225" s="142"/>
      <c r="L225" s="142"/>
      <c r="M225" s="142"/>
      <c r="N225" s="142"/>
      <c r="O225" s="142"/>
      <c r="P225" s="142"/>
      <c r="Q225" s="142"/>
      <c r="R225" s="250"/>
      <c r="S225" s="142"/>
      <c r="T225" s="142"/>
      <c r="U225" s="143"/>
      <c r="V225" s="142"/>
      <c r="W225" s="142"/>
      <c r="X225" s="94" t="s">
        <v>1195</v>
      </c>
      <c r="Y225" s="142"/>
      <c r="Z225" s="142"/>
      <c r="AA225" s="143"/>
      <c r="AB225" s="142"/>
      <c r="AC225" s="144"/>
      <c r="AD225" s="144"/>
      <c r="AE225" s="144"/>
      <c r="AF225" s="142"/>
      <c r="AG225" s="142"/>
      <c r="AH225" s="142"/>
      <c r="AI225" s="143"/>
      <c r="AJ225" s="142"/>
      <c r="AK225" s="142"/>
      <c r="AL225" s="142"/>
      <c r="AM225" s="142"/>
      <c r="AN225" s="142"/>
      <c r="AO225" s="142"/>
      <c r="AP225" s="142"/>
      <c r="AQ225" s="142"/>
      <c r="AR225" s="142"/>
      <c r="AS225" s="142"/>
      <c r="AT225" s="142"/>
      <c r="AU225" s="142"/>
      <c r="AV225" s="142"/>
      <c r="AW225" s="142"/>
      <c r="AX225" s="142"/>
      <c r="AY225" s="142"/>
      <c r="AZ225" s="142"/>
      <c r="BA225" s="142"/>
      <c r="BB225" s="142"/>
      <c r="BC225" s="142"/>
      <c r="BD225" s="142"/>
      <c r="BE225" s="142"/>
      <c r="BF225" s="142"/>
      <c r="BG225" s="161"/>
    </row>
    <row r="226" spans="1:59" x14ac:dyDescent="0.25">
      <c r="A226" s="158"/>
      <c r="B226" s="139"/>
      <c r="C226" s="139"/>
      <c r="D226" s="139"/>
      <c r="E226" s="139"/>
      <c r="F226" s="139"/>
      <c r="G226" s="139"/>
      <c r="H226" s="139"/>
      <c r="I226" s="139"/>
      <c r="J226" s="139"/>
      <c r="K226" s="139"/>
      <c r="L226" s="139"/>
      <c r="M226" s="139"/>
      <c r="N226" s="139"/>
      <c r="O226" s="139"/>
      <c r="P226" s="139"/>
      <c r="Q226" s="139"/>
      <c r="R226" s="251"/>
      <c r="S226" s="139"/>
      <c r="T226" s="139"/>
      <c r="U226" s="145"/>
      <c r="V226" s="139"/>
      <c r="W226" s="139"/>
      <c r="X226" s="102" t="s">
        <v>1195</v>
      </c>
      <c r="Y226" s="139"/>
      <c r="Z226" s="139"/>
      <c r="AA226" s="145"/>
      <c r="AB226" s="139"/>
      <c r="AC226" s="146"/>
      <c r="AD226" s="146"/>
      <c r="AE226" s="146"/>
      <c r="AF226" s="139"/>
      <c r="AG226" s="139"/>
      <c r="AH226" s="139"/>
      <c r="AI226" s="145"/>
      <c r="AJ226" s="139"/>
      <c r="AK226" s="139"/>
      <c r="AL226" s="139"/>
      <c r="AM226" s="139"/>
      <c r="AN226" s="139"/>
      <c r="AO226" s="139"/>
      <c r="AP226" s="139"/>
      <c r="AQ226" s="139"/>
      <c r="AR226" s="139"/>
      <c r="AS226" s="139"/>
      <c r="AT226" s="139"/>
      <c r="AU226" s="139"/>
      <c r="AV226" s="139"/>
      <c r="AW226" s="139"/>
      <c r="AX226" s="139"/>
      <c r="AY226" s="139"/>
      <c r="AZ226" s="139"/>
      <c r="BA226" s="139"/>
      <c r="BB226" s="139"/>
      <c r="BC226" s="139"/>
      <c r="BD226" s="139"/>
      <c r="BE226" s="139"/>
      <c r="BF226" s="139"/>
      <c r="BG226" s="162"/>
    </row>
    <row r="227" spans="1:59" x14ac:dyDescent="0.25">
      <c r="A227" s="157"/>
      <c r="B227" s="142"/>
      <c r="C227" s="142"/>
      <c r="D227" s="142"/>
      <c r="E227" s="142"/>
      <c r="F227" s="142"/>
      <c r="G227" s="142"/>
      <c r="H227" s="142"/>
      <c r="I227" s="142"/>
      <c r="J227" s="142"/>
      <c r="K227" s="142"/>
      <c r="L227" s="142"/>
      <c r="M227" s="142"/>
      <c r="N227" s="142"/>
      <c r="O227" s="142"/>
      <c r="P227" s="142"/>
      <c r="Q227" s="142"/>
      <c r="R227" s="250"/>
      <c r="S227" s="142"/>
      <c r="T227" s="142"/>
      <c r="U227" s="143"/>
      <c r="V227" s="142"/>
      <c r="W227" s="142"/>
      <c r="X227" s="94" t="s">
        <v>1195</v>
      </c>
      <c r="Y227" s="142"/>
      <c r="Z227" s="142"/>
      <c r="AA227" s="143"/>
      <c r="AB227" s="142"/>
      <c r="AC227" s="144"/>
      <c r="AD227" s="144"/>
      <c r="AE227" s="144"/>
      <c r="AF227" s="142"/>
      <c r="AG227" s="142"/>
      <c r="AH227" s="142"/>
      <c r="AI227" s="143"/>
      <c r="AJ227" s="142"/>
      <c r="AK227" s="142"/>
      <c r="AL227" s="142"/>
      <c r="AM227" s="142"/>
      <c r="AN227" s="142"/>
      <c r="AO227" s="142"/>
      <c r="AP227" s="142"/>
      <c r="AQ227" s="142"/>
      <c r="AR227" s="142"/>
      <c r="AS227" s="142"/>
      <c r="AT227" s="142"/>
      <c r="AU227" s="142"/>
      <c r="AV227" s="142"/>
      <c r="AW227" s="142"/>
      <c r="AX227" s="142"/>
      <c r="AY227" s="142"/>
      <c r="AZ227" s="142"/>
      <c r="BA227" s="142"/>
      <c r="BB227" s="142"/>
      <c r="BC227" s="142"/>
      <c r="BD227" s="142"/>
      <c r="BE227" s="142"/>
      <c r="BF227" s="142"/>
      <c r="BG227" s="161"/>
    </row>
    <row r="228" spans="1:59" x14ac:dyDescent="0.25">
      <c r="A228" s="158"/>
      <c r="B228" s="139"/>
      <c r="C228" s="139"/>
      <c r="D228" s="139"/>
      <c r="E228" s="139"/>
      <c r="F228" s="139"/>
      <c r="G228" s="139"/>
      <c r="H228" s="139"/>
      <c r="I228" s="139"/>
      <c r="J228" s="139"/>
      <c r="K228" s="139"/>
      <c r="L228" s="139"/>
      <c r="M228" s="139"/>
      <c r="N228" s="139"/>
      <c r="O228" s="139"/>
      <c r="P228" s="139"/>
      <c r="Q228" s="139"/>
      <c r="R228" s="251"/>
      <c r="S228" s="139"/>
      <c r="T228" s="139"/>
      <c r="U228" s="145"/>
      <c r="V228" s="139"/>
      <c r="W228" s="139"/>
      <c r="X228" s="102" t="s">
        <v>1195</v>
      </c>
      <c r="Y228" s="139"/>
      <c r="Z228" s="139"/>
      <c r="AA228" s="145"/>
      <c r="AB228" s="139"/>
      <c r="AC228" s="146"/>
      <c r="AD228" s="146"/>
      <c r="AE228" s="146"/>
      <c r="AF228" s="139"/>
      <c r="AG228" s="139"/>
      <c r="AH228" s="139"/>
      <c r="AI228" s="145"/>
      <c r="AJ228" s="139"/>
      <c r="AK228" s="139"/>
      <c r="AL228" s="139"/>
      <c r="AM228" s="139"/>
      <c r="AN228" s="139"/>
      <c r="AO228" s="139"/>
      <c r="AP228" s="139"/>
      <c r="AQ228" s="139"/>
      <c r="AR228" s="139"/>
      <c r="AS228" s="139"/>
      <c r="AT228" s="139"/>
      <c r="AU228" s="139"/>
      <c r="AV228" s="139"/>
      <c r="AW228" s="139"/>
      <c r="AX228" s="139"/>
      <c r="AY228" s="139"/>
      <c r="AZ228" s="139"/>
      <c r="BA228" s="139"/>
      <c r="BB228" s="139"/>
      <c r="BC228" s="139"/>
      <c r="BD228" s="139"/>
      <c r="BE228" s="139"/>
      <c r="BF228" s="139"/>
      <c r="BG228" s="162"/>
    </row>
    <row r="229" spans="1:59" x14ac:dyDescent="0.25">
      <c r="A229" s="157"/>
      <c r="B229" s="142"/>
      <c r="C229" s="142"/>
      <c r="D229" s="142"/>
      <c r="E229" s="142"/>
      <c r="F229" s="142"/>
      <c r="G229" s="142"/>
      <c r="H229" s="142"/>
      <c r="I229" s="142"/>
      <c r="J229" s="142"/>
      <c r="K229" s="142"/>
      <c r="L229" s="142"/>
      <c r="M229" s="142"/>
      <c r="N229" s="142"/>
      <c r="O229" s="142"/>
      <c r="P229" s="142"/>
      <c r="Q229" s="142"/>
      <c r="R229" s="250"/>
      <c r="S229" s="142"/>
      <c r="T229" s="142"/>
      <c r="U229" s="143"/>
      <c r="V229" s="142"/>
      <c r="W229" s="142"/>
      <c r="X229" s="94" t="s">
        <v>1195</v>
      </c>
      <c r="Y229" s="142"/>
      <c r="Z229" s="142"/>
      <c r="AA229" s="143"/>
      <c r="AB229" s="142"/>
      <c r="AC229" s="144"/>
      <c r="AD229" s="144"/>
      <c r="AE229" s="144"/>
      <c r="AF229" s="142"/>
      <c r="AG229" s="142"/>
      <c r="AH229" s="142"/>
      <c r="AI229" s="143"/>
      <c r="AJ229" s="142"/>
      <c r="AK229" s="142"/>
      <c r="AL229" s="142"/>
      <c r="AM229" s="142"/>
      <c r="AN229" s="142"/>
      <c r="AO229" s="142"/>
      <c r="AP229" s="142"/>
      <c r="AQ229" s="142"/>
      <c r="AR229" s="142"/>
      <c r="AS229" s="142"/>
      <c r="AT229" s="142"/>
      <c r="AU229" s="142"/>
      <c r="AV229" s="142"/>
      <c r="AW229" s="142"/>
      <c r="AX229" s="142"/>
      <c r="AY229" s="142"/>
      <c r="AZ229" s="142"/>
      <c r="BA229" s="142"/>
      <c r="BB229" s="142"/>
      <c r="BC229" s="142"/>
      <c r="BD229" s="142"/>
      <c r="BE229" s="142"/>
      <c r="BF229" s="142"/>
      <c r="BG229" s="161"/>
    </row>
    <row r="230" spans="1:59" x14ac:dyDescent="0.25">
      <c r="A230" s="158"/>
      <c r="B230" s="139"/>
      <c r="C230" s="139"/>
      <c r="D230" s="139"/>
      <c r="E230" s="139"/>
      <c r="F230" s="139"/>
      <c r="G230" s="139"/>
      <c r="H230" s="139"/>
      <c r="I230" s="139"/>
      <c r="J230" s="139"/>
      <c r="K230" s="139"/>
      <c r="L230" s="139"/>
      <c r="M230" s="139"/>
      <c r="N230" s="139"/>
      <c r="O230" s="139"/>
      <c r="P230" s="139"/>
      <c r="Q230" s="139"/>
      <c r="R230" s="251"/>
      <c r="S230" s="139"/>
      <c r="T230" s="139"/>
      <c r="U230" s="145"/>
      <c r="V230" s="139"/>
      <c r="W230" s="139"/>
      <c r="X230" s="102" t="s">
        <v>1195</v>
      </c>
      <c r="Y230" s="139"/>
      <c r="Z230" s="139"/>
      <c r="AA230" s="145"/>
      <c r="AB230" s="139"/>
      <c r="AC230" s="146"/>
      <c r="AD230" s="146"/>
      <c r="AE230" s="146"/>
      <c r="AF230" s="139"/>
      <c r="AG230" s="139"/>
      <c r="AH230" s="139"/>
      <c r="AI230" s="145"/>
      <c r="AJ230" s="139"/>
      <c r="AK230" s="139"/>
      <c r="AL230" s="139"/>
      <c r="AM230" s="139"/>
      <c r="AN230" s="139"/>
      <c r="AO230" s="139"/>
      <c r="AP230" s="139"/>
      <c r="AQ230" s="139"/>
      <c r="AR230" s="139"/>
      <c r="AS230" s="139"/>
      <c r="AT230" s="139"/>
      <c r="AU230" s="139"/>
      <c r="AV230" s="139"/>
      <c r="AW230" s="139"/>
      <c r="AX230" s="139"/>
      <c r="AY230" s="139"/>
      <c r="AZ230" s="139"/>
      <c r="BA230" s="139"/>
      <c r="BB230" s="139"/>
      <c r="BC230" s="139"/>
      <c r="BD230" s="139"/>
      <c r="BE230" s="139"/>
      <c r="BF230" s="139"/>
      <c r="BG230" s="162"/>
    </row>
    <row r="231" spans="1:59" x14ac:dyDescent="0.25">
      <c r="A231" s="157"/>
      <c r="B231" s="142"/>
      <c r="C231" s="142"/>
      <c r="D231" s="142"/>
      <c r="E231" s="142"/>
      <c r="F231" s="142"/>
      <c r="G231" s="142"/>
      <c r="H231" s="142"/>
      <c r="I231" s="142"/>
      <c r="J231" s="142"/>
      <c r="K231" s="142"/>
      <c r="L231" s="142"/>
      <c r="M231" s="142"/>
      <c r="N231" s="142"/>
      <c r="O231" s="142"/>
      <c r="P231" s="142"/>
      <c r="Q231" s="142"/>
      <c r="R231" s="250"/>
      <c r="S231" s="142"/>
      <c r="T231" s="142"/>
      <c r="U231" s="143"/>
      <c r="V231" s="142"/>
      <c r="W231" s="142"/>
      <c r="X231" s="94" t="s">
        <v>1195</v>
      </c>
      <c r="Y231" s="142"/>
      <c r="Z231" s="142"/>
      <c r="AA231" s="143"/>
      <c r="AB231" s="142"/>
      <c r="AC231" s="144"/>
      <c r="AD231" s="144"/>
      <c r="AE231" s="144"/>
      <c r="AF231" s="142"/>
      <c r="AG231" s="142"/>
      <c r="AH231" s="142"/>
      <c r="AI231" s="143"/>
      <c r="AJ231" s="142"/>
      <c r="AK231" s="142"/>
      <c r="AL231" s="142"/>
      <c r="AM231" s="142"/>
      <c r="AN231" s="142"/>
      <c r="AO231" s="142"/>
      <c r="AP231" s="142"/>
      <c r="AQ231" s="142"/>
      <c r="AR231" s="142"/>
      <c r="AS231" s="142"/>
      <c r="AT231" s="142"/>
      <c r="AU231" s="142"/>
      <c r="AV231" s="142"/>
      <c r="AW231" s="142"/>
      <c r="AX231" s="142"/>
      <c r="AY231" s="142"/>
      <c r="AZ231" s="142"/>
      <c r="BA231" s="142"/>
      <c r="BB231" s="142"/>
      <c r="BC231" s="142"/>
      <c r="BD231" s="142"/>
      <c r="BE231" s="142"/>
      <c r="BF231" s="142"/>
      <c r="BG231" s="161"/>
    </row>
    <row r="232" spans="1:59" x14ac:dyDescent="0.25">
      <c r="A232" s="158"/>
      <c r="B232" s="139"/>
      <c r="C232" s="139"/>
      <c r="D232" s="139"/>
      <c r="E232" s="139"/>
      <c r="F232" s="139"/>
      <c r="G232" s="139"/>
      <c r="H232" s="139"/>
      <c r="I232" s="139"/>
      <c r="J232" s="139"/>
      <c r="K232" s="139"/>
      <c r="L232" s="139"/>
      <c r="M232" s="139"/>
      <c r="N232" s="139"/>
      <c r="O232" s="139"/>
      <c r="P232" s="139"/>
      <c r="Q232" s="139"/>
      <c r="R232" s="251"/>
      <c r="S232" s="139"/>
      <c r="T232" s="139"/>
      <c r="U232" s="145"/>
      <c r="V232" s="139"/>
      <c r="W232" s="139"/>
      <c r="X232" s="102" t="s">
        <v>1195</v>
      </c>
      <c r="Y232" s="139"/>
      <c r="Z232" s="139"/>
      <c r="AA232" s="145"/>
      <c r="AB232" s="139"/>
      <c r="AC232" s="146"/>
      <c r="AD232" s="146"/>
      <c r="AE232" s="146"/>
      <c r="AF232" s="139"/>
      <c r="AG232" s="139"/>
      <c r="AH232" s="139"/>
      <c r="AI232" s="145"/>
      <c r="AJ232" s="139"/>
      <c r="AK232" s="139"/>
      <c r="AL232" s="139"/>
      <c r="AM232" s="139"/>
      <c r="AN232" s="139"/>
      <c r="AO232" s="139"/>
      <c r="AP232" s="139"/>
      <c r="AQ232" s="139"/>
      <c r="AR232" s="139"/>
      <c r="AS232" s="139"/>
      <c r="AT232" s="139"/>
      <c r="AU232" s="139"/>
      <c r="AV232" s="139"/>
      <c r="AW232" s="139"/>
      <c r="AX232" s="139"/>
      <c r="AY232" s="139"/>
      <c r="AZ232" s="139"/>
      <c r="BA232" s="139"/>
      <c r="BB232" s="139"/>
      <c r="BC232" s="139"/>
      <c r="BD232" s="139"/>
      <c r="BE232" s="139"/>
      <c r="BF232" s="139"/>
      <c r="BG232" s="162"/>
    </row>
    <row r="233" spans="1:59" x14ac:dyDescent="0.25">
      <c r="A233" s="157"/>
      <c r="B233" s="142"/>
      <c r="C233" s="142"/>
      <c r="D233" s="142"/>
      <c r="E233" s="142"/>
      <c r="F233" s="142"/>
      <c r="G233" s="142"/>
      <c r="H233" s="142"/>
      <c r="I233" s="142"/>
      <c r="J233" s="142"/>
      <c r="K233" s="142"/>
      <c r="L233" s="142"/>
      <c r="M233" s="142"/>
      <c r="N233" s="142"/>
      <c r="O233" s="142"/>
      <c r="P233" s="142"/>
      <c r="Q233" s="142"/>
      <c r="R233" s="250"/>
      <c r="S233" s="142"/>
      <c r="T233" s="142"/>
      <c r="U233" s="143"/>
      <c r="V233" s="142"/>
      <c r="W233" s="142"/>
      <c r="X233" s="94" t="s">
        <v>1195</v>
      </c>
      <c r="Y233" s="142"/>
      <c r="Z233" s="142"/>
      <c r="AA233" s="143"/>
      <c r="AB233" s="142"/>
      <c r="AC233" s="144"/>
      <c r="AD233" s="144"/>
      <c r="AE233" s="144"/>
      <c r="AF233" s="142"/>
      <c r="AG233" s="142"/>
      <c r="AH233" s="142"/>
      <c r="AI233" s="143"/>
      <c r="AJ233" s="142"/>
      <c r="AK233" s="142"/>
      <c r="AL233" s="142"/>
      <c r="AM233" s="142"/>
      <c r="AN233" s="142"/>
      <c r="AO233" s="142"/>
      <c r="AP233" s="142"/>
      <c r="AQ233" s="142"/>
      <c r="AR233" s="142"/>
      <c r="AS233" s="142"/>
      <c r="AT233" s="142"/>
      <c r="AU233" s="142"/>
      <c r="AV233" s="142"/>
      <c r="AW233" s="142"/>
      <c r="AX233" s="142"/>
      <c r="AY233" s="142"/>
      <c r="AZ233" s="142"/>
      <c r="BA233" s="142"/>
      <c r="BB233" s="142"/>
      <c r="BC233" s="142"/>
      <c r="BD233" s="142"/>
      <c r="BE233" s="142"/>
      <c r="BF233" s="142"/>
      <c r="BG233" s="161"/>
    </row>
    <row r="234" spans="1:59" x14ac:dyDescent="0.25">
      <c r="A234" s="158"/>
      <c r="B234" s="139"/>
      <c r="C234" s="139"/>
      <c r="D234" s="139"/>
      <c r="E234" s="139"/>
      <c r="F234" s="139"/>
      <c r="G234" s="139"/>
      <c r="H234" s="139"/>
      <c r="I234" s="139"/>
      <c r="J234" s="139"/>
      <c r="K234" s="139"/>
      <c r="L234" s="139"/>
      <c r="M234" s="139"/>
      <c r="N234" s="139"/>
      <c r="O234" s="139"/>
      <c r="P234" s="139"/>
      <c r="Q234" s="139"/>
      <c r="R234" s="251"/>
      <c r="S234" s="139"/>
      <c r="T234" s="139"/>
      <c r="U234" s="145"/>
      <c r="V234" s="139"/>
      <c r="W234" s="139"/>
      <c r="X234" s="102" t="s">
        <v>1195</v>
      </c>
      <c r="Y234" s="139"/>
      <c r="Z234" s="139"/>
      <c r="AA234" s="145"/>
      <c r="AB234" s="139"/>
      <c r="AC234" s="146"/>
      <c r="AD234" s="146"/>
      <c r="AE234" s="146"/>
      <c r="AF234" s="139"/>
      <c r="AG234" s="139"/>
      <c r="AH234" s="139"/>
      <c r="AI234" s="145"/>
      <c r="AJ234" s="139"/>
      <c r="AK234" s="139"/>
      <c r="AL234" s="139"/>
      <c r="AM234" s="139"/>
      <c r="AN234" s="139"/>
      <c r="AO234" s="139"/>
      <c r="AP234" s="139"/>
      <c r="AQ234" s="139"/>
      <c r="AR234" s="139"/>
      <c r="AS234" s="139"/>
      <c r="AT234" s="139"/>
      <c r="AU234" s="139"/>
      <c r="AV234" s="139"/>
      <c r="AW234" s="139"/>
      <c r="AX234" s="139"/>
      <c r="AY234" s="139"/>
      <c r="AZ234" s="139"/>
      <c r="BA234" s="139"/>
      <c r="BB234" s="139"/>
      <c r="BC234" s="139"/>
      <c r="BD234" s="139"/>
      <c r="BE234" s="139"/>
      <c r="BF234" s="139"/>
      <c r="BG234" s="162"/>
    </row>
    <row r="235" spans="1:59" x14ac:dyDescent="0.25">
      <c r="A235" s="157"/>
      <c r="B235" s="142"/>
      <c r="C235" s="142"/>
      <c r="D235" s="142"/>
      <c r="E235" s="142"/>
      <c r="F235" s="142"/>
      <c r="G235" s="142"/>
      <c r="H235" s="142"/>
      <c r="I235" s="142"/>
      <c r="J235" s="142"/>
      <c r="K235" s="142"/>
      <c r="L235" s="142"/>
      <c r="M235" s="142"/>
      <c r="N235" s="142"/>
      <c r="O235" s="142"/>
      <c r="P235" s="142"/>
      <c r="Q235" s="142"/>
      <c r="R235" s="250"/>
      <c r="S235" s="142"/>
      <c r="T235" s="142"/>
      <c r="U235" s="143"/>
      <c r="V235" s="142"/>
      <c r="W235" s="142"/>
      <c r="X235" s="94" t="s">
        <v>1195</v>
      </c>
      <c r="Y235" s="142"/>
      <c r="Z235" s="142"/>
      <c r="AA235" s="143"/>
      <c r="AB235" s="142"/>
      <c r="AC235" s="144"/>
      <c r="AD235" s="144"/>
      <c r="AE235" s="144"/>
      <c r="AF235" s="142"/>
      <c r="AG235" s="142"/>
      <c r="AH235" s="142"/>
      <c r="AI235" s="143"/>
      <c r="AJ235" s="142"/>
      <c r="AK235" s="142"/>
      <c r="AL235" s="142"/>
      <c r="AM235" s="142"/>
      <c r="AN235" s="142"/>
      <c r="AO235" s="142"/>
      <c r="AP235" s="142"/>
      <c r="AQ235" s="142"/>
      <c r="AR235" s="142"/>
      <c r="AS235" s="142"/>
      <c r="AT235" s="142"/>
      <c r="AU235" s="142"/>
      <c r="AV235" s="142"/>
      <c r="AW235" s="142"/>
      <c r="AX235" s="142"/>
      <c r="AY235" s="142"/>
      <c r="AZ235" s="142"/>
      <c r="BA235" s="142"/>
      <c r="BB235" s="142"/>
      <c r="BC235" s="142"/>
      <c r="BD235" s="142"/>
      <c r="BE235" s="142"/>
      <c r="BF235" s="142"/>
      <c r="BG235" s="161"/>
    </row>
    <row r="236" spans="1:59" x14ac:dyDescent="0.25">
      <c r="A236" s="158"/>
      <c r="B236" s="139"/>
      <c r="C236" s="139"/>
      <c r="D236" s="139"/>
      <c r="E236" s="139"/>
      <c r="F236" s="139"/>
      <c r="G236" s="139"/>
      <c r="H236" s="139"/>
      <c r="I236" s="139"/>
      <c r="J236" s="139"/>
      <c r="K236" s="139"/>
      <c r="L236" s="139"/>
      <c r="M236" s="139"/>
      <c r="N236" s="139"/>
      <c r="O236" s="139"/>
      <c r="P236" s="139"/>
      <c r="Q236" s="139"/>
      <c r="R236" s="251"/>
      <c r="S236" s="139"/>
      <c r="T236" s="139"/>
      <c r="U236" s="145"/>
      <c r="V236" s="139"/>
      <c r="W236" s="139"/>
      <c r="X236" s="102" t="s">
        <v>1195</v>
      </c>
      <c r="Y236" s="139"/>
      <c r="Z236" s="139"/>
      <c r="AA236" s="145"/>
      <c r="AB236" s="139"/>
      <c r="AC236" s="146"/>
      <c r="AD236" s="146"/>
      <c r="AE236" s="146"/>
      <c r="AF236" s="139"/>
      <c r="AG236" s="139"/>
      <c r="AH236" s="139"/>
      <c r="AI236" s="145"/>
      <c r="AJ236" s="139"/>
      <c r="AK236" s="139"/>
      <c r="AL236" s="139"/>
      <c r="AM236" s="139"/>
      <c r="AN236" s="139"/>
      <c r="AO236" s="139"/>
      <c r="AP236" s="139"/>
      <c r="AQ236" s="139"/>
      <c r="AR236" s="139"/>
      <c r="AS236" s="139"/>
      <c r="AT236" s="139"/>
      <c r="AU236" s="139"/>
      <c r="AV236" s="139"/>
      <c r="AW236" s="139"/>
      <c r="AX236" s="139"/>
      <c r="AY236" s="139"/>
      <c r="AZ236" s="139"/>
      <c r="BA236" s="139"/>
      <c r="BB236" s="139"/>
      <c r="BC236" s="139"/>
      <c r="BD236" s="139"/>
      <c r="BE236" s="139"/>
      <c r="BF236" s="139"/>
      <c r="BG236" s="162"/>
    </row>
    <row r="237" spans="1:59" x14ac:dyDescent="0.25">
      <c r="A237" s="157"/>
      <c r="B237" s="142"/>
      <c r="C237" s="142"/>
      <c r="D237" s="142"/>
      <c r="E237" s="142"/>
      <c r="F237" s="142"/>
      <c r="G237" s="142"/>
      <c r="H237" s="142"/>
      <c r="I237" s="142"/>
      <c r="J237" s="142"/>
      <c r="K237" s="142"/>
      <c r="L237" s="142"/>
      <c r="M237" s="142"/>
      <c r="N237" s="142"/>
      <c r="O237" s="142"/>
      <c r="P237" s="142"/>
      <c r="Q237" s="142"/>
      <c r="R237" s="250"/>
      <c r="S237" s="142"/>
      <c r="T237" s="142"/>
      <c r="U237" s="143"/>
      <c r="V237" s="142"/>
      <c r="W237" s="142"/>
      <c r="X237" s="94" t="s">
        <v>1195</v>
      </c>
      <c r="Y237" s="142"/>
      <c r="Z237" s="142"/>
      <c r="AA237" s="143"/>
      <c r="AB237" s="142"/>
      <c r="AC237" s="144"/>
      <c r="AD237" s="144"/>
      <c r="AE237" s="144"/>
      <c r="AF237" s="142"/>
      <c r="AG237" s="142"/>
      <c r="AH237" s="142"/>
      <c r="AI237" s="143"/>
      <c r="AJ237" s="142"/>
      <c r="AK237" s="142"/>
      <c r="AL237" s="142"/>
      <c r="AM237" s="142"/>
      <c r="AN237" s="142"/>
      <c r="AO237" s="142"/>
      <c r="AP237" s="142"/>
      <c r="AQ237" s="142"/>
      <c r="AR237" s="142"/>
      <c r="AS237" s="142"/>
      <c r="AT237" s="142"/>
      <c r="AU237" s="142"/>
      <c r="AV237" s="142"/>
      <c r="AW237" s="142"/>
      <c r="AX237" s="142"/>
      <c r="AY237" s="142"/>
      <c r="AZ237" s="142"/>
      <c r="BA237" s="142"/>
      <c r="BB237" s="142"/>
      <c r="BC237" s="142"/>
      <c r="BD237" s="142"/>
      <c r="BE237" s="142"/>
      <c r="BF237" s="142"/>
      <c r="BG237" s="161"/>
    </row>
    <row r="238" spans="1:59" x14ac:dyDescent="0.25">
      <c r="A238" s="158"/>
      <c r="B238" s="139"/>
      <c r="C238" s="139"/>
      <c r="D238" s="139"/>
      <c r="E238" s="139"/>
      <c r="F238" s="139"/>
      <c r="G238" s="139"/>
      <c r="H238" s="139"/>
      <c r="I238" s="139"/>
      <c r="J238" s="139"/>
      <c r="K238" s="139"/>
      <c r="L238" s="139"/>
      <c r="M238" s="139"/>
      <c r="N238" s="139"/>
      <c r="O238" s="139"/>
      <c r="P238" s="139"/>
      <c r="Q238" s="139"/>
      <c r="R238" s="251"/>
      <c r="S238" s="139"/>
      <c r="T238" s="139"/>
      <c r="U238" s="145"/>
      <c r="V238" s="139"/>
      <c r="W238" s="139"/>
      <c r="X238" s="102" t="s">
        <v>1195</v>
      </c>
      <c r="Y238" s="139"/>
      <c r="Z238" s="139"/>
      <c r="AA238" s="145"/>
      <c r="AB238" s="139"/>
      <c r="AC238" s="146"/>
      <c r="AD238" s="146"/>
      <c r="AE238" s="146"/>
      <c r="AF238" s="139"/>
      <c r="AG238" s="139"/>
      <c r="AH238" s="139"/>
      <c r="AI238" s="145"/>
      <c r="AJ238" s="139"/>
      <c r="AK238" s="139"/>
      <c r="AL238" s="139"/>
      <c r="AM238" s="139"/>
      <c r="AN238" s="139"/>
      <c r="AO238" s="139"/>
      <c r="AP238" s="139"/>
      <c r="AQ238" s="139"/>
      <c r="AR238" s="139"/>
      <c r="AS238" s="139"/>
      <c r="AT238" s="139"/>
      <c r="AU238" s="139"/>
      <c r="AV238" s="139"/>
      <c r="AW238" s="139"/>
      <c r="AX238" s="139"/>
      <c r="AY238" s="139"/>
      <c r="AZ238" s="139"/>
      <c r="BA238" s="139"/>
      <c r="BB238" s="139"/>
      <c r="BC238" s="139"/>
      <c r="BD238" s="139"/>
      <c r="BE238" s="139"/>
      <c r="BF238" s="139"/>
      <c r="BG238" s="162"/>
    </row>
    <row r="239" spans="1:59" x14ac:dyDescent="0.25">
      <c r="A239" s="157"/>
      <c r="B239" s="142"/>
      <c r="C239" s="142"/>
      <c r="D239" s="142"/>
      <c r="E239" s="142"/>
      <c r="F239" s="142"/>
      <c r="G239" s="142"/>
      <c r="H239" s="142"/>
      <c r="I239" s="142"/>
      <c r="J239" s="142"/>
      <c r="K239" s="142"/>
      <c r="L239" s="142"/>
      <c r="M239" s="142"/>
      <c r="N239" s="142"/>
      <c r="O239" s="142"/>
      <c r="P239" s="142"/>
      <c r="Q239" s="142"/>
      <c r="R239" s="250"/>
      <c r="S239" s="142"/>
      <c r="T239" s="142"/>
      <c r="U239" s="143"/>
      <c r="V239" s="142"/>
      <c r="W239" s="142"/>
      <c r="X239" s="94" t="s">
        <v>1195</v>
      </c>
      <c r="Y239" s="142"/>
      <c r="Z239" s="142"/>
      <c r="AA239" s="143"/>
      <c r="AB239" s="142"/>
      <c r="AC239" s="144"/>
      <c r="AD239" s="144"/>
      <c r="AE239" s="144"/>
      <c r="AF239" s="142"/>
      <c r="AG239" s="142"/>
      <c r="AH239" s="142"/>
      <c r="AI239" s="143"/>
      <c r="AJ239" s="142"/>
      <c r="AK239" s="142"/>
      <c r="AL239" s="142"/>
      <c r="AM239" s="142"/>
      <c r="AN239" s="142"/>
      <c r="AO239" s="142"/>
      <c r="AP239" s="142"/>
      <c r="AQ239" s="142"/>
      <c r="AR239" s="142"/>
      <c r="AS239" s="142"/>
      <c r="AT239" s="142"/>
      <c r="AU239" s="142"/>
      <c r="AV239" s="142"/>
      <c r="AW239" s="142"/>
      <c r="AX239" s="142"/>
      <c r="AY239" s="142"/>
      <c r="AZ239" s="142"/>
      <c r="BA239" s="142"/>
      <c r="BB239" s="142"/>
      <c r="BC239" s="142"/>
      <c r="BD239" s="142"/>
      <c r="BE239" s="142"/>
      <c r="BF239" s="142"/>
      <c r="BG239" s="161"/>
    </row>
    <row r="240" spans="1:59" x14ac:dyDescent="0.25">
      <c r="A240" s="158"/>
      <c r="B240" s="139"/>
      <c r="C240" s="139"/>
      <c r="D240" s="139"/>
      <c r="E240" s="139"/>
      <c r="F240" s="139"/>
      <c r="G240" s="139"/>
      <c r="H240" s="139"/>
      <c r="I240" s="139"/>
      <c r="J240" s="139"/>
      <c r="K240" s="139"/>
      <c r="L240" s="139"/>
      <c r="M240" s="139"/>
      <c r="N240" s="139"/>
      <c r="O240" s="139"/>
      <c r="P240" s="139"/>
      <c r="Q240" s="139"/>
      <c r="R240" s="251"/>
      <c r="S240" s="139"/>
      <c r="T240" s="139"/>
      <c r="U240" s="145"/>
      <c r="V240" s="139"/>
      <c r="W240" s="139"/>
      <c r="X240" s="102" t="s">
        <v>1195</v>
      </c>
      <c r="Y240" s="139"/>
      <c r="Z240" s="139"/>
      <c r="AA240" s="145"/>
      <c r="AB240" s="139"/>
      <c r="AC240" s="146"/>
      <c r="AD240" s="146"/>
      <c r="AE240" s="146"/>
      <c r="AF240" s="139"/>
      <c r="AG240" s="139"/>
      <c r="AH240" s="139"/>
      <c r="AI240" s="145"/>
      <c r="AJ240" s="139"/>
      <c r="AK240" s="139"/>
      <c r="AL240" s="139"/>
      <c r="AM240" s="139"/>
      <c r="AN240" s="139"/>
      <c r="AO240" s="139"/>
      <c r="AP240" s="139"/>
      <c r="AQ240" s="139"/>
      <c r="AR240" s="139"/>
      <c r="AS240" s="139"/>
      <c r="AT240" s="139"/>
      <c r="AU240" s="139"/>
      <c r="AV240" s="139"/>
      <c r="AW240" s="139"/>
      <c r="AX240" s="139"/>
      <c r="AY240" s="139"/>
      <c r="AZ240" s="139"/>
      <c r="BA240" s="139"/>
      <c r="BB240" s="139"/>
      <c r="BC240" s="139"/>
      <c r="BD240" s="139"/>
      <c r="BE240" s="139"/>
      <c r="BF240" s="139"/>
      <c r="BG240" s="162"/>
    </row>
    <row r="241" spans="1:59" x14ac:dyDescent="0.25">
      <c r="A241" s="157"/>
      <c r="B241" s="142"/>
      <c r="C241" s="142"/>
      <c r="D241" s="142"/>
      <c r="E241" s="142"/>
      <c r="F241" s="142"/>
      <c r="G241" s="142"/>
      <c r="H241" s="142"/>
      <c r="I241" s="142"/>
      <c r="J241" s="142"/>
      <c r="K241" s="142"/>
      <c r="L241" s="142"/>
      <c r="M241" s="142"/>
      <c r="N241" s="142"/>
      <c r="O241" s="142"/>
      <c r="P241" s="142"/>
      <c r="Q241" s="142"/>
      <c r="R241" s="250"/>
      <c r="S241" s="142"/>
      <c r="T241" s="142"/>
      <c r="U241" s="143"/>
      <c r="V241" s="142"/>
      <c r="W241" s="142"/>
      <c r="X241" s="94" t="s">
        <v>1195</v>
      </c>
      <c r="Y241" s="142"/>
      <c r="Z241" s="142"/>
      <c r="AA241" s="143"/>
      <c r="AB241" s="142"/>
      <c r="AC241" s="144"/>
      <c r="AD241" s="144"/>
      <c r="AE241" s="144"/>
      <c r="AF241" s="142"/>
      <c r="AG241" s="142"/>
      <c r="AH241" s="142"/>
      <c r="AI241" s="143"/>
      <c r="AJ241" s="142"/>
      <c r="AK241" s="142"/>
      <c r="AL241" s="142"/>
      <c r="AM241" s="142"/>
      <c r="AN241" s="142"/>
      <c r="AO241" s="142"/>
      <c r="AP241" s="142"/>
      <c r="AQ241" s="142"/>
      <c r="AR241" s="142"/>
      <c r="AS241" s="142"/>
      <c r="AT241" s="142"/>
      <c r="AU241" s="142"/>
      <c r="AV241" s="142"/>
      <c r="AW241" s="142"/>
      <c r="AX241" s="142"/>
      <c r="AY241" s="142"/>
      <c r="AZ241" s="142"/>
      <c r="BA241" s="142"/>
      <c r="BB241" s="142"/>
      <c r="BC241" s="142"/>
      <c r="BD241" s="142"/>
      <c r="BE241" s="142"/>
      <c r="BF241" s="142"/>
      <c r="BG241" s="161"/>
    </row>
    <row r="242" spans="1:59" x14ac:dyDescent="0.25">
      <c r="A242" s="158"/>
      <c r="B242" s="139"/>
      <c r="C242" s="139"/>
      <c r="D242" s="139"/>
      <c r="E242" s="139"/>
      <c r="F242" s="139"/>
      <c r="G242" s="139"/>
      <c r="H242" s="139"/>
      <c r="I242" s="139"/>
      <c r="J242" s="139"/>
      <c r="K242" s="139"/>
      <c r="L242" s="139"/>
      <c r="M242" s="139"/>
      <c r="N242" s="139"/>
      <c r="O242" s="139"/>
      <c r="P242" s="139"/>
      <c r="Q242" s="139"/>
      <c r="R242" s="251"/>
      <c r="S242" s="139"/>
      <c r="T242" s="139"/>
      <c r="U242" s="145"/>
      <c r="V242" s="139"/>
      <c r="W242" s="139"/>
      <c r="X242" s="102" t="s">
        <v>1195</v>
      </c>
      <c r="Y242" s="139"/>
      <c r="Z242" s="139"/>
      <c r="AA242" s="145"/>
      <c r="AB242" s="139"/>
      <c r="AC242" s="146"/>
      <c r="AD242" s="146"/>
      <c r="AE242" s="146"/>
      <c r="AF242" s="139"/>
      <c r="AG242" s="139"/>
      <c r="AH242" s="139"/>
      <c r="AI242" s="145"/>
      <c r="AJ242" s="139"/>
      <c r="AK242" s="139"/>
      <c r="AL242" s="139"/>
      <c r="AM242" s="139"/>
      <c r="AN242" s="139"/>
      <c r="AO242" s="139"/>
      <c r="AP242" s="139"/>
      <c r="AQ242" s="139"/>
      <c r="AR242" s="139"/>
      <c r="AS242" s="139"/>
      <c r="AT242" s="139"/>
      <c r="AU242" s="139"/>
      <c r="AV242" s="139"/>
      <c r="AW242" s="139"/>
      <c r="AX242" s="139"/>
      <c r="AY242" s="139"/>
      <c r="AZ242" s="139"/>
      <c r="BA242" s="139"/>
      <c r="BB242" s="139"/>
      <c r="BC242" s="139"/>
      <c r="BD242" s="139"/>
      <c r="BE242" s="139"/>
      <c r="BF242" s="139"/>
      <c r="BG242" s="162"/>
    </row>
    <row r="243" spans="1:59" x14ac:dyDescent="0.25">
      <c r="A243" s="157"/>
      <c r="B243" s="142"/>
      <c r="C243" s="142"/>
      <c r="D243" s="142"/>
      <c r="E243" s="142"/>
      <c r="F243" s="142"/>
      <c r="G243" s="142"/>
      <c r="H243" s="142"/>
      <c r="I243" s="142"/>
      <c r="J243" s="142"/>
      <c r="K243" s="142"/>
      <c r="L243" s="142"/>
      <c r="M243" s="142"/>
      <c r="N243" s="142"/>
      <c r="O243" s="142"/>
      <c r="P243" s="142"/>
      <c r="Q243" s="142"/>
      <c r="R243" s="250"/>
      <c r="S243" s="142"/>
      <c r="T243" s="142"/>
      <c r="U243" s="143"/>
      <c r="V243" s="142"/>
      <c r="W243" s="142"/>
      <c r="X243" s="94" t="s">
        <v>1195</v>
      </c>
      <c r="Y243" s="142"/>
      <c r="Z243" s="142"/>
      <c r="AA243" s="143"/>
      <c r="AB243" s="142"/>
      <c r="AC243" s="144"/>
      <c r="AD243" s="144"/>
      <c r="AE243" s="144"/>
      <c r="AF243" s="142"/>
      <c r="AG243" s="142"/>
      <c r="AH243" s="142"/>
      <c r="AI243" s="143"/>
      <c r="AJ243" s="142"/>
      <c r="AK243" s="142"/>
      <c r="AL243" s="142"/>
      <c r="AM243" s="142"/>
      <c r="AN243" s="142"/>
      <c r="AO243" s="142"/>
      <c r="AP243" s="142"/>
      <c r="AQ243" s="142"/>
      <c r="AR243" s="142"/>
      <c r="AS243" s="142"/>
      <c r="AT243" s="142"/>
      <c r="AU243" s="142"/>
      <c r="AV243" s="142"/>
      <c r="AW243" s="142"/>
      <c r="AX243" s="142"/>
      <c r="AY243" s="142"/>
      <c r="AZ243" s="142"/>
      <c r="BA243" s="142"/>
      <c r="BB243" s="142"/>
      <c r="BC243" s="142"/>
      <c r="BD243" s="142"/>
      <c r="BE243" s="142"/>
      <c r="BF243" s="142"/>
      <c r="BG243" s="161"/>
    </row>
    <row r="244" spans="1:59" x14ac:dyDescent="0.25">
      <c r="A244" s="158"/>
      <c r="B244" s="139"/>
      <c r="C244" s="139"/>
      <c r="D244" s="139"/>
      <c r="E244" s="139"/>
      <c r="F244" s="139"/>
      <c r="G244" s="139"/>
      <c r="H244" s="139"/>
      <c r="I244" s="139"/>
      <c r="J244" s="139"/>
      <c r="K244" s="139"/>
      <c r="L244" s="139"/>
      <c r="M244" s="139"/>
      <c r="N244" s="139"/>
      <c r="O244" s="139"/>
      <c r="P244" s="139"/>
      <c r="Q244" s="139"/>
      <c r="R244" s="251"/>
      <c r="S244" s="139"/>
      <c r="T244" s="139"/>
      <c r="U244" s="145"/>
      <c r="V244" s="139"/>
      <c r="W244" s="139"/>
      <c r="X244" s="102" t="s">
        <v>1195</v>
      </c>
      <c r="Y244" s="139"/>
      <c r="Z244" s="139"/>
      <c r="AA244" s="145"/>
      <c r="AB244" s="139"/>
      <c r="AC244" s="146"/>
      <c r="AD244" s="146"/>
      <c r="AE244" s="146"/>
      <c r="AF244" s="139"/>
      <c r="AG244" s="139"/>
      <c r="AH244" s="139"/>
      <c r="AI244" s="145"/>
      <c r="AJ244" s="139"/>
      <c r="AK244" s="139"/>
      <c r="AL244" s="139"/>
      <c r="AM244" s="139"/>
      <c r="AN244" s="139"/>
      <c r="AO244" s="139"/>
      <c r="AP244" s="139"/>
      <c r="AQ244" s="139"/>
      <c r="AR244" s="139"/>
      <c r="AS244" s="139"/>
      <c r="AT244" s="139"/>
      <c r="AU244" s="139"/>
      <c r="AV244" s="139"/>
      <c r="AW244" s="139"/>
      <c r="AX244" s="139"/>
      <c r="AY244" s="139"/>
      <c r="AZ244" s="139"/>
      <c r="BA244" s="139"/>
      <c r="BB244" s="139"/>
      <c r="BC244" s="139"/>
      <c r="BD244" s="139"/>
      <c r="BE244" s="139"/>
      <c r="BF244" s="139"/>
      <c r="BG244" s="162"/>
    </row>
    <row r="245" spans="1:59" x14ac:dyDescent="0.25">
      <c r="A245" s="157"/>
      <c r="B245" s="142"/>
      <c r="C245" s="142"/>
      <c r="D245" s="142"/>
      <c r="E245" s="142"/>
      <c r="F245" s="142"/>
      <c r="G245" s="142"/>
      <c r="H245" s="142"/>
      <c r="I245" s="142"/>
      <c r="J245" s="142"/>
      <c r="K245" s="142"/>
      <c r="L245" s="142"/>
      <c r="M245" s="142"/>
      <c r="N245" s="142"/>
      <c r="O245" s="142"/>
      <c r="P245" s="142"/>
      <c r="Q245" s="142"/>
      <c r="R245" s="250"/>
      <c r="S245" s="142"/>
      <c r="T245" s="142"/>
      <c r="U245" s="143"/>
      <c r="V245" s="142"/>
      <c r="W245" s="142"/>
      <c r="X245" s="94" t="s">
        <v>1195</v>
      </c>
      <c r="Y245" s="142"/>
      <c r="Z245" s="142"/>
      <c r="AA245" s="143"/>
      <c r="AB245" s="142"/>
      <c r="AC245" s="144"/>
      <c r="AD245" s="144"/>
      <c r="AE245" s="144"/>
      <c r="AF245" s="142"/>
      <c r="AG245" s="142"/>
      <c r="AH245" s="142"/>
      <c r="AI245" s="143"/>
      <c r="AJ245" s="142"/>
      <c r="AK245" s="142"/>
      <c r="AL245" s="142"/>
      <c r="AM245" s="142"/>
      <c r="AN245" s="142"/>
      <c r="AO245" s="142"/>
      <c r="AP245" s="142"/>
      <c r="AQ245" s="142"/>
      <c r="AR245" s="142"/>
      <c r="AS245" s="142"/>
      <c r="AT245" s="142"/>
      <c r="AU245" s="142"/>
      <c r="AV245" s="142"/>
      <c r="AW245" s="142"/>
      <c r="AX245" s="142"/>
      <c r="AY245" s="142"/>
      <c r="AZ245" s="142"/>
      <c r="BA245" s="142"/>
      <c r="BB245" s="142"/>
      <c r="BC245" s="142"/>
      <c r="BD245" s="142"/>
      <c r="BE245" s="142"/>
      <c r="BF245" s="142"/>
      <c r="BG245" s="161"/>
    </row>
    <row r="246" spans="1:59" x14ac:dyDescent="0.25">
      <c r="A246" s="158"/>
      <c r="B246" s="139"/>
      <c r="C246" s="139"/>
      <c r="D246" s="139"/>
      <c r="E246" s="139"/>
      <c r="F246" s="139"/>
      <c r="G246" s="139"/>
      <c r="H246" s="139"/>
      <c r="I246" s="139"/>
      <c r="J246" s="139"/>
      <c r="K246" s="139"/>
      <c r="L246" s="139"/>
      <c r="M246" s="139"/>
      <c r="N246" s="139"/>
      <c r="O246" s="139"/>
      <c r="P246" s="139"/>
      <c r="Q246" s="139"/>
      <c r="R246" s="251"/>
      <c r="S246" s="139"/>
      <c r="T246" s="139"/>
      <c r="U246" s="145"/>
      <c r="V246" s="139"/>
      <c r="W246" s="139"/>
      <c r="X246" s="102" t="s">
        <v>1195</v>
      </c>
      <c r="Y246" s="139"/>
      <c r="Z246" s="139"/>
      <c r="AA246" s="145"/>
      <c r="AB246" s="139"/>
      <c r="AC246" s="146"/>
      <c r="AD246" s="146"/>
      <c r="AE246" s="146"/>
      <c r="AF246" s="139"/>
      <c r="AG246" s="139"/>
      <c r="AH246" s="139"/>
      <c r="AI246" s="145"/>
      <c r="AJ246" s="139"/>
      <c r="AK246" s="139"/>
      <c r="AL246" s="139"/>
      <c r="AM246" s="139"/>
      <c r="AN246" s="139"/>
      <c r="AO246" s="139"/>
      <c r="AP246" s="139"/>
      <c r="AQ246" s="139"/>
      <c r="AR246" s="139"/>
      <c r="AS246" s="139"/>
      <c r="AT246" s="139"/>
      <c r="AU246" s="139"/>
      <c r="AV246" s="139"/>
      <c r="AW246" s="139"/>
      <c r="AX246" s="139"/>
      <c r="AY246" s="139"/>
      <c r="AZ246" s="139"/>
      <c r="BA246" s="139"/>
      <c r="BB246" s="139"/>
      <c r="BC246" s="139"/>
      <c r="BD246" s="139"/>
      <c r="BE246" s="139"/>
      <c r="BF246" s="139"/>
      <c r="BG246" s="162"/>
    </row>
    <row r="247" spans="1:59" x14ac:dyDescent="0.25">
      <c r="A247" s="157"/>
      <c r="B247" s="142"/>
      <c r="C247" s="142"/>
      <c r="D247" s="142"/>
      <c r="E247" s="142"/>
      <c r="F247" s="142"/>
      <c r="G247" s="142"/>
      <c r="H247" s="142"/>
      <c r="I247" s="142"/>
      <c r="J247" s="142"/>
      <c r="K247" s="142"/>
      <c r="L247" s="142"/>
      <c r="M247" s="142"/>
      <c r="N247" s="142"/>
      <c r="O247" s="142"/>
      <c r="P247" s="142"/>
      <c r="Q247" s="142"/>
      <c r="R247" s="250"/>
      <c r="S247" s="142"/>
      <c r="T247" s="142"/>
      <c r="U247" s="143"/>
      <c r="V247" s="142"/>
      <c r="W247" s="142"/>
      <c r="X247" s="94" t="s">
        <v>1195</v>
      </c>
      <c r="Y247" s="142"/>
      <c r="Z247" s="142"/>
      <c r="AA247" s="143"/>
      <c r="AB247" s="142"/>
      <c r="AC247" s="144"/>
      <c r="AD247" s="144"/>
      <c r="AE247" s="144"/>
      <c r="AF247" s="142"/>
      <c r="AG247" s="142"/>
      <c r="AH247" s="142"/>
      <c r="AI247" s="143"/>
      <c r="AJ247" s="142"/>
      <c r="AK247" s="142"/>
      <c r="AL247" s="142"/>
      <c r="AM247" s="142"/>
      <c r="AN247" s="142"/>
      <c r="AO247" s="142"/>
      <c r="AP247" s="142"/>
      <c r="AQ247" s="142"/>
      <c r="AR247" s="142"/>
      <c r="AS247" s="142"/>
      <c r="AT247" s="142"/>
      <c r="AU247" s="142"/>
      <c r="AV247" s="142"/>
      <c r="AW247" s="142"/>
      <c r="AX247" s="142"/>
      <c r="AY247" s="142"/>
      <c r="AZ247" s="142"/>
      <c r="BA247" s="142"/>
      <c r="BB247" s="142"/>
      <c r="BC247" s="142"/>
      <c r="BD247" s="142"/>
      <c r="BE247" s="142"/>
      <c r="BF247" s="142"/>
      <c r="BG247" s="161"/>
    </row>
    <row r="248" spans="1:59" x14ac:dyDescent="0.25">
      <c r="A248" s="158"/>
      <c r="B248" s="139"/>
      <c r="C248" s="139"/>
      <c r="D248" s="139"/>
      <c r="E248" s="139"/>
      <c r="F248" s="139"/>
      <c r="G248" s="139"/>
      <c r="H248" s="139"/>
      <c r="I248" s="139"/>
      <c r="J248" s="139"/>
      <c r="K248" s="139"/>
      <c r="L248" s="139"/>
      <c r="M248" s="139"/>
      <c r="N248" s="139"/>
      <c r="O248" s="139"/>
      <c r="P248" s="139"/>
      <c r="Q248" s="139"/>
      <c r="R248" s="251"/>
      <c r="S248" s="139"/>
      <c r="T248" s="139"/>
      <c r="U248" s="145"/>
      <c r="V248" s="139"/>
      <c r="W248" s="139"/>
      <c r="X248" s="102" t="s">
        <v>1195</v>
      </c>
      <c r="Y248" s="139"/>
      <c r="Z248" s="139"/>
      <c r="AA248" s="145"/>
      <c r="AB248" s="139"/>
      <c r="AC248" s="146"/>
      <c r="AD248" s="146"/>
      <c r="AE248" s="146"/>
      <c r="AF248" s="139"/>
      <c r="AG248" s="139"/>
      <c r="AH248" s="139"/>
      <c r="AI248" s="145"/>
      <c r="AJ248" s="139"/>
      <c r="AK248" s="139"/>
      <c r="AL248" s="139"/>
      <c r="AM248" s="139"/>
      <c r="AN248" s="139"/>
      <c r="AO248" s="139"/>
      <c r="AP248" s="139"/>
      <c r="AQ248" s="139"/>
      <c r="AR248" s="139"/>
      <c r="AS248" s="139"/>
      <c r="AT248" s="139"/>
      <c r="AU248" s="139"/>
      <c r="AV248" s="139"/>
      <c r="AW248" s="139"/>
      <c r="AX248" s="139"/>
      <c r="AY248" s="139"/>
      <c r="AZ248" s="139"/>
      <c r="BA248" s="139"/>
      <c r="BB248" s="139"/>
      <c r="BC248" s="139"/>
      <c r="BD248" s="139"/>
      <c r="BE248" s="139"/>
      <c r="BF248" s="139"/>
      <c r="BG248" s="162"/>
    </row>
    <row r="249" spans="1:59" x14ac:dyDescent="0.25">
      <c r="A249" s="157"/>
      <c r="B249" s="142"/>
      <c r="C249" s="142"/>
      <c r="D249" s="142"/>
      <c r="E249" s="142"/>
      <c r="F249" s="142"/>
      <c r="G249" s="142"/>
      <c r="H249" s="142"/>
      <c r="I249" s="142"/>
      <c r="J249" s="142"/>
      <c r="K249" s="142"/>
      <c r="L249" s="142"/>
      <c r="M249" s="142"/>
      <c r="N249" s="142"/>
      <c r="O249" s="142"/>
      <c r="P249" s="142"/>
      <c r="Q249" s="142"/>
      <c r="R249" s="250"/>
      <c r="S249" s="142"/>
      <c r="T249" s="142"/>
      <c r="U249" s="143"/>
      <c r="V249" s="142"/>
      <c r="W249" s="142"/>
      <c r="X249" s="94" t="s">
        <v>1195</v>
      </c>
      <c r="Y249" s="142"/>
      <c r="Z249" s="142"/>
      <c r="AA249" s="143"/>
      <c r="AB249" s="142"/>
      <c r="AC249" s="144"/>
      <c r="AD249" s="144"/>
      <c r="AE249" s="144"/>
      <c r="AF249" s="142"/>
      <c r="AG249" s="142"/>
      <c r="AH249" s="142"/>
      <c r="AI249" s="143"/>
      <c r="AJ249" s="142"/>
      <c r="AK249" s="142"/>
      <c r="AL249" s="142"/>
      <c r="AM249" s="142"/>
      <c r="AN249" s="142"/>
      <c r="AO249" s="142"/>
      <c r="AP249" s="142"/>
      <c r="AQ249" s="142"/>
      <c r="AR249" s="142"/>
      <c r="AS249" s="142"/>
      <c r="AT249" s="142"/>
      <c r="AU249" s="142"/>
      <c r="AV249" s="142"/>
      <c r="AW249" s="142"/>
      <c r="AX249" s="142"/>
      <c r="AY249" s="142"/>
      <c r="AZ249" s="142"/>
      <c r="BA249" s="142"/>
      <c r="BB249" s="142"/>
      <c r="BC249" s="142"/>
      <c r="BD249" s="142"/>
      <c r="BE249" s="142"/>
      <c r="BF249" s="142"/>
      <c r="BG249" s="161"/>
    </row>
    <row r="250" spans="1:59" x14ac:dyDescent="0.25">
      <c r="A250" s="158"/>
      <c r="B250" s="139"/>
      <c r="C250" s="139"/>
      <c r="D250" s="139"/>
      <c r="E250" s="139"/>
      <c r="F250" s="139"/>
      <c r="G250" s="139"/>
      <c r="H250" s="139"/>
      <c r="I250" s="139"/>
      <c r="J250" s="139"/>
      <c r="K250" s="139"/>
      <c r="L250" s="139"/>
      <c r="M250" s="139"/>
      <c r="N250" s="139"/>
      <c r="O250" s="139"/>
      <c r="P250" s="139"/>
      <c r="Q250" s="139"/>
      <c r="R250" s="251"/>
      <c r="S250" s="139"/>
      <c r="T250" s="139"/>
      <c r="U250" s="145"/>
      <c r="V250" s="139"/>
      <c r="W250" s="139"/>
      <c r="X250" s="102" t="s">
        <v>1195</v>
      </c>
      <c r="Y250" s="139"/>
      <c r="Z250" s="139"/>
      <c r="AA250" s="145"/>
      <c r="AB250" s="139"/>
      <c r="AC250" s="146"/>
      <c r="AD250" s="146"/>
      <c r="AE250" s="146"/>
      <c r="AF250" s="139"/>
      <c r="AG250" s="139"/>
      <c r="AH250" s="139"/>
      <c r="AI250" s="145"/>
      <c r="AJ250" s="139"/>
      <c r="AK250" s="139"/>
      <c r="AL250" s="139"/>
      <c r="AM250" s="139"/>
      <c r="AN250" s="139"/>
      <c r="AO250" s="139"/>
      <c r="AP250" s="139"/>
      <c r="AQ250" s="139"/>
      <c r="AR250" s="139"/>
      <c r="AS250" s="139"/>
      <c r="AT250" s="139"/>
      <c r="AU250" s="139"/>
      <c r="AV250" s="139"/>
      <c r="AW250" s="139"/>
      <c r="AX250" s="139"/>
      <c r="AY250" s="139"/>
      <c r="AZ250" s="139"/>
      <c r="BA250" s="139"/>
      <c r="BB250" s="139"/>
      <c r="BC250" s="139"/>
      <c r="BD250" s="139"/>
      <c r="BE250" s="139"/>
      <c r="BF250" s="139"/>
      <c r="BG250" s="162"/>
    </row>
    <row r="251" spans="1:59" x14ac:dyDescent="0.25">
      <c r="A251" s="157"/>
      <c r="B251" s="142"/>
      <c r="C251" s="142"/>
      <c r="D251" s="142"/>
      <c r="E251" s="142"/>
      <c r="F251" s="142"/>
      <c r="G251" s="142"/>
      <c r="H251" s="142"/>
      <c r="I251" s="142"/>
      <c r="J251" s="142"/>
      <c r="K251" s="142"/>
      <c r="L251" s="142"/>
      <c r="M251" s="142"/>
      <c r="N251" s="142"/>
      <c r="O251" s="142"/>
      <c r="P251" s="142"/>
      <c r="Q251" s="142"/>
      <c r="R251" s="250"/>
      <c r="S251" s="142"/>
      <c r="T251" s="142"/>
      <c r="U251" s="143"/>
      <c r="V251" s="142"/>
      <c r="W251" s="142"/>
      <c r="X251" s="94" t="s">
        <v>1195</v>
      </c>
      <c r="Y251" s="142"/>
      <c r="Z251" s="142"/>
      <c r="AA251" s="143"/>
      <c r="AB251" s="142"/>
      <c r="AC251" s="144"/>
      <c r="AD251" s="144"/>
      <c r="AE251" s="144"/>
      <c r="AF251" s="142"/>
      <c r="AG251" s="142"/>
      <c r="AH251" s="142"/>
      <c r="AI251" s="143"/>
      <c r="AJ251" s="142"/>
      <c r="AK251" s="142"/>
      <c r="AL251" s="142"/>
      <c r="AM251" s="142"/>
      <c r="AN251" s="142"/>
      <c r="AO251" s="142"/>
      <c r="AP251" s="142"/>
      <c r="AQ251" s="142"/>
      <c r="AR251" s="142"/>
      <c r="AS251" s="142"/>
      <c r="AT251" s="142"/>
      <c r="AU251" s="142"/>
      <c r="AV251" s="142"/>
      <c r="AW251" s="142"/>
      <c r="AX251" s="142"/>
      <c r="AY251" s="142"/>
      <c r="AZ251" s="142"/>
      <c r="BA251" s="142"/>
      <c r="BB251" s="142"/>
      <c r="BC251" s="142"/>
      <c r="BD251" s="142"/>
      <c r="BE251" s="142"/>
      <c r="BF251" s="142"/>
      <c r="BG251" s="161"/>
    </row>
    <row r="252" spans="1:59" x14ac:dyDescent="0.25">
      <c r="A252" s="158"/>
      <c r="B252" s="139"/>
      <c r="C252" s="139"/>
      <c r="D252" s="139"/>
      <c r="E252" s="139"/>
      <c r="F252" s="139"/>
      <c r="G252" s="139"/>
      <c r="H252" s="139"/>
      <c r="I252" s="139"/>
      <c r="J252" s="139"/>
      <c r="K252" s="139"/>
      <c r="L252" s="139"/>
      <c r="M252" s="139"/>
      <c r="N252" s="139"/>
      <c r="O252" s="139"/>
      <c r="P252" s="139"/>
      <c r="Q252" s="139"/>
      <c r="R252" s="251"/>
      <c r="S252" s="139"/>
      <c r="T252" s="139"/>
      <c r="U252" s="145"/>
      <c r="V252" s="139"/>
      <c r="W252" s="139"/>
      <c r="X252" s="102" t="s">
        <v>1195</v>
      </c>
      <c r="Y252" s="139"/>
      <c r="Z252" s="139"/>
      <c r="AA252" s="145"/>
      <c r="AB252" s="139"/>
      <c r="AC252" s="146"/>
      <c r="AD252" s="146"/>
      <c r="AE252" s="146"/>
      <c r="AF252" s="139"/>
      <c r="AG252" s="139"/>
      <c r="AH252" s="139"/>
      <c r="AI252" s="145"/>
      <c r="AJ252" s="139"/>
      <c r="AK252" s="139"/>
      <c r="AL252" s="139"/>
      <c r="AM252" s="139"/>
      <c r="AN252" s="139"/>
      <c r="AO252" s="139"/>
      <c r="AP252" s="139"/>
      <c r="AQ252" s="139"/>
      <c r="AR252" s="139"/>
      <c r="AS252" s="139"/>
      <c r="AT252" s="139"/>
      <c r="AU252" s="139"/>
      <c r="AV252" s="139"/>
      <c r="AW252" s="139"/>
      <c r="AX252" s="139"/>
      <c r="AY252" s="139"/>
      <c r="AZ252" s="139"/>
      <c r="BA252" s="139"/>
      <c r="BB252" s="139"/>
      <c r="BC252" s="139"/>
      <c r="BD252" s="139"/>
      <c r="BE252" s="139"/>
      <c r="BF252" s="139"/>
      <c r="BG252" s="162"/>
    </row>
    <row r="253" spans="1:59" x14ac:dyDescent="0.25">
      <c r="A253" s="157"/>
      <c r="B253" s="142"/>
      <c r="C253" s="142"/>
      <c r="D253" s="142"/>
      <c r="E253" s="142"/>
      <c r="F253" s="142"/>
      <c r="G253" s="142"/>
      <c r="H253" s="142"/>
      <c r="I253" s="142"/>
      <c r="J253" s="142"/>
      <c r="K253" s="142"/>
      <c r="L253" s="142"/>
      <c r="M253" s="142"/>
      <c r="N253" s="142"/>
      <c r="O253" s="142"/>
      <c r="P253" s="142"/>
      <c r="Q253" s="142"/>
      <c r="R253" s="250"/>
      <c r="S253" s="142"/>
      <c r="T253" s="142"/>
      <c r="U253" s="143"/>
      <c r="V253" s="142"/>
      <c r="W253" s="142"/>
      <c r="X253" s="94" t="s">
        <v>1195</v>
      </c>
      <c r="Y253" s="142"/>
      <c r="Z253" s="142"/>
      <c r="AA253" s="143"/>
      <c r="AB253" s="142"/>
      <c r="AC253" s="144"/>
      <c r="AD253" s="144"/>
      <c r="AE253" s="144"/>
      <c r="AF253" s="142"/>
      <c r="AG253" s="142"/>
      <c r="AH253" s="142"/>
      <c r="AI253" s="143"/>
      <c r="AJ253" s="142"/>
      <c r="AK253" s="142"/>
      <c r="AL253" s="142"/>
      <c r="AM253" s="142"/>
      <c r="AN253" s="142"/>
      <c r="AO253" s="142"/>
      <c r="AP253" s="142"/>
      <c r="AQ253" s="142"/>
      <c r="AR253" s="142"/>
      <c r="AS253" s="142"/>
      <c r="AT253" s="142"/>
      <c r="AU253" s="142"/>
      <c r="AV253" s="142"/>
      <c r="AW253" s="142"/>
      <c r="AX253" s="142"/>
      <c r="AY253" s="142"/>
      <c r="AZ253" s="142"/>
      <c r="BA253" s="142"/>
      <c r="BB253" s="142"/>
      <c r="BC253" s="142"/>
      <c r="BD253" s="142"/>
      <c r="BE253" s="142"/>
      <c r="BF253" s="142"/>
      <c r="BG253" s="161"/>
    </row>
    <row r="254" spans="1:59" x14ac:dyDescent="0.25">
      <c r="A254" s="158"/>
      <c r="B254" s="139"/>
      <c r="C254" s="139"/>
      <c r="D254" s="139"/>
      <c r="E254" s="139"/>
      <c r="F254" s="139"/>
      <c r="G254" s="139"/>
      <c r="H254" s="139"/>
      <c r="I254" s="139"/>
      <c r="J254" s="139"/>
      <c r="K254" s="139"/>
      <c r="L254" s="139"/>
      <c r="M254" s="139"/>
      <c r="N254" s="139"/>
      <c r="O254" s="139"/>
      <c r="P254" s="139"/>
      <c r="Q254" s="139"/>
      <c r="R254" s="251"/>
      <c r="S254" s="139"/>
      <c r="T254" s="139"/>
      <c r="U254" s="145"/>
      <c r="V254" s="139"/>
      <c r="W254" s="139"/>
      <c r="X254" s="102" t="s">
        <v>1195</v>
      </c>
      <c r="Y254" s="139"/>
      <c r="Z254" s="139"/>
      <c r="AA254" s="145"/>
      <c r="AB254" s="139"/>
      <c r="AC254" s="146"/>
      <c r="AD254" s="146"/>
      <c r="AE254" s="146"/>
      <c r="AF254" s="139"/>
      <c r="AG254" s="139"/>
      <c r="AH254" s="139"/>
      <c r="AI254" s="145"/>
      <c r="AJ254" s="139"/>
      <c r="AK254" s="139"/>
      <c r="AL254" s="139"/>
      <c r="AM254" s="139"/>
      <c r="AN254" s="139"/>
      <c r="AO254" s="139"/>
      <c r="AP254" s="139"/>
      <c r="AQ254" s="139"/>
      <c r="AR254" s="139"/>
      <c r="AS254" s="139"/>
      <c r="AT254" s="139"/>
      <c r="AU254" s="139"/>
      <c r="AV254" s="139"/>
      <c r="AW254" s="139"/>
      <c r="AX254" s="139"/>
      <c r="AY254" s="139"/>
      <c r="AZ254" s="139"/>
      <c r="BA254" s="139"/>
      <c r="BB254" s="139"/>
      <c r="BC254" s="139"/>
      <c r="BD254" s="139"/>
      <c r="BE254" s="139"/>
      <c r="BF254" s="139"/>
      <c r="BG254" s="162"/>
    </row>
    <row r="255" spans="1:59" x14ac:dyDescent="0.25">
      <c r="A255" s="157"/>
      <c r="B255" s="142"/>
      <c r="C255" s="142"/>
      <c r="D255" s="142"/>
      <c r="E255" s="142"/>
      <c r="F255" s="142"/>
      <c r="G255" s="142"/>
      <c r="H255" s="142"/>
      <c r="I255" s="142"/>
      <c r="J255" s="142"/>
      <c r="K255" s="142"/>
      <c r="L255" s="142"/>
      <c r="M255" s="142"/>
      <c r="N255" s="142"/>
      <c r="O255" s="142"/>
      <c r="P255" s="142"/>
      <c r="Q255" s="142"/>
      <c r="R255" s="250"/>
      <c r="S255" s="142"/>
      <c r="T255" s="142"/>
      <c r="U255" s="143"/>
      <c r="V255" s="142"/>
      <c r="W255" s="142"/>
      <c r="X255" s="94" t="s">
        <v>1195</v>
      </c>
      <c r="Y255" s="142"/>
      <c r="Z255" s="142"/>
      <c r="AA255" s="143"/>
      <c r="AB255" s="142"/>
      <c r="AC255" s="144"/>
      <c r="AD255" s="144"/>
      <c r="AE255" s="144"/>
      <c r="AF255" s="142"/>
      <c r="AG255" s="142"/>
      <c r="AH255" s="142"/>
      <c r="AI255" s="143"/>
      <c r="AJ255" s="142"/>
      <c r="AK255" s="142"/>
      <c r="AL255" s="142"/>
      <c r="AM255" s="142"/>
      <c r="AN255" s="142"/>
      <c r="AO255" s="142"/>
      <c r="AP255" s="142"/>
      <c r="AQ255" s="142"/>
      <c r="AR255" s="142"/>
      <c r="AS255" s="142"/>
      <c r="AT255" s="142"/>
      <c r="AU255" s="142"/>
      <c r="AV255" s="142"/>
      <c r="AW255" s="142"/>
      <c r="AX255" s="142"/>
      <c r="AY255" s="142"/>
      <c r="AZ255" s="142"/>
      <c r="BA255" s="142"/>
      <c r="BB255" s="142"/>
      <c r="BC255" s="142"/>
      <c r="BD255" s="142"/>
      <c r="BE255" s="142"/>
      <c r="BF255" s="142"/>
      <c r="BG255" s="161"/>
    </row>
    <row r="256" spans="1:59" x14ac:dyDescent="0.25">
      <c r="A256" s="158"/>
      <c r="B256" s="139"/>
      <c r="C256" s="139"/>
      <c r="D256" s="139"/>
      <c r="E256" s="139"/>
      <c r="F256" s="139"/>
      <c r="G256" s="139"/>
      <c r="H256" s="139"/>
      <c r="I256" s="139"/>
      <c r="J256" s="139"/>
      <c r="K256" s="139"/>
      <c r="L256" s="139"/>
      <c r="M256" s="139"/>
      <c r="N256" s="139"/>
      <c r="O256" s="139"/>
      <c r="P256" s="139"/>
      <c r="Q256" s="139"/>
      <c r="R256" s="251"/>
      <c r="S256" s="139"/>
      <c r="T256" s="139"/>
      <c r="U256" s="145"/>
      <c r="V256" s="139"/>
      <c r="W256" s="139"/>
      <c r="X256" s="102" t="s">
        <v>1195</v>
      </c>
      <c r="Y256" s="139"/>
      <c r="Z256" s="139"/>
      <c r="AA256" s="145"/>
      <c r="AB256" s="139"/>
      <c r="AC256" s="146"/>
      <c r="AD256" s="146"/>
      <c r="AE256" s="146"/>
      <c r="AF256" s="139"/>
      <c r="AG256" s="139"/>
      <c r="AH256" s="139"/>
      <c r="AI256" s="145"/>
      <c r="AJ256" s="139"/>
      <c r="AK256" s="139"/>
      <c r="AL256" s="139"/>
      <c r="AM256" s="139"/>
      <c r="AN256" s="139"/>
      <c r="AO256" s="139"/>
      <c r="AP256" s="139"/>
      <c r="AQ256" s="139"/>
      <c r="AR256" s="139"/>
      <c r="AS256" s="139"/>
      <c r="AT256" s="139"/>
      <c r="AU256" s="139"/>
      <c r="AV256" s="139"/>
      <c r="AW256" s="139"/>
      <c r="AX256" s="139"/>
      <c r="AY256" s="139"/>
      <c r="AZ256" s="139"/>
      <c r="BA256" s="139"/>
      <c r="BB256" s="139"/>
      <c r="BC256" s="139"/>
      <c r="BD256" s="139"/>
      <c r="BE256" s="139"/>
      <c r="BF256" s="139"/>
      <c r="BG256" s="162"/>
    </row>
    <row r="257" spans="1:59" x14ac:dyDescent="0.25">
      <c r="A257" s="157"/>
      <c r="B257" s="142"/>
      <c r="C257" s="142"/>
      <c r="D257" s="142"/>
      <c r="E257" s="142"/>
      <c r="F257" s="142"/>
      <c r="G257" s="142"/>
      <c r="H257" s="142"/>
      <c r="I257" s="142"/>
      <c r="J257" s="142"/>
      <c r="K257" s="142"/>
      <c r="L257" s="142"/>
      <c r="M257" s="142"/>
      <c r="N257" s="142"/>
      <c r="O257" s="142"/>
      <c r="P257" s="142"/>
      <c r="Q257" s="142"/>
      <c r="R257" s="250"/>
      <c r="S257" s="142"/>
      <c r="T257" s="142"/>
      <c r="U257" s="143"/>
      <c r="V257" s="142"/>
      <c r="W257" s="142"/>
      <c r="X257" s="94" t="s">
        <v>1195</v>
      </c>
      <c r="Y257" s="142"/>
      <c r="Z257" s="142"/>
      <c r="AA257" s="143"/>
      <c r="AB257" s="142"/>
      <c r="AC257" s="144"/>
      <c r="AD257" s="144"/>
      <c r="AE257" s="144"/>
      <c r="AF257" s="142"/>
      <c r="AG257" s="142"/>
      <c r="AH257" s="142"/>
      <c r="AI257" s="143"/>
      <c r="AJ257" s="142"/>
      <c r="AK257" s="142"/>
      <c r="AL257" s="142"/>
      <c r="AM257" s="142"/>
      <c r="AN257" s="142"/>
      <c r="AO257" s="142"/>
      <c r="AP257" s="142"/>
      <c r="AQ257" s="142"/>
      <c r="AR257" s="142"/>
      <c r="AS257" s="142"/>
      <c r="AT257" s="142"/>
      <c r="AU257" s="142"/>
      <c r="AV257" s="142"/>
      <c r="AW257" s="142"/>
      <c r="AX257" s="142"/>
      <c r="AY257" s="142"/>
      <c r="AZ257" s="142"/>
      <c r="BA257" s="142"/>
      <c r="BB257" s="142"/>
      <c r="BC257" s="142"/>
      <c r="BD257" s="142"/>
      <c r="BE257" s="142"/>
      <c r="BF257" s="142"/>
      <c r="BG257" s="161"/>
    </row>
    <row r="258" spans="1:59" x14ac:dyDescent="0.25">
      <c r="A258" s="158"/>
      <c r="B258" s="139"/>
      <c r="C258" s="139"/>
      <c r="D258" s="139"/>
      <c r="E258" s="139"/>
      <c r="F258" s="139"/>
      <c r="G258" s="139"/>
      <c r="H258" s="139"/>
      <c r="I258" s="139"/>
      <c r="J258" s="139"/>
      <c r="K258" s="139"/>
      <c r="L258" s="139"/>
      <c r="M258" s="139"/>
      <c r="N258" s="139"/>
      <c r="O258" s="139"/>
      <c r="P258" s="139"/>
      <c r="Q258" s="139"/>
      <c r="R258" s="251"/>
      <c r="S258" s="139"/>
      <c r="T258" s="139"/>
      <c r="U258" s="145"/>
      <c r="V258" s="139"/>
      <c r="W258" s="139"/>
      <c r="X258" s="102" t="s">
        <v>1195</v>
      </c>
      <c r="Y258" s="139"/>
      <c r="Z258" s="139"/>
      <c r="AA258" s="145"/>
      <c r="AB258" s="139"/>
      <c r="AC258" s="146"/>
      <c r="AD258" s="146"/>
      <c r="AE258" s="146"/>
      <c r="AF258" s="139"/>
      <c r="AG258" s="139"/>
      <c r="AH258" s="139"/>
      <c r="AI258" s="145"/>
      <c r="AJ258" s="139"/>
      <c r="AK258" s="139"/>
      <c r="AL258" s="139"/>
      <c r="AM258" s="139"/>
      <c r="AN258" s="139"/>
      <c r="AO258" s="139"/>
      <c r="AP258" s="139"/>
      <c r="AQ258" s="139"/>
      <c r="AR258" s="139"/>
      <c r="AS258" s="139"/>
      <c r="AT258" s="139"/>
      <c r="AU258" s="139"/>
      <c r="AV258" s="139"/>
      <c r="AW258" s="139"/>
      <c r="AX258" s="139"/>
      <c r="AY258" s="139"/>
      <c r="AZ258" s="139"/>
      <c r="BA258" s="139"/>
      <c r="BB258" s="139"/>
      <c r="BC258" s="139"/>
      <c r="BD258" s="139"/>
      <c r="BE258" s="139"/>
      <c r="BF258" s="139"/>
      <c r="BG258" s="162"/>
    </row>
    <row r="259" spans="1:59" x14ac:dyDescent="0.25">
      <c r="A259" s="157"/>
      <c r="B259" s="142"/>
      <c r="C259" s="142"/>
      <c r="D259" s="142"/>
      <c r="E259" s="142"/>
      <c r="F259" s="142"/>
      <c r="G259" s="142"/>
      <c r="H259" s="142"/>
      <c r="I259" s="142"/>
      <c r="J259" s="142"/>
      <c r="K259" s="142"/>
      <c r="L259" s="142"/>
      <c r="M259" s="142"/>
      <c r="N259" s="142"/>
      <c r="O259" s="142"/>
      <c r="P259" s="142"/>
      <c r="Q259" s="142"/>
      <c r="R259" s="250"/>
      <c r="S259" s="142"/>
      <c r="T259" s="142"/>
      <c r="U259" s="143"/>
      <c r="V259" s="142"/>
      <c r="W259" s="142"/>
      <c r="X259" s="94" t="s">
        <v>1195</v>
      </c>
      <c r="Y259" s="142"/>
      <c r="Z259" s="142"/>
      <c r="AA259" s="143"/>
      <c r="AB259" s="142"/>
      <c r="AC259" s="144"/>
      <c r="AD259" s="144"/>
      <c r="AE259" s="144"/>
      <c r="AF259" s="142"/>
      <c r="AG259" s="142"/>
      <c r="AH259" s="142"/>
      <c r="AI259" s="143"/>
      <c r="AJ259" s="142"/>
      <c r="AK259" s="142"/>
      <c r="AL259" s="142"/>
      <c r="AM259" s="142"/>
      <c r="AN259" s="142"/>
      <c r="AO259" s="142"/>
      <c r="AP259" s="142"/>
      <c r="AQ259" s="142"/>
      <c r="AR259" s="142"/>
      <c r="AS259" s="142"/>
      <c r="AT259" s="142"/>
      <c r="AU259" s="142"/>
      <c r="AV259" s="142"/>
      <c r="AW259" s="142"/>
      <c r="AX259" s="142"/>
      <c r="AY259" s="142"/>
      <c r="AZ259" s="142"/>
      <c r="BA259" s="142"/>
      <c r="BB259" s="142"/>
      <c r="BC259" s="142"/>
      <c r="BD259" s="142"/>
      <c r="BE259" s="142"/>
      <c r="BF259" s="142"/>
      <c r="BG259" s="161"/>
    </row>
    <row r="260" spans="1:59" x14ac:dyDescent="0.25">
      <c r="A260" s="158"/>
      <c r="B260" s="139"/>
      <c r="C260" s="139"/>
      <c r="D260" s="139"/>
      <c r="E260" s="139"/>
      <c r="F260" s="139"/>
      <c r="G260" s="139"/>
      <c r="H260" s="139"/>
      <c r="I260" s="139"/>
      <c r="J260" s="139"/>
      <c r="K260" s="139"/>
      <c r="L260" s="139"/>
      <c r="M260" s="139"/>
      <c r="N260" s="139"/>
      <c r="O260" s="139"/>
      <c r="P260" s="139"/>
      <c r="Q260" s="139"/>
      <c r="R260" s="251"/>
      <c r="S260" s="139"/>
      <c r="T260" s="139"/>
      <c r="U260" s="145"/>
      <c r="V260" s="139"/>
      <c r="W260" s="139"/>
      <c r="X260" s="102" t="s">
        <v>1195</v>
      </c>
      <c r="Y260" s="139"/>
      <c r="Z260" s="139"/>
      <c r="AA260" s="145"/>
      <c r="AB260" s="139"/>
      <c r="AC260" s="146"/>
      <c r="AD260" s="146"/>
      <c r="AE260" s="146"/>
      <c r="AF260" s="139"/>
      <c r="AG260" s="139"/>
      <c r="AH260" s="139"/>
      <c r="AI260" s="145"/>
      <c r="AJ260" s="139"/>
      <c r="AK260" s="139"/>
      <c r="AL260" s="139"/>
      <c r="AM260" s="139"/>
      <c r="AN260" s="139"/>
      <c r="AO260" s="139"/>
      <c r="AP260" s="139"/>
      <c r="AQ260" s="139"/>
      <c r="AR260" s="139"/>
      <c r="AS260" s="139"/>
      <c r="AT260" s="139"/>
      <c r="AU260" s="139"/>
      <c r="AV260" s="139"/>
      <c r="AW260" s="139"/>
      <c r="AX260" s="139"/>
      <c r="AY260" s="139"/>
      <c r="AZ260" s="139"/>
      <c r="BA260" s="139"/>
      <c r="BB260" s="139"/>
      <c r="BC260" s="139"/>
      <c r="BD260" s="139"/>
      <c r="BE260" s="139"/>
      <c r="BF260" s="139"/>
      <c r="BG260" s="162"/>
    </row>
    <row r="261" spans="1:59" x14ac:dyDescent="0.25">
      <c r="A261" s="157"/>
      <c r="B261" s="142"/>
      <c r="C261" s="142"/>
      <c r="D261" s="142"/>
      <c r="E261" s="142"/>
      <c r="F261" s="142"/>
      <c r="G261" s="142"/>
      <c r="H261" s="142"/>
      <c r="I261" s="142"/>
      <c r="J261" s="142"/>
      <c r="K261" s="142"/>
      <c r="L261" s="142"/>
      <c r="M261" s="142"/>
      <c r="N261" s="142"/>
      <c r="O261" s="142"/>
      <c r="P261" s="142"/>
      <c r="Q261" s="142"/>
      <c r="R261" s="250"/>
      <c r="S261" s="142"/>
      <c r="T261" s="142"/>
      <c r="U261" s="143"/>
      <c r="V261" s="142"/>
      <c r="W261" s="142"/>
      <c r="X261" s="94" t="s">
        <v>1195</v>
      </c>
      <c r="Y261" s="142"/>
      <c r="Z261" s="142"/>
      <c r="AA261" s="143"/>
      <c r="AB261" s="142"/>
      <c r="AC261" s="144"/>
      <c r="AD261" s="144"/>
      <c r="AE261" s="144"/>
      <c r="AF261" s="142"/>
      <c r="AG261" s="142"/>
      <c r="AH261" s="142"/>
      <c r="AI261" s="143"/>
      <c r="AJ261" s="142"/>
      <c r="AK261" s="142"/>
      <c r="AL261" s="142"/>
      <c r="AM261" s="142"/>
      <c r="AN261" s="142"/>
      <c r="AO261" s="142"/>
      <c r="AP261" s="142"/>
      <c r="AQ261" s="142"/>
      <c r="AR261" s="142"/>
      <c r="AS261" s="142"/>
      <c r="AT261" s="142"/>
      <c r="AU261" s="142"/>
      <c r="AV261" s="142"/>
      <c r="AW261" s="142"/>
      <c r="AX261" s="142"/>
      <c r="AY261" s="142"/>
      <c r="AZ261" s="142"/>
      <c r="BA261" s="142"/>
      <c r="BB261" s="142"/>
      <c r="BC261" s="142"/>
      <c r="BD261" s="142"/>
      <c r="BE261" s="142"/>
      <c r="BF261" s="142"/>
      <c r="BG261" s="161"/>
    </row>
    <row r="262" spans="1:59" x14ac:dyDescent="0.25">
      <c r="A262" s="158"/>
      <c r="B262" s="139"/>
      <c r="C262" s="139"/>
      <c r="D262" s="139"/>
      <c r="E262" s="139"/>
      <c r="F262" s="139"/>
      <c r="G262" s="139"/>
      <c r="H262" s="139"/>
      <c r="I262" s="139"/>
      <c r="J262" s="139"/>
      <c r="K262" s="139"/>
      <c r="L262" s="139"/>
      <c r="M262" s="139"/>
      <c r="N262" s="139"/>
      <c r="O262" s="139"/>
      <c r="P262" s="139"/>
      <c r="Q262" s="139"/>
      <c r="R262" s="251"/>
      <c r="S262" s="139"/>
      <c r="T262" s="139"/>
      <c r="U262" s="145"/>
      <c r="V262" s="139"/>
      <c r="W262" s="139"/>
      <c r="X262" s="102" t="s">
        <v>1195</v>
      </c>
      <c r="Y262" s="139"/>
      <c r="Z262" s="139"/>
      <c r="AA262" s="145"/>
      <c r="AB262" s="139"/>
      <c r="AC262" s="146"/>
      <c r="AD262" s="146"/>
      <c r="AE262" s="146"/>
      <c r="AF262" s="139"/>
      <c r="AG262" s="139"/>
      <c r="AH262" s="139"/>
      <c r="AI262" s="145"/>
      <c r="AJ262" s="139"/>
      <c r="AK262" s="139"/>
      <c r="AL262" s="139"/>
      <c r="AM262" s="139"/>
      <c r="AN262" s="139"/>
      <c r="AO262" s="139"/>
      <c r="AP262" s="139"/>
      <c r="AQ262" s="139"/>
      <c r="AR262" s="139"/>
      <c r="AS262" s="139"/>
      <c r="AT262" s="139"/>
      <c r="AU262" s="139"/>
      <c r="AV262" s="139"/>
      <c r="AW262" s="139"/>
      <c r="AX262" s="139"/>
      <c r="AY262" s="139"/>
      <c r="AZ262" s="139"/>
      <c r="BA262" s="139"/>
      <c r="BB262" s="139"/>
      <c r="BC262" s="139"/>
      <c r="BD262" s="139"/>
      <c r="BE262" s="139"/>
      <c r="BF262" s="139"/>
      <c r="BG262" s="162"/>
    </row>
    <row r="263" spans="1:59" x14ac:dyDescent="0.25">
      <c r="A263" s="157"/>
      <c r="B263" s="142"/>
      <c r="C263" s="142"/>
      <c r="D263" s="142"/>
      <c r="E263" s="142"/>
      <c r="F263" s="142"/>
      <c r="G263" s="142"/>
      <c r="H263" s="142"/>
      <c r="I263" s="142"/>
      <c r="J263" s="142"/>
      <c r="K263" s="142"/>
      <c r="L263" s="142"/>
      <c r="M263" s="142"/>
      <c r="N263" s="142"/>
      <c r="O263" s="142"/>
      <c r="P263" s="142"/>
      <c r="Q263" s="142"/>
      <c r="R263" s="250"/>
      <c r="S263" s="142"/>
      <c r="T263" s="142"/>
      <c r="U263" s="143"/>
      <c r="V263" s="142"/>
      <c r="W263" s="142"/>
      <c r="X263" s="94" t="s">
        <v>1195</v>
      </c>
      <c r="Y263" s="142"/>
      <c r="Z263" s="142"/>
      <c r="AA263" s="143"/>
      <c r="AB263" s="142"/>
      <c r="AC263" s="144"/>
      <c r="AD263" s="144"/>
      <c r="AE263" s="144"/>
      <c r="AF263" s="142"/>
      <c r="AG263" s="142"/>
      <c r="AH263" s="142"/>
      <c r="AI263" s="143"/>
      <c r="AJ263" s="142"/>
      <c r="AK263" s="142"/>
      <c r="AL263" s="142"/>
      <c r="AM263" s="142"/>
      <c r="AN263" s="142"/>
      <c r="AO263" s="142"/>
      <c r="AP263" s="142"/>
      <c r="AQ263" s="142"/>
      <c r="AR263" s="142"/>
      <c r="AS263" s="142"/>
      <c r="AT263" s="142"/>
      <c r="AU263" s="142"/>
      <c r="AV263" s="142"/>
      <c r="AW263" s="142"/>
      <c r="AX263" s="142"/>
      <c r="AY263" s="142"/>
      <c r="AZ263" s="142"/>
      <c r="BA263" s="142"/>
      <c r="BB263" s="142"/>
      <c r="BC263" s="142"/>
      <c r="BD263" s="142"/>
      <c r="BE263" s="142"/>
      <c r="BF263" s="142"/>
      <c r="BG263" s="161"/>
    </row>
    <row r="264" spans="1:59" x14ac:dyDescent="0.25">
      <c r="A264" s="158"/>
      <c r="B264" s="139"/>
      <c r="C264" s="139"/>
      <c r="D264" s="139"/>
      <c r="E264" s="139"/>
      <c r="F264" s="139"/>
      <c r="G264" s="139"/>
      <c r="H264" s="139"/>
      <c r="I264" s="139"/>
      <c r="J264" s="139"/>
      <c r="K264" s="139"/>
      <c r="L264" s="139"/>
      <c r="M264" s="139"/>
      <c r="N264" s="139"/>
      <c r="O264" s="139"/>
      <c r="P264" s="139"/>
      <c r="Q264" s="139"/>
      <c r="R264" s="251"/>
      <c r="S264" s="139"/>
      <c r="T264" s="139"/>
      <c r="U264" s="145"/>
      <c r="V264" s="139"/>
      <c r="W264" s="139"/>
      <c r="X264" s="102" t="s">
        <v>1195</v>
      </c>
      <c r="Y264" s="139"/>
      <c r="Z264" s="139"/>
      <c r="AA264" s="145"/>
      <c r="AB264" s="139"/>
      <c r="AC264" s="146"/>
      <c r="AD264" s="146"/>
      <c r="AE264" s="146"/>
      <c r="AF264" s="139"/>
      <c r="AG264" s="139"/>
      <c r="AH264" s="139"/>
      <c r="AI264" s="145"/>
      <c r="AJ264" s="139"/>
      <c r="AK264" s="139"/>
      <c r="AL264" s="139"/>
      <c r="AM264" s="139"/>
      <c r="AN264" s="139"/>
      <c r="AO264" s="139"/>
      <c r="AP264" s="139"/>
      <c r="AQ264" s="139"/>
      <c r="AR264" s="139"/>
      <c r="AS264" s="139"/>
      <c r="AT264" s="139"/>
      <c r="AU264" s="139"/>
      <c r="AV264" s="139"/>
      <c r="AW264" s="139"/>
      <c r="AX264" s="139"/>
      <c r="AY264" s="139"/>
      <c r="AZ264" s="139"/>
      <c r="BA264" s="139"/>
      <c r="BB264" s="139"/>
      <c r="BC264" s="139"/>
      <c r="BD264" s="139"/>
      <c r="BE264" s="139"/>
      <c r="BF264" s="139"/>
      <c r="BG264" s="162"/>
    </row>
    <row r="265" spans="1:59" x14ac:dyDescent="0.25">
      <c r="A265" s="157"/>
      <c r="B265" s="142"/>
      <c r="C265" s="142"/>
      <c r="D265" s="142"/>
      <c r="E265" s="142"/>
      <c r="F265" s="142"/>
      <c r="G265" s="142"/>
      <c r="H265" s="142"/>
      <c r="I265" s="142"/>
      <c r="J265" s="142"/>
      <c r="K265" s="142"/>
      <c r="L265" s="142"/>
      <c r="M265" s="142"/>
      <c r="N265" s="142"/>
      <c r="O265" s="142"/>
      <c r="P265" s="142"/>
      <c r="Q265" s="142"/>
      <c r="R265" s="250"/>
      <c r="S265" s="142"/>
      <c r="T265" s="142"/>
      <c r="U265" s="143"/>
      <c r="V265" s="142"/>
      <c r="W265" s="142"/>
      <c r="X265" s="94" t="s">
        <v>1195</v>
      </c>
      <c r="Y265" s="142"/>
      <c r="Z265" s="142"/>
      <c r="AA265" s="143"/>
      <c r="AB265" s="142"/>
      <c r="AC265" s="144"/>
      <c r="AD265" s="144"/>
      <c r="AE265" s="144"/>
      <c r="AF265" s="142"/>
      <c r="AG265" s="142"/>
      <c r="AH265" s="142"/>
      <c r="AI265" s="143"/>
      <c r="AJ265" s="142"/>
      <c r="AK265" s="142"/>
      <c r="AL265" s="142"/>
      <c r="AM265" s="142"/>
      <c r="AN265" s="142"/>
      <c r="AO265" s="142"/>
      <c r="AP265" s="142"/>
      <c r="AQ265" s="142"/>
      <c r="AR265" s="142"/>
      <c r="AS265" s="142"/>
      <c r="AT265" s="142"/>
      <c r="AU265" s="142"/>
      <c r="AV265" s="142"/>
      <c r="AW265" s="142"/>
      <c r="AX265" s="142"/>
      <c r="AY265" s="142"/>
      <c r="AZ265" s="142"/>
      <c r="BA265" s="142"/>
      <c r="BB265" s="142"/>
      <c r="BC265" s="142"/>
      <c r="BD265" s="142"/>
      <c r="BE265" s="142"/>
      <c r="BF265" s="142"/>
      <c r="BG265" s="161"/>
    </row>
    <row r="266" spans="1:59" x14ac:dyDescent="0.25">
      <c r="A266" s="158"/>
      <c r="B266" s="139"/>
      <c r="C266" s="139"/>
      <c r="D266" s="139"/>
      <c r="E266" s="139"/>
      <c r="F266" s="139"/>
      <c r="G266" s="139"/>
      <c r="H266" s="139"/>
      <c r="I266" s="139"/>
      <c r="J266" s="139"/>
      <c r="K266" s="139"/>
      <c r="L266" s="139"/>
      <c r="M266" s="139"/>
      <c r="N266" s="139"/>
      <c r="O266" s="139"/>
      <c r="P266" s="139"/>
      <c r="Q266" s="139"/>
      <c r="R266" s="251"/>
      <c r="S266" s="139"/>
      <c r="T266" s="139"/>
      <c r="U266" s="145"/>
      <c r="V266" s="139"/>
      <c r="W266" s="139"/>
      <c r="X266" s="102" t="s">
        <v>1195</v>
      </c>
      <c r="Y266" s="139"/>
      <c r="Z266" s="139"/>
      <c r="AA266" s="145"/>
      <c r="AB266" s="139"/>
      <c r="AC266" s="146"/>
      <c r="AD266" s="146"/>
      <c r="AE266" s="146"/>
      <c r="AF266" s="139"/>
      <c r="AG266" s="139"/>
      <c r="AH266" s="139"/>
      <c r="AI266" s="145"/>
      <c r="AJ266" s="139"/>
      <c r="AK266" s="139"/>
      <c r="AL266" s="139"/>
      <c r="AM266" s="139"/>
      <c r="AN266" s="139"/>
      <c r="AO266" s="139"/>
      <c r="AP266" s="139"/>
      <c r="AQ266" s="139"/>
      <c r="AR266" s="139"/>
      <c r="AS266" s="139"/>
      <c r="AT266" s="139"/>
      <c r="AU266" s="139"/>
      <c r="AV266" s="139"/>
      <c r="AW266" s="139"/>
      <c r="AX266" s="139"/>
      <c r="AY266" s="139"/>
      <c r="AZ266" s="139"/>
      <c r="BA266" s="139"/>
      <c r="BB266" s="139"/>
      <c r="BC266" s="139"/>
      <c r="BD266" s="139"/>
      <c r="BE266" s="139"/>
      <c r="BF266" s="139"/>
      <c r="BG266" s="162"/>
    </row>
    <row r="267" spans="1:59" x14ac:dyDescent="0.25">
      <c r="A267" s="157"/>
      <c r="B267" s="142"/>
      <c r="C267" s="142"/>
      <c r="D267" s="142"/>
      <c r="E267" s="142"/>
      <c r="F267" s="142"/>
      <c r="G267" s="142"/>
      <c r="H267" s="142"/>
      <c r="I267" s="142"/>
      <c r="J267" s="142"/>
      <c r="K267" s="142"/>
      <c r="L267" s="142"/>
      <c r="M267" s="142"/>
      <c r="N267" s="142"/>
      <c r="O267" s="142"/>
      <c r="P267" s="142"/>
      <c r="Q267" s="142"/>
      <c r="R267" s="250"/>
      <c r="S267" s="142"/>
      <c r="T267" s="142"/>
      <c r="U267" s="143"/>
      <c r="V267" s="142"/>
      <c r="W267" s="142"/>
      <c r="X267" s="94" t="s">
        <v>1195</v>
      </c>
      <c r="Y267" s="142"/>
      <c r="Z267" s="142"/>
      <c r="AA267" s="143"/>
      <c r="AB267" s="142"/>
      <c r="AC267" s="144"/>
      <c r="AD267" s="144"/>
      <c r="AE267" s="144"/>
      <c r="AF267" s="142"/>
      <c r="AG267" s="142"/>
      <c r="AH267" s="142"/>
      <c r="AI267" s="143"/>
      <c r="AJ267" s="142"/>
      <c r="AK267" s="142"/>
      <c r="AL267" s="142"/>
      <c r="AM267" s="142"/>
      <c r="AN267" s="142"/>
      <c r="AO267" s="142"/>
      <c r="AP267" s="142"/>
      <c r="AQ267" s="142"/>
      <c r="AR267" s="142"/>
      <c r="AS267" s="142"/>
      <c r="AT267" s="142"/>
      <c r="AU267" s="142"/>
      <c r="AV267" s="142"/>
      <c r="AW267" s="142"/>
      <c r="AX267" s="142"/>
      <c r="AY267" s="142"/>
      <c r="AZ267" s="142"/>
      <c r="BA267" s="142"/>
      <c r="BB267" s="142"/>
      <c r="BC267" s="142"/>
      <c r="BD267" s="142"/>
      <c r="BE267" s="142"/>
      <c r="BF267" s="142"/>
      <c r="BG267" s="161"/>
    </row>
    <row r="268" spans="1:59" x14ac:dyDescent="0.25">
      <c r="A268" s="158"/>
      <c r="B268" s="139"/>
      <c r="C268" s="139"/>
      <c r="D268" s="139"/>
      <c r="E268" s="139"/>
      <c r="F268" s="139"/>
      <c r="G268" s="139"/>
      <c r="H268" s="139"/>
      <c r="I268" s="139"/>
      <c r="J268" s="139"/>
      <c r="K268" s="139"/>
      <c r="L268" s="139"/>
      <c r="M268" s="139"/>
      <c r="N268" s="139"/>
      <c r="O268" s="139"/>
      <c r="P268" s="139"/>
      <c r="Q268" s="139"/>
      <c r="R268" s="251"/>
      <c r="S268" s="139"/>
      <c r="T268" s="139"/>
      <c r="U268" s="145"/>
      <c r="V268" s="139"/>
      <c r="W268" s="139"/>
      <c r="X268" s="102" t="s">
        <v>1195</v>
      </c>
      <c r="Y268" s="139"/>
      <c r="Z268" s="139"/>
      <c r="AA268" s="145"/>
      <c r="AB268" s="139"/>
      <c r="AC268" s="146"/>
      <c r="AD268" s="146"/>
      <c r="AE268" s="146"/>
      <c r="AF268" s="139"/>
      <c r="AG268" s="139"/>
      <c r="AH268" s="139"/>
      <c r="AI268" s="145"/>
      <c r="AJ268" s="139"/>
      <c r="AK268" s="139"/>
      <c r="AL268" s="139"/>
      <c r="AM268" s="139"/>
      <c r="AN268" s="139"/>
      <c r="AO268" s="139"/>
      <c r="AP268" s="139"/>
      <c r="AQ268" s="139"/>
      <c r="AR268" s="139"/>
      <c r="AS268" s="139"/>
      <c r="AT268" s="139"/>
      <c r="AU268" s="139"/>
      <c r="AV268" s="139"/>
      <c r="AW268" s="139"/>
      <c r="AX268" s="139"/>
      <c r="AY268" s="139"/>
      <c r="AZ268" s="139"/>
      <c r="BA268" s="139"/>
      <c r="BB268" s="139"/>
      <c r="BC268" s="139"/>
      <c r="BD268" s="139"/>
      <c r="BE268" s="139"/>
      <c r="BF268" s="139"/>
      <c r="BG268" s="162"/>
    </row>
    <row r="269" spans="1:59" x14ac:dyDescent="0.25">
      <c r="A269" s="157"/>
      <c r="B269" s="142"/>
      <c r="C269" s="142"/>
      <c r="D269" s="142"/>
      <c r="E269" s="142"/>
      <c r="F269" s="142"/>
      <c r="G269" s="142"/>
      <c r="H269" s="142"/>
      <c r="I269" s="142"/>
      <c r="J269" s="142"/>
      <c r="K269" s="142"/>
      <c r="L269" s="142"/>
      <c r="M269" s="142"/>
      <c r="N269" s="142"/>
      <c r="O269" s="142"/>
      <c r="P269" s="142"/>
      <c r="Q269" s="142"/>
      <c r="R269" s="250"/>
      <c r="S269" s="142"/>
      <c r="T269" s="142"/>
      <c r="U269" s="143"/>
      <c r="V269" s="142"/>
      <c r="W269" s="142"/>
      <c r="X269" s="94" t="s">
        <v>1195</v>
      </c>
      <c r="Y269" s="142"/>
      <c r="Z269" s="142"/>
      <c r="AA269" s="143"/>
      <c r="AB269" s="142"/>
      <c r="AC269" s="144"/>
      <c r="AD269" s="144"/>
      <c r="AE269" s="144"/>
      <c r="AF269" s="142"/>
      <c r="AG269" s="142"/>
      <c r="AH269" s="142"/>
      <c r="AI269" s="143"/>
      <c r="AJ269" s="142"/>
      <c r="AK269" s="142"/>
      <c r="AL269" s="142"/>
      <c r="AM269" s="142"/>
      <c r="AN269" s="142"/>
      <c r="AO269" s="142"/>
      <c r="AP269" s="142"/>
      <c r="AQ269" s="142"/>
      <c r="AR269" s="142"/>
      <c r="AS269" s="142"/>
      <c r="AT269" s="142"/>
      <c r="AU269" s="142"/>
      <c r="AV269" s="142"/>
      <c r="AW269" s="142"/>
      <c r="AX269" s="142"/>
      <c r="AY269" s="142"/>
      <c r="AZ269" s="142"/>
      <c r="BA269" s="142"/>
      <c r="BB269" s="142"/>
      <c r="BC269" s="142"/>
      <c r="BD269" s="142"/>
      <c r="BE269" s="142"/>
      <c r="BF269" s="142"/>
      <c r="BG269" s="161"/>
    </row>
    <row r="270" spans="1:59" x14ac:dyDescent="0.25">
      <c r="A270" s="158"/>
      <c r="B270" s="139"/>
      <c r="C270" s="139"/>
      <c r="D270" s="139"/>
      <c r="E270" s="139"/>
      <c r="F270" s="139"/>
      <c r="G270" s="139"/>
      <c r="H270" s="139"/>
      <c r="I270" s="139"/>
      <c r="J270" s="139"/>
      <c r="K270" s="139"/>
      <c r="L270" s="139"/>
      <c r="M270" s="139"/>
      <c r="N270" s="139"/>
      <c r="O270" s="139"/>
      <c r="P270" s="139"/>
      <c r="Q270" s="139"/>
      <c r="R270" s="251"/>
      <c r="S270" s="139"/>
      <c r="T270" s="139"/>
      <c r="U270" s="145"/>
      <c r="V270" s="139"/>
      <c r="W270" s="139"/>
      <c r="X270" s="102" t="s">
        <v>1195</v>
      </c>
      <c r="Y270" s="139"/>
      <c r="Z270" s="139"/>
      <c r="AA270" s="145"/>
      <c r="AB270" s="139"/>
      <c r="AC270" s="146"/>
      <c r="AD270" s="146"/>
      <c r="AE270" s="146"/>
      <c r="AF270" s="139"/>
      <c r="AG270" s="139"/>
      <c r="AH270" s="139"/>
      <c r="AI270" s="145"/>
      <c r="AJ270" s="139"/>
      <c r="AK270" s="139"/>
      <c r="AL270" s="139"/>
      <c r="AM270" s="139"/>
      <c r="AN270" s="139"/>
      <c r="AO270" s="139"/>
      <c r="AP270" s="139"/>
      <c r="AQ270" s="139"/>
      <c r="AR270" s="139"/>
      <c r="AS270" s="139"/>
      <c r="AT270" s="139"/>
      <c r="AU270" s="139"/>
      <c r="AV270" s="139"/>
      <c r="AW270" s="139"/>
      <c r="AX270" s="139"/>
      <c r="AY270" s="139"/>
      <c r="AZ270" s="139"/>
      <c r="BA270" s="139"/>
      <c r="BB270" s="139"/>
      <c r="BC270" s="139"/>
      <c r="BD270" s="139"/>
      <c r="BE270" s="139"/>
      <c r="BF270" s="139"/>
      <c r="BG270" s="162"/>
    </row>
    <row r="271" spans="1:59" x14ac:dyDescent="0.25">
      <c r="A271" s="157"/>
      <c r="B271" s="142"/>
      <c r="C271" s="142"/>
      <c r="D271" s="142"/>
      <c r="E271" s="142"/>
      <c r="F271" s="142"/>
      <c r="G271" s="142"/>
      <c r="H271" s="142"/>
      <c r="I271" s="142"/>
      <c r="J271" s="142"/>
      <c r="K271" s="142"/>
      <c r="L271" s="142"/>
      <c r="M271" s="142"/>
      <c r="N271" s="142"/>
      <c r="O271" s="142"/>
      <c r="P271" s="142"/>
      <c r="Q271" s="142"/>
      <c r="R271" s="250"/>
      <c r="S271" s="142"/>
      <c r="T271" s="142"/>
      <c r="U271" s="143"/>
      <c r="V271" s="142"/>
      <c r="W271" s="142"/>
      <c r="X271" s="94" t="s">
        <v>1195</v>
      </c>
      <c r="Y271" s="142"/>
      <c r="Z271" s="142"/>
      <c r="AA271" s="143"/>
      <c r="AB271" s="142"/>
      <c r="AC271" s="144"/>
      <c r="AD271" s="144"/>
      <c r="AE271" s="144"/>
      <c r="AF271" s="142"/>
      <c r="AG271" s="142"/>
      <c r="AH271" s="142"/>
      <c r="AI271" s="143"/>
      <c r="AJ271" s="142"/>
      <c r="AK271" s="142"/>
      <c r="AL271" s="142"/>
      <c r="AM271" s="142"/>
      <c r="AN271" s="142"/>
      <c r="AO271" s="142"/>
      <c r="AP271" s="142"/>
      <c r="AQ271" s="142"/>
      <c r="AR271" s="142"/>
      <c r="AS271" s="142"/>
      <c r="AT271" s="142"/>
      <c r="AU271" s="142"/>
      <c r="AV271" s="142"/>
      <c r="AW271" s="142"/>
      <c r="AX271" s="142"/>
      <c r="AY271" s="142"/>
      <c r="AZ271" s="142"/>
      <c r="BA271" s="142"/>
      <c r="BB271" s="142"/>
      <c r="BC271" s="142"/>
      <c r="BD271" s="142"/>
      <c r="BE271" s="142"/>
      <c r="BF271" s="142"/>
      <c r="BG271" s="161"/>
    </row>
    <row r="272" spans="1:59" x14ac:dyDescent="0.25">
      <c r="A272" s="158"/>
      <c r="B272" s="139"/>
      <c r="C272" s="139"/>
      <c r="D272" s="139"/>
      <c r="E272" s="139"/>
      <c r="F272" s="139"/>
      <c r="G272" s="139"/>
      <c r="H272" s="139"/>
      <c r="I272" s="139"/>
      <c r="J272" s="139"/>
      <c r="K272" s="139"/>
      <c r="L272" s="139"/>
      <c r="M272" s="139"/>
      <c r="N272" s="139"/>
      <c r="O272" s="139"/>
      <c r="P272" s="139"/>
      <c r="Q272" s="139"/>
      <c r="R272" s="251"/>
      <c r="S272" s="139"/>
      <c r="T272" s="139"/>
      <c r="U272" s="145"/>
      <c r="V272" s="139"/>
      <c r="W272" s="139"/>
      <c r="X272" s="102" t="s">
        <v>1195</v>
      </c>
      <c r="Y272" s="139"/>
      <c r="Z272" s="139"/>
      <c r="AA272" s="145"/>
      <c r="AB272" s="139"/>
      <c r="AC272" s="146"/>
      <c r="AD272" s="146"/>
      <c r="AE272" s="146"/>
      <c r="AF272" s="139"/>
      <c r="AG272" s="139"/>
      <c r="AH272" s="139"/>
      <c r="AI272" s="145"/>
      <c r="AJ272" s="139"/>
      <c r="AK272" s="139"/>
      <c r="AL272" s="139"/>
      <c r="AM272" s="139"/>
      <c r="AN272" s="139"/>
      <c r="AO272" s="139"/>
      <c r="AP272" s="139"/>
      <c r="AQ272" s="139"/>
      <c r="AR272" s="139"/>
      <c r="AS272" s="139"/>
      <c r="AT272" s="139"/>
      <c r="AU272" s="139"/>
      <c r="AV272" s="139"/>
      <c r="AW272" s="139"/>
      <c r="AX272" s="139"/>
      <c r="AY272" s="139"/>
      <c r="AZ272" s="139"/>
      <c r="BA272" s="139"/>
      <c r="BB272" s="139"/>
      <c r="BC272" s="139"/>
      <c r="BD272" s="139"/>
      <c r="BE272" s="139"/>
      <c r="BF272" s="139"/>
      <c r="BG272" s="162"/>
    </row>
    <row r="273" spans="1:59" x14ac:dyDescent="0.25">
      <c r="A273" s="157"/>
      <c r="B273" s="142"/>
      <c r="C273" s="142"/>
      <c r="D273" s="142"/>
      <c r="E273" s="142"/>
      <c r="F273" s="142"/>
      <c r="G273" s="142"/>
      <c r="H273" s="142"/>
      <c r="I273" s="142"/>
      <c r="J273" s="142"/>
      <c r="K273" s="142"/>
      <c r="L273" s="142"/>
      <c r="M273" s="142"/>
      <c r="N273" s="142"/>
      <c r="O273" s="142"/>
      <c r="P273" s="142"/>
      <c r="Q273" s="142"/>
      <c r="R273" s="250"/>
      <c r="S273" s="142"/>
      <c r="T273" s="142"/>
      <c r="U273" s="143"/>
      <c r="V273" s="142"/>
      <c r="W273" s="142"/>
      <c r="X273" s="94" t="s">
        <v>1195</v>
      </c>
      <c r="Y273" s="142"/>
      <c r="Z273" s="142"/>
      <c r="AA273" s="143"/>
      <c r="AB273" s="142"/>
      <c r="AC273" s="144"/>
      <c r="AD273" s="144"/>
      <c r="AE273" s="144"/>
      <c r="AF273" s="142"/>
      <c r="AG273" s="142"/>
      <c r="AH273" s="142"/>
      <c r="AI273" s="143"/>
      <c r="AJ273" s="142"/>
      <c r="AK273" s="142"/>
      <c r="AL273" s="142"/>
      <c r="AM273" s="142"/>
      <c r="AN273" s="142"/>
      <c r="AO273" s="142"/>
      <c r="AP273" s="142"/>
      <c r="AQ273" s="142"/>
      <c r="AR273" s="142"/>
      <c r="AS273" s="142"/>
      <c r="AT273" s="142"/>
      <c r="AU273" s="142"/>
      <c r="AV273" s="142"/>
      <c r="AW273" s="142"/>
      <c r="AX273" s="142"/>
      <c r="AY273" s="142"/>
      <c r="AZ273" s="142"/>
      <c r="BA273" s="142"/>
      <c r="BB273" s="142"/>
      <c r="BC273" s="142"/>
      <c r="BD273" s="142"/>
      <c r="BE273" s="142"/>
      <c r="BF273" s="142"/>
      <c r="BG273" s="161"/>
    </row>
    <row r="274" spans="1:59" x14ac:dyDescent="0.25">
      <c r="A274" s="158"/>
      <c r="B274" s="139"/>
      <c r="C274" s="139"/>
      <c r="D274" s="139"/>
      <c r="E274" s="139"/>
      <c r="F274" s="139"/>
      <c r="G274" s="139"/>
      <c r="H274" s="139"/>
      <c r="I274" s="139"/>
      <c r="J274" s="139"/>
      <c r="K274" s="139"/>
      <c r="L274" s="139"/>
      <c r="M274" s="139"/>
      <c r="N274" s="139"/>
      <c r="O274" s="139"/>
      <c r="P274" s="139"/>
      <c r="Q274" s="139"/>
      <c r="R274" s="251"/>
      <c r="S274" s="139"/>
      <c r="T274" s="139"/>
      <c r="U274" s="145"/>
      <c r="V274" s="139"/>
      <c r="W274" s="139"/>
      <c r="X274" s="102" t="s">
        <v>1195</v>
      </c>
      <c r="Y274" s="139"/>
      <c r="Z274" s="139"/>
      <c r="AA274" s="145"/>
      <c r="AB274" s="139"/>
      <c r="AC274" s="146"/>
      <c r="AD274" s="146"/>
      <c r="AE274" s="146"/>
      <c r="AF274" s="139"/>
      <c r="AG274" s="139"/>
      <c r="AH274" s="139"/>
      <c r="AI274" s="145"/>
      <c r="AJ274" s="139"/>
      <c r="AK274" s="139"/>
      <c r="AL274" s="139"/>
      <c r="AM274" s="139"/>
      <c r="AN274" s="139"/>
      <c r="AO274" s="139"/>
      <c r="AP274" s="139"/>
      <c r="AQ274" s="139"/>
      <c r="AR274" s="139"/>
      <c r="AS274" s="139"/>
      <c r="AT274" s="139"/>
      <c r="AU274" s="139"/>
      <c r="AV274" s="139"/>
      <c r="AW274" s="139"/>
      <c r="AX274" s="139"/>
      <c r="AY274" s="139"/>
      <c r="AZ274" s="139"/>
      <c r="BA274" s="139"/>
      <c r="BB274" s="139"/>
      <c r="BC274" s="139"/>
      <c r="BD274" s="139"/>
      <c r="BE274" s="139"/>
      <c r="BF274" s="139"/>
      <c r="BG274" s="162"/>
    </row>
    <row r="275" spans="1:59" x14ac:dyDescent="0.25">
      <c r="A275" s="157"/>
      <c r="B275" s="142"/>
      <c r="C275" s="142"/>
      <c r="D275" s="142"/>
      <c r="E275" s="142"/>
      <c r="F275" s="142"/>
      <c r="G275" s="142"/>
      <c r="H275" s="142"/>
      <c r="I275" s="142"/>
      <c r="J275" s="142"/>
      <c r="K275" s="142"/>
      <c r="L275" s="142"/>
      <c r="M275" s="142"/>
      <c r="N275" s="142"/>
      <c r="O275" s="142"/>
      <c r="P275" s="142"/>
      <c r="Q275" s="142"/>
      <c r="R275" s="250"/>
      <c r="S275" s="142"/>
      <c r="T275" s="142"/>
      <c r="U275" s="143"/>
      <c r="V275" s="142"/>
      <c r="W275" s="142"/>
      <c r="X275" s="94" t="s">
        <v>1195</v>
      </c>
      <c r="Y275" s="142"/>
      <c r="Z275" s="142"/>
      <c r="AA275" s="143"/>
      <c r="AB275" s="142"/>
      <c r="AC275" s="144"/>
      <c r="AD275" s="144"/>
      <c r="AE275" s="144"/>
      <c r="AF275" s="142"/>
      <c r="AG275" s="142"/>
      <c r="AH275" s="142"/>
      <c r="AI275" s="143"/>
      <c r="AJ275" s="142"/>
      <c r="AK275" s="142"/>
      <c r="AL275" s="142"/>
      <c r="AM275" s="142"/>
      <c r="AN275" s="142"/>
      <c r="AO275" s="142"/>
      <c r="AP275" s="142"/>
      <c r="AQ275" s="142"/>
      <c r="AR275" s="142"/>
      <c r="AS275" s="142"/>
      <c r="AT275" s="142"/>
      <c r="AU275" s="142"/>
      <c r="AV275" s="142"/>
      <c r="AW275" s="142"/>
      <c r="AX275" s="142"/>
      <c r="AY275" s="142"/>
      <c r="AZ275" s="142"/>
      <c r="BA275" s="142"/>
      <c r="BB275" s="142"/>
      <c r="BC275" s="142"/>
      <c r="BD275" s="142"/>
      <c r="BE275" s="142"/>
      <c r="BF275" s="142"/>
      <c r="BG275" s="161"/>
    </row>
    <row r="276" spans="1:59" x14ac:dyDescent="0.25">
      <c r="A276" s="158"/>
      <c r="B276" s="139"/>
      <c r="C276" s="139"/>
      <c r="D276" s="139"/>
      <c r="E276" s="139"/>
      <c r="F276" s="139"/>
      <c r="G276" s="139"/>
      <c r="H276" s="139"/>
      <c r="I276" s="139"/>
      <c r="J276" s="139"/>
      <c r="K276" s="139"/>
      <c r="L276" s="139"/>
      <c r="M276" s="139"/>
      <c r="N276" s="139"/>
      <c r="O276" s="139"/>
      <c r="P276" s="139"/>
      <c r="Q276" s="139"/>
      <c r="R276" s="251"/>
      <c r="S276" s="139"/>
      <c r="T276" s="139"/>
      <c r="U276" s="145"/>
      <c r="V276" s="139"/>
      <c r="W276" s="139"/>
      <c r="X276" s="102" t="s">
        <v>1195</v>
      </c>
      <c r="Y276" s="139"/>
      <c r="Z276" s="139"/>
      <c r="AA276" s="145"/>
      <c r="AB276" s="139"/>
      <c r="AC276" s="146"/>
      <c r="AD276" s="146"/>
      <c r="AE276" s="146"/>
      <c r="AF276" s="139"/>
      <c r="AG276" s="139"/>
      <c r="AH276" s="139"/>
      <c r="AI276" s="145"/>
      <c r="AJ276" s="139"/>
      <c r="AK276" s="139"/>
      <c r="AL276" s="139"/>
      <c r="AM276" s="139"/>
      <c r="AN276" s="139"/>
      <c r="AO276" s="139"/>
      <c r="AP276" s="139"/>
      <c r="AQ276" s="139"/>
      <c r="AR276" s="139"/>
      <c r="AS276" s="139"/>
      <c r="AT276" s="139"/>
      <c r="AU276" s="139"/>
      <c r="AV276" s="139"/>
      <c r="AW276" s="139"/>
      <c r="AX276" s="139"/>
      <c r="AY276" s="139"/>
      <c r="AZ276" s="139"/>
      <c r="BA276" s="139"/>
      <c r="BB276" s="139"/>
      <c r="BC276" s="139"/>
      <c r="BD276" s="139"/>
      <c r="BE276" s="139"/>
      <c r="BF276" s="139"/>
      <c r="BG276" s="162"/>
    </row>
    <row r="277" spans="1:59" x14ac:dyDescent="0.25">
      <c r="A277" s="157"/>
      <c r="B277" s="142"/>
      <c r="C277" s="142"/>
      <c r="D277" s="142"/>
      <c r="E277" s="142"/>
      <c r="F277" s="142"/>
      <c r="G277" s="142"/>
      <c r="H277" s="142"/>
      <c r="I277" s="142"/>
      <c r="J277" s="142"/>
      <c r="K277" s="142"/>
      <c r="L277" s="142"/>
      <c r="M277" s="142"/>
      <c r="N277" s="142"/>
      <c r="O277" s="142"/>
      <c r="P277" s="142"/>
      <c r="Q277" s="142"/>
      <c r="R277" s="250"/>
      <c r="S277" s="142"/>
      <c r="T277" s="142"/>
      <c r="U277" s="143"/>
      <c r="V277" s="142"/>
      <c r="W277" s="142"/>
      <c r="X277" s="94" t="s">
        <v>1195</v>
      </c>
      <c r="Y277" s="142"/>
      <c r="Z277" s="142"/>
      <c r="AA277" s="143"/>
      <c r="AB277" s="142"/>
      <c r="AC277" s="144"/>
      <c r="AD277" s="144"/>
      <c r="AE277" s="144"/>
      <c r="AF277" s="142"/>
      <c r="AG277" s="142"/>
      <c r="AH277" s="142"/>
      <c r="AI277" s="143"/>
      <c r="AJ277" s="142"/>
      <c r="AK277" s="142"/>
      <c r="AL277" s="142"/>
      <c r="AM277" s="142"/>
      <c r="AN277" s="142"/>
      <c r="AO277" s="142"/>
      <c r="AP277" s="142"/>
      <c r="AQ277" s="142"/>
      <c r="AR277" s="142"/>
      <c r="AS277" s="142"/>
      <c r="AT277" s="142"/>
      <c r="AU277" s="142"/>
      <c r="AV277" s="142"/>
      <c r="AW277" s="142"/>
      <c r="AX277" s="142"/>
      <c r="AY277" s="142"/>
      <c r="AZ277" s="142"/>
      <c r="BA277" s="142"/>
      <c r="BB277" s="142"/>
      <c r="BC277" s="142"/>
      <c r="BD277" s="142"/>
      <c r="BE277" s="142"/>
      <c r="BF277" s="142"/>
      <c r="BG277" s="161"/>
    </row>
    <row r="278" spans="1:59" x14ac:dyDescent="0.25">
      <c r="A278" s="158"/>
      <c r="B278" s="139"/>
      <c r="C278" s="139"/>
      <c r="D278" s="139"/>
      <c r="E278" s="139"/>
      <c r="F278" s="139"/>
      <c r="G278" s="139"/>
      <c r="H278" s="139"/>
      <c r="I278" s="139"/>
      <c r="J278" s="139"/>
      <c r="K278" s="139"/>
      <c r="L278" s="139"/>
      <c r="M278" s="139"/>
      <c r="N278" s="139"/>
      <c r="O278" s="139"/>
      <c r="P278" s="139"/>
      <c r="Q278" s="139"/>
      <c r="R278" s="251"/>
      <c r="S278" s="139"/>
      <c r="T278" s="139"/>
      <c r="U278" s="145"/>
      <c r="V278" s="139"/>
      <c r="W278" s="139"/>
      <c r="X278" s="102" t="s">
        <v>1195</v>
      </c>
      <c r="Y278" s="139"/>
      <c r="Z278" s="139"/>
      <c r="AA278" s="145"/>
      <c r="AB278" s="139"/>
      <c r="AC278" s="146"/>
      <c r="AD278" s="146"/>
      <c r="AE278" s="146"/>
      <c r="AF278" s="139"/>
      <c r="AG278" s="139"/>
      <c r="AH278" s="139"/>
      <c r="AI278" s="145"/>
      <c r="AJ278" s="139"/>
      <c r="AK278" s="139"/>
      <c r="AL278" s="139"/>
      <c r="AM278" s="139"/>
      <c r="AN278" s="139"/>
      <c r="AO278" s="139"/>
      <c r="AP278" s="139"/>
      <c r="AQ278" s="139"/>
      <c r="AR278" s="139"/>
      <c r="AS278" s="139"/>
      <c r="AT278" s="139"/>
      <c r="AU278" s="139"/>
      <c r="AV278" s="139"/>
      <c r="AW278" s="139"/>
      <c r="AX278" s="139"/>
      <c r="AY278" s="139"/>
      <c r="AZ278" s="139"/>
      <c r="BA278" s="139"/>
      <c r="BB278" s="139"/>
      <c r="BC278" s="139"/>
      <c r="BD278" s="139"/>
      <c r="BE278" s="139"/>
      <c r="BF278" s="139"/>
      <c r="BG278" s="162"/>
    </row>
    <row r="279" spans="1:59" x14ac:dyDescent="0.25">
      <c r="A279" s="157"/>
      <c r="B279" s="142"/>
      <c r="C279" s="142"/>
      <c r="D279" s="142"/>
      <c r="E279" s="142"/>
      <c r="F279" s="142"/>
      <c r="G279" s="142"/>
      <c r="H279" s="142"/>
      <c r="I279" s="142"/>
      <c r="J279" s="142"/>
      <c r="K279" s="142"/>
      <c r="L279" s="142"/>
      <c r="M279" s="142"/>
      <c r="N279" s="142"/>
      <c r="O279" s="142"/>
      <c r="P279" s="142"/>
      <c r="Q279" s="142"/>
      <c r="R279" s="250"/>
      <c r="S279" s="142"/>
      <c r="T279" s="142"/>
      <c r="U279" s="143"/>
      <c r="V279" s="142"/>
      <c r="W279" s="142"/>
      <c r="X279" s="94" t="s">
        <v>1195</v>
      </c>
      <c r="Y279" s="142"/>
      <c r="Z279" s="142"/>
      <c r="AA279" s="143"/>
      <c r="AB279" s="142"/>
      <c r="AC279" s="144"/>
      <c r="AD279" s="144"/>
      <c r="AE279" s="144"/>
      <c r="AF279" s="142"/>
      <c r="AG279" s="142"/>
      <c r="AH279" s="142"/>
      <c r="AI279" s="143"/>
      <c r="AJ279" s="142"/>
      <c r="AK279" s="142"/>
      <c r="AL279" s="142"/>
      <c r="AM279" s="142"/>
      <c r="AN279" s="142"/>
      <c r="AO279" s="142"/>
      <c r="AP279" s="142"/>
      <c r="AQ279" s="142"/>
      <c r="AR279" s="142"/>
      <c r="AS279" s="142"/>
      <c r="AT279" s="142"/>
      <c r="AU279" s="142"/>
      <c r="AV279" s="142"/>
      <c r="AW279" s="142"/>
      <c r="AX279" s="142"/>
      <c r="AY279" s="142"/>
      <c r="AZ279" s="142"/>
      <c r="BA279" s="142"/>
      <c r="BB279" s="142"/>
      <c r="BC279" s="142"/>
      <c r="BD279" s="142"/>
      <c r="BE279" s="142"/>
      <c r="BF279" s="142"/>
      <c r="BG279" s="161"/>
    </row>
    <row r="280" spans="1:59" x14ac:dyDescent="0.25">
      <c r="A280" s="158"/>
      <c r="B280" s="139"/>
      <c r="C280" s="139"/>
      <c r="D280" s="139"/>
      <c r="E280" s="139"/>
      <c r="F280" s="139"/>
      <c r="G280" s="139"/>
      <c r="H280" s="139"/>
      <c r="I280" s="139"/>
      <c r="J280" s="139"/>
      <c r="K280" s="139"/>
      <c r="L280" s="139"/>
      <c r="M280" s="139"/>
      <c r="N280" s="139"/>
      <c r="O280" s="139"/>
      <c r="P280" s="139"/>
      <c r="Q280" s="139"/>
      <c r="R280" s="251"/>
      <c r="S280" s="139"/>
      <c r="T280" s="139"/>
      <c r="U280" s="145"/>
      <c r="V280" s="139"/>
      <c r="W280" s="139"/>
      <c r="X280" s="102" t="s">
        <v>1195</v>
      </c>
      <c r="Y280" s="139"/>
      <c r="Z280" s="139"/>
      <c r="AA280" s="145"/>
      <c r="AB280" s="139"/>
      <c r="AC280" s="146"/>
      <c r="AD280" s="146"/>
      <c r="AE280" s="146"/>
      <c r="AF280" s="139"/>
      <c r="AG280" s="139"/>
      <c r="AH280" s="139"/>
      <c r="AI280" s="145"/>
      <c r="AJ280" s="139"/>
      <c r="AK280" s="139"/>
      <c r="AL280" s="139"/>
      <c r="AM280" s="139"/>
      <c r="AN280" s="139"/>
      <c r="AO280" s="139"/>
      <c r="AP280" s="139"/>
      <c r="AQ280" s="139"/>
      <c r="AR280" s="139"/>
      <c r="AS280" s="139"/>
      <c r="AT280" s="139"/>
      <c r="AU280" s="139"/>
      <c r="AV280" s="139"/>
      <c r="AW280" s="139"/>
      <c r="AX280" s="139"/>
      <c r="AY280" s="139"/>
      <c r="AZ280" s="139"/>
      <c r="BA280" s="139"/>
      <c r="BB280" s="139"/>
      <c r="BC280" s="139"/>
      <c r="BD280" s="139"/>
      <c r="BE280" s="139"/>
      <c r="BF280" s="139"/>
      <c r="BG280" s="162"/>
    </row>
    <row r="281" spans="1:59" x14ac:dyDescent="0.25">
      <c r="A281" s="157"/>
      <c r="B281" s="142"/>
      <c r="C281" s="142"/>
      <c r="D281" s="142"/>
      <c r="E281" s="142"/>
      <c r="F281" s="142"/>
      <c r="G281" s="142"/>
      <c r="H281" s="142"/>
      <c r="I281" s="142"/>
      <c r="J281" s="142"/>
      <c r="K281" s="142"/>
      <c r="L281" s="142"/>
      <c r="M281" s="142"/>
      <c r="N281" s="142"/>
      <c r="O281" s="142"/>
      <c r="P281" s="142"/>
      <c r="Q281" s="142"/>
      <c r="R281" s="250"/>
      <c r="S281" s="142"/>
      <c r="T281" s="142"/>
      <c r="U281" s="143"/>
      <c r="V281" s="142"/>
      <c r="W281" s="142"/>
      <c r="X281" s="94" t="s">
        <v>1195</v>
      </c>
      <c r="Y281" s="142"/>
      <c r="Z281" s="142"/>
      <c r="AA281" s="143"/>
      <c r="AB281" s="142"/>
      <c r="AC281" s="144"/>
      <c r="AD281" s="144"/>
      <c r="AE281" s="144"/>
      <c r="AF281" s="142"/>
      <c r="AG281" s="142"/>
      <c r="AH281" s="142"/>
      <c r="AI281" s="143"/>
      <c r="AJ281" s="142"/>
      <c r="AK281" s="142"/>
      <c r="AL281" s="142"/>
      <c r="AM281" s="142"/>
      <c r="AN281" s="142"/>
      <c r="AO281" s="142"/>
      <c r="AP281" s="142"/>
      <c r="AQ281" s="142"/>
      <c r="AR281" s="142"/>
      <c r="AS281" s="142"/>
      <c r="AT281" s="142"/>
      <c r="AU281" s="142"/>
      <c r="AV281" s="142"/>
      <c r="AW281" s="142"/>
      <c r="AX281" s="142"/>
      <c r="AY281" s="142"/>
      <c r="AZ281" s="142"/>
      <c r="BA281" s="142"/>
      <c r="BB281" s="142"/>
      <c r="BC281" s="142"/>
      <c r="BD281" s="142"/>
      <c r="BE281" s="142"/>
      <c r="BF281" s="142"/>
      <c r="BG281" s="161"/>
    </row>
    <row r="282" spans="1:59" x14ac:dyDescent="0.25">
      <c r="A282" s="158"/>
      <c r="B282" s="139"/>
      <c r="C282" s="139"/>
      <c r="D282" s="139"/>
      <c r="E282" s="139"/>
      <c r="F282" s="139"/>
      <c r="G282" s="139"/>
      <c r="H282" s="139"/>
      <c r="I282" s="139"/>
      <c r="J282" s="139"/>
      <c r="K282" s="139"/>
      <c r="L282" s="139"/>
      <c r="M282" s="139"/>
      <c r="N282" s="139"/>
      <c r="O282" s="139"/>
      <c r="P282" s="139"/>
      <c r="Q282" s="139"/>
      <c r="R282" s="251"/>
      <c r="S282" s="139"/>
      <c r="T282" s="139"/>
      <c r="U282" s="145"/>
      <c r="V282" s="139"/>
      <c r="W282" s="139"/>
      <c r="X282" s="102" t="s">
        <v>1195</v>
      </c>
      <c r="Y282" s="139"/>
      <c r="Z282" s="139"/>
      <c r="AA282" s="145"/>
      <c r="AB282" s="139"/>
      <c r="AC282" s="146"/>
      <c r="AD282" s="146"/>
      <c r="AE282" s="146"/>
      <c r="AF282" s="139"/>
      <c r="AG282" s="139"/>
      <c r="AH282" s="139"/>
      <c r="AI282" s="145"/>
      <c r="AJ282" s="139"/>
      <c r="AK282" s="139"/>
      <c r="AL282" s="139"/>
      <c r="AM282" s="139"/>
      <c r="AN282" s="139"/>
      <c r="AO282" s="139"/>
      <c r="AP282" s="139"/>
      <c r="AQ282" s="139"/>
      <c r="AR282" s="139"/>
      <c r="AS282" s="139"/>
      <c r="AT282" s="139"/>
      <c r="AU282" s="139"/>
      <c r="AV282" s="139"/>
      <c r="AW282" s="139"/>
      <c r="AX282" s="139"/>
      <c r="AY282" s="139"/>
      <c r="AZ282" s="139"/>
      <c r="BA282" s="139"/>
      <c r="BB282" s="139"/>
      <c r="BC282" s="139"/>
      <c r="BD282" s="139"/>
      <c r="BE282" s="139"/>
      <c r="BF282" s="139"/>
      <c r="BG282" s="162"/>
    </row>
    <row r="283" spans="1:59" x14ac:dyDescent="0.25">
      <c r="A283" s="157"/>
      <c r="B283" s="142"/>
      <c r="C283" s="142"/>
      <c r="D283" s="142"/>
      <c r="E283" s="142"/>
      <c r="F283" s="142"/>
      <c r="G283" s="142"/>
      <c r="H283" s="142"/>
      <c r="I283" s="142"/>
      <c r="J283" s="142"/>
      <c r="K283" s="142"/>
      <c r="L283" s="142"/>
      <c r="M283" s="142"/>
      <c r="N283" s="142"/>
      <c r="O283" s="142"/>
      <c r="P283" s="142"/>
      <c r="Q283" s="142"/>
      <c r="R283" s="250"/>
      <c r="S283" s="142"/>
      <c r="T283" s="142"/>
      <c r="U283" s="143"/>
      <c r="V283" s="142"/>
      <c r="W283" s="142"/>
      <c r="X283" s="94" t="s">
        <v>1195</v>
      </c>
      <c r="Y283" s="142"/>
      <c r="Z283" s="142"/>
      <c r="AA283" s="143"/>
      <c r="AB283" s="142"/>
      <c r="AC283" s="144"/>
      <c r="AD283" s="144"/>
      <c r="AE283" s="144"/>
      <c r="AF283" s="142"/>
      <c r="AG283" s="142"/>
      <c r="AH283" s="142"/>
      <c r="AI283" s="143"/>
      <c r="AJ283" s="142"/>
      <c r="AK283" s="142"/>
      <c r="AL283" s="142"/>
      <c r="AM283" s="142"/>
      <c r="AN283" s="142"/>
      <c r="AO283" s="142"/>
      <c r="AP283" s="142"/>
      <c r="AQ283" s="142"/>
      <c r="AR283" s="142"/>
      <c r="AS283" s="142"/>
      <c r="AT283" s="142"/>
      <c r="AU283" s="142"/>
      <c r="AV283" s="142"/>
      <c r="AW283" s="142"/>
      <c r="AX283" s="142"/>
      <c r="AY283" s="142"/>
      <c r="AZ283" s="142"/>
      <c r="BA283" s="142"/>
      <c r="BB283" s="142"/>
      <c r="BC283" s="142"/>
      <c r="BD283" s="142"/>
      <c r="BE283" s="142"/>
      <c r="BF283" s="142"/>
      <c r="BG283" s="161"/>
    </row>
    <row r="284" spans="1:59" x14ac:dyDescent="0.25">
      <c r="A284" s="158"/>
      <c r="B284" s="139"/>
      <c r="C284" s="139"/>
      <c r="D284" s="139"/>
      <c r="E284" s="139"/>
      <c r="F284" s="139"/>
      <c r="G284" s="139"/>
      <c r="H284" s="139"/>
      <c r="I284" s="139"/>
      <c r="J284" s="139"/>
      <c r="K284" s="139"/>
      <c r="L284" s="139"/>
      <c r="M284" s="139"/>
      <c r="N284" s="139"/>
      <c r="O284" s="139"/>
      <c r="P284" s="139"/>
      <c r="Q284" s="139"/>
      <c r="R284" s="251"/>
      <c r="S284" s="139"/>
      <c r="T284" s="139"/>
      <c r="U284" s="145"/>
      <c r="V284" s="139"/>
      <c r="W284" s="139"/>
      <c r="X284" s="102" t="s">
        <v>1195</v>
      </c>
      <c r="Y284" s="139"/>
      <c r="Z284" s="139"/>
      <c r="AA284" s="145"/>
      <c r="AB284" s="139"/>
      <c r="AC284" s="146"/>
      <c r="AD284" s="146"/>
      <c r="AE284" s="146"/>
      <c r="AF284" s="139"/>
      <c r="AG284" s="139"/>
      <c r="AH284" s="139"/>
      <c r="AI284" s="145"/>
      <c r="AJ284" s="139"/>
      <c r="AK284" s="139"/>
      <c r="AL284" s="139"/>
      <c r="AM284" s="139"/>
      <c r="AN284" s="139"/>
      <c r="AO284" s="139"/>
      <c r="AP284" s="139"/>
      <c r="AQ284" s="139"/>
      <c r="AR284" s="139"/>
      <c r="AS284" s="139"/>
      <c r="AT284" s="139"/>
      <c r="AU284" s="139"/>
      <c r="AV284" s="139"/>
      <c r="AW284" s="139"/>
      <c r="AX284" s="139"/>
      <c r="AY284" s="139"/>
      <c r="AZ284" s="139"/>
      <c r="BA284" s="139"/>
      <c r="BB284" s="139"/>
      <c r="BC284" s="139"/>
      <c r="BD284" s="139"/>
      <c r="BE284" s="139"/>
      <c r="BF284" s="139"/>
      <c r="BG284" s="162"/>
    </row>
    <row r="285" spans="1:59" x14ac:dyDescent="0.25">
      <c r="A285" s="157"/>
      <c r="B285" s="142"/>
      <c r="C285" s="142"/>
      <c r="D285" s="142"/>
      <c r="E285" s="142"/>
      <c r="F285" s="142"/>
      <c r="G285" s="142"/>
      <c r="H285" s="142"/>
      <c r="I285" s="142"/>
      <c r="J285" s="142"/>
      <c r="K285" s="142"/>
      <c r="L285" s="142"/>
      <c r="M285" s="142"/>
      <c r="N285" s="142"/>
      <c r="O285" s="142"/>
      <c r="P285" s="142"/>
      <c r="Q285" s="142"/>
      <c r="R285" s="250"/>
      <c r="S285" s="142"/>
      <c r="T285" s="142"/>
      <c r="U285" s="143"/>
      <c r="V285" s="142"/>
      <c r="W285" s="142"/>
      <c r="X285" s="94" t="s">
        <v>1195</v>
      </c>
      <c r="Y285" s="142"/>
      <c r="Z285" s="142"/>
      <c r="AA285" s="143"/>
      <c r="AB285" s="142"/>
      <c r="AC285" s="144"/>
      <c r="AD285" s="144"/>
      <c r="AE285" s="144"/>
      <c r="AF285" s="142"/>
      <c r="AG285" s="142"/>
      <c r="AH285" s="142"/>
      <c r="AI285" s="143"/>
      <c r="AJ285" s="142"/>
      <c r="AK285" s="142"/>
      <c r="AL285" s="142"/>
      <c r="AM285" s="142"/>
      <c r="AN285" s="142"/>
      <c r="AO285" s="142"/>
      <c r="AP285" s="142"/>
      <c r="AQ285" s="142"/>
      <c r="AR285" s="142"/>
      <c r="AS285" s="142"/>
      <c r="AT285" s="142"/>
      <c r="AU285" s="142"/>
      <c r="AV285" s="142"/>
      <c r="AW285" s="142"/>
      <c r="AX285" s="142"/>
      <c r="AY285" s="142"/>
      <c r="AZ285" s="142"/>
      <c r="BA285" s="142"/>
      <c r="BB285" s="142"/>
      <c r="BC285" s="142"/>
      <c r="BD285" s="142"/>
      <c r="BE285" s="142"/>
      <c r="BF285" s="142"/>
      <c r="BG285" s="161"/>
    </row>
    <row r="286" spans="1:59" x14ac:dyDescent="0.25">
      <c r="A286" s="158"/>
      <c r="B286" s="139"/>
      <c r="C286" s="139"/>
      <c r="D286" s="139"/>
      <c r="E286" s="139"/>
      <c r="F286" s="139"/>
      <c r="G286" s="139"/>
      <c r="H286" s="139"/>
      <c r="I286" s="139"/>
      <c r="J286" s="139"/>
      <c r="K286" s="139"/>
      <c r="L286" s="139"/>
      <c r="M286" s="139"/>
      <c r="N286" s="139"/>
      <c r="O286" s="139"/>
      <c r="P286" s="139"/>
      <c r="Q286" s="139"/>
      <c r="R286" s="251"/>
      <c r="S286" s="139"/>
      <c r="T286" s="139"/>
      <c r="U286" s="145"/>
      <c r="V286" s="139"/>
      <c r="W286" s="139"/>
      <c r="X286" s="102" t="s">
        <v>1195</v>
      </c>
      <c r="Y286" s="139"/>
      <c r="Z286" s="139"/>
      <c r="AA286" s="145"/>
      <c r="AB286" s="139"/>
      <c r="AC286" s="146"/>
      <c r="AD286" s="146"/>
      <c r="AE286" s="146"/>
      <c r="AF286" s="139"/>
      <c r="AG286" s="139"/>
      <c r="AH286" s="139"/>
      <c r="AI286" s="145"/>
      <c r="AJ286" s="139"/>
      <c r="AK286" s="139"/>
      <c r="AL286" s="139"/>
      <c r="AM286" s="139"/>
      <c r="AN286" s="139"/>
      <c r="AO286" s="139"/>
      <c r="AP286" s="139"/>
      <c r="AQ286" s="139"/>
      <c r="AR286" s="139"/>
      <c r="AS286" s="139"/>
      <c r="AT286" s="139"/>
      <c r="AU286" s="139"/>
      <c r="AV286" s="139"/>
      <c r="AW286" s="139"/>
      <c r="AX286" s="139"/>
      <c r="AY286" s="139"/>
      <c r="AZ286" s="139"/>
      <c r="BA286" s="139"/>
      <c r="BB286" s="139"/>
      <c r="BC286" s="139"/>
      <c r="BD286" s="139"/>
      <c r="BE286" s="139"/>
      <c r="BF286" s="139"/>
      <c r="BG286" s="162"/>
    </row>
    <row r="287" spans="1:59" x14ac:dyDescent="0.25">
      <c r="A287" s="157"/>
      <c r="B287" s="142"/>
      <c r="C287" s="142"/>
      <c r="D287" s="142"/>
      <c r="E287" s="142"/>
      <c r="F287" s="142"/>
      <c r="G287" s="142"/>
      <c r="H287" s="142"/>
      <c r="I287" s="142"/>
      <c r="J287" s="142"/>
      <c r="K287" s="142"/>
      <c r="L287" s="142"/>
      <c r="M287" s="142"/>
      <c r="N287" s="142"/>
      <c r="O287" s="142"/>
      <c r="P287" s="142"/>
      <c r="Q287" s="142"/>
      <c r="R287" s="250"/>
      <c r="S287" s="142"/>
      <c r="T287" s="142"/>
      <c r="U287" s="143"/>
      <c r="V287" s="142"/>
      <c r="W287" s="142"/>
      <c r="X287" s="94" t="s">
        <v>1195</v>
      </c>
      <c r="Y287" s="142"/>
      <c r="Z287" s="142"/>
      <c r="AA287" s="143"/>
      <c r="AB287" s="142"/>
      <c r="AC287" s="144"/>
      <c r="AD287" s="144"/>
      <c r="AE287" s="144"/>
      <c r="AF287" s="142"/>
      <c r="AG287" s="142"/>
      <c r="AH287" s="142"/>
      <c r="AI287" s="143"/>
      <c r="AJ287" s="142"/>
      <c r="AK287" s="142"/>
      <c r="AL287" s="142"/>
      <c r="AM287" s="142"/>
      <c r="AN287" s="142"/>
      <c r="AO287" s="142"/>
      <c r="AP287" s="142"/>
      <c r="AQ287" s="142"/>
      <c r="AR287" s="142"/>
      <c r="AS287" s="142"/>
      <c r="AT287" s="142"/>
      <c r="AU287" s="142"/>
      <c r="AV287" s="142"/>
      <c r="AW287" s="142"/>
      <c r="AX287" s="142"/>
      <c r="AY287" s="142"/>
      <c r="AZ287" s="142"/>
      <c r="BA287" s="142"/>
      <c r="BB287" s="142"/>
      <c r="BC287" s="142"/>
      <c r="BD287" s="142"/>
      <c r="BE287" s="142"/>
      <c r="BF287" s="142"/>
      <c r="BG287" s="161"/>
    </row>
    <row r="288" spans="1:59" x14ac:dyDescent="0.25">
      <c r="A288" s="158"/>
      <c r="B288" s="139"/>
      <c r="C288" s="139"/>
      <c r="D288" s="139"/>
      <c r="E288" s="139"/>
      <c r="F288" s="139"/>
      <c r="G288" s="139"/>
      <c r="H288" s="139"/>
      <c r="I288" s="139"/>
      <c r="J288" s="139"/>
      <c r="K288" s="139"/>
      <c r="L288" s="139"/>
      <c r="M288" s="139"/>
      <c r="N288" s="139"/>
      <c r="O288" s="139"/>
      <c r="P288" s="139"/>
      <c r="Q288" s="139"/>
      <c r="R288" s="251"/>
      <c r="S288" s="139"/>
      <c r="T288" s="139"/>
      <c r="U288" s="145"/>
      <c r="V288" s="139"/>
      <c r="W288" s="139"/>
      <c r="X288" s="102" t="s">
        <v>1195</v>
      </c>
      <c r="Y288" s="139"/>
      <c r="Z288" s="139"/>
      <c r="AA288" s="145"/>
      <c r="AB288" s="139"/>
      <c r="AC288" s="146"/>
      <c r="AD288" s="146"/>
      <c r="AE288" s="146"/>
      <c r="AF288" s="139"/>
      <c r="AG288" s="139"/>
      <c r="AH288" s="139"/>
      <c r="AI288" s="145"/>
      <c r="AJ288" s="139"/>
      <c r="AK288" s="139"/>
      <c r="AL288" s="139"/>
      <c r="AM288" s="139"/>
      <c r="AN288" s="139"/>
      <c r="AO288" s="139"/>
      <c r="AP288" s="139"/>
      <c r="AQ288" s="139"/>
      <c r="AR288" s="139"/>
      <c r="AS288" s="139"/>
      <c r="AT288" s="139"/>
      <c r="AU288" s="139"/>
      <c r="AV288" s="139"/>
      <c r="AW288" s="139"/>
      <c r="AX288" s="139"/>
      <c r="AY288" s="139"/>
      <c r="AZ288" s="139"/>
      <c r="BA288" s="139"/>
      <c r="BB288" s="139"/>
      <c r="BC288" s="139"/>
      <c r="BD288" s="139"/>
      <c r="BE288" s="139"/>
      <c r="BF288" s="139"/>
      <c r="BG288" s="162"/>
    </row>
    <row r="289" spans="1:59" x14ac:dyDescent="0.25">
      <c r="A289" s="157"/>
      <c r="B289" s="142"/>
      <c r="C289" s="142"/>
      <c r="D289" s="142"/>
      <c r="E289" s="142"/>
      <c r="F289" s="142"/>
      <c r="G289" s="142"/>
      <c r="H289" s="142"/>
      <c r="I289" s="142"/>
      <c r="J289" s="142"/>
      <c r="K289" s="142"/>
      <c r="L289" s="142"/>
      <c r="M289" s="142"/>
      <c r="N289" s="142"/>
      <c r="O289" s="142"/>
      <c r="P289" s="142"/>
      <c r="Q289" s="142"/>
      <c r="R289" s="250"/>
      <c r="S289" s="142"/>
      <c r="T289" s="142"/>
      <c r="U289" s="143"/>
      <c r="V289" s="142"/>
      <c r="W289" s="142"/>
      <c r="X289" s="94" t="s">
        <v>1195</v>
      </c>
      <c r="Y289" s="142"/>
      <c r="Z289" s="142"/>
      <c r="AA289" s="143"/>
      <c r="AB289" s="142"/>
      <c r="AC289" s="144"/>
      <c r="AD289" s="144"/>
      <c r="AE289" s="144"/>
      <c r="AF289" s="142"/>
      <c r="AG289" s="142"/>
      <c r="AH289" s="142"/>
      <c r="AI289" s="143"/>
      <c r="AJ289" s="142"/>
      <c r="AK289" s="142"/>
      <c r="AL289" s="142"/>
      <c r="AM289" s="142"/>
      <c r="AN289" s="142"/>
      <c r="AO289" s="142"/>
      <c r="AP289" s="142"/>
      <c r="AQ289" s="142"/>
      <c r="AR289" s="142"/>
      <c r="AS289" s="142"/>
      <c r="AT289" s="142"/>
      <c r="AU289" s="142"/>
      <c r="AV289" s="142"/>
      <c r="AW289" s="142"/>
      <c r="AX289" s="142"/>
      <c r="AY289" s="142"/>
      <c r="AZ289" s="142"/>
      <c r="BA289" s="142"/>
      <c r="BB289" s="142"/>
      <c r="BC289" s="142"/>
      <c r="BD289" s="142"/>
      <c r="BE289" s="142"/>
      <c r="BF289" s="142"/>
      <c r="BG289" s="161"/>
    </row>
    <row r="290" spans="1:59" x14ac:dyDescent="0.25">
      <c r="A290" s="158"/>
      <c r="B290" s="139"/>
      <c r="C290" s="139"/>
      <c r="D290" s="139"/>
      <c r="E290" s="139"/>
      <c r="F290" s="139"/>
      <c r="G290" s="139"/>
      <c r="H290" s="139"/>
      <c r="I290" s="139"/>
      <c r="J290" s="139"/>
      <c r="K290" s="139"/>
      <c r="L290" s="139"/>
      <c r="M290" s="139"/>
      <c r="N290" s="139"/>
      <c r="O290" s="139"/>
      <c r="P290" s="139"/>
      <c r="Q290" s="139"/>
      <c r="R290" s="251"/>
      <c r="S290" s="139"/>
      <c r="T290" s="139"/>
      <c r="U290" s="145"/>
      <c r="V290" s="139"/>
      <c r="W290" s="139"/>
      <c r="X290" s="102" t="s">
        <v>1195</v>
      </c>
      <c r="Y290" s="139"/>
      <c r="Z290" s="139"/>
      <c r="AA290" s="145"/>
      <c r="AB290" s="139"/>
      <c r="AC290" s="146"/>
      <c r="AD290" s="146"/>
      <c r="AE290" s="146"/>
      <c r="AF290" s="139"/>
      <c r="AG290" s="139"/>
      <c r="AH290" s="139"/>
      <c r="AI290" s="145"/>
      <c r="AJ290" s="139"/>
      <c r="AK290" s="139"/>
      <c r="AL290" s="139"/>
      <c r="AM290" s="139"/>
      <c r="AN290" s="139"/>
      <c r="AO290" s="139"/>
      <c r="AP290" s="139"/>
      <c r="AQ290" s="139"/>
      <c r="AR290" s="139"/>
      <c r="AS290" s="139"/>
      <c r="AT290" s="139"/>
      <c r="AU290" s="139"/>
      <c r="AV290" s="139"/>
      <c r="AW290" s="139"/>
      <c r="AX290" s="139"/>
      <c r="AY290" s="139"/>
      <c r="AZ290" s="139"/>
      <c r="BA290" s="139"/>
      <c r="BB290" s="139"/>
      <c r="BC290" s="139"/>
      <c r="BD290" s="139"/>
      <c r="BE290" s="139"/>
      <c r="BF290" s="139"/>
      <c r="BG290" s="162"/>
    </row>
    <row r="291" spans="1:59" x14ac:dyDescent="0.25">
      <c r="A291" s="157"/>
      <c r="B291" s="142"/>
      <c r="C291" s="142"/>
      <c r="D291" s="142"/>
      <c r="E291" s="142"/>
      <c r="F291" s="142"/>
      <c r="G291" s="142"/>
      <c r="H291" s="142"/>
      <c r="I291" s="142"/>
      <c r="J291" s="142"/>
      <c r="K291" s="142"/>
      <c r="L291" s="142"/>
      <c r="M291" s="142"/>
      <c r="N291" s="142"/>
      <c r="O291" s="142"/>
      <c r="P291" s="142"/>
      <c r="Q291" s="142"/>
      <c r="R291" s="250"/>
      <c r="S291" s="142"/>
      <c r="T291" s="142"/>
      <c r="U291" s="143"/>
      <c r="V291" s="142"/>
      <c r="W291" s="142"/>
      <c r="X291" s="94" t="s">
        <v>1195</v>
      </c>
      <c r="Y291" s="142"/>
      <c r="Z291" s="142"/>
      <c r="AA291" s="143"/>
      <c r="AB291" s="142"/>
      <c r="AC291" s="144"/>
      <c r="AD291" s="144"/>
      <c r="AE291" s="144"/>
      <c r="AF291" s="142"/>
      <c r="AG291" s="142"/>
      <c r="AH291" s="142"/>
      <c r="AI291" s="143"/>
      <c r="AJ291" s="142"/>
      <c r="AK291" s="142"/>
      <c r="AL291" s="142"/>
      <c r="AM291" s="142"/>
      <c r="AN291" s="142"/>
      <c r="AO291" s="142"/>
      <c r="AP291" s="142"/>
      <c r="AQ291" s="142"/>
      <c r="AR291" s="142"/>
      <c r="AS291" s="142"/>
      <c r="AT291" s="142"/>
      <c r="AU291" s="142"/>
      <c r="AV291" s="142"/>
      <c r="AW291" s="142"/>
      <c r="AX291" s="142"/>
      <c r="AY291" s="142"/>
      <c r="AZ291" s="142"/>
      <c r="BA291" s="142"/>
      <c r="BB291" s="142"/>
      <c r="BC291" s="142"/>
      <c r="BD291" s="142"/>
      <c r="BE291" s="142"/>
      <c r="BF291" s="142"/>
      <c r="BG291" s="161"/>
    </row>
    <row r="292" spans="1:59" x14ac:dyDescent="0.25">
      <c r="A292" s="158"/>
      <c r="B292" s="139"/>
      <c r="C292" s="139"/>
      <c r="D292" s="139"/>
      <c r="E292" s="139"/>
      <c r="F292" s="139"/>
      <c r="G292" s="139"/>
      <c r="H292" s="139"/>
      <c r="I292" s="139"/>
      <c r="J292" s="139"/>
      <c r="K292" s="139"/>
      <c r="L292" s="139"/>
      <c r="M292" s="139"/>
      <c r="N292" s="139"/>
      <c r="O292" s="139"/>
      <c r="P292" s="139"/>
      <c r="Q292" s="139"/>
      <c r="R292" s="251"/>
      <c r="S292" s="139"/>
      <c r="T292" s="139"/>
      <c r="U292" s="145"/>
      <c r="V292" s="139"/>
      <c r="W292" s="139"/>
      <c r="X292" s="102" t="s">
        <v>1195</v>
      </c>
      <c r="Y292" s="139"/>
      <c r="Z292" s="139"/>
      <c r="AA292" s="145"/>
      <c r="AB292" s="139"/>
      <c r="AC292" s="146"/>
      <c r="AD292" s="146"/>
      <c r="AE292" s="146"/>
      <c r="AF292" s="139"/>
      <c r="AG292" s="139"/>
      <c r="AH292" s="139"/>
      <c r="AI292" s="145"/>
      <c r="AJ292" s="139"/>
      <c r="AK292" s="139"/>
      <c r="AL292" s="139"/>
      <c r="AM292" s="139"/>
      <c r="AN292" s="139"/>
      <c r="AO292" s="139"/>
      <c r="AP292" s="139"/>
      <c r="AQ292" s="139"/>
      <c r="AR292" s="139"/>
      <c r="AS292" s="139"/>
      <c r="AT292" s="139"/>
      <c r="AU292" s="139"/>
      <c r="AV292" s="139"/>
      <c r="AW292" s="139"/>
      <c r="AX292" s="139"/>
      <c r="AY292" s="139"/>
      <c r="AZ292" s="139"/>
      <c r="BA292" s="139"/>
      <c r="BB292" s="139"/>
      <c r="BC292" s="139"/>
      <c r="BD292" s="139"/>
      <c r="BE292" s="139"/>
      <c r="BF292" s="139"/>
      <c r="BG292" s="162"/>
    </row>
    <row r="293" spans="1:59" x14ac:dyDescent="0.25">
      <c r="A293" s="157"/>
      <c r="B293" s="142"/>
      <c r="C293" s="142"/>
      <c r="D293" s="142"/>
      <c r="E293" s="142"/>
      <c r="F293" s="142"/>
      <c r="G293" s="142"/>
      <c r="H293" s="142"/>
      <c r="I293" s="142"/>
      <c r="J293" s="142"/>
      <c r="K293" s="142"/>
      <c r="L293" s="142"/>
      <c r="M293" s="142"/>
      <c r="N293" s="142"/>
      <c r="O293" s="142"/>
      <c r="P293" s="142"/>
      <c r="Q293" s="142"/>
      <c r="R293" s="250"/>
      <c r="S293" s="142"/>
      <c r="T293" s="142"/>
      <c r="U293" s="143"/>
      <c r="V293" s="142"/>
      <c r="W293" s="142"/>
      <c r="X293" s="94" t="s">
        <v>1195</v>
      </c>
      <c r="Y293" s="142"/>
      <c r="Z293" s="142"/>
      <c r="AA293" s="143"/>
      <c r="AB293" s="142"/>
      <c r="AC293" s="144"/>
      <c r="AD293" s="144"/>
      <c r="AE293" s="144"/>
      <c r="AF293" s="142"/>
      <c r="AG293" s="142"/>
      <c r="AH293" s="142"/>
      <c r="AI293" s="143"/>
      <c r="AJ293" s="142"/>
      <c r="AK293" s="142"/>
      <c r="AL293" s="142"/>
      <c r="AM293" s="142"/>
      <c r="AN293" s="142"/>
      <c r="AO293" s="142"/>
      <c r="AP293" s="142"/>
      <c r="AQ293" s="142"/>
      <c r="AR293" s="142"/>
      <c r="AS293" s="142"/>
      <c r="AT293" s="142"/>
      <c r="AU293" s="142"/>
      <c r="AV293" s="142"/>
      <c r="AW293" s="142"/>
      <c r="AX293" s="142"/>
      <c r="AY293" s="142"/>
      <c r="AZ293" s="142"/>
      <c r="BA293" s="142"/>
      <c r="BB293" s="142"/>
      <c r="BC293" s="142"/>
      <c r="BD293" s="142"/>
      <c r="BE293" s="142"/>
      <c r="BF293" s="142"/>
      <c r="BG293" s="161"/>
    </row>
    <row r="294" spans="1:59" x14ac:dyDescent="0.25">
      <c r="A294" s="158"/>
      <c r="B294" s="139"/>
      <c r="C294" s="139"/>
      <c r="D294" s="139"/>
      <c r="E294" s="139"/>
      <c r="F294" s="139"/>
      <c r="G294" s="139"/>
      <c r="H294" s="139"/>
      <c r="I294" s="139"/>
      <c r="J294" s="139"/>
      <c r="K294" s="139"/>
      <c r="L294" s="139"/>
      <c r="M294" s="139"/>
      <c r="N294" s="139"/>
      <c r="O294" s="139"/>
      <c r="P294" s="139"/>
      <c r="Q294" s="139"/>
      <c r="R294" s="251"/>
      <c r="S294" s="139"/>
      <c r="T294" s="139"/>
      <c r="U294" s="145"/>
      <c r="V294" s="139"/>
      <c r="W294" s="139"/>
      <c r="X294" s="102" t="s">
        <v>1195</v>
      </c>
      <c r="Y294" s="139"/>
      <c r="Z294" s="139"/>
      <c r="AA294" s="145"/>
      <c r="AB294" s="139"/>
      <c r="AC294" s="146"/>
      <c r="AD294" s="146"/>
      <c r="AE294" s="146"/>
      <c r="AF294" s="139"/>
      <c r="AG294" s="139"/>
      <c r="AH294" s="139"/>
      <c r="AI294" s="145"/>
      <c r="AJ294" s="139"/>
      <c r="AK294" s="139"/>
      <c r="AL294" s="139"/>
      <c r="AM294" s="139"/>
      <c r="AN294" s="139"/>
      <c r="AO294" s="139"/>
      <c r="AP294" s="139"/>
      <c r="AQ294" s="139"/>
      <c r="AR294" s="139"/>
      <c r="AS294" s="139"/>
      <c r="AT294" s="139"/>
      <c r="AU294" s="139"/>
      <c r="AV294" s="139"/>
      <c r="AW294" s="139"/>
      <c r="AX294" s="139"/>
      <c r="AY294" s="139"/>
      <c r="AZ294" s="139"/>
      <c r="BA294" s="139"/>
      <c r="BB294" s="139"/>
      <c r="BC294" s="139"/>
      <c r="BD294" s="139"/>
      <c r="BE294" s="139"/>
      <c r="BF294" s="139"/>
      <c r="BG294" s="162"/>
    </row>
    <row r="295" spans="1:59" x14ac:dyDescent="0.25">
      <c r="A295" s="157"/>
      <c r="B295" s="142"/>
      <c r="C295" s="142"/>
      <c r="D295" s="142"/>
      <c r="E295" s="142"/>
      <c r="F295" s="142"/>
      <c r="G295" s="142"/>
      <c r="H295" s="142"/>
      <c r="I295" s="142"/>
      <c r="J295" s="142"/>
      <c r="K295" s="142"/>
      <c r="L295" s="142"/>
      <c r="M295" s="142"/>
      <c r="N295" s="142"/>
      <c r="O295" s="142"/>
      <c r="P295" s="142"/>
      <c r="Q295" s="142"/>
      <c r="R295" s="250"/>
      <c r="S295" s="142"/>
      <c r="T295" s="142"/>
      <c r="U295" s="143"/>
      <c r="V295" s="142"/>
      <c r="W295" s="142"/>
      <c r="X295" s="94" t="s">
        <v>1195</v>
      </c>
      <c r="Y295" s="142"/>
      <c r="Z295" s="142"/>
      <c r="AA295" s="143"/>
      <c r="AB295" s="142"/>
      <c r="AC295" s="144"/>
      <c r="AD295" s="144"/>
      <c r="AE295" s="144"/>
      <c r="AF295" s="142"/>
      <c r="AG295" s="142"/>
      <c r="AH295" s="142"/>
      <c r="AI295" s="143"/>
      <c r="AJ295" s="142"/>
      <c r="AK295" s="142"/>
      <c r="AL295" s="142"/>
      <c r="AM295" s="142"/>
      <c r="AN295" s="142"/>
      <c r="AO295" s="142"/>
      <c r="AP295" s="142"/>
      <c r="AQ295" s="142"/>
      <c r="AR295" s="142"/>
      <c r="AS295" s="142"/>
      <c r="AT295" s="142"/>
      <c r="AU295" s="142"/>
      <c r="AV295" s="142"/>
      <c r="AW295" s="142"/>
      <c r="AX295" s="142"/>
      <c r="AY295" s="142"/>
      <c r="AZ295" s="142"/>
      <c r="BA295" s="142"/>
      <c r="BB295" s="142"/>
      <c r="BC295" s="142"/>
      <c r="BD295" s="142"/>
      <c r="BE295" s="142"/>
      <c r="BF295" s="142"/>
      <c r="BG295" s="161"/>
    </row>
    <row r="296" spans="1:59" x14ac:dyDescent="0.25">
      <c r="A296" s="158"/>
      <c r="B296" s="139"/>
      <c r="C296" s="139"/>
      <c r="D296" s="139"/>
      <c r="E296" s="139"/>
      <c r="F296" s="139"/>
      <c r="G296" s="139"/>
      <c r="H296" s="139"/>
      <c r="I296" s="139"/>
      <c r="J296" s="139"/>
      <c r="K296" s="139"/>
      <c r="L296" s="139"/>
      <c r="M296" s="139"/>
      <c r="N296" s="139"/>
      <c r="O296" s="139"/>
      <c r="P296" s="139"/>
      <c r="Q296" s="139"/>
      <c r="R296" s="251"/>
      <c r="S296" s="139"/>
      <c r="T296" s="139"/>
      <c r="U296" s="145"/>
      <c r="V296" s="139"/>
      <c r="W296" s="139"/>
      <c r="X296" s="102" t="s">
        <v>1195</v>
      </c>
      <c r="Y296" s="139"/>
      <c r="Z296" s="139"/>
      <c r="AA296" s="145"/>
      <c r="AB296" s="139"/>
      <c r="AC296" s="146"/>
      <c r="AD296" s="146"/>
      <c r="AE296" s="146"/>
      <c r="AF296" s="139"/>
      <c r="AG296" s="139"/>
      <c r="AH296" s="139"/>
      <c r="AI296" s="145"/>
      <c r="AJ296" s="139"/>
      <c r="AK296" s="139"/>
      <c r="AL296" s="139"/>
      <c r="AM296" s="139"/>
      <c r="AN296" s="139"/>
      <c r="AO296" s="139"/>
      <c r="AP296" s="139"/>
      <c r="AQ296" s="139"/>
      <c r="AR296" s="139"/>
      <c r="AS296" s="139"/>
      <c r="AT296" s="139"/>
      <c r="AU296" s="139"/>
      <c r="AV296" s="139"/>
      <c r="AW296" s="139"/>
      <c r="AX296" s="139"/>
      <c r="AY296" s="139"/>
      <c r="AZ296" s="139"/>
      <c r="BA296" s="139"/>
      <c r="BB296" s="139"/>
      <c r="BC296" s="139"/>
      <c r="BD296" s="139"/>
      <c r="BE296" s="139"/>
      <c r="BF296" s="139"/>
      <c r="BG296" s="162"/>
    </row>
    <row r="297" spans="1:59" x14ac:dyDescent="0.25">
      <c r="A297" s="157"/>
      <c r="B297" s="142"/>
      <c r="C297" s="142"/>
      <c r="D297" s="142"/>
      <c r="E297" s="142"/>
      <c r="F297" s="142"/>
      <c r="G297" s="142"/>
      <c r="H297" s="142"/>
      <c r="I297" s="142"/>
      <c r="J297" s="142"/>
      <c r="K297" s="142"/>
      <c r="L297" s="142"/>
      <c r="M297" s="142"/>
      <c r="N297" s="142"/>
      <c r="O297" s="142"/>
      <c r="P297" s="142"/>
      <c r="Q297" s="142"/>
      <c r="R297" s="250"/>
      <c r="S297" s="142"/>
      <c r="T297" s="142"/>
      <c r="U297" s="143"/>
      <c r="V297" s="142"/>
      <c r="W297" s="142"/>
      <c r="X297" s="94" t="s">
        <v>1195</v>
      </c>
      <c r="Y297" s="142"/>
      <c r="Z297" s="142"/>
      <c r="AA297" s="143"/>
      <c r="AB297" s="142"/>
      <c r="AC297" s="144"/>
      <c r="AD297" s="144"/>
      <c r="AE297" s="144"/>
      <c r="AF297" s="142"/>
      <c r="AG297" s="142"/>
      <c r="AH297" s="142"/>
      <c r="AI297" s="143"/>
      <c r="AJ297" s="142"/>
      <c r="AK297" s="142"/>
      <c r="AL297" s="142"/>
      <c r="AM297" s="142"/>
      <c r="AN297" s="142"/>
      <c r="AO297" s="142"/>
      <c r="AP297" s="142"/>
      <c r="AQ297" s="142"/>
      <c r="AR297" s="142"/>
      <c r="AS297" s="142"/>
      <c r="AT297" s="142"/>
      <c r="AU297" s="142"/>
      <c r="AV297" s="142"/>
      <c r="AW297" s="142"/>
      <c r="AX297" s="142"/>
      <c r="AY297" s="142"/>
      <c r="AZ297" s="142"/>
      <c r="BA297" s="142"/>
      <c r="BB297" s="142"/>
      <c r="BC297" s="142"/>
      <c r="BD297" s="142"/>
      <c r="BE297" s="142"/>
      <c r="BF297" s="142"/>
      <c r="BG297" s="161"/>
    </row>
    <row r="298" spans="1:59" x14ac:dyDescent="0.25">
      <c r="A298" s="158"/>
      <c r="B298" s="139"/>
      <c r="C298" s="139"/>
      <c r="D298" s="139"/>
      <c r="E298" s="139"/>
      <c r="F298" s="139"/>
      <c r="G298" s="139"/>
      <c r="H298" s="139"/>
      <c r="I298" s="139"/>
      <c r="J298" s="139"/>
      <c r="K298" s="139"/>
      <c r="L298" s="139"/>
      <c r="M298" s="139"/>
      <c r="N298" s="139"/>
      <c r="O298" s="139"/>
      <c r="P298" s="139"/>
      <c r="Q298" s="139"/>
      <c r="R298" s="251"/>
      <c r="S298" s="139"/>
      <c r="T298" s="139"/>
      <c r="U298" s="145"/>
      <c r="V298" s="139"/>
      <c r="W298" s="139"/>
      <c r="X298" s="102" t="s">
        <v>1195</v>
      </c>
      <c r="Y298" s="139"/>
      <c r="Z298" s="139"/>
      <c r="AA298" s="145"/>
      <c r="AB298" s="139"/>
      <c r="AC298" s="146"/>
      <c r="AD298" s="146"/>
      <c r="AE298" s="146"/>
      <c r="AF298" s="139"/>
      <c r="AG298" s="139"/>
      <c r="AH298" s="139"/>
      <c r="AI298" s="145"/>
      <c r="AJ298" s="139"/>
      <c r="AK298" s="139"/>
      <c r="AL298" s="139"/>
      <c r="AM298" s="139"/>
      <c r="AN298" s="139"/>
      <c r="AO298" s="139"/>
      <c r="AP298" s="139"/>
      <c r="AQ298" s="139"/>
      <c r="AR298" s="139"/>
      <c r="AS298" s="139"/>
      <c r="AT298" s="139"/>
      <c r="AU298" s="139"/>
      <c r="AV298" s="139"/>
      <c r="AW298" s="139"/>
      <c r="AX298" s="139"/>
      <c r="AY298" s="139"/>
      <c r="AZ298" s="139"/>
      <c r="BA298" s="139"/>
      <c r="BB298" s="139"/>
      <c r="BC298" s="139"/>
      <c r="BD298" s="139"/>
      <c r="BE298" s="139"/>
      <c r="BF298" s="139"/>
      <c r="BG298" s="162"/>
    </row>
    <row r="299" spans="1:59" x14ac:dyDescent="0.25">
      <c r="A299" s="157"/>
      <c r="B299" s="142"/>
      <c r="C299" s="142"/>
      <c r="D299" s="142"/>
      <c r="E299" s="142"/>
      <c r="F299" s="142"/>
      <c r="G299" s="142"/>
      <c r="H299" s="142"/>
      <c r="I299" s="142"/>
      <c r="J299" s="142"/>
      <c r="K299" s="142"/>
      <c r="L299" s="142"/>
      <c r="M299" s="142"/>
      <c r="N299" s="142"/>
      <c r="O299" s="142"/>
      <c r="P299" s="142"/>
      <c r="Q299" s="142"/>
      <c r="R299" s="250"/>
      <c r="S299" s="142"/>
      <c r="T299" s="142"/>
      <c r="U299" s="143"/>
      <c r="V299" s="142"/>
      <c r="W299" s="142"/>
      <c r="X299" s="94" t="s">
        <v>1195</v>
      </c>
      <c r="Y299" s="142"/>
      <c r="Z299" s="142"/>
      <c r="AA299" s="143"/>
      <c r="AB299" s="142"/>
      <c r="AC299" s="144"/>
      <c r="AD299" s="144"/>
      <c r="AE299" s="144"/>
      <c r="AF299" s="142"/>
      <c r="AG299" s="142"/>
      <c r="AH299" s="142"/>
      <c r="AI299" s="143"/>
      <c r="AJ299" s="142"/>
      <c r="AK299" s="142"/>
      <c r="AL299" s="142"/>
      <c r="AM299" s="142"/>
      <c r="AN299" s="142"/>
      <c r="AO299" s="142"/>
      <c r="AP299" s="142"/>
      <c r="AQ299" s="142"/>
      <c r="AR299" s="142"/>
      <c r="AS299" s="142"/>
      <c r="AT299" s="142"/>
      <c r="AU299" s="142"/>
      <c r="AV299" s="142"/>
      <c r="AW299" s="142"/>
      <c r="AX299" s="142"/>
      <c r="AY299" s="142"/>
      <c r="AZ299" s="142"/>
      <c r="BA299" s="142"/>
      <c r="BB299" s="142"/>
      <c r="BC299" s="142"/>
      <c r="BD299" s="142"/>
      <c r="BE299" s="142"/>
      <c r="BF299" s="142"/>
      <c r="BG299" s="161"/>
    </row>
    <row r="300" spans="1:59" x14ac:dyDescent="0.25">
      <c r="A300" s="158"/>
      <c r="B300" s="139"/>
      <c r="C300" s="139"/>
      <c r="D300" s="139"/>
      <c r="E300" s="139"/>
      <c r="F300" s="139"/>
      <c r="G300" s="139"/>
      <c r="H300" s="139"/>
      <c r="I300" s="139"/>
      <c r="J300" s="139"/>
      <c r="K300" s="139"/>
      <c r="L300" s="139"/>
      <c r="M300" s="139"/>
      <c r="N300" s="139"/>
      <c r="O300" s="139"/>
      <c r="P300" s="139"/>
      <c r="Q300" s="139"/>
      <c r="R300" s="251"/>
      <c r="S300" s="139"/>
      <c r="T300" s="139"/>
      <c r="U300" s="145"/>
      <c r="V300" s="139"/>
      <c r="W300" s="139"/>
      <c r="X300" s="102" t="s">
        <v>1195</v>
      </c>
      <c r="Y300" s="139"/>
      <c r="Z300" s="139"/>
      <c r="AA300" s="145"/>
      <c r="AB300" s="139"/>
      <c r="AC300" s="146"/>
      <c r="AD300" s="146"/>
      <c r="AE300" s="146"/>
      <c r="AF300" s="139"/>
      <c r="AG300" s="139"/>
      <c r="AH300" s="139"/>
      <c r="AI300" s="145"/>
      <c r="AJ300" s="139"/>
      <c r="AK300" s="139"/>
      <c r="AL300" s="139"/>
      <c r="AM300" s="139"/>
      <c r="AN300" s="139"/>
      <c r="AO300" s="139"/>
      <c r="AP300" s="139"/>
      <c r="AQ300" s="139"/>
      <c r="AR300" s="139"/>
      <c r="AS300" s="139"/>
      <c r="AT300" s="139"/>
      <c r="AU300" s="139"/>
      <c r="AV300" s="139"/>
      <c r="AW300" s="139"/>
      <c r="AX300" s="139"/>
      <c r="AY300" s="139"/>
      <c r="AZ300" s="139"/>
      <c r="BA300" s="139"/>
      <c r="BB300" s="139"/>
      <c r="BC300" s="139"/>
      <c r="BD300" s="139"/>
      <c r="BE300" s="139"/>
      <c r="BF300" s="139"/>
      <c r="BG300" s="162"/>
    </row>
    <row r="301" spans="1:59" x14ac:dyDescent="0.25">
      <c r="A301" s="157"/>
      <c r="B301" s="142"/>
      <c r="C301" s="142"/>
      <c r="D301" s="142"/>
      <c r="E301" s="142"/>
      <c r="F301" s="142"/>
      <c r="G301" s="142"/>
      <c r="H301" s="142"/>
      <c r="I301" s="142"/>
      <c r="J301" s="142"/>
      <c r="K301" s="142"/>
      <c r="L301" s="142"/>
      <c r="M301" s="142"/>
      <c r="N301" s="142"/>
      <c r="O301" s="142"/>
      <c r="P301" s="142"/>
      <c r="Q301" s="142"/>
      <c r="R301" s="250"/>
      <c r="S301" s="142"/>
      <c r="T301" s="142"/>
      <c r="U301" s="143"/>
      <c r="V301" s="142"/>
      <c r="W301" s="142"/>
      <c r="X301" s="94" t="s">
        <v>1195</v>
      </c>
      <c r="Y301" s="142"/>
      <c r="Z301" s="142"/>
      <c r="AA301" s="143"/>
      <c r="AB301" s="142"/>
      <c r="AC301" s="144"/>
      <c r="AD301" s="144"/>
      <c r="AE301" s="144"/>
      <c r="AF301" s="142"/>
      <c r="AG301" s="142"/>
      <c r="AH301" s="142"/>
      <c r="AI301" s="143"/>
      <c r="AJ301" s="142"/>
      <c r="AK301" s="142"/>
      <c r="AL301" s="142"/>
      <c r="AM301" s="142"/>
      <c r="AN301" s="142"/>
      <c r="AO301" s="142"/>
      <c r="AP301" s="142"/>
      <c r="AQ301" s="142"/>
      <c r="AR301" s="142"/>
      <c r="AS301" s="142"/>
      <c r="AT301" s="142"/>
      <c r="AU301" s="142"/>
      <c r="AV301" s="142"/>
      <c r="AW301" s="142"/>
      <c r="AX301" s="142"/>
      <c r="AY301" s="142"/>
      <c r="AZ301" s="142"/>
      <c r="BA301" s="142"/>
      <c r="BB301" s="142"/>
      <c r="BC301" s="142"/>
      <c r="BD301" s="142"/>
      <c r="BE301" s="142"/>
      <c r="BF301" s="142"/>
      <c r="BG301" s="161"/>
    </row>
    <row r="302" spans="1:59" x14ac:dyDescent="0.25">
      <c r="A302" s="158"/>
      <c r="B302" s="139"/>
      <c r="C302" s="139"/>
      <c r="D302" s="139"/>
      <c r="E302" s="139"/>
      <c r="F302" s="139"/>
      <c r="G302" s="139"/>
      <c r="H302" s="139"/>
      <c r="I302" s="139"/>
      <c r="J302" s="139"/>
      <c r="K302" s="139"/>
      <c r="L302" s="139"/>
      <c r="M302" s="139"/>
      <c r="N302" s="139"/>
      <c r="O302" s="139"/>
      <c r="P302" s="139"/>
      <c r="Q302" s="139"/>
      <c r="R302" s="251"/>
      <c r="S302" s="139"/>
      <c r="T302" s="139"/>
      <c r="U302" s="145"/>
      <c r="V302" s="139"/>
      <c r="W302" s="139"/>
      <c r="X302" s="102" t="s">
        <v>1195</v>
      </c>
      <c r="Y302" s="139"/>
      <c r="Z302" s="139"/>
      <c r="AA302" s="145"/>
      <c r="AB302" s="139"/>
      <c r="AC302" s="146"/>
      <c r="AD302" s="146"/>
      <c r="AE302" s="146"/>
      <c r="AF302" s="139"/>
      <c r="AG302" s="139"/>
      <c r="AH302" s="139"/>
      <c r="AI302" s="145"/>
      <c r="AJ302" s="139"/>
      <c r="AK302" s="139"/>
      <c r="AL302" s="139"/>
      <c r="AM302" s="139"/>
      <c r="AN302" s="139"/>
      <c r="AO302" s="139"/>
      <c r="AP302" s="139"/>
      <c r="AQ302" s="139"/>
      <c r="AR302" s="139"/>
      <c r="AS302" s="139"/>
      <c r="AT302" s="139"/>
      <c r="AU302" s="139"/>
      <c r="AV302" s="139"/>
      <c r="AW302" s="139"/>
      <c r="AX302" s="139"/>
      <c r="AY302" s="139"/>
      <c r="AZ302" s="139"/>
      <c r="BA302" s="139"/>
      <c r="BB302" s="139"/>
      <c r="BC302" s="139"/>
      <c r="BD302" s="139"/>
      <c r="BE302" s="139"/>
      <c r="BF302" s="139"/>
      <c r="BG302" s="162"/>
    </row>
    <row r="303" spans="1:59" x14ac:dyDescent="0.25">
      <c r="A303" s="157"/>
      <c r="B303" s="142"/>
      <c r="C303" s="142"/>
      <c r="D303" s="142"/>
      <c r="E303" s="142"/>
      <c r="F303" s="142"/>
      <c r="G303" s="142"/>
      <c r="H303" s="142"/>
      <c r="I303" s="142"/>
      <c r="J303" s="142"/>
      <c r="K303" s="142"/>
      <c r="L303" s="142"/>
      <c r="M303" s="142"/>
      <c r="N303" s="142"/>
      <c r="O303" s="142"/>
      <c r="P303" s="142"/>
      <c r="Q303" s="142"/>
      <c r="R303" s="250"/>
      <c r="S303" s="142"/>
      <c r="T303" s="142"/>
      <c r="U303" s="143"/>
      <c r="V303" s="142"/>
      <c r="W303" s="142"/>
      <c r="X303" s="94" t="s">
        <v>1195</v>
      </c>
      <c r="Y303" s="142"/>
      <c r="Z303" s="142"/>
      <c r="AA303" s="143"/>
      <c r="AB303" s="142"/>
      <c r="AC303" s="144"/>
      <c r="AD303" s="144"/>
      <c r="AE303" s="144"/>
      <c r="AF303" s="142"/>
      <c r="AG303" s="142"/>
      <c r="AH303" s="142"/>
      <c r="AI303" s="143"/>
      <c r="AJ303" s="142"/>
      <c r="AK303" s="142"/>
      <c r="AL303" s="142"/>
      <c r="AM303" s="142"/>
      <c r="AN303" s="142"/>
      <c r="AO303" s="142"/>
      <c r="AP303" s="142"/>
      <c r="AQ303" s="142"/>
      <c r="AR303" s="142"/>
      <c r="AS303" s="142"/>
      <c r="AT303" s="142"/>
      <c r="AU303" s="142"/>
      <c r="AV303" s="142"/>
      <c r="AW303" s="142"/>
      <c r="AX303" s="142"/>
      <c r="AY303" s="142"/>
      <c r="AZ303" s="142"/>
      <c r="BA303" s="142"/>
      <c r="BB303" s="142"/>
      <c r="BC303" s="142"/>
      <c r="BD303" s="142"/>
      <c r="BE303" s="142"/>
      <c r="BF303" s="142"/>
      <c r="BG303" s="161"/>
    </row>
    <row r="304" spans="1:59" x14ac:dyDescent="0.25">
      <c r="A304" s="158"/>
      <c r="B304" s="139"/>
      <c r="C304" s="139"/>
      <c r="D304" s="139"/>
      <c r="E304" s="139"/>
      <c r="F304" s="139"/>
      <c r="G304" s="139"/>
      <c r="H304" s="139"/>
      <c r="I304" s="139"/>
      <c r="J304" s="139"/>
      <c r="K304" s="139"/>
      <c r="L304" s="139"/>
      <c r="M304" s="139"/>
      <c r="N304" s="139"/>
      <c r="O304" s="139"/>
      <c r="P304" s="139"/>
      <c r="Q304" s="139"/>
      <c r="R304" s="251"/>
      <c r="S304" s="139"/>
      <c r="T304" s="139"/>
      <c r="U304" s="145"/>
      <c r="V304" s="139"/>
      <c r="W304" s="139"/>
      <c r="X304" s="102" t="s">
        <v>1195</v>
      </c>
      <c r="Y304" s="139"/>
      <c r="Z304" s="139"/>
      <c r="AA304" s="145"/>
      <c r="AB304" s="139"/>
      <c r="AC304" s="146"/>
      <c r="AD304" s="146"/>
      <c r="AE304" s="146"/>
      <c r="AF304" s="139"/>
      <c r="AG304" s="139"/>
      <c r="AH304" s="139"/>
      <c r="AI304" s="145"/>
      <c r="AJ304" s="139"/>
      <c r="AK304" s="139"/>
      <c r="AL304" s="139"/>
      <c r="AM304" s="139"/>
      <c r="AN304" s="139"/>
      <c r="AO304" s="139"/>
      <c r="AP304" s="139"/>
      <c r="AQ304" s="139"/>
      <c r="AR304" s="139"/>
      <c r="AS304" s="139"/>
      <c r="AT304" s="139"/>
      <c r="AU304" s="139"/>
      <c r="AV304" s="139"/>
      <c r="AW304" s="139"/>
      <c r="AX304" s="139"/>
      <c r="AY304" s="139"/>
      <c r="AZ304" s="139"/>
      <c r="BA304" s="139"/>
      <c r="BB304" s="139"/>
      <c r="BC304" s="139"/>
      <c r="BD304" s="139"/>
      <c r="BE304" s="139"/>
      <c r="BF304" s="139"/>
      <c r="BG304" s="162"/>
    </row>
    <row r="305" spans="1:59" x14ac:dyDescent="0.25">
      <c r="A305" s="157"/>
      <c r="B305" s="142"/>
      <c r="C305" s="142"/>
      <c r="D305" s="142"/>
      <c r="E305" s="142"/>
      <c r="F305" s="142"/>
      <c r="G305" s="142"/>
      <c r="H305" s="142"/>
      <c r="I305" s="142"/>
      <c r="J305" s="142"/>
      <c r="K305" s="142"/>
      <c r="L305" s="142"/>
      <c r="M305" s="142"/>
      <c r="N305" s="142"/>
      <c r="O305" s="142"/>
      <c r="P305" s="142"/>
      <c r="Q305" s="142"/>
      <c r="R305" s="250"/>
      <c r="S305" s="142"/>
      <c r="T305" s="142"/>
      <c r="U305" s="143"/>
      <c r="V305" s="142"/>
      <c r="W305" s="142"/>
      <c r="X305" s="94" t="s">
        <v>1195</v>
      </c>
      <c r="Y305" s="142"/>
      <c r="Z305" s="142"/>
      <c r="AA305" s="143"/>
      <c r="AB305" s="142"/>
      <c r="AC305" s="144"/>
      <c r="AD305" s="144"/>
      <c r="AE305" s="144"/>
      <c r="AF305" s="142"/>
      <c r="AG305" s="142"/>
      <c r="AH305" s="142"/>
      <c r="AI305" s="143"/>
      <c r="AJ305" s="142"/>
      <c r="AK305" s="142"/>
      <c r="AL305" s="142"/>
      <c r="AM305" s="142"/>
      <c r="AN305" s="142"/>
      <c r="AO305" s="142"/>
      <c r="AP305" s="142"/>
      <c r="AQ305" s="142"/>
      <c r="AR305" s="142"/>
      <c r="AS305" s="142"/>
      <c r="AT305" s="142"/>
      <c r="AU305" s="142"/>
      <c r="AV305" s="142"/>
      <c r="AW305" s="142"/>
      <c r="AX305" s="142"/>
      <c r="AY305" s="142"/>
      <c r="AZ305" s="142"/>
      <c r="BA305" s="142"/>
      <c r="BB305" s="142"/>
      <c r="BC305" s="142"/>
      <c r="BD305" s="142"/>
      <c r="BE305" s="142"/>
      <c r="BF305" s="142"/>
      <c r="BG305" s="161"/>
    </row>
    <row r="306" spans="1:59" x14ac:dyDescent="0.25">
      <c r="A306" s="158"/>
      <c r="B306" s="139"/>
      <c r="C306" s="139"/>
      <c r="D306" s="139"/>
      <c r="E306" s="139"/>
      <c r="F306" s="139"/>
      <c r="G306" s="139"/>
      <c r="H306" s="139"/>
      <c r="I306" s="139"/>
      <c r="J306" s="139"/>
      <c r="K306" s="139"/>
      <c r="L306" s="139"/>
      <c r="M306" s="139"/>
      <c r="N306" s="139"/>
      <c r="O306" s="139"/>
      <c r="P306" s="139"/>
      <c r="Q306" s="139"/>
      <c r="R306" s="251"/>
      <c r="S306" s="139"/>
      <c r="T306" s="139"/>
      <c r="U306" s="145"/>
      <c r="V306" s="139"/>
      <c r="W306" s="139"/>
      <c r="X306" s="102" t="s">
        <v>1195</v>
      </c>
      <c r="Y306" s="139"/>
      <c r="Z306" s="139"/>
      <c r="AA306" s="145"/>
      <c r="AB306" s="139"/>
      <c r="AC306" s="146"/>
      <c r="AD306" s="146"/>
      <c r="AE306" s="146"/>
      <c r="AF306" s="139"/>
      <c r="AG306" s="139"/>
      <c r="AH306" s="139"/>
      <c r="AI306" s="145"/>
      <c r="AJ306" s="139"/>
      <c r="AK306" s="139"/>
      <c r="AL306" s="139"/>
      <c r="AM306" s="139"/>
      <c r="AN306" s="139"/>
      <c r="AO306" s="139"/>
      <c r="AP306" s="139"/>
      <c r="AQ306" s="139"/>
      <c r="AR306" s="139"/>
      <c r="AS306" s="139"/>
      <c r="AT306" s="139"/>
      <c r="AU306" s="139"/>
      <c r="AV306" s="139"/>
      <c r="AW306" s="139"/>
      <c r="AX306" s="139"/>
      <c r="AY306" s="139"/>
      <c r="AZ306" s="139"/>
      <c r="BA306" s="139"/>
      <c r="BB306" s="139"/>
      <c r="BC306" s="139"/>
      <c r="BD306" s="139"/>
      <c r="BE306" s="139"/>
      <c r="BF306" s="139"/>
      <c r="BG306" s="162"/>
    </row>
    <row r="307" spans="1:59" x14ac:dyDescent="0.25">
      <c r="A307" s="157"/>
      <c r="B307" s="142"/>
      <c r="C307" s="142"/>
      <c r="D307" s="142"/>
      <c r="E307" s="142"/>
      <c r="F307" s="142"/>
      <c r="G307" s="142"/>
      <c r="H307" s="142"/>
      <c r="I307" s="142"/>
      <c r="J307" s="142"/>
      <c r="K307" s="142"/>
      <c r="L307" s="142"/>
      <c r="M307" s="142"/>
      <c r="N307" s="142"/>
      <c r="O307" s="142"/>
      <c r="P307" s="142"/>
      <c r="Q307" s="142"/>
      <c r="R307" s="250"/>
      <c r="S307" s="142"/>
      <c r="T307" s="142"/>
      <c r="U307" s="143"/>
      <c r="V307" s="142"/>
      <c r="W307" s="142"/>
      <c r="X307" s="94" t="s">
        <v>1195</v>
      </c>
      <c r="Y307" s="142"/>
      <c r="Z307" s="142"/>
      <c r="AA307" s="143"/>
      <c r="AB307" s="142"/>
      <c r="AC307" s="144"/>
      <c r="AD307" s="144"/>
      <c r="AE307" s="144"/>
      <c r="AF307" s="142"/>
      <c r="AG307" s="142"/>
      <c r="AH307" s="142"/>
      <c r="AI307" s="143"/>
      <c r="AJ307" s="142"/>
      <c r="AK307" s="142"/>
      <c r="AL307" s="142"/>
      <c r="AM307" s="142"/>
      <c r="AN307" s="142"/>
      <c r="AO307" s="142"/>
      <c r="AP307" s="142"/>
      <c r="AQ307" s="142"/>
      <c r="AR307" s="142"/>
      <c r="AS307" s="142"/>
      <c r="AT307" s="142"/>
      <c r="AU307" s="142"/>
      <c r="AV307" s="142"/>
      <c r="AW307" s="142"/>
      <c r="AX307" s="142"/>
      <c r="AY307" s="142"/>
      <c r="AZ307" s="142"/>
      <c r="BA307" s="142"/>
      <c r="BB307" s="142"/>
      <c r="BC307" s="142"/>
      <c r="BD307" s="142"/>
      <c r="BE307" s="142"/>
      <c r="BF307" s="142"/>
      <c r="BG307" s="161"/>
    </row>
    <row r="308" spans="1:59" x14ac:dyDescent="0.25">
      <c r="A308" s="158"/>
      <c r="B308" s="139"/>
      <c r="C308" s="139"/>
      <c r="D308" s="139"/>
      <c r="E308" s="139"/>
      <c r="F308" s="139"/>
      <c r="G308" s="139"/>
      <c r="H308" s="139"/>
      <c r="I308" s="139"/>
      <c r="J308" s="139"/>
      <c r="K308" s="139"/>
      <c r="L308" s="139"/>
      <c r="M308" s="139"/>
      <c r="N308" s="139"/>
      <c r="O308" s="139"/>
      <c r="P308" s="139"/>
      <c r="Q308" s="139"/>
      <c r="R308" s="251"/>
      <c r="S308" s="139"/>
      <c r="T308" s="139"/>
      <c r="U308" s="145"/>
      <c r="V308" s="139"/>
      <c r="W308" s="139"/>
      <c r="X308" s="102" t="s">
        <v>1195</v>
      </c>
      <c r="Y308" s="139"/>
      <c r="Z308" s="139"/>
      <c r="AA308" s="145"/>
      <c r="AB308" s="139"/>
      <c r="AC308" s="146"/>
      <c r="AD308" s="146"/>
      <c r="AE308" s="146"/>
      <c r="AF308" s="139"/>
      <c r="AG308" s="139"/>
      <c r="AH308" s="139"/>
      <c r="AI308" s="145"/>
      <c r="AJ308" s="139"/>
      <c r="AK308" s="139"/>
      <c r="AL308" s="139"/>
      <c r="AM308" s="139"/>
      <c r="AN308" s="139"/>
      <c r="AO308" s="139"/>
      <c r="AP308" s="139"/>
      <c r="AQ308" s="139"/>
      <c r="AR308" s="139"/>
      <c r="AS308" s="139"/>
      <c r="AT308" s="139"/>
      <c r="AU308" s="139"/>
      <c r="AV308" s="139"/>
      <c r="AW308" s="139"/>
      <c r="AX308" s="139"/>
      <c r="AY308" s="139"/>
      <c r="AZ308" s="139"/>
      <c r="BA308" s="139"/>
      <c r="BB308" s="139"/>
      <c r="BC308" s="139"/>
      <c r="BD308" s="139"/>
      <c r="BE308" s="139"/>
      <c r="BF308" s="139"/>
      <c r="BG308" s="162"/>
    </row>
    <row r="309" spans="1:59" x14ac:dyDescent="0.25">
      <c r="A309" s="157"/>
      <c r="B309" s="142"/>
      <c r="C309" s="142"/>
      <c r="D309" s="142"/>
      <c r="E309" s="142"/>
      <c r="F309" s="142"/>
      <c r="G309" s="142"/>
      <c r="H309" s="142"/>
      <c r="I309" s="142"/>
      <c r="J309" s="142"/>
      <c r="K309" s="142"/>
      <c r="L309" s="142"/>
      <c r="M309" s="142"/>
      <c r="N309" s="142"/>
      <c r="O309" s="142"/>
      <c r="P309" s="142"/>
      <c r="Q309" s="142"/>
      <c r="R309" s="250"/>
      <c r="S309" s="142"/>
      <c r="T309" s="142"/>
      <c r="U309" s="143"/>
      <c r="V309" s="142"/>
      <c r="W309" s="142"/>
      <c r="X309" s="94" t="s">
        <v>1195</v>
      </c>
      <c r="Y309" s="142"/>
      <c r="Z309" s="142"/>
      <c r="AA309" s="143"/>
      <c r="AB309" s="142"/>
      <c r="AC309" s="144"/>
      <c r="AD309" s="144"/>
      <c r="AE309" s="144"/>
      <c r="AF309" s="142"/>
      <c r="AG309" s="142"/>
      <c r="AH309" s="142"/>
      <c r="AI309" s="143"/>
      <c r="AJ309" s="142"/>
      <c r="AK309" s="142"/>
      <c r="AL309" s="142"/>
      <c r="AM309" s="142"/>
      <c r="AN309" s="142"/>
      <c r="AO309" s="142"/>
      <c r="AP309" s="142"/>
      <c r="AQ309" s="142"/>
      <c r="AR309" s="142"/>
      <c r="AS309" s="142"/>
      <c r="AT309" s="142"/>
      <c r="AU309" s="142"/>
      <c r="AV309" s="142"/>
      <c r="AW309" s="142"/>
      <c r="AX309" s="142"/>
      <c r="AY309" s="142"/>
      <c r="AZ309" s="142"/>
      <c r="BA309" s="142"/>
      <c r="BB309" s="142"/>
      <c r="BC309" s="142"/>
      <c r="BD309" s="142"/>
      <c r="BE309" s="142"/>
      <c r="BF309" s="142"/>
      <c r="BG309" s="161"/>
    </row>
    <row r="310" spans="1:59" x14ac:dyDescent="0.25">
      <c r="A310" s="158"/>
      <c r="B310" s="139"/>
      <c r="C310" s="139"/>
      <c r="D310" s="139"/>
      <c r="E310" s="139"/>
      <c r="F310" s="139"/>
      <c r="G310" s="139"/>
      <c r="H310" s="139"/>
      <c r="I310" s="139"/>
      <c r="J310" s="139"/>
      <c r="K310" s="139"/>
      <c r="L310" s="139"/>
      <c r="M310" s="139"/>
      <c r="N310" s="139"/>
      <c r="O310" s="139"/>
      <c r="P310" s="139"/>
      <c r="Q310" s="139"/>
      <c r="R310" s="251"/>
      <c r="S310" s="139"/>
      <c r="T310" s="139"/>
      <c r="U310" s="145"/>
      <c r="V310" s="139"/>
      <c r="W310" s="139"/>
      <c r="X310" s="102" t="s">
        <v>1195</v>
      </c>
      <c r="Y310" s="139"/>
      <c r="Z310" s="139"/>
      <c r="AA310" s="145"/>
      <c r="AB310" s="139"/>
      <c r="AC310" s="146"/>
      <c r="AD310" s="146"/>
      <c r="AE310" s="146"/>
      <c r="AF310" s="139"/>
      <c r="AG310" s="139"/>
      <c r="AH310" s="139"/>
      <c r="AI310" s="145"/>
      <c r="AJ310" s="139"/>
      <c r="AK310" s="139"/>
      <c r="AL310" s="139"/>
      <c r="AM310" s="139"/>
      <c r="AN310" s="139"/>
      <c r="AO310" s="139"/>
      <c r="AP310" s="139"/>
      <c r="AQ310" s="139"/>
      <c r="AR310" s="139"/>
      <c r="AS310" s="139"/>
      <c r="AT310" s="139"/>
      <c r="AU310" s="139"/>
      <c r="AV310" s="139"/>
      <c r="AW310" s="139"/>
      <c r="AX310" s="139"/>
      <c r="AY310" s="139"/>
      <c r="AZ310" s="139"/>
      <c r="BA310" s="139"/>
      <c r="BB310" s="139"/>
      <c r="BC310" s="139"/>
      <c r="BD310" s="139"/>
      <c r="BE310" s="139"/>
      <c r="BF310" s="139"/>
      <c r="BG310" s="162"/>
    </row>
    <row r="311" spans="1:59" x14ac:dyDescent="0.25">
      <c r="A311" s="157"/>
      <c r="B311" s="142"/>
      <c r="C311" s="142"/>
      <c r="D311" s="142"/>
      <c r="E311" s="142"/>
      <c r="F311" s="142"/>
      <c r="G311" s="142"/>
      <c r="H311" s="142"/>
      <c r="I311" s="142"/>
      <c r="J311" s="142"/>
      <c r="K311" s="142"/>
      <c r="L311" s="142"/>
      <c r="M311" s="142"/>
      <c r="N311" s="142"/>
      <c r="O311" s="142"/>
      <c r="P311" s="142"/>
      <c r="Q311" s="142"/>
      <c r="R311" s="250"/>
      <c r="S311" s="142"/>
      <c r="T311" s="142"/>
      <c r="U311" s="143"/>
      <c r="V311" s="142"/>
      <c r="W311" s="142"/>
      <c r="X311" s="94" t="s">
        <v>1195</v>
      </c>
      <c r="Y311" s="142"/>
      <c r="Z311" s="142"/>
      <c r="AA311" s="143"/>
      <c r="AB311" s="142"/>
      <c r="AC311" s="144"/>
      <c r="AD311" s="144"/>
      <c r="AE311" s="144"/>
      <c r="AF311" s="142"/>
      <c r="AG311" s="142"/>
      <c r="AH311" s="142"/>
      <c r="AI311" s="143"/>
      <c r="AJ311" s="142"/>
      <c r="AK311" s="142"/>
      <c r="AL311" s="142"/>
      <c r="AM311" s="142"/>
      <c r="AN311" s="142"/>
      <c r="AO311" s="142"/>
      <c r="AP311" s="142"/>
      <c r="AQ311" s="142"/>
      <c r="AR311" s="142"/>
      <c r="AS311" s="142"/>
      <c r="AT311" s="142"/>
      <c r="AU311" s="142"/>
      <c r="AV311" s="142"/>
      <c r="AW311" s="142"/>
      <c r="AX311" s="142"/>
      <c r="AY311" s="142"/>
      <c r="AZ311" s="142"/>
      <c r="BA311" s="142"/>
      <c r="BB311" s="142"/>
      <c r="BC311" s="142"/>
      <c r="BD311" s="142"/>
      <c r="BE311" s="142"/>
      <c r="BF311" s="142"/>
      <c r="BG311" s="161"/>
    </row>
    <row r="312" spans="1:59" x14ac:dyDescent="0.25">
      <c r="A312" s="158"/>
      <c r="B312" s="139"/>
      <c r="C312" s="139"/>
      <c r="D312" s="139"/>
      <c r="E312" s="139"/>
      <c r="F312" s="139"/>
      <c r="G312" s="139"/>
      <c r="H312" s="139"/>
      <c r="I312" s="139"/>
      <c r="J312" s="139"/>
      <c r="K312" s="139"/>
      <c r="L312" s="139"/>
      <c r="M312" s="139"/>
      <c r="N312" s="139"/>
      <c r="O312" s="139"/>
      <c r="P312" s="139"/>
      <c r="Q312" s="139"/>
      <c r="R312" s="251"/>
      <c r="S312" s="139"/>
      <c r="T312" s="139"/>
      <c r="U312" s="145"/>
      <c r="V312" s="139"/>
      <c r="W312" s="139"/>
      <c r="X312" s="102" t="s">
        <v>1195</v>
      </c>
      <c r="Y312" s="139"/>
      <c r="Z312" s="139"/>
      <c r="AA312" s="145"/>
      <c r="AB312" s="139"/>
      <c r="AC312" s="146"/>
      <c r="AD312" s="146"/>
      <c r="AE312" s="146"/>
      <c r="AF312" s="139"/>
      <c r="AG312" s="139"/>
      <c r="AH312" s="139"/>
      <c r="AI312" s="145"/>
      <c r="AJ312" s="139"/>
      <c r="AK312" s="139"/>
      <c r="AL312" s="139"/>
      <c r="AM312" s="139"/>
      <c r="AN312" s="139"/>
      <c r="AO312" s="139"/>
      <c r="AP312" s="139"/>
      <c r="AQ312" s="139"/>
      <c r="AR312" s="139"/>
      <c r="AS312" s="139"/>
      <c r="AT312" s="139"/>
      <c r="AU312" s="139"/>
      <c r="AV312" s="139"/>
      <c r="AW312" s="139"/>
      <c r="AX312" s="139"/>
      <c r="AY312" s="139"/>
      <c r="AZ312" s="139"/>
      <c r="BA312" s="139"/>
      <c r="BB312" s="139"/>
      <c r="BC312" s="139"/>
      <c r="BD312" s="139"/>
      <c r="BE312" s="139"/>
      <c r="BF312" s="139"/>
      <c r="BG312" s="162"/>
    </row>
    <row r="313" spans="1:59" x14ac:dyDescent="0.25">
      <c r="A313" s="157"/>
      <c r="B313" s="142"/>
      <c r="C313" s="142"/>
      <c r="D313" s="142"/>
      <c r="E313" s="142"/>
      <c r="F313" s="142"/>
      <c r="G313" s="142"/>
      <c r="H313" s="142"/>
      <c r="I313" s="142"/>
      <c r="J313" s="142"/>
      <c r="K313" s="142"/>
      <c r="L313" s="142"/>
      <c r="M313" s="142"/>
      <c r="N313" s="142"/>
      <c r="O313" s="142"/>
      <c r="P313" s="142"/>
      <c r="Q313" s="142"/>
      <c r="R313" s="250"/>
      <c r="S313" s="142"/>
      <c r="T313" s="142"/>
      <c r="U313" s="143"/>
      <c r="V313" s="142"/>
      <c r="W313" s="142"/>
      <c r="X313" s="94" t="s">
        <v>1195</v>
      </c>
      <c r="Y313" s="142"/>
      <c r="Z313" s="142"/>
      <c r="AA313" s="143"/>
      <c r="AB313" s="142"/>
      <c r="AC313" s="144"/>
      <c r="AD313" s="144"/>
      <c r="AE313" s="144"/>
      <c r="AF313" s="142"/>
      <c r="AG313" s="142"/>
      <c r="AH313" s="142"/>
      <c r="AI313" s="143"/>
      <c r="AJ313" s="142"/>
      <c r="AK313" s="142"/>
      <c r="AL313" s="142"/>
      <c r="AM313" s="142"/>
      <c r="AN313" s="142"/>
      <c r="AO313" s="142"/>
      <c r="AP313" s="142"/>
      <c r="AQ313" s="142"/>
      <c r="AR313" s="142"/>
      <c r="AS313" s="142"/>
      <c r="AT313" s="142"/>
      <c r="AU313" s="142"/>
      <c r="AV313" s="142"/>
      <c r="AW313" s="142"/>
      <c r="AX313" s="142"/>
      <c r="AY313" s="142"/>
      <c r="AZ313" s="142"/>
      <c r="BA313" s="142"/>
      <c r="BB313" s="142"/>
      <c r="BC313" s="142"/>
      <c r="BD313" s="142"/>
      <c r="BE313" s="142"/>
      <c r="BF313" s="142"/>
      <c r="BG313" s="161"/>
    </row>
    <row r="314" spans="1:59" x14ac:dyDescent="0.25">
      <c r="A314" s="158"/>
      <c r="B314" s="139"/>
      <c r="C314" s="139"/>
      <c r="D314" s="139"/>
      <c r="E314" s="139"/>
      <c r="F314" s="139"/>
      <c r="G314" s="139"/>
      <c r="H314" s="139"/>
      <c r="I314" s="139"/>
      <c r="J314" s="139"/>
      <c r="K314" s="139"/>
      <c r="L314" s="139"/>
      <c r="M314" s="139"/>
      <c r="N314" s="139"/>
      <c r="O314" s="139"/>
      <c r="P314" s="139"/>
      <c r="Q314" s="139"/>
      <c r="R314" s="251"/>
      <c r="S314" s="139"/>
      <c r="T314" s="139"/>
      <c r="U314" s="145"/>
      <c r="V314" s="139"/>
      <c r="W314" s="139"/>
      <c r="X314" s="102" t="s">
        <v>1195</v>
      </c>
      <c r="Y314" s="139"/>
      <c r="Z314" s="139"/>
      <c r="AA314" s="145"/>
      <c r="AB314" s="139"/>
      <c r="AC314" s="146"/>
      <c r="AD314" s="146"/>
      <c r="AE314" s="146"/>
      <c r="AF314" s="139"/>
      <c r="AG314" s="139"/>
      <c r="AH314" s="139"/>
      <c r="AI314" s="145"/>
      <c r="AJ314" s="139"/>
      <c r="AK314" s="139"/>
      <c r="AL314" s="139"/>
      <c r="AM314" s="139"/>
      <c r="AN314" s="139"/>
      <c r="AO314" s="139"/>
      <c r="AP314" s="139"/>
      <c r="AQ314" s="139"/>
      <c r="AR314" s="139"/>
      <c r="AS314" s="139"/>
      <c r="AT314" s="139"/>
      <c r="AU314" s="139"/>
      <c r="AV314" s="139"/>
      <c r="AW314" s="139"/>
      <c r="AX314" s="139"/>
      <c r="AY314" s="139"/>
      <c r="AZ314" s="139"/>
      <c r="BA314" s="139"/>
      <c r="BB314" s="139"/>
      <c r="BC314" s="139"/>
      <c r="BD314" s="139"/>
      <c r="BE314" s="139"/>
      <c r="BF314" s="139"/>
      <c r="BG314" s="162"/>
    </row>
    <row r="315" spans="1:59" x14ac:dyDescent="0.25">
      <c r="A315" s="157"/>
      <c r="B315" s="142"/>
      <c r="C315" s="142"/>
      <c r="D315" s="142"/>
      <c r="E315" s="142"/>
      <c r="F315" s="142"/>
      <c r="G315" s="142"/>
      <c r="H315" s="142"/>
      <c r="I315" s="142"/>
      <c r="J315" s="142"/>
      <c r="K315" s="142"/>
      <c r="L315" s="142"/>
      <c r="M315" s="142"/>
      <c r="N315" s="142"/>
      <c r="O315" s="142"/>
      <c r="P315" s="142"/>
      <c r="Q315" s="142"/>
      <c r="R315" s="250"/>
      <c r="S315" s="142"/>
      <c r="T315" s="142"/>
      <c r="U315" s="143"/>
      <c r="V315" s="142"/>
      <c r="W315" s="142"/>
      <c r="X315" s="94" t="s">
        <v>1195</v>
      </c>
      <c r="Y315" s="142"/>
      <c r="Z315" s="142"/>
      <c r="AA315" s="143"/>
      <c r="AB315" s="142"/>
      <c r="AC315" s="144"/>
      <c r="AD315" s="144"/>
      <c r="AE315" s="144"/>
      <c r="AF315" s="142"/>
      <c r="AG315" s="142"/>
      <c r="AH315" s="142"/>
      <c r="AI315" s="143"/>
      <c r="AJ315" s="142"/>
      <c r="AK315" s="142"/>
      <c r="AL315" s="142"/>
      <c r="AM315" s="142"/>
      <c r="AN315" s="142"/>
      <c r="AO315" s="142"/>
      <c r="AP315" s="142"/>
      <c r="AQ315" s="142"/>
      <c r="AR315" s="142"/>
      <c r="AS315" s="142"/>
      <c r="AT315" s="142"/>
      <c r="AU315" s="142"/>
      <c r="AV315" s="142"/>
      <c r="AW315" s="142"/>
      <c r="AX315" s="142"/>
      <c r="AY315" s="142"/>
      <c r="AZ315" s="142"/>
      <c r="BA315" s="142"/>
      <c r="BB315" s="142"/>
      <c r="BC315" s="142"/>
      <c r="BD315" s="142"/>
      <c r="BE315" s="142"/>
      <c r="BF315" s="142"/>
      <c r="BG315" s="161"/>
    </row>
    <row r="316" spans="1:59" x14ac:dyDescent="0.25">
      <c r="A316" s="158"/>
      <c r="B316" s="139"/>
      <c r="C316" s="139"/>
      <c r="D316" s="139"/>
      <c r="E316" s="139"/>
      <c r="F316" s="139"/>
      <c r="G316" s="139"/>
      <c r="H316" s="139"/>
      <c r="I316" s="139"/>
      <c r="J316" s="139"/>
      <c r="K316" s="139"/>
      <c r="L316" s="139"/>
      <c r="M316" s="139"/>
      <c r="N316" s="139"/>
      <c r="O316" s="139"/>
      <c r="P316" s="139"/>
      <c r="Q316" s="139"/>
      <c r="R316" s="251"/>
      <c r="S316" s="139"/>
      <c r="T316" s="139"/>
      <c r="U316" s="145"/>
      <c r="V316" s="139"/>
      <c r="W316" s="139"/>
      <c r="X316" s="102" t="s">
        <v>1195</v>
      </c>
      <c r="Y316" s="139"/>
      <c r="Z316" s="139"/>
      <c r="AA316" s="145"/>
      <c r="AB316" s="139"/>
      <c r="AC316" s="146"/>
      <c r="AD316" s="146"/>
      <c r="AE316" s="146"/>
      <c r="AF316" s="139"/>
      <c r="AG316" s="139"/>
      <c r="AH316" s="139"/>
      <c r="AI316" s="145"/>
      <c r="AJ316" s="139"/>
      <c r="AK316" s="139"/>
      <c r="AL316" s="139"/>
      <c r="AM316" s="139"/>
      <c r="AN316" s="139"/>
      <c r="AO316" s="139"/>
      <c r="AP316" s="139"/>
      <c r="AQ316" s="139"/>
      <c r="AR316" s="139"/>
      <c r="AS316" s="139"/>
      <c r="AT316" s="139"/>
      <c r="AU316" s="139"/>
      <c r="AV316" s="139"/>
      <c r="AW316" s="139"/>
      <c r="AX316" s="139"/>
      <c r="AY316" s="139"/>
      <c r="AZ316" s="139"/>
      <c r="BA316" s="139"/>
      <c r="BB316" s="139"/>
      <c r="BC316" s="139"/>
      <c r="BD316" s="139"/>
      <c r="BE316" s="139"/>
      <c r="BF316" s="139"/>
      <c r="BG316" s="162"/>
    </row>
    <row r="317" spans="1:59" x14ac:dyDescent="0.25">
      <c r="A317" s="157"/>
      <c r="B317" s="142"/>
      <c r="C317" s="142"/>
      <c r="D317" s="142"/>
      <c r="E317" s="142"/>
      <c r="F317" s="142"/>
      <c r="G317" s="142"/>
      <c r="H317" s="142"/>
      <c r="I317" s="142"/>
      <c r="J317" s="142"/>
      <c r="K317" s="142"/>
      <c r="L317" s="142"/>
      <c r="M317" s="142"/>
      <c r="N317" s="142"/>
      <c r="O317" s="142"/>
      <c r="P317" s="142"/>
      <c r="Q317" s="142"/>
      <c r="R317" s="250"/>
      <c r="S317" s="142"/>
      <c r="T317" s="142"/>
      <c r="U317" s="143"/>
      <c r="V317" s="142"/>
      <c r="W317" s="142"/>
      <c r="X317" s="94" t="s">
        <v>1195</v>
      </c>
      <c r="Y317" s="142"/>
      <c r="Z317" s="142"/>
      <c r="AA317" s="143"/>
      <c r="AB317" s="142"/>
      <c r="AC317" s="144"/>
      <c r="AD317" s="144"/>
      <c r="AE317" s="144"/>
      <c r="AF317" s="142"/>
      <c r="AG317" s="142"/>
      <c r="AH317" s="142"/>
      <c r="AI317" s="143"/>
      <c r="AJ317" s="142"/>
      <c r="AK317" s="142"/>
      <c r="AL317" s="142"/>
      <c r="AM317" s="142"/>
      <c r="AN317" s="142"/>
      <c r="AO317" s="142"/>
      <c r="AP317" s="142"/>
      <c r="AQ317" s="142"/>
      <c r="AR317" s="142"/>
      <c r="AS317" s="142"/>
      <c r="AT317" s="142"/>
      <c r="AU317" s="142"/>
      <c r="AV317" s="142"/>
      <c r="AW317" s="142"/>
      <c r="AX317" s="142"/>
      <c r="AY317" s="142"/>
      <c r="AZ317" s="142"/>
      <c r="BA317" s="142"/>
      <c r="BB317" s="142"/>
      <c r="BC317" s="142"/>
      <c r="BD317" s="142"/>
      <c r="BE317" s="142"/>
      <c r="BF317" s="142"/>
      <c r="BG317" s="161"/>
    </row>
    <row r="318" spans="1:59" x14ac:dyDescent="0.25">
      <c r="A318" s="158"/>
      <c r="B318" s="139"/>
      <c r="C318" s="139"/>
      <c r="D318" s="139"/>
      <c r="E318" s="139"/>
      <c r="F318" s="139"/>
      <c r="G318" s="139"/>
      <c r="H318" s="139"/>
      <c r="I318" s="139"/>
      <c r="J318" s="139"/>
      <c r="K318" s="139"/>
      <c r="L318" s="139"/>
      <c r="M318" s="139"/>
      <c r="N318" s="139"/>
      <c r="O318" s="139"/>
      <c r="P318" s="139"/>
      <c r="Q318" s="139"/>
      <c r="R318" s="251"/>
      <c r="S318" s="139"/>
      <c r="T318" s="139"/>
      <c r="U318" s="145"/>
      <c r="V318" s="139"/>
      <c r="W318" s="139"/>
      <c r="X318" s="102" t="s">
        <v>1195</v>
      </c>
      <c r="Y318" s="139"/>
      <c r="Z318" s="139"/>
      <c r="AA318" s="145"/>
      <c r="AB318" s="139"/>
      <c r="AC318" s="146"/>
      <c r="AD318" s="146"/>
      <c r="AE318" s="146"/>
      <c r="AF318" s="139"/>
      <c r="AG318" s="139"/>
      <c r="AH318" s="139"/>
      <c r="AI318" s="145"/>
      <c r="AJ318" s="139"/>
      <c r="AK318" s="139"/>
      <c r="AL318" s="139"/>
      <c r="AM318" s="139"/>
      <c r="AN318" s="139"/>
      <c r="AO318" s="139"/>
      <c r="AP318" s="139"/>
      <c r="AQ318" s="139"/>
      <c r="AR318" s="139"/>
      <c r="AS318" s="139"/>
      <c r="AT318" s="139"/>
      <c r="AU318" s="139"/>
      <c r="AV318" s="139"/>
      <c r="AW318" s="139"/>
      <c r="AX318" s="139"/>
      <c r="AY318" s="139"/>
      <c r="AZ318" s="139"/>
      <c r="BA318" s="139"/>
      <c r="BB318" s="139"/>
      <c r="BC318" s="139"/>
      <c r="BD318" s="139"/>
      <c r="BE318" s="139"/>
      <c r="BF318" s="139"/>
      <c r="BG318" s="162"/>
    </row>
    <row r="319" spans="1:59" x14ac:dyDescent="0.25">
      <c r="A319" s="163"/>
      <c r="B319" s="147"/>
      <c r="C319" s="147"/>
      <c r="D319" s="147"/>
      <c r="E319" s="147"/>
      <c r="F319" s="147"/>
      <c r="G319" s="147"/>
      <c r="H319" s="147"/>
      <c r="I319" s="147"/>
      <c r="J319" s="147"/>
      <c r="K319" s="147"/>
      <c r="L319" s="147"/>
      <c r="M319" s="147"/>
      <c r="N319" s="147"/>
      <c r="O319" s="147"/>
      <c r="P319" s="147"/>
      <c r="Q319" s="147"/>
      <c r="R319" s="252"/>
      <c r="S319" s="147"/>
      <c r="T319" s="147"/>
      <c r="U319" s="148"/>
      <c r="V319" s="147"/>
      <c r="W319" s="147"/>
      <c r="X319" s="149" t="s">
        <v>1195</v>
      </c>
      <c r="Y319" s="147"/>
      <c r="Z319" s="147"/>
      <c r="AA319" s="148"/>
      <c r="AB319" s="147"/>
      <c r="AC319" s="150"/>
      <c r="AD319" s="150"/>
      <c r="AE319" s="150"/>
      <c r="AF319" s="147"/>
      <c r="AG319" s="147"/>
      <c r="AH319" s="147"/>
      <c r="AI319" s="148"/>
      <c r="AJ319" s="147"/>
      <c r="AK319" s="147"/>
      <c r="AL319" s="147"/>
      <c r="AM319" s="147"/>
      <c r="AN319" s="147"/>
      <c r="AO319" s="147"/>
      <c r="AP319" s="147"/>
      <c r="AQ319" s="147"/>
      <c r="AR319" s="147"/>
      <c r="AS319" s="147"/>
      <c r="AT319" s="147"/>
      <c r="AU319" s="147"/>
      <c r="AV319" s="147"/>
      <c r="AW319" s="147"/>
      <c r="AX319" s="147"/>
      <c r="AY319" s="147"/>
      <c r="AZ319" s="147"/>
      <c r="BA319" s="147"/>
      <c r="BB319" s="147"/>
      <c r="BC319" s="147"/>
      <c r="BD319" s="147"/>
      <c r="BE319" s="147"/>
      <c r="BF319" s="147"/>
      <c r="BG319" s="164"/>
    </row>
  </sheetData>
  <sheetProtection algorithmName="SHA-512" hashValue="uH73IKDpBlAo4vh6YiPK837Ei9ByPkXlght+AuRQcEkwFBA0ES9nuOn/Z1Bytg0mkKw3w5dNWu9p67hxV7xadA==" saltValue="ir3I+AgAjH07t34T24F3Iw==" spinCount="100000" sheet="1" objects="1" scenarios="1"/>
  <hyperlinks>
    <hyperlink ref="W48" r:id="rId1"/>
    <hyperlink ref="W63" r:id="rId2"/>
    <hyperlink ref="W71" r:id="rId3"/>
    <hyperlink ref="W82" r:id="rId4"/>
    <hyperlink ref="W83" r:id="rId5"/>
    <hyperlink ref="W84" r:id="rId6"/>
    <hyperlink ref="W85" r:id="rId7"/>
    <hyperlink ref="W86" r:id="rId8"/>
    <hyperlink ref="W88" r:id="rId9"/>
    <hyperlink ref="W89" r:id="rId10"/>
    <hyperlink ref="W90" r:id="rId11"/>
    <hyperlink ref="W91" r:id="rId12"/>
    <hyperlink ref="W92" r:id="rId13"/>
    <hyperlink ref="W93" r:id="rId14"/>
    <hyperlink ref="W94" r:id="rId15"/>
    <hyperlink ref="W95" r:id="rId16"/>
    <hyperlink ref="W97" r:id="rId17"/>
    <hyperlink ref="W98" r:id="rId18"/>
    <hyperlink ref="W110" r:id="rId19"/>
    <hyperlink ref="W108" r:id="rId20"/>
    <hyperlink ref="W99" r:id="rId21"/>
    <hyperlink ref="W100" r:id="rId22"/>
    <hyperlink ref="W101" r:id="rId23"/>
    <hyperlink ref="W102" r:id="rId24"/>
    <hyperlink ref="W103" r:id="rId25"/>
    <hyperlink ref="W104" r:id="rId26"/>
    <hyperlink ref="W105" r:id="rId27"/>
    <hyperlink ref="W107" r:id="rId28"/>
    <hyperlink ref="W109" r:id="rId29"/>
    <hyperlink ref="W106" r:id="rId30"/>
    <hyperlink ref="W72" r:id="rId31"/>
    <hyperlink ref="W74" r:id="rId32"/>
    <hyperlink ref="W75" r:id="rId33"/>
    <hyperlink ref="W77" r:id="rId34"/>
    <hyperlink ref="W78" r:id="rId35"/>
    <hyperlink ref="W79" r:id="rId36"/>
    <hyperlink ref="W80" r:id="rId37"/>
    <hyperlink ref="W81" r:id="rId38"/>
    <hyperlink ref="W73" r:id="rId39"/>
  </hyperlinks>
  <pageMargins left="0.7" right="0.7" top="0.75" bottom="0.75" header="0.3" footer="0.3"/>
  <pageSetup orientation="portrait" r:id="rId40"/>
  <tableParts count="1">
    <tablePart r:id="rId4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J148"/>
  <sheetViews>
    <sheetView topLeftCell="A12" zoomScaleNormal="100" workbookViewId="0">
      <selection activeCell="L28" sqref="L28:M28"/>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286</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273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285" t="s">
        <v>286</v>
      </c>
      <c r="G6" s="285"/>
      <c r="H6" s="285"/>
      <c r="I6" s="285"/>
      <c r="J6" s="285"/>
      <c r="K6" s="285"/>
      <c r="L6" s="285"/>
      <c r="M6" s="285"/>
      <c r="N6" s="285"/>
      <c r="O6" s="285"/>
      <c r="P6" s="374" t="s">
        <v>285</v>
      </c>
      <c r="Q6" s="374"/>
      <c r="R6" s="374"/>
      <c r="S6" s="374"/>
      <c r="T6" s="374"/>
      <c r="U6" s="374"/>
      <c r="V6" s="374"/>
      <c r="W6" s="375" t="s">
        <v>275</v>
      </c>
      <c r="X6" s="375"/>
      <c r="Y6" s="375"/>
      <c r="Z6" s="376">
        <v>1</v>
      </c>
      <c r="AA6" s="376"/>
    </row>
    <row r="7" spans="1:28" ht="15.95" customHeight="1" x14ac:dyDescent="0.3">
      <c r="A7" s="374" t="s">
        <v>6</v>
      </c>
      <c r="B7" s="374"/>
      <c r="C7" s="374"/>
      <c r="D7" s="374"/>
      <c r="E7" s="374"/>
      <c r="F7" s="377" t="str">
        <f>VLOOKUP($F$14,CONTRA,58,FALSE)</f>
        <v xml:space="preserve">INVITACION PUBLICA </v>
      </c>
      <c r="G7" s="377"/>
      <c r="H7" s="377"/>
      <c r="I7" s="377"/>
      <c r="J7" s="377"/>
      <c r="K7" s="377"/>
      <c r="L7" s="377"/>
      <c r="M7" s="377"/>
      <c r="N7" s="377"/>
      <c r="O7" s="377"/>
      <c r="P7" s="378">
        <f ca="1">NOW()</f>
        <v>43405.671954050929</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104</v>
      </c>
      <c r="AA9" s="369"/>
    </row>
    <row r="10" spans="1:28" ht="14.1" customHeight="1" x14ac:dyDescent="0.3">
      <c r="A10" s="325" t="s">
        <v>13</v>
      </c>
      <c r="B10" s="325"/>
      <c r="C10" s="325"/>
      <c r="D10" s="325"/>
      <c r="E10" s="325"/>
      <c r="F10" s="308">
        <f>VLOOKUP($F$14,CONTRA,2,FALSE)</f>
        <v>469</v>
      </c>
      <c r="G10" s="308"/>
      <c r="H10" s="19" t="s">
        <v>25</v>
      </c>
      <c r="I10" s="308">
        <f>VLOOKUP($F$14,CONTRA,3,FALSE)</f>
        <v>482</v>
      </c>
      <c r="J10" s="308"/>
      <c r="K10" s="19" t="s">
        <v>26</v>
      </c>
      <c r="L10" s="20"/>
      <c r="M10" s="308" t="str">
        <f>VLOOKUP($F$14,CONTRA,4,FALSE)</f>
        <v xml:space="preserve">2.1.2.2.02 </v>
      </c>
      <c r="N10" s="308"/>
      <c r="O10" s="308"/>
      <c r="P10" s="325" t="s">
        <v>12</v>
      </c>
      <c r="Q10" s="325"/>
      <c r="R10" s="325"/>
      <c r="S10" s="325"/>
      <c r="T10" s="333">
        <f>VLOOKUP($F$14,CONTRA,5,FALSE)</f>
        <v>2018</v>
      </c>
      <c r="U10" s="333"/>
      <c r="V10" s="333"/>
      <c r="W10" s="325" t="s">
        <v>138</v>
      </c>
      <c r="X10" s="325"/>
      <c r="Y10" s="325"/>
      <c r="Z10" s="370"/>
      <c r="AA10" s="371"/>
    </row>
    <row r="11" spans="1:28"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14-78</v>
      </c>
      <c r="U11" s="333"/>
      <c r="V11" s="333"/>
      <c r="W11" s="333"/>
      <c r="X11" s="333"/>
      <c r="Y11" s="333"/>
      <c r="Z11" s="333"/>
      <c r="AA11" s="333"/>
    </row>
    <row r="12" spans="1:28"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customHeight="1" x14ac:dyDescent="0.3">
      <c r="A13" s="325" t="s">
        <v>10</v>
      </c>
      <c r="B13" s="325"/>
      <c r="C13" s="325"/>
      <c r="D13" s="325"/>
      <c r="E13" s="325"/>
      <c r="F13" s="333" t="str">
        <f>VLOOKUP($F$14,CONTRA,12,FALSE)</f>
        <v>JOSE JAIR SERNA MENDOZA</v>
      </c>
      <c r="G13" s="333"/>
      <c r="H13" s="333"/>
      <c r="I13" s="333"/>
      <c r="J13" s="333"/>
      <c r="K13" s="19" t="s">
        <v>16</v>
      </c>
      <c r="L13" s="20"/>
      <c r="M13" s="333" t="str">
        <f>VLOOKUP($F$14,CONTRA,13,FALSE)</f>
        <v>SUB. ADMIN</v>
      </c>
      <c r="N13" s="333"/>
      <c r="O13" s="333"/>
      <c r="P13" s="325" t="s">
        <v>24</v>
      </c>
      <c r="Q13" s="325"/>
      <c r="R13" s="325"/>
      <c r="S13" s="325"/>
      <c r="T13" s="364" t="str">
        <f>VLOOKUP($F$14,CONTRA,14,FALSE)</f>
        <v>21 DE OCTUBRE DE 2018</v>
      </c>
      <c r="U13" s="364"/>
      <c r="V13" s="364"/>
      <c r="W13" s="364"/>
      <c r="X13" s="364"/>
      <c r="Y13" s="364"/>
      <c r="Z13" s="365" t="str">
        <f>VLOOKUP($F$14,CONTRA,15,FALSE)</f>
        <v>0239-18</v>
      </c>
      <c r="AA13" s="366"/>
    </row>
    <row r="14" spans="1:28" ht="15.95" customHeight="1" x14ac:dyDescent="0.3">
      <c r="A14" s="325" t="s">
        <v>8</v>
      </c>
      <c r="B14" s="325"/>
      <c r="C14" s="325"/>
      <c r="D14" s="325"/>
      <c r="E14" s="325"/>
      <c r="F14" s="363" t="s">
        <v>1589</v>
      </c>
      <c r="G14" s="363"/>
      <c r="H14" s="363"/>
      <c r="I14" s="363"/>
      <c r="J14" s="363"/>
      <c r="K14" s="363"/>
      <c r="L14" s="363"/>
      <c r="M14" s="363"/>
      <c r="N14" s="363"/>
      <c r="O14" s="363"/>
      <c r="P14" s="325" t="s">
        <v>11</v>
      </c>
      <c r="Q14" s="325"/>
      <c r="R14" s="325"/>
      <c r="S14" s="325"/>
      <c r="T14" s="362">
        <f>VLOOKUP($F$14,CONTRA,16,FALSE)</f>
        <v>900354843</v>
      </c>
      <c r="U14" s="362"/>
      <c r="V14" s="362"/>
      <c r="W14" s="325" t="s">
        <v>18</v>
      </c>
      <c r="X14" s="325"/>
      <c r="Y14" s="325"/>
      <c r="Z14" s="356">
        <f>VLOOKUP($F$14,CONTRA,17,FALSE)</f>
        <v>42943</v>
      </c>
      <c r="AA14" s="356"/>
    </row>
    <row r="15" spans="1:28" ht="15.95" customHeight="1" x14ac:dyDescent="0.3">
      <c r="A15" s="325" t="s">
        <v>19</v>
      </c>
      <c r="B15" s="325"/>
      <c r="C15" s="325"/>
      <c r="D15" s="325"/>
      <c r="E15" s="325"/>
      <c r="F15" s="312" t="str">
        <f>VLOOKUP($F$14,CONTRA,18,FALSE)</f>
        <v>JURIDICA</v>
      </c>
      <c r="G15" s="314"/>
      <c r="H15" s="312" t="str">
        <f>VLOOKUP($F$14,CONTRA,57,FALSE)</f>
        <v>COMUN</v>
      </c>
      <c r="I15" s="313"/>
      <c r="J15" s="314"/>
      <c r="K15" s="19" t="s">
        <v>15</v>
      </c>
      <c r="L15" s="20"/>
      <c r="M15" s="333">
        <f>VLOOKUP($F$14,CONTRA,19,FALSE)</f>
        <v>0</v>
      </c>
      <c r="N15" s="333"/>
      <c r="O15" s="333"/>
      <c r="P15" s="325" t="s">
        <v>14</v>
      </c>
      <c r="Q15" s="325"/>
      <c r="R15" s="325"/>
      <c r="S15" s="325"/>
      <c r="T15" s="333" t="str">
        <f>VLOOKUP($F$14,CONTRA,20,FALSE)</f>
        <v xml:space="preserve">MZ 38 CS 16 BOMBAY 2DA ETAPA </v>
      </c>
      <c r="U15" s="333"/>
      <c r="V15" s="333"/>
      <c r="W15" s="333"/>
      <c r="X15" s="333"/>
      <c r="Y15" s="333"/>
      <c r="Z15" s="333"/>
      <c r="AA15" s="333"/>
    </row>
    <row r="16" spans="1:28" x14ac:dyDescent="0.3">
      <c r="A16" s="325" t="s">
        <v>21</v>
      </c>
      <c r="B16" s="325"/>
      <c r="C16" s="325"/>
      <c r="D16" s="325"/>
      <c r="E16" s="325"/>
      <c r="F16" s="361">
        <f>VLOOKUP($F$14,CONTRA,21,FALSE)</f>
        <v>3104057197</v>
      </c>
      <c r="G16" s="362"/>
      <c r="H16" s="362"/>
      <c r="I16" s="362"/>
      <c r="J16" s="362"/>
      <c r="K16" s="325" t="s">
        <v>22</v>
      </c>
      <c r="L16" s="325"/>
      <c r="M16" s="333">
        <f>VLOOKUP($F$14,CONTRA,22,FALSE)</f>
        <v>0</v>
      </c>
      <c r="N16" s="333"/>
      <c r="O16" s="333"/>
      <c r="P16" s="325" t="s">
        <v>23</v>
      </c>
      <c r="Q16" s="325"/>
      <c r="R16" s="325"/>
      <c r="S16" s="325"/>
      <c r="T16" s="333" t="str">
        <f>VLOOKUP($F$14,CONTRA,23,FALSE)</f>
        <v>CONTACTO@VISIONGRAFIC.COM.CO</v>
      </c>
      <c r="U16" s="333"/>
      <c r="V16" s="333"/>
      <c r="W16" s="333"/>
      <c r="X16" s="333"/>
      <c r="Y16" s="333"/>
      <c r="Z16" s="333"/>
      <c r="AA16" s="333"/>
    </row>
    <row r="17" spans="1:34" ht="3.95"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4" ht="15.95" customHeight="1" x14ac:dyDescent="0.3">
      <c r="A18" s="325" t="s">
        <v>30</v>
      </c>
      <c r="B18" s="325"/>
      <c r="C18" s="325"/>
      <c r="D18" s="325"/>
      <c r="E18" s="325"/>
      <c r="F18" s="358" t="str">
        <f>VLOOKUP($F$14,CONTRA,24,FALSE)</f>
        <v>16 DE OCTUBRE DE 2018</v>
      </c>
      <c r="G18" s="359"/>
      <c r="H18" s="359"/>
      <c r="I18" s="359"/>
      <c r="J18" s="360"/>
      <c r="K18" s="308"/>
      <c r="L18" s="308"/>
      <c r="M18" s="308"/>
      <c r="N18" s="308"/>
      <c r="O18" s="308"/>
      <c r="P18" s="325" t="s">
        <v>34</v>
      </c>
      <c r="Q18" s="325"/>
      <c r="R18" s="325"/>
      <c r="S18" s="325"/>
      <c r="T18" s="358" t="str">
        <f>VLOOKUP($F$14,CONTRA,25,FALSE)</f>
        <v>30 de octubre de 2018</v>
      </c>
      <c r="U18" s="359"/>
      <c r="V18" s="359"/>
      <c r="W18" s="359"/>
      <c r="X18" s="359"/>
      <c r="Y18" s="359"/>
      <c r="Z18" s="359"/>
      <c r="AA18" s="360"/>
    </row>
    <row r="19" spans="1:34" x14ac:dyDescent="0.3">
      <c r="A19" s="325" t="s">
        <v>31</v>
      </c>
      <c r="B19" s="325"/>
      <c r="C19" s="325"/>
      <c r="D19" s="325"/>
      <c r="E19" s="325"/>
      <c r="F19" s="320">
        <f>VLOOKUP($F$14,CONTRA,26,FALSE)</f>
        <v>3867500</v>
      </c>
      <c r="G19" s="320"/>
      <c r="H19" s="320"/>
      <c r="I19" s="320"/>
      <c r="J19" s="320"/>
      <c r="K19" s="308"/>
      <c r="L19" s="308"/>
      <c r="M19" s="308"/>
      <c r="N19" s="308"/>
      <c r="O19" s="308"/>
      <c r="P19" s="325" t="s">
        <v>35</v>
      </c>
      <c r="Q19" s="325"/>
      <c r="R19" s="325"/>
      <c r="S19" s="325"/>
      <c r="T19" s="308">
        <f>VLOOKUP($F$14,CONTRA,27,FALSE)</f>
        <v>15</v>
      </c>
      <c r="U19" s="308"/>
      <c r="V19" s="308"/>
      <c r="W19" s="308"/>
      <c r="X19" s="308"/>
      <c r="Y19" s="308"/>
      <c r="Z19" s="308"/>
      <c r="AA19" s="308"/>
    </row>
    <row r="20" spans="1:34" x14ac:dyDescent="0.3">
      <c r="A20" s="325" t="s">
        <v>32</v>
      </c>
      <c r="B20" s="325"/>
      <c r="C20" s="325"/>
      <c r="D20" s="325"/>
      <c r="E20" s="325"/>
      <c r="F20" s="320">
        <f>+Z21*T20</f>
        <v>0</v>
      </c>
      <c r="G20" s="320"/>
      <c r="H20" s="320"/>
      <c r="I20" s="320"/>
      <c r="J20" s="320"/>
      <c r="K20" s="19" t="s">
        <v>0</v>
      </c>
      <c r="L20" s="20"/>
      <c r="M20" s="356">
        <f>VLOOKUP($F$14,CONTRA,29,FALSE)</f>
        <v>0</v>
      </c>
      <c r="N20" s="356"/>
      <c r="O20" s="356"/>
      <c r="P20" s="325" t="s">
        <v>36</v>
      </c>
      <c r="Q20" s="325"/>
      <c r="R20" s="325"/>
      <c r="S20" s="325"/>
      <c r="T20" s="308">
        <f>VLOOKUP($F$14,CONTRA,28,FALSE)</f>
        <v>0</v>
      </c>
      <c r="U20" s="308"/>
      <c r="V20" s="308"/>
      <c r="W20" s="308"/>
      <c r="X20" s="308"/>
      <c r="Y20" s="308"/>
      <c r="Z20" s="308"/>
      <c r="AA20" s="308"/>
    </row>
    <row r="21" spans="1:34" ht="15.95" customHeight="1" x14ac:dyDescent="0.3">
      <c r="A21" s="325" t="s">
        <v>33</v>
      </c>
      <c r="B21" s="325"/>
      <c r="C21" s="325"/>
      <c r="D21" s="325"/>
      <c r="E21" s="325"/>
      <c r="F21" s="309">
        <f>SUM(F19:J20)</f>
        <v>3867500</v>
      </c>
      <c r="G21" s="353"/>
      <c r="H21" s="353"/>
      <c r="I21" s="353"/>
      <c r="J21" s="354"/>
      <c r="K21" s="308"/>
      <c r="L21" s="308"/>
      <c r="M21" s="308"/>
      <c r="N21" s="308"/>
      <c r="O21" s="308"/>
      <c r="P21" s="325" t="s">
        <v>38</v>
      </c>
      <c r="Q21" s="325"/>
      <c r="R21" s="325"/>
      <c r="S21" s="325"/>
      <c r="T21" s="355">
        <f>+T19+T20</f>
        <v>15</v>
      </c>
      <c r="U21" s="353"/>
      <c r="V21" s="354"/>
      <c r="W21" s="325" t="s">
        <v>37</v>
      </c>
      <c r="X21" s="325"/>
      <c r="Y21" s="325"/>
      <c r="Z21" s="309">
        <f>+F19/T19</f>
        <v>257833.33333333334</v>
      </c>
      <c r="AA21" s="311"/>
    </row>
    <row r="22" spans="1:34" ht="39.950000000000003" customHeight="1" x14ac:dyDescent="0.3">
      <c r="A22" s="349" t="s">
        <v>27</v>
      </c>
      <c r="B22" s="349"/>
      <c r="C22" s="349"/>
      <c r="D22" s="349"/>
      <c r="E22" s="349"/>
      <c r="F22" s="350" t="str">
        <f>VLOOKUP($F$14,CONTRA,30,FALSE)</f>
        <v>“SUMINISTRO DE PUBLICIDAD IMPRESA Y EN ACRÍLICO PARA EL
FUNCIONAMIENTO EL INSTITUTO DE DESARROLLO MUNICIPAL DE
DOSQUEBRADAS”.</v>
      </c>
      <c r="G22" s="351"/>
      <c r="H22" s="351"/>
      <c r="I22" s="351"/>
      <c r="J22" s="351"/>
      <c r="K22" s="351"/>
      <c r="L22" s="351"/>
      <c r="M22" s="351"/>
      <c r="N22" s="351"/>
      <c r="O22" s="351"/>
      <c r="P22" s="351"/>
      <c r="Q22" s="351"/>
      <c r="R22" s="351"/>
      <c r="S22" s="351"/>
      <c r="T22" s="351"/>
      <c r="U22" s="351"/>
      <c r="V22" s="351"/>
      <c r="W22" s="351"/>
      <c r="X22" s="351"/>
      <c r="Y22" s="351"/>
      <c r="Z22" s="351"/>
      <c r="AA22" s="352"/>
    </row>
    <row r="23" spans="1:34" ht="39.950000000000003" customHeight="1" x14ac:dyDescent="0.3">
      <c r="A23" s="349" t="s">
        <v>28</v>
      </c>
      <c r="B23" s="349"/>
      <c r="C23" s="349"/>
      <c r="D23" s="349"/>
      <c r="E23" s="349"/>
      <c r="F23" s="350" t="str">
        <f>VLOOKUP($F$14,CONTRA,31,FALSE)</f>
        <v xml:space="preserve">EL INSTITUTO DE DESARROLLO MUNICIPAL DE DOSQUEBRADAS cancelará al CONTRATISTA mediante un pago total posterior al suministro de los ítems relacionados en las especificaciones técnicas; previa certificación de cumplimiento a satisfacción expedida por el supervisor del contrato y la acreditación de que el contratista se encuentra al día en el pago de los aportes relativos al Sistema integral de Seguridad Social </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4" ht="39.950000000000003" customHeight="1" x14ac:dyDescent="0.3">
      <c r="A24" s="349" t="s">
        <v>29</v>
      </c>
      <c r="B24" s="349"/>
      <c r="C24" s="349"/>
      <c r="D24" s="349"/>
      <c r="E24" s="349"/>
      <c r="F24" s="350">
        <f>VLOOKUP($F$14,CONTRA,32,FALSE)</f>
        <v>0</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4" ht="15.95" customHeight="1" x14ac:dyDescent="0.3">
      <c r="A25" s="18">
        <v>2</v>
      </c>
      <c r="B25" s="323" t="s">
        <v>59</v>
      </c>
      <c r="C25" s="323"/>
      <c r="D25" s="323"/>
      <c r="E25" s="323"/>
      <c r="F25" s="323"/>
      <c r="G25" s="323"/>
      <c r="H25" s="323"/>
      <c r="I25" s="323"/>
      <c r="J25" s="323"/>
      <c r="K25" s="323"/>
      <c r="L25" s="323"/>
      <c r="M25" s="323"/>
      <c r="N25" s="323"/>
      <c r="O25" s="323"/>
      <c r="P25" s="84"/>
      <c r="Q25" s="85"/>
      <c r="R25" s="85"/>
      <c r="S25" s="85"/>
      <c r="T25" s="346" t="s">
        <v>1381</v>
      </c>
      <c r="U25" s="346"/>
      <c r="V25" s="346"/>
      <c r="W25" s="346"/>
      <c r="X25" s="346" t="s">
        <v>270</v>
      </c>
      <c r="Y25" s="346"/>
      <c r="Z25" s="346" t="s">
        <v>283</v>
      </c>
      <c r="AA25" s="347"/>
      <c r="AF25" s="12"/>
    </row>
    <row r="26" spans="1:34" ht="15.95" customHeight="1" x14ac:dyDescent="0.3">
      <c r="A26" s="325" t="s">
        <v>292</v>
      </c>
      <c r="B26" s="325"/>
      <c r="C26" s="325"/>
      <c r="D26" s="325"/>
      <c r="E26" s="325"/>
      <c r="F26" s="308"/>
      <c r="G26" s="308"/>
      <c r="H26" s="308"/>
      <c r="I26" s="308"/>
      <c r="J26" s="308"/>
      <c r="K26" s="308"/>
      <c r="L26" s="308"/>
      <c r="M26" s="308"/>
      <c r="N26" s="308"/>
      <c r="O26" s="308"/>
      <c r="P26" s="348">
        <f>VLOOKUP($F$14,CONTRA,59,FALSE)</f>
        <v>0</v>
      </c>
      <c r="Q26" s="348"/>
      <c r="R26" s="341">
        <v>0.4</v>
      </c>
      <c r="S26" s="341"/>
      <c r="T26" s="320">
        <f>+R26*F21</f>
        <v>1547000</v>
      </c>
      <c r="U26" s="320"/>
      <c r="V26" s="320"/>
      <c r="W26" s="320"/>
      <c r="X26" s="320">
        <f>IF(R26*Z21&lt;DATOS!C32,DATOS!C32,R26*Z21)</f>
        <v>103133.33333333334</v>
      </c>
      <c r="Y26" s="320"/>
      <c r="Z26" s="320">
        <f>+X26*J50</f>
        <v>3094000.0000000005</v>
      </c>
      <c r="AA26" s="320"/>
      <c r="AB26" s="12"/>
      <c r="AD26"/>
      <c r="AE26"/>
      <c r="AF26" s="4"/>
      <c r="AG26" s="4"/>
    </row>
    <row r="27" spans="1:34" ht="15.95" customHeight="1" x14ac:dyDescent="0.3">
      <c r="A27" s="325" t="s">
        <v>39</v>
      </c>
      <c r="B27" s="325"/>
      <c r="C27" s="325"/>
      <c r="D27" s="325"/>
      <c r="E27" s="325"/>
      <c r="F27" s="333">
        <f>VLOOKUP($F$14,CONTRA,33,FALSE)</f>
        <v>0</v>
      </c>
      <c r="G27" s="333"/>
      <c r="H27" s="333"/>
      <c r="I27" s="87" t="s">
        <v>133</v>
      </c>
      <c r="J27" s="87"/>
      <c r="K27" s="87"/>
      <c r="L27" s="345" t="str">
        <f>+VLOOKUP(L28,DATOS!A125:D139,3)</f>
        <v>8º</v>
      </c>
      <c r="M27" s="345"/>
      <c r="N27" s="345"/>
      <c r="O27" s="345"/>
      <c r="P27" s="348"/>
      <c r="Q27" s="348"/>
      <c r="R27" s="335">
        <v>0.125</v>
      </c>
      <c r="S27" s="335"/>
      <c r="T27" s="320">
        <f>+T26*R27</f>
        <v>193375</v>
      </c>
      <c r="U27" s="320"/>
      <c r="V27" s="320"/>
      <c r="W27" s="320"/>
      <c r="X27" s="320">
        <f>+$X$26*R27</f>
        <v>12891.666666666668</v>
      </c>
      <c r="Y27" s="320"/>
      <c r="Z27" s="320">
        <f>ROUNDUP(X27*J50,-2)</f>
        <v>386800</v>
      </c>
      <c r="AA27" s="320"/>
      <c r="AB27" s="12"/>
      <c r="AD27" s="12"/>
      <c r="AE27" s="4"/>
      <c r="AF27" s="166"/>
      <c r="AG27"/>
      <c r="AH27" s="12"/>
    </row>
    <row r="28" spans="1:34" ht="15.95" customHeight="1" x14ac:dyDescent="0.3">
      <c r="A28" s="325" t="s">
        <v>40</v>
      </c>
      <c r="B28" s="325"/>
      <c r="C28" s="325"/>
      <c r="D28" s="325"/>
      <c r="E28" s="325"/>
      <c r="F28" s="333">
        <f>VLOOKUP($F$14,CONTRA,34,FALSE)</f>
        <v>0</v>
      </c>
      <c r="G28" s="333"/>
      <c r="H28" s="333"/>
      <c r="I28" s="19" t="s">
        <v>134</v>
      </c>
      <c r="J28" s="19"/>
      <c r="K28" s="19"/>
      <c r="L28" s="343" t="str">
        <f>RIGHT(T14,2)</f>
        <v>43</v>
      </c>
      <c r="M28" s="343"/>
      <c r="N28" s="344" t="s">
        <v>270</v>
      </c>
      <c r="O28" s="344"/>
      <c r="P28" s="348"/>
      <c r="Q28" s="348"/>
      <c r="R28" s="341">
        <v>0.16</v>
      </c>
      <c r="S28" s="341"/>
      <c r="T28" s="320">
        <f>+T26*R28</f>
        <v>247520</v>
      </c>
      <c r="U28" s="320"/>
      <c r="V28" s="320"/>
      <c r="W28" s="320"/>
      <c r="X28" s="320">
        <f>+$X$26*R28</f>
        <v>16501.333333333336</v>
      </c>
      <c r="Y28" s="320"/>
      <c r="Z28" s="320">
        <f>ROUNDUP(X28*J50,-2)</f>
        <v>495100</v>
      </c>
      <c r="AA28" s="320"/>
      <c r="AB28" s="12"/>
      <c r="AD28" s="4"/>
      <c r="AE28" s="4"/>
      <c r="AF28" s="4"/>
      <c r="AG28" s="4"/>
    </row>
    <row r="29" spans="1:34" ht="15.95" customHeight="1" x14ac:dyDescent="0.3">
      <c r="A29" s="325" t="s">
        <v>41</v>
      </c>
      <c r="B29" s="325"/>
      <c r="C29" s="325"/>
      <c r="D29" s="325"/>
      <c r="E29" s="325"/>
      <c r="F29" s="333">
        <f>VLOOKUP($F$14,CONTRA,36,FALSE)</f>
        <v>0</v>
      </c>
      <c r="G29" s="333"/>
      <c r="H29" s="333"/>
      <c r="I29" s="325" t="s">
        <v>135</v>
      </c>
      <c r="J29" s="325"/>
      <c r="K29" s="325"/>
      <c r="L29" s="319" t="str">
        <f>VLOOKUP($F$14,CONTRA,37,FALSE)</f>
        <v>16 DE OCTUBRE DE 2018</v>
      </c>
      <c r="M29" s="319"/>
      <c r="N29" s="319"/>
      <c r="O29" s="319"/>
      <c r="P29" s="348"/>
      <c r="Q29" s="348"/>
      <c r="R29" s="342" t="e">
        <f>+VLOOKUP(P26,DATOS!A20:B24,2,FALSE)</f>
        <v>#N/A</v>
      </c>
      <c r="S29" s="342"/>
      <c r="T29" s="320" t="e">
        <f>+T26*R29</f>
        <v>#N/A</v>
      </c>
      <c r="U29" s="320"/>
      <c r="V29" s="320"/>
      <c r="W29" s="320"/>
      <c r="X29" s="320" t="e">
        <f>+R29*X26</f>
        <v>#N/A</v>
      </c>
      <c r="Y29" s="320"/>
      <c r="Z29" s="320" t="e">
        <f>ROUNDUP(X29*J50,-2)</f>
        <v>#N/A</v>
      </c>
      <c r="AA29" s="320"/>
      <c r="AD29" s="4"/>
      <c r="AE29" s="4"/>
      <c r="AF29" s="4"/>
      <c r="AG29"/>
    </row>
    <row r="30" spans="1:34" ht="15.95" customHeight="1" x14ac:dyDescent="0.3">
      <c r="A30" s="325" t="s">
        <v>290</v>
      </c>
      <c r="B30" s="325"/>
      <c r="C30" s="325"/>
      <c r="D30" s="325"/>
      <c r="E30" s="325"/>
      <c r="F30" s="336" t="s">
        <v>288</v>
      </c>
      <c r="G30" s="336"/>
      <c r="H30" s="336"/>
      <c r="I30" s="336"/>
      <c r="J30" s="336"/>
      <c r="K30" s="336"/>
      <c r="L30" s="308" t="e">
        <f>+VLOOKUP(P26,DATOS!A157:B161,2,FALSE)</f>
        <v>#N/A</v>
      </c>
      <c r="M30" s="308"/>
      <c r="N30" s="308"/>
      <c r="O30" s="308"/>
      <c r="P30" s="337" t="s">
        <v>49</v>
      </c>
      <c r="Q30" s="338"/>
      <c r="R30" s="341"/>
      <c r="S30" s="341"/>
      <c r="T30" s="320" t="e">
        <f>SUM(T27:W29)</f>
        <v>#N/A</v>
      </c>
      <c r="U30" s="341"/>
      <c r="V30" s="341"/>
      <c r="W30" s="341"/>
      <c r="X30" s="320" t="e">
        <f>SUM(X27:Y29)</f>
        <v>#N/A</v>
      </c>
      <c r="Y30" s="320"/>
      <c r="Z30" s="320" t="e">
        <f>IF(P26="RIESGO V",Z27+Z28,Z27+Z28+Z29)</f>
        <v>#N/A</v>
      </c>
      <c r="AA30" s="320"/>
      <c r="AD30" s="4"/>
      <c r="AE30" s="4"/>
      <c r="AF30" s="4"/>
      <c r="AG30"/>
    </row>
    <row r="31" spans="1:34" ht="15.95" customHeight="1" x14ac:dyDescent="0.3">
      <c r="A31" s="325" t="s">
        <v>42</v>
      </c>
      <c r="B31" s="325"/>
      <c r="C31" s="325"/>
      <c r="D31" s="325"/>
      <c r="E31" s="325"/>
      <c r="F31" s="333" t="s">
        <v>142</v>
      </c>
      <c r="G31" s="333"/>
      <c r="H31" s="333"/>
      <c r="I31" s="333"/>
      <c r="J31" s="333"/>
      <c r="K31" s="333"/>
      <c r="L31" s="334" t="str">
        <f>VLOOKUP($F$14,CONTRA,38,FALSE)</f>
        <v>PAGADO</v>
      </c>
      <c r="M31" s="334"/>
      <c r="N31" s="334"/>
      <c r="O31" s="334"/>
      <c r="P31" s="339"/>
      <c r="Q31" s="340"/>
      <c r="R31" s="335">
        <f>VLOOKUP(L31,DATOS!A37:B38,2,FALSE)</f>
        <v>0</v>
      </c>
      <c r="S31" s="335"/>
      <c r="T31" s="320">
        <f>+R31*$F$21</f>
        <v>0</v>
      </c>
      <c r="U31" s="320"/>
      <c r="V31" s="320"/>
      <c r="W31" s="320"/>
      <c r="X31" s="320">
        <f>+T31/T21</f>
        <v>0</v>
      </c>
      <c r="Y31" s="320"/>
      <c r="Z31" s="320">
        <f>+X31*J50</f>
        <v>0</v>
      </c>
      <c r="AA31" s="320"/>
      <c r="AE31" s="13"/>
      <c r="AF31" s="12"/>
    </row>
    <row r="32" spans="1:34" ht="15.95" customHeight="1" x14ac:dyDescent="0.3">
      <c r="A32" s="303">
        <v>3</v>
      </c>
      <c r="B32" s="299" t="s">
        <v>287</v>
      </c>
      <c r="C32" s="300"/>
      <c r="D32" s="300"/>
      <c r="E32" s="300"/>
      <c r="F32" s="300"/>
      <c r="G32" s="300"/>
      <c r="H32" s="300"/>
      <c r="I32" s="300"/>
      <c r="J32" s="300"/>
      <c r="K32" s="300"/>
      <c r="L32" s="300"/>
      <c r="M32" s="300"/>
      <c r="N32" s="300"/>
      <c r="O32" s="297" t="s">
        <v>283</v>
      </c>
      <c r="P32" s="59">
        <v>1</v>
      </c>
      <c r="Q32" s="59">
        <v>2</v>
      </c>
      <c r="R32" s="59">
        <v>3</v>
      </c>
      <c r="S32" s="59">
        <v>4</v>
      </c>
      <c r="T32" s="59">
        <v>5</v>
      </c>
      <c r="U32" s="59">
        <v>6</v>
      </c>
      <c r="V32" s="59">
        <v>7</v>
      </c>
      <c r="W32" s="59">
        <v>8</v>
      </c>
      <c r="X32" s="59">
        <v>9</v>
      </c>
      <c r="Y32" s="59">
        <v>10</v>
      </c>
      <c r="Z32" s="59">
        <v>11</v>
      </c>
      <c r="AA32" s="59">
        <v>12</v>
      </c>
      <c r="AF32" s="4"/>
    </row>
    <row r="33" spans="1:36" ht="15.95" customHeight="1" x14ac:dyDescent="0.3">
      <c r="A33" s="304"/>
      <c r="B33" s="301"/>
      <c r="C33" s="302"/>
      <c r="D33" s="302"/>
      <c r="E33" s="302"/>
      <c r="F33" s="302"/>
      <c r="G33" s="302"/>
      <c r="H33" s="302"/>
      <c r="I33" s="302"/>
      <c r="J33" s="302"/>
      <c r="K33" s="302"/>
      <c r="L33" s="302"/>
      <c r="M33" s="302"/>
      <c r="N33" s="302"/>
      <c r="O33" s="298"/>
      <c r="P33" s="294" t="s">
        <v>44</v>
      </c>
      <c r="Q33" s="295"/>
      <c r="R33" s="295"/>
      <c r="S33" s="295"/>
      <c r="T33" s="295"/>
      <c r="U33" s="295"/>
      <c r="V33" s="295"/>
      <c r="W33" s="296"/>
      <c r="X33" s="294" t="s">
        <v>282</v>
      </c>
      <c r="Y33" s="295"/>
      <c r="Z33" s="295"/>
      <c r="AA33" s="296"/>
      <c r="AF33" s="4"/>
    </row>
    <row r="34" spans="1:36" ht="24.95" customHeight="1" x14ac:dyDescent="0.3">
      <c r="A34" s="172">
        <v>1</v>
      </c>
      <c r="B34" s="286">
        <f>VLOOKUP($F$14,CONTRA,39,FALSE)</f>
        <v>0</v>
      </c>
      <c r="C34" s="287"/>
      <c r="D34" s="287"/>
      <c r="E34" s="287"/>
      <c r="F34" s="287"/>
      <c r="G34" s="287"/>
      <c r="H34" s="287"/>
      <c r="I34" s="287"/>
      <c r="J34" s="287"/>
      <c r="K34" s="287"/>
      <c r="L34" s="287"/>
      <c r="M34" s="287"/>
      <c r="N34" s="287"/>
      <c r="O34" s="288"/>
      <c r="P34" s="282"/>
      <c r="Q34" s="283"/>
      <c r="R34" s="283"/>
      <c r="S34" s="283"/>
      <c r="T34" s="283"/>
      <c r="U34" s="283"/>
      <c r="V34" s="283"/>
      <c r="W34" s="284"/>
      <c r="X34" s="305"/>
      <c r="Y34" s="306"/>
      <c r="Z34" s="306"/>
      <c r="AA34" s="307"/>
    </row>
    <row r="35" spans="1:36" ht="24.95" customHeight="1" x14ac:dyDescent="0.3">
      <c r="A35" s="172">
        <v>2</v>
      </c>
      <c r="B35" s="286">
        <f>VLOOKUP($F$14,CONTRA,40,FALSE)</f>
        <v>0</v>
      </c>
      <c r="C35" s="287"/>
      <c r="D35" s="287"/>
      <c r="E35" s="287"/>
      <c r="F35" s="287"/>
      <c r="G35" s="287"/>
      <c r="H35" s="287"/>
      <c r="I35" s="287"/>
      <c r="J35" s="287"/>
      <c r="K35" s="287"/>
      <c r="L35" s="287"/>
      <c r="M35" s="287"/>
      <c r="N35" s="287"/>
      <c r="O35" s="288"/>
      <c r="P35" s="282"/>
      <c r="Q35" s="283"/>
      <c r="R35" s="283"/>
      <c r="S35" s="283"/>
      <c r="T35" s="283"/>
      <c r="U35" s="283"/>
      <c r="V35" s="283"/>
      <c r="W35" s="284"/>
      <c r="X35" s="282"/>
      <c r="Y35" s="283"/>
      <c r="Z35" s="283"/>
      <c r="AA35" s="284"/>
    </row>
    <row r="36" spans="1:36" ht="24.95" customHeight="1" x14ac:dyDescent="0.3">
      <c r="A36" s="172">
        <v>3</v>
      </c>
      <c r="B36" s="286">
        <f>VLOOKUP($F$14,CONTRA,41,FALSE)</f>
        <v>0</v>
      </c>
      <c r="C36" s="287"/>
      <c r="D36" s="287"/>
      <c r="E36" s="287"/>
      <c r="F36" s="287"/>
      <c r="G36" s="287"/>
      <c r="H36" s="287"/>
      <c r="I36" s="287"/>
      <c r="J36" s="287"/>
      <c r="K36" s="287"/>
      <c r="L36" s="287"/>
      <c r="M36" s="287"/>
      <c r="N36" s="287"/>
      <c r="O36" s="288"/>
      <c r="P36" s="282"/>
      <c r="Q36" s="283"/>
      <c r="R36" s="283"/>
      <c r="S36" s="283"/>
      <c r="T36" s="283"/>
      <c r="U36" s="283"/>
      <c r="V36" s="283"/>
      <c r="W36" s="284"/>
      <c r="X36" s="282"/>
      <c r="Y36" s="283"/>
      <c r="Z36" s="283"/>
      <c r="AA36" s="284"/>
      <c r="AE36" s="12"/>
    </row>
    <row r="37" spans="1:36" ht="24.95" customHeight="1" x14ac:dyDescent="0.3">
      <c r="A37" s="172">
        <v>4</v>
      </c>
      <c r="B37" s="286">
        <f>VLOOKUP($F$14,CONTRA,42,FALSE)</f>
        <v>0</v>
      </c>
      <c r="C37" s="287"/>
      <c r="D37" s="287"/>
      <c r="E37" s="287"/>
      <c r="F37" s="287"/>
      <c r="G37" s="287"/>
      <c r="H37" s="287"/>
      <c r="I37" s="287"/>
      <c r="J37" s="287"/>
      <c r="K37" s="287"/>
      <c r="L37" s="287"/>
      <c r="M37" s="287"/>
      <c r="N37" s="287"/>
      <c r="O37" s="288"/>
      <c r="P37" s="282"/>
      <c r="Q37" s="283"/>
      <c r="R37" s="283"/>
      <c r="S37" s="283"/>
      <c r="T37" s="283"/>
      <c r="U37" s="283"/>
      <c r="V37" s="283"/>
      <c r="W37" s="284"/>
      <c r="X37" s="282"/>
      <c r="Y37" s="283"/>
      <c r="Z37" s="283"/>
      <c r="AA37" s="284"/>
    </row>
    <row r="38" spans="1:36" ht="24.95" customHeight="1" x14ac:dyDescent="0.3">
      <c r="A38" s="172">
        <v>5</v>
      </c>
      <c r="B38" s="286">
        <f>VLOOKUP($F$14,CONTRA,43,FALSE)</f>
        <v>0</v>
      </c>
      <c r="C38" s="287"/>
      <c r="D38" s="287"/>
      <c r="E38" s="287"/>
      <c r="F38" s="287"/>
      <c r="G38" s="287"/>
      <c r="H38" s="287"/>
      <c r="I38" s="287"/>
      <c r="J38" s="287"/>
      <c r="K38" s="287"/>
      <c r="L38" s="287"/>
      <c r="M38" s="287"/>
      <c r="N38" s="287"/>
      <c r="O38" s="288"/>
      <c r="P38" s="282"/>
      <c r="Q38" s="283"/>
      <c r="R38" s="283"/>
      <c r="S38" s="283"/>
      <c r="T38" s="283"/>
      <c r="U38" s="283"/>
      <c r="V38" s="283"/>
      <c r="W38" s="284"/>
      <c r="X38" s="282"/>
      <c r="Y38" s="283"/>
      <c r="Z38" s="283"/>
      <c r="AA38" s="284"/>
      <c r="AE38" s="12"/>
      <c r="AH38" s="12"/>
      <c r="AI38" s="86"/>
    </row>
    <row r="39" spans="1:36" ht="24.95" customHeight="1" x14ac:dyDescent="0.3">
      <c r="A39" s="172">
        <v>6</v>
      </c>
      <c r="B39" s="286">
        <f>VLOOKUP($F$14,CONTRA,44,FALSE)</f>
        <v>0</v>
      </c>
      <c r="C39" s="287"/>
      <c r="D39" s="287"/>
      <c r="E39" s="287"/>
      <c r="F39" s="287"/>
      <c r="G39" s="287"/>
      <c r="H39" s="287"/>
      <c r="I39" s="287"/>
      <c r="J39" s="287"/>
      <c r="K39" s="287"/>
      <c r="L39" s="287"/>
      <c r="M39" s="287"/>
      <c r="N39" s="287"/>
      <c r="O39" s="288"/>
      <c r="P39" s="282"/>
      <c r="Q39" s="283"/>
      <c r="R39" s="283"/>
      <c r="S39" s="283"/>
      <c r="T39" s="283"/>
      <c r="U39" s="283"/>
      <c r="V39" s="283"/>
      <c r="W39" s="284"/>
      <c r="X39" s="282"/>
      <c r="Y39" s="283"/>
      <c r="Z39" s="283"/>
      <c r="AA39" s="284"/>
      <c r="AD39" s="52"/>
      <c r="AE39" s="12"/>
      <c r="AF39" s="12"/>
      <c r="AG39" s="12"/>
      <c r="AH39" s="12"/>
      <c r="AI39" s="12"/>
      <c r="AJ39" s="12"/>
    </row>
    <row r="40" spans="1:36" ht="24.95" customHeight="1" x14ac:dyDescent="0.3">
      <c r="A40" s="172">
        <v>7</v>
      </c>
      <c r="B40" s="286">
        <f>VLOOKUP($F$14,CONTRA,45,FALSE)</f>
        <v>0</v>
      </c>
      <c r="C40" s="287"/>
      <c r="D40" s="287"/>
      <c r="E40" s="287"/>
      <c r="F40" s="287"/>
      <c r="G40" s="287"/>
      <c r="H40" s="287"/>
      <c r="I40" s="287"/>
      <c r="J40" s="287"/>
      <c r="K40" s="287"/>
      <c r="L40" s="287"/>
      <c r="M40" s="287"/>
      <c r="N40" s="287"/>
      <c r="O40" s="288"/>
      <c r="P40" s="282"/>
      <c r="Q40" s="283"/>
      <c r="R40" s="283"/>
      <c r="S40" s="283"/>
      <c r="T40" s="283"/>
      <c r="U40" s="283"/>
      <c r="V40" s="283"/>
      <c r="W40" s="284"/>
      <c r="X40" s="282"/>
      <c r="Y40" s="283"/>
      <c r="Z40" s="283"/>
      <c r="AA40" s="284"/>
      <c r="AD40" s="52"/>
      <c r="AE40" s="12"/>
      <c r="AF40" s="12"/>
      <c r="AG40" s="12"/>
      <c r="AH40" s="12"/>
      <c r="AI40" s="12"/>
      <c r="AJ40" s="12"/>
    </row>
    <row r="41" spans="1:36" ht="24.95" customHeight="1" x14ac:dyDescent="0.3">
      <c r="A41" s="172">
        <v>8</v>
      </c>
      <c r="B41" s="286">
        <f>VLOOKUP($F$14,CONTRA,46,FALSE)</f>
        <v>0</v>
      </c>
      <c r="C41" s="287"/>
      <c r="D41" s="287"/>
      <c r="E41" s="287"/>
      <c r="F41" s="287"/>
      <c r="G41" s="287"/>
      <c r="H41" s="287"/>
      <c r="I41" s="287"/>
      <c r="J41" s="287"/>
      <c r="K41" s="287"/>
      <c r="L41" s="287"/>
      <c r="M41" s="287"/>
      <c r="N41" s="287"/>
      <c r="O41" s="288"/>
      <c r="P41" s="282"/>
      <c r="Q41" s="283"/>
      <c r="R41" s="283"/>
      <c r="S41" s="283"/>
      <c r="T41" s="283"/>
      <c r="U41" s="283"/>
      <c r="V41" s="283"/>
      <c r="W41" s="284"/>
      <c r="X41" s="282"/>
      <c r="Y41" s="283"/>
      <c r="Z41" s="283"/>
      <c r="AA41" s="284"/>
      <c r="AE41" s="12"/>
      <c r="AG41" s="12"/>
    </row>
    <row r="42" spans="1:36" ht="24.95" customHeight="1" x14ac:dyDescent="0.3">
      <c r="A42" s="172">
        <v>9</v>
      </c>
      <c r="B42" s="286">
        <f>VLOOKUP($F$14,CONTRA,47,FALSE)</f>
        <v>0</v>
      </c>
      <c r="C42" s="287"/>
      <c r="D42" s="287"/>
      <c r="E42" s="287"/>
      <c r="F42" s="287"/>
      <c r="G42" s="287"/>
      <c r="H42" s="287"/>
      <c r="I42" s="287"/>
      <c r="J42" s="287"/>
      <c r="K42" s="287"/>
      <c r="L42" s="287"/>
      <c r="M42" s="287"/>
      <c r="N42" s="287"/>
      <c r="O42" s="288"/>
      <c r="P42" s="282"/>
      <c r="Q42" s="283"/>
      <c r="R42" s="283"/>
      <c r="S42" s="283"/>
      <c r="T42" s="283"/>
      <c r="U42" s="283"/>
      <c r="V42" s="283"/>
      <c r="W42" s="284"/>
      <c r="X42" s="282"/>
      <c r="Y42" s="283"/>
      <c r="Z42" s="283"/>
      <c r="AA42" s="284"/>
    </row>
    <row r="43" spans="1:36" ht="24.95" customHeight="1" x14ac:dyDescent="0.3">
      <c r="A43" s="172">
        <v>10</v>
      </c>
      <c r="B43" s="286">
        <f>VLOOKUP($F$14,CONTRA,48,FALSE)</f>
        <v>0</v>
      </c>
      <c r="C43" s="287"/>
      <c r="D43" s="287"/>
      <c r="E43" s="287"/>
      <c r="F43" s="287"/>
      <c r="G43" s="287"/>
      <c r="H43" s="287"/>
      <c r="I43" s="287"/>
      <c r="J43" s="287"/>
      <c r="K43" s="287"/>
      <c r="L43" s="287"/>
      <c r="M43" s="287"/>
      <c r="N43" s="287"/>
      <c r="O43" s="288"/>
      <c r="P43" s="282"/>
      <c r="Q43" s="283"/>
      <c r="R43" s="283"/>
      <c r="S43" s="283"/>
      <c r="T43" s="283"/>
      <c r="U43" s="283"/>
      <c r="V43" s="283"/>
      <c r="W43" s="284"/>
      <c r="X43" s="282"/>
      <c r="Y43" s="283"/>
      <c r="Z43" s="283"/>
      <c r="AA43" s="284"/>
      <c r="AE43" s="12"/>
    </row>
    <row r="44" spans="1:36" ht="24.95" customHeight="1" x14ac:dyDescent="0.3">
      <c r="A44" s="172">
        <v>11</v>
      </c>
      <c r="B44" s="286">
        <f>VLOOKUP($F$14,CONTRA,49,FALSE)</f>
        <v>0</v>
      </c>
      <c r="C44" s="287"/>
      <c r="D44" s="287"/>
      <c r="E44" s="287"/>
      <c r="F44" s="287"/>
      <c r="G44" s="287"/>
      <c r="H44" s="287"/>
      <c r="I44" s="287"/>
      <c r="J44" s="287"/>
      <c r="K44" s="287"/>
      <c r="L44" s="287"/>
      <c r="M44" s="287"/>
      <c r="N44" s="287"/>
      <c r="O44" s="288"/>
      <c r="P44" s="282"/>
      <c r="Q44" s="283"/>
      <c r="R44" s="283"/>
      <c r="S44" s="283"/>
      <c r="T44" s="283"/>
      <c r="U44" s="283"/>
      <c r="V44" s="283"/>
      <c r="W44" s="284"/>
      <c r="X44" s="282"/>
      <c r="Y44" s="283"/>
      <c r="Z44" s="283"/>
      <c r="AA44" s="284"/>
    </row>
    <row r="45" spans="1:36" ht="24.95" customHeight="1" x14ac:dyDescent="0.3">
      <c r="A45" s="172">
        <v>12</v>
      </c>
      <c r="B45" s="286">
        <f>VLOOKUP($F$14,CONTRA,50,FALSE)</f>
        <v>0</v>
      </c>
      <c r="C45" s="287"/>
      <c r="D45" s="287"/>
      <c r="E45" s="287"/>
      <c r="F45" s="287"/>
      <c r="G45" s="287"/>
      <c r="H45" s="287"/>
      <c r="I45" s="287"/>
      <c r="J45" s="287"/>
      <c r="K45" s="287"/>
      <c r="L45" s="287"/>
      <c r="M45" s="287"/>
      <c r="N45" s="287"/>
      <c r="O45" s="288"/>
      <c r="P45" s="282"/>
      <c r="Q45" s="283"/>
      <c r="R45" s="283"/>
      <c r="S45" s="283"/>
      <c r="T45" s="283"/>
      <c r="U45" s="283"/>
      <c r="V45" s="283"/>
      <c r="W45" s="284"/>
      <c r="X45" s="282"/>
      <c r="Y45" s="283"/>
      <c r="Z45" s="283"/>
      <c r="AA45" s="284"/>
    </row>
    <row r="46" spans="1:36" x14ac:dyDescent="0.3">
      <c r="A46" s="332" t="s">
        <v>45</v>
      </c>
      <c r="B46" s="332"/>
      <c r="C46" s="332"/>
      <c r="D46" s="326"/>
      <c r="E46" s="326"/>
      <c r="F46" s="326"/>
      <c r="G46" s="326"/>
      <c r="H46" s="326"/>
      <c r="I46" s="326"/>
      <c r="J46" s="326"/>
      <c r="K46" s="326"/>
      <c r="L46" s="326"/>
      <c r="M46" s="326"/>
      <c r="N46" s="326"/>
      <c r="O46" s="326"/>
      <c r="P46" s="326"/>
      <c r="Q46" s="326"/>
      <c r="R46" s="326"/>
      <c r="S46" s="326"/>
      <c r="T46" s="326"/>
      <c r="U46" s="326"/>
      <c r="V46" s="326"/>
      <c r="W46" s="326"/>
      <c r="X46" s="326"/>
      <c r="Y46" s="326"/>
      <c r="Z46" s="326"/>
      <c r="AA46" s="326"/>
    </row>
    <row r="47" spans="1:36" x14ac:dyDescent="0.3">
      <c r="A47" s="332"/>
      <c r="B47" s="332"/>
      <c r="C47" s="332"/>
      <c r="D47" s="326"/>
      <c r="E47" s="326"/>
      <c r="F47" s="326"/>
      <c r="G47" s="326"/>
      <c r="H47" s="326"/>
      <c r="I47" s="326"/>
      <c r="J47" s="326"/>
      <c r="K47" s="326"/>
      <c r="L47" s="326"/>
      <c r="M47" s="326"/>
      <c r="N47" s="326"/>
      <c r="O47" s="326"/>
      <c r="P47" s="326"/>
      <c r="Q47" s="326"/>
      <c r="R47" s="326"/>
      <c r="S47" s="326"/>
      <c r="T47" s="326"/>
      <c r="U47" s="326"/>
      <c r="V47" s="326"/>
      <c r="W47" s="326"/>
      <c r="X47" s="326"/>
      <c r="Y47" s="326"/>
      <c r="Z47" s="326"/>
      <c r="AA47" s="326"/>
    </row>
    <row r="48" spans="1:36" ht="15.95" customHeight="1" x14ac:dyDescent="0.3">
      <c r="A48" s="18">
        <v>4</v>
      </c>
      <c r="B48" s="323" t="s">
        <v>46</v>
      </c>
      <c r="C48" s="323"/>
      <c r="D48" s="323"/>
      <c r="E48" s="323"/>
      <c r="F48" s="323"/>
      <c r="G48" s="323"/>
      <c r="H48" s="323"/>
      <c r="I48" s="323"/>
      <c r="J48" s="323"/>
      <c r="K48" s="323"/>
      <c r="L48" s="323"/>
      <c r="M48" s="323"/>
      <c r="N48" s="323"/>
      <c r="O48" s="323"/>
      <c r="P48" s="324"/>
      <c r="Q48" s="324"/>
      <c r="R48" s="324"/>
      <c r="S48" s="324"/>
      <c r="T48" s="324"/>
      <c r="U48" s="324"/>
      <c r="V48" s="324"/>
      <c r="W48" s="324"/>
      <c r="X48" s="324"/>
      <c r="Y48" s="324"/>
      <c r="Z48" s="324"/>
      <c r="AA48" s="324"/>
    </row>
    <row r="49" spans="1:27" ht="15.95" customHeight="1" x14ac:dyDescent="0.3">
      <c r="A49" s="20"/>
      <c r="B49" s="308" t="s">
        <v>47</v>
      </c>
      <c r="C49" s="308"/>
      <c r="D49" s="308"/>
      <c r="E49" s="308"/>
      <c r="F49" s="308"/>
      <c r="G49" s="308"/>
      <c r="H49" s="308"/>
      <c r="I49" s="308"/>
      <c r="J49" s="170" t="s">
        <v>48</v>
      </c>
      <c r="K49" s="308" t="s">
        <v>49</v>
      </c>
      <c r="L49" s="308"/>
      <c r="M49" s="308"/>
      <c r="N49" s="308" t="s">
        <v>220</v>
      </c>
      <c r="O49" s="308"/>
      <c r="P49" s="308" t="s">
        <v>50</v>
      </c>
      <c r="Q49" s="308"/>
      <c r="R49" s="308"/>
      <c r="S49" s="308" t="s">
        <v>51</v>
      </c>
      <c r="T49" s="308"/>
      <c r="U49" s="308"/>
      <c r="V49" s="308" t="s">
        <v>52</v>
      </c>
      <c r="W49" s="308"/>
      <c r="X49" s="308"/>
      <c r="Y49" s="308" t="s">
        <v>137</v>
      </c>
      <c r="Z49" s="308"/>
      <c r="AA49" s="308"/>
    </row>
    <row r="50" spans="1:27" ht="15.95" customHeight="1" x14ac:dyDescent="0.3">
      <c r="A50" s="64">
        <v>1</v>
      </c>
      <c r="B50" s="331" t="str">
        <f>+F18</f>
        <v>16 DE OCTUBRE DE 2018</v>
      </c>
      <c r="C50" s="331"/>
      <c r="D50" s="331"/>
      <c r="E50" s="331"/>
      <c r="F50" s="329">
        <v>43145</v>
      </c>
      <c r="G50" s="329"/>
      <c r="H50" s="329"/>
      <c r="I50" s="329"/>
      <c r="J50" s="14">
        <v>30</v>
      </c>
      <c r="K50" s="320">
        <f>+J50*$Z$21</f>
        <v>7735000</v>
      </c>
      <c r="L50" s="320"/>
      <c r="M50" s="320"/>
      <c r="N50" s="330"/>
      <c r="O50" s="330"/>
      <c r="P50" s="309">
        <f>IF(J50=0," ",K50)</f>
        <v>7735000</v>
      </c>
      <c r="Q50" s="310"/>
      <c r="R50" s="311"/>
      <c r="S50" s="309">
        <f>+IF(J50=0," ",F21-K50)</f>
        <v>-3867500</v>
      </c>
      <c r="T50" s="310"/>
      <c r="U50" s="311"/>
      <c r="V50" s="320" t="e">
        <f>IF($H$15="COMUN",$Z$30/1.19,$Z$30)</f>
        <v>#N/A</v>
      </c>
      <c r="W50" s="320"/>
      <c r="X50" s="320"/>
      <c r="Y50" s="327" t="s">
        <v>291</v>
      </c>
      <c r="Z50" s="327"/>
      <c r="AA50" s="327"/>
    </row>
    <row r="51" spans="1:27" x14ac:dyDescent="0.3">
      <c r="A51" s="64">
        <v>2</v>
      </c>
      <c r="B51" s="328">
        <v>43146</v>
      </c>
      <c r="C51" s="328"/>
      <c r="D51" s="328"/>
      <c r="E51" s="328"/>
      <c r="F51" s="329">
        <v>43173</v>
      </c>
      <c r="G51" s="329"/>
      <c r="H51" s="329"/>
      <c r="I51" s="329"/>
      <c r="J51" s="14">
        <v>30</v>
      </c>
      <c r="K51" s="320">
        <f t="shared" ref="K51:K61" si="0">+J51*$Z$21</f>
        <v>7735000</v>
      </c>
      <c r="L51" s="320"/>
      <c r="M51" s="320"/>
      <c r="N51" s="330"/>
      <c r="O51" s="330"/>
      <c r="P51" s="309">
        <f>IF(J51=0," ",K51+P50)</f>
        <v>15470000</v>
      </c>
      <c r="Q51" s="310"/>
      <c r="R51" s="311"/>
      <c r="S51" s="309">
        <f>IF(J51=0," ",$F$21-P51)</f>
        <v>-11602500</v>
      </c>
      <c r="T51" s="310"/>
      <c r="U51" s="311"/>
      <c r="V51" s="320" t="e">
        <f t="shared" ref="V51:V61" si="1">IF($H$15="COMUN",$Z$30/1.19,$Z$30)</f>
        <v>#N/A</v>
      </c>
      <c r="W51" s="320"/>
      <c r="X51" s="320"/>
      <c r="Y51" s="327" t="s">
        <v>291</v>
      </c>
      <c r="Z51" s="327"/>
      <c r="AA51" s="327"/>
    </row>
    <row r="52" spans="1:27" x14ac:dyDescent="0.3">
      <c r="A52" s="64">
        <v>3</v>
      </c>
      <c r="B52" s="328">
        <v>43174</v>
      </c>
      <c r="C52" s="328"/>
      <c r="D52" s="328"/>
      <c r="E52" s="328"/>
      <c r="F52" s="329">
        <v>43204</v>
      </c>
      <c r="G52" s="329"/>
      <c r="H52" s="329"/>
      <c r="I52" s="329"/>
      <c r="J52" s="14">
        <v>30</v>
      </c>
      <c r="K52" s="320">
        <f t="shared" si="0"/>
        <v>7735000</v>
      </c>
      <c r="L52" s="320"/>
      <c r="M52" s="320"/>
      <c r="N52" s="330"/>
      <c r="O52" s="330"/>
      <c r="P52" s="309">
        <f t="shared" ref="P52:P61" si="2">IF(J52=0," ",K52+P51)</f>
        <v>23205000</v>
      </c>
      <c r="Q52" s="310"/>
      <c r="R52" s="311"/>
      <c r="S52" s="309">
        <f t="shared" ref="S52:S61" si="3">IF(J52=0," ",$F$21-P52)</f>
        <v>-19337500</v>
      </c>
      <c r="T52" s="310"/>
      <c r="U52" s="311"/>
      <c r="V52" s="320" t="e">
        <f t="shared" si="1"/>
        <v>#N/A</v>
      </c>
      <c r="W52" s="320"/>
      <c r="X52" s="320"/>
      <c r="Y52" s="327" t="s">
        <v>291</v>
      </c>
      <c r="Z52" s="327"/>
      <c r="AA52" s="327"/>
    </row>
    <row r="53" spans="1:27" x14ac:dyDescent="0.3">
      <c r="A53" s="64">
        <v>4</v>
      </c>
      <c r="B53" s="328">
        <v>43205</v>
      </c>
      <c r="C53" s="328"/>
      <c r="D53" s="328"/>
      <c r="E53" s="328"/>
      <c r="F53" s="329">
        <v>43234</v>
      </c>
      <c r="G53" s="329"/>
      <c r="H53" s="329"/>
      <c r="I53" s="329"/>
      <c r="J53" s="14">
        <v>30</v>
      </c>
      <c r="K53" s="320">
        <f t="shared" si="0"/>
        <v>7735000</v>
      </c>
      <c r="L53" s="320"/>
      <c r="M53" s="320"/>
      <c r="N53" s="330"/>
      <c r="O53" s="330"/>
      <c r="P53" s="309">
        <f t="shared" si="2"/>
        <v>30940000</v>
      </c>
      <c r="Q53" s="310"/>
      <c r="R53" s="311"/>
      <c r="S53" s="309">
        <f t="shared" si="3"/>
        <v>-27072500</v>
      </c>
      <c r="T53" s="310"/>
      <c r="U53" s="311"/>
      <c r="V53" s="320" t="e">
        <f t="shared" si="1"/>
        <v>#N/A</v>
      </c>
      <c r="W53" s="320"/>
      <c r="X53" s="320"/>
      <c r="Y53" s="327" t="s">
        <v>291</v>
      </c>
      <c r="Z53" s="327"/>
      <c r="AA53" s="327"/>
    </row>
    <row r="54" spans="1:27" x14ac:dyDescent="0.3">
      <c r="A54" s="64">
        <v>5</v>
      </c>
      <c r="B54" s="328">
        <v>43235</v>
      </c>
      <c r="C54" s="328"/>
      <c r="D54" s="328"/>
      <c r="E54" s="328"/>
      <c r="F54" s="329">
        <v>43265</v>
      </c>
      <c r="G54" s="329"/>
      <c r="H54" s="329"/>
      <c r="I54" s="329"/>
      <c r="J54" s="14">
        <v>30</v>
      </c>
      <c r="K54" s="320">
        <f t="shared" si="0"/>
        <v>7735000</v>
      </c>
      <c r="L54" s="320"/>
      <c r="M54" s="320"/>
      <c r="N54" s="330"/>
      <c r="O54" s="330"/>
      <c r="P54" s="309">
        <f t="shared" si="2"/>
        <v>38675000</v>
      </c>
      <c r="Q54" s="310"/>
      <c r="R54" s="311"/>
      <c r="S54" s="309">
        <f t="shared" si="3"/>
        <v>-34807500</v>
      </c>
      <c r="T54" s="310"/>
      <c r="U54" s="311"/>
      <c r="V54" s="320" t="e">
        <f t="shared" si="1"/>
        <v>#N/A</v>
      </c>
      <c r="W54" s="320"/>
      <c r="X54" s="320"/>
      <c r="Y54" s="327" t="s">
        <v>291</v>
      </c>
      <c r="Z54" s="327"/>
      <c r="AA54" s="327"/>
    </row>
    <row r="55" spans="1:27" x14ac:dyDescent="0.3">
      <c r="A55" s="64">
        <v>6</v>
      </c>
      <c r="B55" s="328">
        <v>43266</v>
      </c>
      <c r="C55" s="328"/>
      <c r="D55" s="328"/>
      <c r="E55" s="328"/>
      <c r="F55" s="329">
        <v>43295</v>
      </c>
      <c r="G55" s="329"/>
      <c r="H55" s="329"/>
      <c r="I55" s="329"/>
      <c r="J55" s="14">
        <v>30</v>
      </c>
      <c r="K55" s="320">
        <f t="shared" si="0"/>
        <v>7735000</v>
      </c>
      <c r="L55" s="320"/>
      <c r="M55" s="320"/>
      <c r="N55" s="330"/>
      <c r="O55" s="330"/>
      <c r="P55" s="309">
        <f t="shared" si="2"/>
        <v>46410000</v>
      </c>
      <c r="Q55" s="310"/>
      <c r="R55" s="311"/>
      <c r="S55" s="309">
        <f t="shared" si="3"/>
        <v>-42542500</v>
      </c>
      <c r="T55" s="310"/>
      <c r="U55" s="311"/>
      <c r="V55" s="320" t="e">
        <f t="shared" si="1"/>
        <v>#N/A</v>
      </c>
      <c r="W55" s="320"/>
      <c r="X55" s="320"/>
      <c r="Y55" s="327" t="s">
        <v>291</v>
      </c>
      <c r="Z55" s="327"/>
      <c r="AA55" s="327"/>
    </row>
    <row r="56" spans="1:27" x14ac:dyDescent="0.3">
      <c r="A56" s="64">
        <v>7</v>
      </c>
      <c r="B56" s="328">
        <v>43296</v>
      </c>
      <c r="C56" s="328"/>
      <c r="D56" s="328"/>
      <c r="E56" s="328"/>
      <c r="F56" s="329">
        <v>43326</v>
      </c>
      <c r="G56" s="329"/>
      <c r="H56" s="329"/>
      <c r="I56" s="329"/>
      <c r="J56" s="14">
        <v>30</v>
      </c>
      <c r="K56" s="320">
        <f t="shared" si="0"/>
        <v>7735000</v>
      </c>
      <c r="L56" s="320"/>
      <c r="M56" s="320"/>
      <c r="N56" s="330"/>
      <c r="O56" s="330"/>
      <c r="P56" s="309">
        <f t="shared" si="2"/>
        <v>54145000</v>
      </c>
      <c r="Q56" s="310"/>
      <c r="R56" s="311"/>
      <c r="S56" s="309">
        <f t="shared" si="3"/>
        <v>-50277500</v>
      </c>
      <c r="T56" s="310"/>
      <c r="U56" s="311"/>
      <c r="V56" s="320" t="e">
        <f t="shared" si="1"/>
        <v>#N/A</v>
      </c>
      <c r="W56" s="320"/>
      <c r="X56" s="320"/>
      <c r="Y56" s="327" t="s">
        <v>291</v>
      </c>
      <c r="Z56" s="327"/>
      <c r="AA56" s="327"/>
    </row>
    <row r="57" spans="1:27" x14ac:dyDescent="0.3">
      <c r="A57" s="64">
        <v>8</v>
      </c>
      <c r="B57" s="328">
        <v>43327</v>
      </c>
      <c r="C57" s="328"/>
      <c r="D57" s="328"/>
      <c r="E57" s="328"/>
      <c r="F57" s="329">
        <v>43357</v>
      </c>
      <c r="G57" s="329"/>
      <c r="H57" s="329"/>
      <c r="I57" s="329"/>
      <c r="J57" s="14">
        <v>30</v>
      </c>
      <c r="K57" s="320">
        <f t="shared" si="0"/>
        <v>7735000</v>
      </c>
      <c r="L57" s="320"/>
      <c r="M57" s="320"/>
      <c r="N57" s="330"/>
      <c r="O57" s="330"/>
      <c r="P57" s="309">
        <f t="shared" si="2"/>
        <v>61880000</v>
      </c>
      <c r="Q57" s="310"/>
      <c r="R57" s="311"/>
      <c r="S57" s="309">
        <f t="shared" si="3"/>
        <v>-58012500</v>
      </c>
      <c r="T57" s="310"/>
      <c r="U57" s="311"/>
      <c r="V57" s="320" t="e">
        <f t="shared" si="1"/>
        <v>#N/A</v>
      </c>
      <c r="W57" s="320"/>
      <c r="X57" s="320"/>
      <c r="Y57" s="327" t="s">
        <v>291</v>
      </c>
      <c r="Z57" s="327"/>
      <c r="AA57" s="327"/>
    </row>
    <row r="58" spans="1:27" x14ac:dyDescent="0.3">
      <c r="A58" s="64">
        <v>9</v>
      </c>
      <c r="B58" s="328">
        <v>43358</v>
      </c>
      <c r="C58" s="328"/>
      <c r="D58" s="328"/>
      <c r="E58" s="328"/>
      <c r="F58" s="329">
        <v>43387</v>
      </c>
      <c r="G58" s="329"/>
      <c r="H58" s="329"/>
      <c r="I58" s="329"/>
      <c r="J58" s="14">
        <v>30</v>
      </c>
      <c r="K58" s="320">
        <f t="shared" si="0"/>
        <v>7735000</v>
      </c>
      <c r="L58" s="320"/>
      <c r="M58" s="320"/>
      <c r="N58" s="330"/>
      <c r="O58" s="330"/>
      <c r="P58" s="309">
        <f t="shared" si="2"/>
        <v>69615000</v>
      </c>
      <c r="Q58" s="310"/>
      <c r="R58" s="311"/>
      <c r="S58" s="309">
        <f t="shared" si="3"/>
        <v>-65747500</v>
      </c>
      <c r="T58" s="310"/>
      <c r="U58" s="311"/>
      <c r="V58" s="320" t="e">
        <f t="shared" si="1"/>
        <v>#N/A</v>
      </c>
      <c r="W58" s="320"/>
      <c r="X58" s="320"/>
      <c r="Y58" s="327" t="s">
        <v>291</v>
      </c>
      <c r="Z58" s="327"/>
      <c r="AA58" s="327"/>
    </row>
    <row r="59" spans="1:27" x14ac:dyDescent="0.3">
      <c r="A59" s="64">
        <v>10</v>
      </c>
      <c r="B59" s="328">
        <v>43388</v>
      </c>
      <c r="C59" s="328"/>
      <c r="D59" s="328"/>
      <c r="E59" s="328"/>
      <c r="F59" s="329">
        <v>43418</v>
      </c>
      <c r="G59" s="329"/>
      <c r="H59" s="329"/>
      <c r="I59" s="329"/>
      <c r="J59" s="14">
        <v>30</v>
      </c>
      <c r="K59" s="320">
        <f t="shared" si="0"/>
        <v>7735000</v>
      </c>
      <c r="L59" s="320"/>
      <c r="M59" s="320"/>
      <c r="N59" s="330"/>
      <c r="O59" s="330"/>
      <c r="P59" s="309">
        <f t="shared" si="2"/>
        <v>77350000</v>
      </c>
      <c r="Q59" s="310"/>
      <c r="R59" s="311"/>
      <c r="S59" s="309">
        <f t="shared" si="3"/>
        <v>-73482500</v>
      </c>
      <c r="T59" s="310"/>
      <c r="U59" s="311"/>
      <c r="V59" s="320" t="e">
        <f t="shared" si="1"/>
        <v>#N/A</v>
      </c>
      <c r="W59" s="320"/>
      <c r="X59" s="320"/>
      <c r="Y59" s="327" t="s">
        <v>291</v>
      </c>
      <c r="Z59" s="327"/>
      <c r="AA59" s="327"/>
    </row>
    <row r="60" spans="1:27" x14ac:dyDescent="0.3">
      <c r="A60" s="64">
        <v>11</v>
      </c>
      <c r="B60" s="328">
        <v>43419</v>
      </c>
      <c r="C60" s="328"/>
      <c r="D60" s="328"/>
      <c r="E60" s="328"/>
      <c r="F60" s="329">
        <v>43448</v>
      </c>
      <c r="G60" s="329"/>
      <c r="H60" s="329"/>
      <c r="I60" s="329"/>
      <c r="J60" s="14">
        <v>30</v>
      </c>
      <c r="K60" s="320">
        <f t="shared" si="0"/>
        <v>7735000</v>
      </c>
      <c r="L60" s="320"/>
      <c r="M60" s="320"/>
      <c r="N60" s="330"/>
      <c r="O60" s="330"/>
      <c r="P60" s="309">
        <f t="shared" si="2"/>
        <v>85085000</v>
      </c>
      <c r="Q60" s="310"/>
      <c r="R60" s="311"/>
      <c r="S60" s="309">
        <f t="shared" si="3"/>
        <v>-81217500</v>
      </c>
      <c r="T60" s="310"/>
      <c r="U60" s="311"/>
      <c r="V60" s="320" t="e">
        <f t="shared" si="1"/>
        <v>#N/A</v>
      </c>
      <c r="W60" s="320"/>
      <c r="X60" s="320"/>
      <c r="Y60" s="327" t="s">
        <v>291</v>
      </c>
      <c r="Z60" s="327"/>
      <c r="AA60" s="327"/>
    </row>
    <row r="61" spans="1:27" x14ac:dyDescent="0.3">
      <c r="A61" s="64">
        <v>12</v>
      </c>
      <c r="B61" s="328">
        <v>43449</v>
      </c>
      <c r="C61" s="328"/>
      <c r="D61" s="328"/>
      <c r="E61" s="328"/>
      <c r="F61" s="329">
        <v>43465</v>
      </c>
      <c r="G61" s="329"/>
      <c r="H61" s="329"/>
      <c r="I61" s="329"/>
      <c r="J61" s="14">
        <v>8</v>
      </c>
      <c r="K61" s="320">
        <f t="shared" si="0"/>
        <v>2062666.6666666667</v>
      </c>
      <c r="L61" s="320"/>
      <c r="M61" s="320"/>
      <c r="N61" s="330"/>
      <c r="O61" s="330"/>
      <c r="P61" s="309">
        <f t="shared" si="2"/>
        <v>87147666.666666672</v>
      </c>
      <c r="Q61" s="310"/>
      <c r="R61" s="311"/>
      <c r="S61" s="309">
        <f t="shared" si="3"/>
        <v>-83280166.666666672</v>
      </c>
      <c r="T61" s="310"/>
      <c r="U61" s="311"/>
      <c r="V61" s="320" t="e">
        <f t="shared" si="1"/>
        <v>#N/A</v>
      </c>
      <c r="W61" s="320"/>
      <c r="X61" s="320"/>
      <c r="Y61" s="327" t="s">
        <v>291</v>
      </c>
      <c r="Z61" s="327"/>
      <c r="AA61" s="327"/>
    </row>
    <row r="62" spans="1:27" x14ac:dyDescent="0.3">
      <c r="A62" s="20"/>
      <c r="B62" s="308" t="s">
        <v>53</v>
      </c>
      <c r="C62" s="308"/>
      <c r="D62" s="308"/>
      <c r="E62" s="308"/>
      <c r="F62" s="308"/>
      <c r="G62" s="308"/>
      <c r="H62" s="308"/>
      <c r="I62" s="308"/>
      <c r="J62" s="171">
        <f>SUM(J50:J61)</f>
        <v>338</v>
      </c>
      <c r="K62" s="320">
        <f>SUM(K50:O61)</f>
        <v>87147666.666666672</v>
      </c>
      <c r="L62" s="320"/>
      <c r="M62" s="320"/>
      <c r="N62" s="309"/>
      <c r="O62" s="311"/>
      <c r="P62" s="308"/>
      <c r="Q62" s="308"/>
      <c r="R62" s="308"/>
      <c r="S62" s="308"/>
      <c r="T62" s="308"/>
      <c r="U62" s="308"/>
      <c r="V62" s="308"/>
      <c r="W62" s="308"/>
      <c r="X62" s="308"/>
      <c r="Y62" s="308"/>
      <c r="Z62" s="308"/>
      <c r="AA62" s="308"/>
    </row>
    <row r="63" spans="1:27" x14ac:dyDescent="0.3">
      <c r="A63" s="325" t="s">
        <v>54</v>
      </c>
      <c r="B63" s="325"/>
      <c r="C63" s="325"/>
      <c r="D63" s="325"/>
      <c r="E63" s="325"/>
      <c r="F63" s="326"/>
      <c r="G63" s="326"/>
      <c r="H63" s="326"/>
      <c r="I63" s="326"/>
      <c r="J63" s="326"/>
      <c r="K63" s="326"/>
      <c r="L63" s="326"/>
      <c r="M63" s="326"/>
      <c r="N63" s="326"/>
      <c r="O63" s="326"/>
      <c r="P63" s="326"/>
      <c r="Q63" s="326"/>
      <c r="R63" s="326"/>
      <c r="S63" s="326" t="s">
        <v>136</v>
      </c>
      <c r="T63" s="326"/>
      <c r="U63" s="326"/>
      <c r="V63" s="326" t="s">
        <v>55</v>
      </c>
      <c r="W63" s="326"/>
      <c r="X63" s="326"/>
      <c r="Y63" s="326" t="s">
        <v>56</v>
      </c>
      <c r="Z63" s="326"/>
      <c r="AA63" s="326"/>
    </row>
    <row r="64" spans="1:27" ht="15.95" customHeight="1" x14ac:dyDescent="0.3">
      <c r="A64" s="322">
        <f>+Z6</f>
        <v>1</v>
      </c>
      <c r="B64" s="323" t="s">
        <v>57</v>
      </c>
      <c r="C64" s="323"/>
      <c r="D64" s="323"/>
      <c r="E64" s="323"/>
      <c r="F64" s="323"/>
      <c r="G64" s="323"/>
      <c r="H64" s="323"/>
      <c r="I64" s="323"/>
      <c r="J64" s="323"/>
      <c r="K64" s="323"/>
      <c r="L64" s="323"/>
      <c r="M64" s="323"/>
      <c r="N64" s="323"/>
      <c r="O64" s="323"/>
      <c r="P64" s="324"/>
      <c r="Q64" s="324"/>
      <c r="R64" s="324"/>
      <c r="S64" s="324"/>
      <c r="T64" s="324"/>
      <c r="U64" s="324"/>
      <c r="V64" s="324"/>
      <c r="W64" s="324"/>
      <c r="X64" s="324"/>
      <c r="Y64" s="324"/>
      <c r="Z64" s="324"/>
      <c r="AA64" s="324"/>
    </row>
    <row r="65" spans="1:35" ht="14.1" customHeight="1" x14ac:dyDescent="0.3">
      <c r="A65" s="322"/>
      <c r="B65" s="308" t="s">
        <v>47</v>
      </c>
      <c r="C65" s="308"/>
      <c r="D65" s="308"/>
      <c r="E65" s="308"/>
      <c r="F65" s="308"/>
      <c r="G65" s="308"/>
      <c r="H65" s="308"/>
      <c r="I65" s="308"/>
      <c r="J65" s="170" t="s">
        <v>48</v>
      </c>
      <c r="K65" s="308" t="s">
        <v>49</v>
      </c>
      <c r="L65" s="308"/>
      <c r="M65" s="308"/>
      <c r="N65" s="308"/>
      <c r="O65" s="308"/>
      <c r="P65" s="308" t="s">
        <v>50</v>
      </c>
      <c r="Q65" s="308"/>
      <c r="R65" s="308"/>
      <c r="S65" s="308" t="s">
        <v>51</v>
      </c>
      <c r="T65" s="308"/>
      <c r="U65" s="308"/>
      <c r="V65" s="308" t="s">
        <v>52</v>
      </c>
      <c r="W65" s="308"/>
      <c r="X65" s="308"/>
      <c r="Y65" s="308" t="s">
        <v>137</v>
      </c>
      <c r="Z65" s="308"/>
      <c r="AA65" s="308"/>
    </row>
    <row r="66" spans="1:35" ht="14.1" customHeight="1" x14ac:dyDescent="0.3">
      <c r="A66" s="322"/>
      <c r="B66" s="319" t="str">
        <f>VLOOKUP(A64,A50:AA61,2)</f>
        <v>16 DE OCTUBRE DE 2018</v>
      </c>
      <c r="C66" s="319"/>
      <c r="D66" s="319"/>
      <c r="E66" s="319"/>
      <c r="F66" s="319">
        <f>VLOOKUP(A64,A50:AA61,6)</f>
        <v>43145</v>
      </c>
      <c r="G66" s="319"/>
      <c r="H66" s="319"/>
      <c r="I66" s="319"/>
      <c r="J66" s="171">
        <f>VLOOKUP(A64,A50:AA61,10)</f>
        <v>30</v>
      </c>
      <c r="K66" s="320">
        <f>VLOOKUP(A64,A50:AA61,11)</f>
        <v>7735000</v>
      </c>
      <c r="L66" s="320"/>
      <c r="M66" s="320"/>
      <c r="N66" s="320"/>
      <c r="O66" s="320"/>
      <c r="P66" s="320">
        <f>VLOOKUP(A64,A50:AA61,16)</f>
        <v>7735000</v>
      </c>
      <c r="Q66" s="320"/>
      <c r="R66" s="320"/>
      <c r="S66" s="320">
        <f>VLOOKUP(A64,A50:AA61,19)</f>
        <v>-3867500</v>
      </c>
      <c r="T66" s="320"/>
      <c r="U66" s="320"/>
      <c r="V66" s="320" t="e">
        <f>VLOOKUP(A64,A50:AA61,22)</f>
        <v>#N/A</v>
      </c>
      <c r="W66" s="320"/>
      <c r="X66" s="320"/>
      <c r="Y66" s="321" t="str">
        <f>VLOOKUP(A64,A50:AA61,25)</f>
        <v># Planilla Seg. Soc.</v>
      </c>
      <c r="Z66" s="321"/>
      <c r="AA66" s="321"/>
    </row>
    <row r="67" spans="1:35" ht="14.1" customHeight="1" x14ac:dyDescent="0.3">
      <c r="A67" s="322"/>
      <c r="B67" s="308" t="s">
        <v>284</v>
      </c>
      <c r="C67" s="308"/>
      <c r="D67" s="308"/>
      <c r="E67" s="308"/>
      <c r="F67" s="309">
        <f>+K66</f>
        <v>7735000</v>
      </c>
      <c r="G67" s="310"/>
      <c r="H67" s="310"/>
      <c r="I67" s="311"/>
      <c r="J67" s="312" t="str">
        <f>+D101</f>
        <v>Siete Millones Setecientos Treinta y Cinco Mil Pesos M/Cte</v>
      </c>
      <c r="K67" s="313"/>
      <c r="L67" s="313"/>
      <c r="M67" s="313"/>
      <c r="N67" s="313"/>
      <c r="O67" s="313"/>
      <c r="P67" s="313"/>
      <c r="Q67" s="313"/>
      <c r="R67" s="313"/>
      <c r="S67" s="313"/>
      <c r="T67" s="313"/>
      <c r="U67" s="313"/>
      <c r="V67" s="313"/>
      <c r="W67" s="313"/>
      <c r="X67" s="313"/>
      <c r="Y67" s="313"/>
      <c r="Z67" s="313"/>
      <c r="AA67" s="314"/>
    </row>
    <row r="68" spans="1:35" ht="3.95" customHeight="1" x14ac:dyDescent="0.3">
      <c r="A68" s="315"/>
      <c r="B68" s="315"/>
      <c r="C68" s="315"/>
      <c r="D68" s="315"/>
      <c r="E68" s="315"/>
      <c r="F68" s="315"/>
      <c r="G68" s="315"/>
      <c r="H68" s="315"/>
      <c r="I68" s="315"/>
      <c r="J68" s="315"/>
      <c r="K68" s="315"/>
      <c r="L68" s="315"/>
      <c r="M68" s="315"/>
      <c r="N68" s="315"/>
      <c r="O68" s="315"/>
      <c r="P68" s="315"/>
      <c r="Q68" s="315"/>
      <c r="R68" s="315"/>
      <c r="S68" s="315"/>
      <c r="T68" s="315"/>
      <c r="U68" s="315"/>
      <c r="V68" s="315"/>
      <c r="W68" s="315"/>
      <c r="X68" s="315"/>
      <c r="Y68" s="315"/>
      <c r="Z68" s="315"/>
      <c r="AA68" s="315"/>
    </row>
    <row r="69" spans="1:35" ht="15.95" customHeight="1" x14ac:dyDescent="0.3">
      <c r="A69" s="23" t="s">
        <v>143</v>
      </c>
      <c r="B69" s="24"/>
      <c r="C69" s="24"/>
      <c r="D69" s="24"/>
      <c r="E69" s="24"/>
      <c r="F69" s="24"/>
      <c r="G69" s="24"/>
      <c r="H69" s="24"/>
      <c r="I69" s="316" t="str">
        <f>+B66</f>
        <v>16 DE OCTUBRE DE 2018</v>
      </c>
      <c r="J69" s="316"/>
      <c r="K69" s="316"/>
      <c r="L69" s="316"/>
      <c r="M69" s="169" t="s">
        <v>144</v>
      </c>
      <c r="N69" s="316">
        <f>+F66</f>
        <v>43145</v>
      </c>
      <c r="O69" s="316"/>
      <c r="P69" s="316"/>
      <c r="Q69" s="316"/>
      <c r="R69" s="317" t="s">
        <v>145</v>
      </c>
      <c r="S69" s="317"/>
      <c r="T69" s="317"/>
      <c r="U69" s="317"/>
      <c r="V69" s="317"/>
      <c r="W69" s="317"/>
      <c r="X69" s="317"/>
      <c r="Y69" s="317"/>
      <c r="Z69" s="317"/>
      <c r="AA69" s="318"/>
    </row>
    <row r="70" spans="1:35" ht="14.1" customHeight="1" x14ac:dyDescent="0.3">
      <c r="A70" s="60" t="s">
        <v>1384</v>
      </c>
      <c r="B70" s="32"/>
      <c r="C70" s="32"/>
      <c r="D70" s="32"/>
      <c r="E70" s="32"/>
      <c r="F70" s="32"/>
      <c r="G70" s="32"/>
      <c r="H70" s="32"/>
      <c r="I70" s="32"/>
      <c r="J70" s="32"/>
      <c r="K70" s="32"/>
      <c r="L70" s="32"/>
      <c r="M70" s="32"/>
      <c r="N70" s="32"/>
      <c r="O70" s="289" t="s">
        <v>1393</v>
      </c>
      <c r="P70" s="289"/>
      <c r="Q70" s="289"/>
      <c r="R70" s="32" t="s">
        <v>1397</v>
      </c>
      <c r="S70" s="32"/>
      <c r="T70" s="32"/>
      <c r="U70" s="32"/>
      <c r="V70" s="32"/>
      <c r="W70" s="32"/>
      <c r="X70" s="32"/>
      <c r="Y70" s="32"/>
      <c r="Z70" s="32"/>
      <c r="AA70" s="33"/>
    </row>
    <row r="71" spans="1:35" x14ac:dyDescent="0.3">
      <c r="A71" s="60" t="s">
        <v>1398</v>
      </c>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3"/>
    </row>
    <row r="72" spans="1:35" x14ac:dyDescent="0.3">
      <c r="A72" s="60"/>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3"/>
    </row>
    <row r="73" spans="1:35" x14ac:dyDescent="0.3">
      <c r="A73" s="6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3"/>
    </row>
    <row r="74" spans="1:35" x14ac:dyDescent="0.3">
      <c r="A74" s="61"/>
      <c r="B74" s="62"/>
      <c r="C74" s="62"/>
      <c r="D74" s="62"/>
      <c r="E74" s="62"/>
      <c r="F74" s="32"/>
      <c r="G74" s="32"/>
      <c r="H74" s="32"/>
      <c r="I74" s="32"/>
      <c r="J74" s="32"/>
      <c r="K74" s="32"/>
      <c r="L74" s="32"/>
      <c r="M74" s="32"/>
      <c r="N74" s="32"/>
      <c r="O74" s="32"/>
      <c r="P74" s="32"/>
      <c r="Q74" s="32"/>
      <c r="R74" s="32"/>
      <c r="S74" s="32"/>
      <c r="T74" s="32"/>
      <c r="U74" s="32"/>
      <c r="V74" s="32"/>
      <c r="W74" s="32"/>
      <c r="X74" s="32"/>
      <c r="Y74" s="32"/>
      <c r="Z74" s="32"/>
      <c r="AA74" s="33"/>
    </row>
    <row r="75" spans="1:35" x14ac:dyDescent="0.3">
      <c r="A75" s="60" t="str">
        <f>+F14</f>
        <v>AVIGRAF IMAGEN CORPORATIVA</v>
      </c>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3"/>
    </row>
    <row r="76" spans="1:35" x14ac:dyDescent="0.3">
      <c r="A76" s="61" t="str">
        <f>+A14</f>
        <v>CONTRATISTA</v>
      </c>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3"/>
    </row>
    <row r="79" spans="1:35" x14ac:dyDescent="0.3">
      <c r="AF79" s="12"/>
    </row>
    <row r="80" spans="1:35" x14ac:dyDescent="0.3">
      <c r="AG80" s="52"/>
      <c r="AH80" s="12"/>
      <c r="AI80" s="12"/>
    </row>
    <row r="81" spans="1:35" x14ac:dyDescent="0.3">
      <c r="AH81" s="12"/>
    </row>
    <row r="82" spans="1:35" x14ac:dyDescent="0.3">
      <c r="AG82" s="52"/>
      <c r="AH82" s="12"/>
      <c r="AI82" s="12"/>
    </row>
    <row r="83" spans="1:35" x14ac:dyDescent="0.3">
      <c r="A83" s="290" t="s">
        <v>1382</v>
      </c>
      <c r="B83" s="291"/>
      <c r="C83" s="291"/>
      <c r="D83" s="291"/>
      <c r="E83" s="291"/>
      <c r="F83" s="291"/>
      <c r="G83" s="291"/>
      <c r="H83" s="291"/>
      <c r="I83" s="291"/>
      <c r="J83" s="291"/>
      <c r="K83" s="291"/>
      <c r="L83" s="291"/>
      <c r="M83" s="291"/>
      <c r="N83" s="291"/>
      <c r="O83" s="291"/>
      <c r="P83" s="291"/>
      <c r="Q83" s="291"/>
      <c r="R83" s="291"/>
      <c r="S83" s="291"/>
      <c r="T83" s="291"/>
      <c r="U83" s="291"/>
      <c r="V83" s="291"/>
      <c r="W83" s="291"/>
      <c r="X83" s="291"/>
      <c r="Y83" s="291"/>
      <c r="Z83" s="291"/>
      <c r="AA83" s="292"/>
      <c r="AG83" s="52"/>
      <c r="AH83" s="12"/>
      <c r="AI83" s="12"/>
    </row>
    <row r="84" spans="1:35" x14ac:dyDescent="0.3">
      <c r="A84" s="290"/>
      <c r="B84" s="291"/>
      <c r="C84" s="291"/>
      <c r="D84" s="291"/>
      <c r="E84" s="291"/>
      <c r="F84" s="291"/>
      <c r="G84" s="291"/>
      <c r="H84" s="291"/>
      <c r="I84" s="291"/>
      <c r="J84" s="291"/>
      <c r="K84" s="291"/>
      <c r="L84" s="291"/>
      <c r="M84" s="291"/>
      <c r="N84" s="291"/>
      <c r="O84" s="291"/>
      <c r="P84" s="291"/>
      <c r="Q84" s="291"/>
      <c r="R84" s="291"/>
      <c r="S84" s="291"/>
      <c r="T84" s="291"/>
      <c r="U84" s="291"/>
      <c r="V84" s="291"/>
      <c r="W84" s="291"/>
      <c r="X84" s="291"/>
      <c r="Y84" s="291"/>
      <c r="Z84" s="291"/>
      <c r="AA84" s="292"/>
      <c r="AH84" s="12"/>
      <c r="AI84" s="12"/>
    </row>
    <row r="85" spans="1:35" x14ac:dyDescent="0.3">
      <c r="AI85" s="12"/>
    </row>
    <row r="99" spans="1:12" hidden="1" x14ac:dyDescent="0.3">
      <c r="A99" s="57" t="s">
        <v>146</v>
      </c>
      <c r="B99" s="57"/>
      <c r="D99" s="293">
        <f>+F67</f>
        <v>7735000</v>
      </c>
      <c r="E99" s="293"/>
      <c r="F99" s="293"/>
      <c r="G99" s="57" t="s">
        <v>147</v>
      </c>
      <c r="H99" s="57"/>
      <c r="I99" s="57"/>
      <c r="J99" s="57"/>
      <c r="K99" s="57"/>
      <c r="L99" s="57"/>
    </row>
    <row r="100" spans="1:12" hidden="1" x14ac:dyDescent="0.3">
      <c r="A100" s="57"/>
      <c r="B100" s="57"/>
      <c r="C100" s="57"/>
      <c r="D100" s="57"/>
      <c r="E100" s="57"/>
      <c r="F100" s="57"/>
      <c r="G100" s="57"/>
      <c r="H100" s="57"/>
      <c r="I100" s="57"/>
      <c r="J100" s="57"/>
      <c r="K100" s="57"/>
      <c r="L100" s="57"/>
    </row>
    <row r="101" spans="1:12" hidden="1" x14ac:dyDescent="0.3">
      <c r="A101" s="57" t="s">
        <v>148</v>
      </c>
      <c r="B101" s="57"/>
      <c r="D101" s="57" t="str">
        <f>TRIM(D123)</f>
        <v>Siete Millones Setecientos Treinta y Cinco Mil Pesos M/Cte</v>
      </c>
      <c r="E101" s="57"/>
      <c r="F101" s="57"/>
      <c r="G101" s="57"/>
      <c r="H101" s="57"/>
      <c r="I101" s="57"/>
      <c r="J101" s="57"/>
      <c r="K101" s="57"/>
      <c r="L101" s="57"/>
    </row>
    <row r="102" spans="1:12" hidden="1" x14ac:dyDescent="0.3">
      <c r="A102" s="57"/>
      <c r="B102" s="57"/>
      <c r="C102" s="57"/>
      <c r="D102" s="57"/>
      <c r="E102" s="57"/>
      <c r="F102" s="57"/>
      <c r="G102" s="57"/>
      <c r="H102" s="57"/>
      <c r="I102" s="57"/>
      <c r="J102" s="57"/>
      <c r="K102" s="57"/>
      <c r="L102" s="57"/>
    </row>
    <row r="103" spans="1:12" hidden="1" x14ac:dyDescent="0.3">
      <c r="A103" s="57"/>
      <c r="B103" s="57"/>
      <c r="C103" s="57"/>
      <c r="D103" s="57"/>
      <c r="E103" s="57"/>
      <c r="F103" s="57"/>
      <c r="G103" s="57"/>
      <c r="H103" s="57"/>
      <c r="I103" s="57"/>
      <c r="J103" s="57"/>
      <c r="K103" s="57"/>
      <c r="L103" s="57"/>
    </row>
    <row r="104" spans="1:12" hidden="1" x14ac:dyDescent="0.3">
      <c r="A104" s="57">
        <v>1</v>
      </c>
      <c r="B104" s="57" t="s">
        <v>149</v>
      </c>
      <c r="C104" s="57" t="s">
        <v>150</v>
      </c>
      <c r="D104" s="57"/>
      <c r="E104" s="57">
        <f>INT((D99-(INT(D99/1000000000000000)*1000000000000000))/1000000000000)</f>
        <v>0</v>
      </c>
      <c r="F104" s="57" t="s">
        <v>151</v>
      </c>
      <c r="G104" s="57">
        <f>INT(E104/100)*100</f>
        <v>0</v>
      </c>
      <c r="H104" s="57" t="str">
        <f>IF(AND(G104=100,G105=0,G106=0),IF(G104=0," ",LOOKUP(G104,A103:C148,B103:B148)),IF(G104=0," ",LOOKUP(G104,A103:C148,C103:C148)))</f>
        <v xml:space="preserve"> </v>
      </c>
      <c r="I104" s="57"/>
      <c r="J104" s="57" t="s">
        <v>152</v>
      </c>
      <c r="K104" s="57"/>
      <c r="L104" s="57"/>
    </row>
    <row r="105" spans="1:12" hidden="1" x14ac:dyDescent="0.3">
      <c r="A105" s="57">
        <v>2</v>
      </c>
      <c r="B105" s="57" t="s">
        <v>153</v>
      </c>
      <c r="C105" s="57" t="s">
        <v>153</v>
      </c>
      <c r="D105" s="57"/>
      <c r="E105" s="57">
        <f>+E104-G104</f>
        <v>0</v>
      </c>
      <c r="F105" s="57" t="s">
        <v>154</v>
      </c>
      <c r="G105" s="57">
        <f>INT(E105/10)*10</f>
        <v>0</v>
      </c>
      <c r="H105" s="57" t="str">
        <f>IF(OR(G105=10,G105=20),LOOKUP(E105,A103:C148,C103:C148),IF(AND(G105=100,G106=0,G107=0),IF(G105=0," ",LOOKUP(G105,A103:C148,B103:B148)),IF(G105=0," ",LOOKUP(G105,A103:C148,C103:C148))))</f>
        <v xml:space="preserve"> </v>
      </c>
      <c r="I105" s="57" t="str">
        <f>IF(G106=0," ",IF(AND(G105&gt;20,G105&lt;=90),"y"," "))</f>
        <v xml:space="preserve"> </v>
      </c>
      <c r="J105" s="57"/>
      <c r="K105" s="57"/>
      <c r="L105" s="57"/>
    </row>
    <row r="106" spans="1:12" hidden="1" x14ac:dyDescent="0.3">
      <c r="A106" s="57">
        <v>3</v>
      </c>
      <c r="B106" s="57" t="s">
        <v>155</v>
      </c>
      <c r="C106" s="57" t="s">
        <v>155</v>
      </c>
      <c r="D106" s="57"/>
      <c r="E106" s="57">
        <f>+E105-G105</f>
        <v>0</v>
      </c>
      <c r="F106" s="57" t="s">
        <v>156</v>
      </c>
      <c r="G106" s="57">
        <f>INT(E106)</f>
        <v>0</v>
      </c>
      <c r="H106" s="57" t="str">
        <f>IF(OR(G105=10,G105=20)," ",IF(AND(G106=100,G107=0,G108=0),IF(G106=0," ",LOOKUP(G106,A103:C148,B103:B148)),IF(G106=0," ",LOOKUP(G106,A103:C148,B103:B148))))</f>
        <v xml:space="preserve"> </v>
      </c>
      <c r="I106" s="57" t="str">
        <f>IF(AND(G104=0,G105=0,G106=1),"Billón",IF(SUM(G104:G106)=0," ","Billones"))</f>
        <v xml:space="preserve"> </v>
      </c>
      <c r="J106" s="57"/>
      <c r="K106" s="57"/>
      <c r="L106" s="57"/>
    </row>
    <row r="107" spans="1:12" hidden="1" x14ac:dyDescent="0.3">
      <c r="A107" s="57">
        <v>4</v>
      </c>
      <c r="B107" s="57" t="s">
        <v>157</v>
      </c>
      <c r="C107" s="57" t="s">
        <v>157</v>
      </c>
      <c r="D107" s="57"/>
      <c r="E107" s="57">
        <f>INT((D99-(INT(D99/1000000000000)*1000000000000))/1000000000)</f>
        <v>0</v>
      </c>
      <c r="F107" s="57" t="s">
        <v>151</v>
      </c>
      <c r="G107" s="57">
        <f>INT(E107/100)*100</f>
        <v>0</v>
      </c>
      <c r="H107" s="57" t="str">
        <f>IF(AND(G107=100,G108=0,G109=0),IF(G107=0," ",LOOKUP(G107,A103:C148,B103:B148)),IF(G107=0," ",LOOKUP(G107,A103:C148,C103:C148)))</f>
        <v xml:space="preserve"> </v>
      </c>
      <c r="I107" s="57"/>
      <c r="J107" s="57" t="s">
        <v>158</v>
      </c>
      <c r="K107" s="57"/>
      <c r="L107" s="57"/>
    </row>
    <row r="108" spans="1:12" hidden="1" x14ac:dyDescent="0.3">
      <c r="A108" s="57">
        <v>5</v>
      </c>
      <c r="B108" s="57" t="s">
        <v>159</v>
      </c>
      <c r="C108" s="57" t="s">
        <v>159</v>
      </c>
      <c r="D108" s="57"/>
      <c r="E108" s="57">
        <f>+E107-G107</f>
        <v>0</v>
      </c>
      <c r="F108" s="57" t="s">
        <v>154</v>
      </c>
      <c r="G108" s="57">
        <f>INT(E108/10)*10</f>
        <v>0</v>
      </c>
      <c r="H108" s="57" t="str">
        <f>IF(OR(G108=10,G108=20),LOOKUP(E108,A103:C148,C103:C148),IF(AND(G108=100,G109=0,G110=0),IF(G108=0," ",LOOKUP(G108,A103:C148,B103:B148)),IF(G108=0," ",LOOKUP(G108,A103:C148,C103:C148))))</f>
        <v xml:space="preserve"> </v>
      </c>
      <c r="I108" s="57" t="str">
        <f>IF(G109=0," ",IF(AND(G108&gt;20,G108&lt;=90),"y"," "))</f>
        <v xml:space="preserve"> </v>
      </c>
      <c r="J108" s="57"/>
      <c r="K108" s="57"/>
      <c r="L108" s="57"/>
    </row>
    <row r="109" spans="1:12" hidden="1" x14ac:dyDescent="0.3">
      <c r="A109" s="57">
        <v>6</v>
      </c>
      <c r="B109" s="57" t="s">
        <v>160</v>
      </c>
      <c r="C109" s="57" t="s">
        <v>160</v>
      </c>
      <c r="D109" s="57"/>
      <c r="E109" s="57">
        <f>+E108-G108</f>
        <v>0</v>
      </c>
      <c r="F109" s="57" t="s">
        <v>156</v>
      </c>
      <c r="G109" s="57">
        <f>INT(E109)</f>
        <v>0</v>
      </c>
      <c r="H109" s="57" t="str">
        <f>IF(AND(G107=0,G108=0,G109=1)," ",IF(AND(G104=0,G105=0,G106=0,G107=0,G108=0,G109=1)," ",IF(OR(G108=10,G108=20)," ",IF(AND(G109=100,G110=0,G111=0),IF(G109=0," ",LOOKUP(G109,A103:C148,B103:B148)),IF(G109=0," ",LOOKUP(G109,A103:C148,B103:B148))))))</f>
        <v xml:space="preserve"> </v>
      </c>
      <c r="I109" s="57" t="str">
        <f>IF(AND(G107=0,G108=0,G109=1),"Mil",IF(SUM(G107:G109)=0," ","Mil"))</f>
        <v xml:space="preserve"> </v>
      </c>
      <c r="J109" s="57"/>
      <c r="K109" s="57"/>
      <c r="L109" s="57"/>
    </row>
    <row r="110" spans="1:12" hidden="1" x14ac:dyDescent="0.3">
      <c r="A110" s="57">
        <v>7</v>
      </c>
      <c r="B110" s="57" t="s">
        <v>161</v>
      </c>
      <c r="C110" s="57" t="s">
        <v>161</v>
      </c>
      <c r="D110" s="57"/>
      <c r="E110" s="57">
        <f>INT((D99-(INT(D99/1000000000)*1000000000))/1000000)</f>
        <v>7</v>
      </c>
      <c r="F110" s="57" t="s">
        <v>151</v>
      </c>
      <c r="G110" s="57">
        <f>INT(E110/100)*100</f>
        <v>0</v>
      </c>
      <c r="H110" s="57" t="str">
        <f>IF(AND(G110=100,G111=0,G112=0),IF(G110=0," ",LOOKUP(G110,A103:C148,B103:B148)),IF(G110=0," ",LOOKUP(G110,A103:C148,C103:C148)))</f>
        <v xml:space="preserve"> </v>
      </c>
      <c r="I110" s="57"/>
      <c r="J110" s="57" t="s">
        <v>162</v>
      </c>
      <c r="K110" s="57"/>
      <c r="L110" s="57"/>
    </row>
    <row r="111" spans="1:12" hidden="1" x14ac:dyDescent="0.3">
      <c r="A111" s="57">
        <v>8</v>
      </c>
      <c r="B111" s="57" t="s">
        <v>163</v>
      </c>
      <c r="C111" s="57" t="s">
        <v>163</v>
      </c>
      <c r="D111" s="57"/>
      <c r="E111" s="57">
        <f>+E110-G110</f>
        <v>7</v>
      </c>
      <c r="F111" s="57" t="s">
        <v>154</v>
      </c>
      <c r="G111" s="57">
        <f>INT(E111/10)*10</f>
        <v>0</v>
      </c>
      <c r="H111" s="57" t="str">
        <f>IF(OR(G111=10,G111=20),LOOKUP(E111,A103:C148,C103:C148),IF(AND(G111=100,G112=0,G116=0),IF(G111=0," ",LOOKUP(G111,A103:C148,B103:B148)),IF(G111=0," ",LOOKUP(G111,A103:C148,C103:C148))))</f>
        <v xml:space="preserve"> </v>
      </c>
      <c r="I111" s="57" t="str">
        <f>IF(G112=0," ",IF(AND(G111&gt;20,G111&lt;=90),"y"," "))</f>
        <v xml:space="preserve"> </v>
      </c>
      <c r="J111" s="57"/>
      <c r="K111" s="57"/>
      <c r="L111" s="57"/>
    </row>
    <row r="112" spans="1:12" hidden="1" x14ac:dyDescent="0.3">
      <c r="A112" s="57">
        <v>9</v>
      </c>
      <c r="B112" s="57" t="s">
        <v>164</v>
      </c>
      <c r="C112" s="57" t="s">
        <v>164</v>
      </c>
      <c r="D112" s="57"/>
      <c r="E112" s="57">
        <f>+E111-G111</f>
        <v>7</v>
      </c>
      <c r="F112" s="57" t="s">
        <v>156</v>
      </c>
      <c r="G112" s="57">
        <f>INT(E112)</f>
        <v>7</v>
      </c>
      <c r="H112" s="57" t="str">
        <f>IF(AND(G110=0,G111=0,G112=1),"Un",IF(AND(G107=0,G108=0,G109=0,G110=0,G111=0,G112=1)," ",IF(OR(G111=10,G111=20)," ",IF(AND(G112=100,G116=0,G123=0),IF(G112=0," ",LOOKUP(G112,A103:C148,B103:B148)),IF(G112=0," ",LOOKUP(G112,A103:C148,B103:B148))))))</f>
        <v>Siete</v>
      </c>
      <c r="I112" s="57" t="str">
        <f>IF(AND(OR(G107&gt;0,G108&gt;0,G109&gt;0),G110=0,G111=0,G112=0),"Millones",IF(AND(G107=0,G108=0,G109=0,G110=0,G111=0,G112=1),"Millón",IF(SUM(G110:G112)=0," ","Millones")))</f>
        <v>Millones</v>
      </c>
      <c r="J112" s="57"/>
      <c r="K112" s="57"/>
      <c r="L112" s="57"/>
    </row>
    <row r="113" spans="1:12" hidden="1" x14ac:dyDescent="0.3">
      <c r="A113" s="57">
        <v>10</v>
      </c>
      <c r="B113" s="57" t="s">
        <v>165</v>
      </c>
      <c r="C113" s="57" t="s">
        <v>165</v>
      </c>
      <c r="D113" s="57"/>
      <c r="E113" s="57">
        <f>INT((D99-(INT(D99/1000000)*1000000))/1000)</f>
        <v>735</v>
      </c>
      <c r="F113" s="57" t="s">
        <v>151</v>
      </c>
      <c r="G113" s="57">
        <f>INT(E113/100)*100</f>
        <v>700</v>
      </c>
      <c r="H113" s="57" t="str">
        <f>IF(AND(G113=100,G114=0,G115=0),IF(G113=0," ",LOOKUP(G113,A103:C148,B103:B148)),IF(G113=0," ",LOOKUP(G113,A103:C148,C103:C148)))</f>
        <v>Setecientos</v>
      </c>
      <c r="I113" s="57"/>
      <c r="J113" s="57" t="s">
        <v>166</v>
      </c>
      <c r="K113" s="57"/>
      <c r="L113" s="57"/>
    </row>
    <row r="114" spans="1:12" hidden="1" x14ac:dyDescent="0.3">
      <c r="A114" s="57">
        <v>11</v>
      </c>
      <c r="B114" s="57" t="s">
        <v>167</v>
      </c>
      <c r="C114" s="57" t="s">
        <v>167</v>
      </c>
      <c r="D114" s="57"/>
      <c r="E114" s="57">
        <f>+E113-G113</f>
        <v>35</v>
      </c>
      <c r="F114" s="57" t="s">
        <v>154</v>
      </c>
      <c r="G114" s="57">
        <f>INT(E114/10)*10</f>
        <v>30</v>
      </c>
      <c r="H114" s="57" t="str">
        <f>IF(OR(G114=10,G114=20),LOOKUP(E114,A103:C148,C103:C148),IF(AND(G114=100,G115=0,F121=0),IF(G114=0," ",LOOKUP(G114,A103:C148,B103:B148)),IF(G114=0," ",LOOKUP(G114,A103:C148,C103:C148))))</f>
        <v>Treinta</v>
      </c>
      <c r="I114" s="57" t="str">
        <f>IF(G115=0," ",IF(AND(G114&gt;20,G114&lt;=90),"y"," "))</f>
        <v>y</v>
      </c>
      <c r="J114" s="57"/>
      <c r="K114" s="57"/>
      <c r="L114" s="57"/>
    </row>
    <row r="115" spans="1:12" hidden="1" x14ac:dyDescent="0.3">
      <c r="A115" s="57">
        <v>12</v>
      </c>
      <c r="B115" s="57" t="s">
        <v>168</v>
      </c>
      <c r="C115" s="57" t="s">
        <v>168</v>
      </c>
      <c r="D115" s="57"/>
      <c r="E115" s="57">
        <f>+E114-G114</f>
        <v>5</v>
      </c>
      <c r="F115" s="57" t="s">
        <v>156</v>
      </c>
      <c r="G115" s="57">
        <f>INT(E115)</f>
        <v>5</v>
      </c>
      <c r="H115" s="57" t="str">
        <f>IF(AND(G113=0,G114=0,G115=1)," ",IF(AND(G110=0,G111=0,G112=0,G113=0,G114=0,G115=1)," ",IF(OR(G114=10,G114=20)," ",IF(AND(G115=100,F121=0,F122=0),IF(G115=0," ",LOOKUP(G115,A103:C148,B103:B148)),IF(G115=0," ",LOOKUP(G115,A103:C148,B103:B148))))))</f>
        <v>Cinco</v>
      </c>
      <c r="I115" s="57" t="str">
        <f>IF(AND(G113=0,G114=0,G115=1),"Mil",IF(SUM(G113:G115)=0," ","Mil"))</f>
        <v>Mil</v>
      </c>
      <c r="J115" s="57"/>
      <c r="K115" s="57"/>
      <c r="L115" s="57"/>
    </row>
    <row r="116" spans="1:12" hidden="1" x14ac:dyDescent="0.3">
      <c r="A116" s="57">
        <v>13</v>
      </c>
      <c r="B116" s="57" t="s">
        <v>169</v>
      </c>
      <c r="C116" s="57" t="s">
        <v>169</v>
      </c>
      <c r="D116" s="57"/>
      <c r="E116" s="57">
        <f>INT((D99-(INT(D99/1000)*1000))/1)</f>
        <v>0</v>
      </c>
      <c r="F116" s="57" t="s">
        <v>151</v>
      </c>
      <c r="G116" s="57">
        <f>INT(E116/100)*100</f>
        <v>0</v>
      </c>
      <c r="H116" s="57" t="str">
        <f>IF(AND(G116=100,G117=0,G118=0),IF(G116=0," ",LOOKUP(G116,A103:C148,B103:B148)),IF(G116=0," ",LOOKUP(G116,A103:C148,C103:C148)))</f>
        <v xml:space="preserve"> </v>
      </c>
      <c r="I116" s="57"/>
      <c r="J116" s="57" t="s">
        <v>170</v>
      </c>
      <c r="K116" s="57"/>
      <c r="L116" s="57"/>
    </row>
    <row r="117" spans="1:12" hidden="1" x14ac:dyDescent="0.3">
      <c r="A117" s="57">
        <v>14</v>
      </c>
      <c r="B117" s="57" t="s">
        <v>171</v>
      </c>
      <c r="C117" s="57" t="s">
        <v>171</v>
      </c>
      <c r="D117" s="57"/>
      <c r="E117" s="57">
        <f>+E116-G116</f>
        <v>0</v>
      </c>
      <c r="F117" s="57" t="s">
        <v>154</v>
      </c>
      <c r="G117" s="57">
        <f>INT(E117/10)*10</f>
        <v>0</v>
      </c>
      <c r="H117" s="57" t="str">
        <f>IF(OR(G117=10,G117=20),LOOKUP(E117,A103:C148,C103:C148),IF(AND(G117=100,G118=0,G128=0),IF(G117=0," ",LOOKUP(G117,A103:C148,B103:B148)),IF(G117=0," ",LOOKUP(G117,A103:C148,C103:C148))))</f>
        <v xml:space="preserve"> </v>
      </c>
      <c r="I117" s="57" t="str">
        <f>IF(G118=0," ",IF(AND(G117&gt;20,G117&lt;=90),"y"," "))</f>
        <v xml:space="preserve"> </v>
      </c>
      <c r="J117" s="57"/>
      <c r="K117" s="57"/>
      <c r="L117" s="57"/>
    </row>
    <row r="118" spans="1:12" hidden="1" x14ac:dyDescent="0.3">
      <c r="A118" s="57">
        <v>15</v>
      </c>
      <c r="B118" s="57" t="s">
        <v>172</v>
      </c>
      <c r="C118" s="57" t="s">
        <v>172</v>
      </c>
      <c r="D118" s="57"/>
      <c r="E118" s="57">
        <f>+E117-G117</f>
        <v>0</v>
      </c>
      <c r="F118" s="57" t="s">
        <v>156</v>
      </c>
      <c r="G118" s="57">
        <f>INT(E118)</f>
        <v>0</v>
      </c>
      <c r="H118" s="57" t="str">
        <f>IF(AND(G116=0,G117=0,G118=1),"Un",IF(AND(G113=0,G114=0,G115=0,G116=0,G117=0,G118=1)," ",IF(OR(G117=10,G117=20)," ",IF(AND(G118=100,G128=0,G129=0),IF(G118=0," ",LOOKUP(G118,A103:C148,B103:B148)),IF(G118=0," ",LOOKUP(G118,A103:C148,B103:B148))))))</f>
        <v xml:space="preserve"> </v>
      </c>
      <c r="I118" s="57"/>
      <c r="J118" s="57"/>
      <c r="K118" s="57"/>
      <c r="L118" s="57"/>
    </row>
    <row r="119" spans="1:12" hidden="1" x14ac:dyDescent="0.3">
      <c r="A119" s="57">
        <v>16</v>
      </c>
      <c r="B119" s="57" t="s">
        <v>173</v>
      </c>
      <c r="C119" s="57" t="s">
        <v>173</v>
      </c>
      <c r="D119" s="57"/>
      <c r="E119" s="57"/>
      <c r="F119" s="57"/>
      <c r="G119" s="57"/>
      <c r="H119" s="57"/>
      <c r="I119" s="57"/>
      <c r="J119" s="57"/>
      <c r="K119" s="57"/>
      <c r="L119" s="57"/>
    </row>
    <row r="120" spans="1:12" hidden="1" x14ac:dyDescent="0.3">
      <c r="A120" s="57">
        <v>17</v>
      </c>
      <c r="B120" s="57" t="s">
        <v>174</v>
      </c>
      <c r="C120" s="57" t="s">
        <v>174</v>
      </c>
      <c r="D120" s="57"/>
      <c r="E120" s="57"/>
      <c r="F120" s="57"/>
      <c r="G120" s="57"/>
      <c r="H120" s="57"/>
      <c r="I120" s="57"/>
      <c r="J120" s="57"/>
      <c r="K120" s="57"/>
      <c r="L120" s="57"/>
    </row>
    <row r="121" spans="1:12" hidden="1" x14ac:dyDescent="0.3">
      <c r="A121" s="57">
        <v>18</v>
      </c>
      <c r="B121" s="57" t="s">
        <v>175</v>
      </c>
      <c r="C121" s="57" t="s">
        <v>175</v>
      </c>
      <c r="D121" s="57"/>
      <c r="E121" s="57"/>
      <c r="F121" s="57"/>
      <c r="G121" s="57"/>
      <c r="H121" s="57"/>
      <c r="I121" s="57"/>
      <c r="J121" s="57"/>
      <c r="K121" s="57"/>
      <c r="L121" s="57"/>
    </row>
    <row r="122" spans="1:12" hidden="1" x14ac:dyDescent="0.3">
      <c r="A122" s="57">
        <v>19</v>
      </c>
      <c r="B122" s="57" t="s">
        <v>176</v>
      </c>
      <c r="C122" s="57" t="s">
        <v>176</v>
      </c>
      <c r="D122" s="57"/>
      <c r="E122" s="57"/>
      <c r="F122" s="57"/>
      <c r="G122" s="57"/>
      <c r="H122" s="57"/>
      <c r="I122" s="57"/>
      <c r="J122" s="57"/>
      <c r="K122" s="57"/>
      <c r="L122" s="57"/>
    </row>
    <row r="123" spans="1:12" hidden="1" x14ac:dyDescent="0.3">
      <c r="A123" s="57">
        <v>20</v>
      </c>
      <c r="B123" s="57" t="s">
        <v>177</v>
      </c>
      <c r="C123" s="57" t="s">
        <v>177</v>
      </c>
      <c r="D123" s="57" t="str">
        <f>H104&amp;" "&amp;H105&amp;" "&amp;I105&amp;" "&amp;" "&amp;H106&amp;" "&amp;I106&amp;" "&amp;H107&amp;" "&amp;H108&amp;" "&amp;I108&amp;" "&amp;" "&amp;H109&amp;" "&amp;I109&amp;" "&amp;H110&amp;" "&amp;H111&amp;" "&amp;I111&amp;" "&amp;H112&amp;" "&amp;I112&amp;" "&amp;H113&amp;" "&amp;H114&amp;" "&amp;I114&amp;" "&amp;H115&amp;" "&amp;I115&amp;" "&amp;H116&amp;" "&amp;H117&amp;" "&amp;I117&amp;" "&amp;H118&amp;" "&amp;H125</f>
        <v xml:space="preserve">                            Siete Millones Setecientos Treinta y Cinco Mil         Pesos M/Cte</v>
      </c>
      <c r="E123" s="57"/>
      <c r="F123" s="57"/>
      <c r="G123" s="57"/>
      <c r="H123" s="57"/>
      <c r="I123" s="57"/>
      <c r="J123" s="57"/>
      <c r="K123" s="57"/>
      <c r="L123" s="57"/>
    </row>
    <row r="124" spans="1:12" hidden="1" x14ac:dyDescent="0.3">
      <c r="A124" s="57">
        <v>21</v>
      </c>
      <c r="B124" s="57" t="s">
        <v>178</v>
      </c>
      <c r="C124" s="57" t="s">
        <v>179</v>
      </c>
      <c r="D124" s="57"/>
      <c r="E124" s="57"/>
      <c r="F124" s="57"/>
      <c r="G124" s="57"/>
      <c r="H124" s="57"/>
      <c r="I124" s="57"/>
      <c r="J124" s="57"/>
      <c r="K124" s="57"/>
      <c r="L124" s="57"/>
    </row>
    <row r="125" spans="1:12" hidden="1" x14ac:dyDescent="0.3">
      <c r="A125" s="57">
        <v>22</v>
      </c>
      <c r="B125" s="57" t="s">
        <v>180</v>
      </c>
      <c r="C125" s="57" t="s">
        <v>180</v>
      </c>
      <c r="D125" s="57"/>
      <c r="E125" s="57"/>
      <c r="F125" s="57"/>
      <c r="G125" s="57"/>
      <c r="H125" s="57" t="str">
        <f>IF(F126&lt;&gt;0,"de Pesos M/Cte",IF(D99=1,"Peso M/Cte","Pesos M/Cte"))</f>
        <v>Pesos M/Cte</v>
      </c>
      <c r="I125" s="57"/>
      <c r="J125" s="57"/>
      <c r="K125" s="57"/>
      <c r="L125" s="57"/>
    </row>
    <row r="126" spans="1:12" hidden="1" x14ac:dyDescent="0.3">
      <c r="A126" s="57">
        <v>23</v>
      </c>
      <c r="B126" s="57" t="s">
        <v>181</v>
      </c>
      <c r="C126" s="57" t="s">
        <v>181</v>
      </c>
      <c r="D126" s="57"/>
      <c r="E126" s="57">
        <f>D99/1000000</f>
        <v>7.7350000000000003</v>
      </c>
      <c r="F126" s="57">
        <f>IF(E126=INT(E126),"De Pesos M/Cte",0)</f>
        <v>0</v>
      </c>
      <c r="G126" s="57"/>
      <c r="H126" s="57"/>
      <c r="I126" s="57"/>
      <c r="J126" s="57"/>
      <c r="K126" s="57"/>
      <c r="L126" s="57"/>
    </row>
    <row r="127" spans="1:12" hidden="1" x14ac:dyDescent="0.3">
      <c r="A127" s="57">
        <v>24</v>
      </c>
      <c r="B127" s="57" t="s">
        <v>182</v>
      </c>
      <c r="C127" s="57" t="s">
        <v>182</v>
      </c>
      <c r="D127" s="57"/>
      <c r="E127" s="57"/>
      <c r="F127" s="57"/>
      <c r="G127" s="57"/>
      <c r="H127" s="57"/>
      <c r="I127" s="57"/>
      <c r="J127" s="57"/>
      <c r="K127" s="57"/>
      <c r="L127" s="57"/>
    </row>
    <row r="128" spans="1:12" hidden="1" x14ac:dyDescent="0.3">
      <c r="A128" s="57">
        <v>25</v>
      </c>
      <c r="B128" s="57" t="s">
        <v>183</v>
      </c>
      <c r="C128" s="57" t="s">
        <v>183</v>
      </c>
      <c r="D128" s="57"/>
      <c r="E128" s="57"/>
      <c r="F128" s="57"/>
      <c r="G128" s="57"/>
      <c r="H128" s="57"/>
      <c r="I128" s="57"/>
      <c r="J128" s="57"/>
      <c r="K128" s="57"/>
      <c r="L128" s="57"/>
    </row>
    <row r="129" spans="1:12" hidden="1" x14ac:dyDescent="0.3">
      <c r="A129" s="57">
        <v>26</v>
      </c>
      <c r="B129" s="57" t="s">
        <v>184</v>
      </c>
      <c r="C129" s="57" t="s">
        <v>184</v>
      </c>
      <c r="D129" s="57"/>
      <c r="E129" s="57"/>
      <c r="F129" s="57"/>
      <c r="G129" s="57"/>
      <c r="H129" s="57"/>
      <c r="I129" s="57"/>
      <c r="J129" s="57"/>
      <c r="K129" s="57"/>
      <c r="L129" s="57"/>
    </row>
    <row r="130" spans="1:12" hidden="1" x14ac:dyDescent="0.3">
      <c r="A130" s="57">
        <v>27</v>
      </c>
      <c r="B130" s="57" t="s">
        <v>185</v>
      </c>
      <c r="C130" s="57" t="s">
        <v>185</v>
      </c>
      <c r="D130" s="57"/>
      <c r="E130" s="57"/>
      <c r="F130" s="57"/>
      <c r="G130" s="57"/>
      <c r="H130" s="57"/>
      <c r="I130" s="57"/>
      <c r="J130" s="57"/>
      <c r="K130" s="57"/>
      <c r="L130" s="57"/>
    </row>
    <row r="131" spans="1:12" hidden="1" x14ac:dyDescent="0.3">
      <c r="A131" s="57">
        <v>28</v>
      </c>
      <c r="B131" s="57" t="s">
        <v>186</v>
      </c>
      <c r="C131" s="57" t="s">
        <v>186</v>
      </c>
      <c r="D131" s="57"/>
      <c r="E131" s="57"/>
      <c r="F131" s="57"/>
      <c r="G131" s="57"/>
      <c r="H131" s="57"/>
      <c r="I131" s="57"/>
      <c r="J131" s="57"/>
      <c r="K131" s="57"/>
      <c r="L131" s="57"/>
    </row>
    <row r="132" spans="1:12" hidden="1" x14ac:dyDescent="0.3">
      <c r="A132" s="57">
        <v>29</v>
      </c>
      <c r="B132" s="57" t="s">
        <v>187</v>
      </c>
      <c r="C132" s="57" t="s">
        <v>187</v>
      </c>
      <c r="D132" s="57"/>
      <c r="E132" s="57"/>
      <c r="F132" s="57"/>
      <c r="G132" s="57"/>
      <c r="H132" s="57"/>
      <c r="I132" s="57"/>
      <c r="J132" s="57"/>
      <c r="K132" s="57"/>
      <c r="L132" s="57"/>
    </row>
    <row r="133" spans="1:12" hidden="1" x14ac:dyDescent="0.3">
      <c r="A133" s="57">
        <v>30</v>
      </c>
      <c r="B133" s="57" t="s">
        <v>188</v>
      </c>
      <c r="C133" s="57" t="s">
        <v>188</v>
      </c>
      <c r="D133" s="57"/>
      <c r="E133" s="57"/>
      <c r="F133" s="57"/>
      <c r="G133" s="57"/>
      <c r="H133" s="57"/>
      <c r="I133" s="57"/>
      <c r="J133" s="57"/>
      <c r="K133" s="57"/>
      <c r="L133" s="57"/>
    </row>
    <row r="134" spans="1:12" hidden="1" x14ac:dyDescent="0.3">
      <c r="A134" s="57">
        <v>40</v>
      </c>
      <c r="B134" s="57" t="s">
        <v>189</v>
      </c>
      <c r="C134" s="57" t="s">
        <v>189</v>
      </c>
      <c r="D134" s="57"/>
      <c r="E134" s="57"/>
      <c r="F134" s="57"/>
      <c r="G134" s="57"/>
      <c r="H134" s="57"/>
      <c r="I134" s="57"/>
      <c r="J134" s="57"/>
      <c r="K134" s="57"/>
      <c r="L134" s="57"/>
    </row>
    <row r="135" spans="1:12" hidden="1" x14ac:dyDescent="0.3">
      <c r="A135" s="57">
        <v>50</v>
      </c>
      <c r="B135" s="57" t="s">
        <v>190</v>
      </c>
      <c r="C135" s="57" t="s">
        <v>190</v>
      </c>
      <c r="D135" s="57"/>
      <c r="E135" s="57"/>
      <c r="F135" s="57"/>
      <c r="G135" s="57"/>
      <c r="H135" s="57"/>
      <c r="I135" s="57"/>
      <c r="J135" s="57"/>
      <c r="K135" s="57"/>
      <c r="L135" s="57"/>
    </row>
    <row r="136" spans="1:12" hidden="1" x14ac:dyDescent="0.3">
      <c r="A136" s="57">
        <v>60</v>
      </c>
      <c r="B136" s="57" t="s">
        <v>191</v>
      </c>
      <c r="C136" s="57" t="s">
        <v>191</v>
      </c>
      <c r="D136" s="57"/>
      <c r="E136" s="57"/>
      <c r="F136" s="57"/>
      <c r="G136" s="57"/>
      <c r="H136" s="57"/>
      <c r="I136" s="57"/>
      <c r="J136" s="57"/>
      <c r="K136" s="57"/>
      <c r="L136" s="57"/>
    </row>
    <row r="137" spans="1:12" hidden="1" x14ac:dyDescent="0.3">
      <c r="A137" s="57">
        <v>70</v>
      </c>
      <c r="B137" s="57" t="s">
        <v>192</v>
      </c>
      <c r="C137" s="57" t="s">
        <v>192</v>
      </c>
      <c r="D137" s="57"/>
      <c r="E137" s="57"/>
      <c r="F137" s="57"/>
      <c r="G137" s="57"/>
      <c r="H137" s="57"/>
      <c r="I137" s="57"/>
      <c r="J137" s="57"/>
      <c r="K137" s="57"/>
      <c r="L137" s="57"/>
    </row>
    <row r="138" spans="1:12" hidden="1" x14ac:dyDescent="0.3">
      <c r="A138" s="57">
        <v>80</v>
      </c>
      <c r="B138" s="57" t="s">
        <v>193</v>
      </c>
      <c r="C138" s="57" t="s">
        <v>193</v>
      </c>
      <c r="D138" s="57"/>
      <c r="E138" s="57"/>
      <c r="F138" s="57"/>
      <c r="G138" s="57"/>
      <c r="H138" s="57"/>
      <c r="I138" s="57"/>
      <c r="J138" s="57"/>
      <c r="K138" s="57"/>
      <c r="L138" s="57"/>
    </row>
    <row r="139" spans="1:12" hidden="1" x14ac:dyDescent="0.3">
      <c r="A139" s="57">
        <v>90</v>
      </c>
      <c r="B139" s="57" t="s">
        <v>194</v>
      </c>
      <c r="C139" s="57" t="s">
        <v>194</v>
      </c>
      <c r="D139" s="57"/>
      <c r="E139" s="57"/>
      <c r="F139" s="57"/>
      <c r="G139" s="57"/>
      <c r="H139" s="57"/>
      <c r="I139" s="57"/>
      <c r="J139" s="57"/>
      <c r="K139" s="57"/>
      <c r="L139" s="57"/>
    </row>
    <row r="140" spans="1:12" hidden="1" x14ac:dyDescent="0.3">
      <c r="A140" s="57">
        <v>100</v>
      </c>
      <c r="B140" s="57" t="s">
        <v>195</v>
      </c>
      <c r="C140" s="57" t="s">
        <v>196</v>
      </c>
      <c r="D140" s="57"/>
      <c r="E140" s="57"/>
      <c r="F140" s="57"/>
      <c r="G140" s="57"/>
      <c r="H140" s="57"/>
      <c r="I140" s="57"/>
      <c r="J140" s="57"/>
      <c r="K140" s="57"/>
      <c r="L140" s="57"/>
    </row>
    <row r="141" spans="1:12" hidden="1" x14ac:dyDescent="0.3">
      <c r="A141" s="57">
        <v>200</v>
      </c>
      <c r="B141" s="57" t="s">
        <v>197</v>
      </c>
      <c r="C141" s="57" t="s">
        <v>197</v>
      </c>
      <c r="D141" s="57"/>
      <c r="E141" s="57"/>
      <c r="F141" s="57"/>
      <c r="G141" s="57"/>
      <c r="H141" s="57"/>
      <c r="I141" s="57"/>
      <c r="J141" s="57"/>
      <c r="K141" s="57"/>
      <c r="L141" s="57"/>
    </row>
    <row r="142" spans="1:12" hidden="1" x14ac:dyDescent="0.3">
      <c r="A142" s="57">
        <v>300</v>
      </c>
      <c r="B142" s="57" t="s">
        <v>198</v>
      </c>
      <c r="C142" s="57" t="s">
        <v>198</v>
      </c>
      <c r="D142" s="57"/>
      <c r="E142" s="57"/>
      <c r="F142" s="57"/>
      <c r="G142" s="57"/>
      <c r="H142" s="57"/>
      <c r="I142" s="57"/>
      <c r="J142" s="57"/>
      <c r="K142" s="57"/>
      <c r="L142" s="57"/>
    </row>
    <row r="143" spans="1:12" hidden="1" x14ac:dyDescent="0.3">
      <c r="A143" s="57">
        <v>400</v>
      </c>
      <c r="B143" s="57" t="s">
        <v>199</v>
      </c>
      <c r="C143" s="57" t="s">
        <v>199</v>
      </c>
      <c r="D143" s="57"/>
      <c r="E143" s="57"/>
      <c r="F143" s="57"/>
      <c r="G143" s="57"/>
      <c r="H143" s="57"/>
      <c r="I143" s="57"/>
      <c r="J143" s="57"/>
      <c r="K143" s="57"/>
      <c r="L143" s="57"/>
    </row>
    <row r="144" spans="1:12" hidden="1" x14ac:dyDescent="0.3">
      <c r="A144" s="57">
        <v>500</v>
      </c>
      <c r="B144" s="57" t="s">
        <v>200</v>
      </c>
      <c r="C144" s="57" t="s">
        <v>200</v>
      </c>
      <c r="D144" s="57"/>
      <c r="E144" s="57"/>
      <c r="F144" s="57"/>
      <c r="G144" s="57"/>
      <c r="H144" s="57"/>
      <c r="I144" s="57"/>
      <c r="J144" s="57"/>
      <c r="K144" s="57"/>
      <c r="L144" s="57"/>
    </row>
    <row r="145" spans="1:12" hidden="1" x14ac:dyDescent="0.3">
      <c r="A145" s="57">
        <v>600</v>
      </c>
      <c r="B145" s="57" t="s">
        <v>201</v>
      </c>
      <c r="C145" s="57" t="s">
        <v>201</v>
      </c>
      <c r="D145" s="57"/>
      <c r="E145" s="57"/>
      <c r="F145" s="57"/>
      <c r="G145" s="57"/>
      <c r="H145" s="57"/>
      <c r="I145" s="57"/>
      <c r="J145" s="57"/>
      <c r="K145" s="57"/>
      <c r="L145" s="57"/>
    </row>
    <row r="146" spans="1:12" hidden="1" x14ac:dyDescent="0.3">
      <c r="A146" s="57">
        <v>700</v>
      </c>
      <c r="B146" s="57" t="s">
        <v>202</v>
      </c>
      <c r="C146" s="57" t="s">
        <v>202</v>
      </c>
      <c r="D146" s="57"/>
      <c r="E146" s="57"/>
      <c r="F146" s="57"/>
      <c r="G146" s="57"/>
      <c r="H146" s="57"/>
      <c r="I146" s="57"/>
      <c r="J146" s="57"/>
      <c r="K146" s="57"/>
      <c r="L146" s="57"/>
    </row>
    <row r="147" spans="1:12" hidden="1" x14ac:dyDescent="0.3">
      <c r="A147" s="57">
        <v>800</v>
      </c>
      <c r="B147" s="57" t="s">
        <v>203</v>
      </c>
      <c r="C147" s="57" t="s">
        <v>203</v>
      </c>
      <c r="D147" s="57"/>
      <c r="E147" s="57"/>
      <c r="F147" s="57"/>
      <c r="G147" s="57"/>
      <c r="H147" s="57"/>
      <c r="I147" s="57"/>
      <c r="J147" s="57"/>
      <c r="K147" s="57"/>
      <c r="L147" s="57"/>
    </row>
    <row r="148" spans="1:12" hidden="1" x14ac:dyDescent="0.3">
      <c r="A148" s="57">
        <v>900</v>
      </c>
      <c r="B148" s="57" t="s">
        <v>204</v>
      </c>
      <c r="C148" s="57" t="s">
        <v>204</v>
      </c>
      <c r="D148" s="57"/>
      <c r="E148" s="57"/>
      <c r="F148" s="57"/>
      <c r="G148" s="57"/>
      <c r="H148" s="57"/>
      <c r="I148" s="57"/>
      <c r="J148" s="57"/>
      <c r="K148" s="57"/>
      <c r="L148" s="57"/>
    </row>
  </sheetData>
  <sheetProtection password="CCE3" sheet="1" objects="1" scenarios="1" formatCells="0" insertRows="0" insertHyperlinks="0"/>
  <mergeCells count="326">
    <mergeCell ref="A5:AA5"/>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B39:O39"/>
    <mergeCell ref="B40:O40"/>
    <mergeCell ref="B41:O41"/>
    <mergeCell ref="B42:O42"/>
    <mergeCell ref="B43:O43"/>
    <mergeCell ref="B44:O44"/>
    <mergeCell ref="B34:O34"/>
    <mergeCell ref="B35:O35"/>
    <mergeCell ref="B36:O36"/>
    <mergeCell ref="B37:O37"/>
    <mergeCell ref="B38:O38"/>
    <mergeCell ref="A46:C47"/>
    <mergeCell ref="D46:AA47"/>
    <mergeCell ref="B48:O48"/>
    <mergeCell ref="P48:AA48"/>
    <mergeCell ref="B49:I49"/>
    <mergeCell ref="K49:M49"/>
    <mergeCell ref="N49:O49"/>
    <mergeCell ref="P49:R49"/>
    <mergeCell ref="S49:U49"/>
    <mergeCell ref="V49:X49"/>
    <mergeCell ref="Y49:AA49"/>
    <mergeCell ref="B50:E50"/>
    <mergeCell ref="F50:I50"/>
    <mergeCell ref="K50:M50"/>
    <mergeCell ref="N50:O50"/>
    <mergeCell ref="P50:R50"/>
    <mergeCell ref="S50:U50"/>
    <mergeCell ref="V50:X50"/>
    <mergeCell ref="Y50:AA50"/>
    <mergeCell ref="V51:X51"/>
    <mergeCell ref="Y51:AA51"/>
    <mergeCell ref="B52:E52"/>
    <mergeCell ref="F52:I52"/>
    <mergeCell ref="K52:M52"/>
    <mergeCell ref="N52:O52"/>
    <mergeCell ref="P52:R52"/>
    <mergeCell ref="S52:U52"/>
    <mergeCell ref="V52:X52"/>
    <mergeCell ref="Y52:AA52"/>
    <mergeCell ref="B51:E51"/>
    <mergeCell ref="F51:I51"/>
    <mergeCell ref="K51:M51"/>
    <mergeCell ref="N51:O51"/>
    <mergeCell ref="P51:R51"/>
    <mergeCell ref="S51:U51"/>
    <mergeCell ref="V53:X53"/>
    <mergeCell ref="Y53:AA53"/>
    <mergeCell ref="B54:E54"/>
    <mergeCell ref="F54:I54"/>
    <mergeCell ref="K54:M54"/>
    <mergeCell ref="N54:O54"/>
    <mergeCell ref="P54:R54"/>
    <mergeCell ref="S54:U54"/>
    <mergeCell ref="V54:X54"/>
    <mergeCell ref="Y54:AA54"/>
    <mergeCell ref="B53:E53"/>
    <mergeCell ref="F53:I53"/>
    <mergeCell ref="K53:M53"/>
    <mergeCell ref="N53:O53"/>
    <mergeCell ref="P53:R53"/>
    <mergeCell ref="S53:U53"/>
    <mergeCell ref="V55:X55"/>
    <mergeCell ref="Y55:AA55"/>
    <mergeCell ref="B56:E56"/>
    <mergeCell ref="F56:I56"/>
    <mergeCell ref="K56:M56"/>
    <mergeCell ref="N56:O56"/>
    <mergeCell ref="P56:R56"/>
    <mergeCell ref="S56:U56"/>
    <mergeCell ref="V56:X56"/>
    <mergeCell ref="Y56:AA56"/>
    <mergeCell ref="B55:E55"/>
    <mergeCell ref="F55:I55"/>
    <mergeCell ref="K55:M55"/>
    <mergeCell ref="N55:O55"/>
    <mergeCell ref="P55:R55"/>
    <mergeCell ref="S55:U55"/>
    <mergeCell ref="V57:X57"/>
    <mergeCell ref="Y57:AA57"/>
    <mergeCell ref="B58:E58"/>
    <mergeCell ref="F58:I58"/>
    <mergeCell ref="K58:M58"/>
    <mergeCell ref="N58:O58"/>
    <mergeCell ref="P58:R58"/>
    <mergeCell ref="S58:U58"/>
    <mergeCell ref="V58:X58"/>
    <mergeCell ref="Y58:AA58"/>
    <mergeCell ref="B57:E57"/>
    <mergeCell ref="F57:I57"/>
    <mergeCell ref="K57:M57"/>
    <mergeCell ref="N57:O57"/>
    <mergeCell ref="P57:R57"/>
    <mergeCell ref="S57:U57"/>
    <mergeCell ref="V59:X59"/>
    <mergeCell ref="Y59:AA59"/>
    <mergeCell ref="B60:E60"/>
    <mergeCell ref="F60:I60"/>
    <mergeCell ref="K60:M60"/>
    <mergeCell ref="N60:O60"/>
    <mergeCell ref="P60:R60"/>
    <mergeCell ref="S60:U60"/>
    <mergeCell ref="V60:X60"/>
    <mergeCell ref="Y60:AA60"/>
    <mergeCell ref="B59:E59"/>
    <mergeCell ref="F59:I59"/>
    <mergeCell ref="K59:M59"/>
    <mergeCell ref="N59:O59"/>
    <mergeCell ref="P59:R59"/>
    <mergeCell ref="S59:U59"/>
    <mergeCell ref="A63:E63"/>
    <mergeCell ref="F63:O63"/>
    <mergeCell ref="P63:R63"/>
    <mergeCell ref="S63:U63"/>
    <mergeCell ref="V63:X63"/>
    <mergeCell ref="Y63:AA63"/>
    <mergeCell ref="V61:X61"/>
    <mergeCell ref="Y61:AA61"/>
    <mergeCell ref="B62:I62"/>
    <mergeCell ref="K62:M62"/>
    <mergeCell ref="N62:O62"/>
    <mergeCell ref="P62:R62"/>
    <mergeCell ref="S62:U62"/>
    <mergeCell ref="V62:X62"/>
    <mergeCell ref="Y62:AA62"/>
    <mergeCell ref="B61:E61"/>
    <mergeCell ref="F61:I61"/>
    <mergeCell ref="K61:M61"/>
    <mergeCell ref="N61:O61"/>
    <mergeCell ref="P61:R61"/>
    <mergeCell ref="S61:U61"/>
    <mergeCell ref="B64:O64"/>
    <mergeCell ref="P64:AA64"/>
    <mergeCell ref="B65:I65"/>
    <mergeCell ref="K65:O65"/>
    <mergeCell ref="P65:R65"/>
    <mergeCell ref="S65:U65"/>
    <mergeCell ref="V65:X65"/>
    <mergeCell ref="Y65:AA65"/>
    <mergeCell ref="B66:E66"/>
    <mergeCell ref="O70:Q70"/>
    <mergeCell ref="A83:AA84"/>
    <mergeCell ref="D99:F99"/>
    <mergeCell ref="X33:AA33"/>
    <mergeCell ref="P33:W33"/>
    <mergeCell ref="O32:O33"/>
    <mergeCell ref="B32:N33"/>
    <mergeCell ref="A32:A33"/>
    <mergeCell ref="P34:W34"/>
    <mergeCell ref="X34:AA34"/>
    <mergeCell ref="B67:E67"/>
    <mergeCell ref="F67:I67"/>
    <mergeCell ref="J67:AA67"/>
    <mergeCell ref="A68:AA68"/>
    <mergeCell ref="I69:L69"/>
    <mergeCell ref="N69:Q69"/>
    <mergeCell ref="R69:AA69"/>
    <mergeCell ref="F66:I66"/>
    <mergeCell ref="K66:O66"/>
    <mergeCell ref="P66:R66"/>
    <mergeCell ref="S66:U66"/>
    <mergeCell ref="V66:X66"/>
    <mergeCell ref="Y66:AA66"/>
    <mergeCell ref="A64:A67"/>
    <mergeCell ref="P44:W44"/>
    <mergeCell ref="X44:AA44"/>
    <mergeCell ref="P45:W45"/>
    <mergeCell ref="X45:AA45"/>
    <mergeCell ref="F6:O6"/>
    <mergeCell ref="P41:W41"/>
    <mergeCell ref="X41:AA41"/>
    <mergeCell ref="P42:W42"/>
    <mergeCell ref="X42:AA42"/>
    <mergeCell ref="P43:W43"/>
    <mergeCell ref="X43:AA43"/>
    <mergeCell ref="P38:W38"/>
    <mergeCell ref="X38:AA38"/>
    <mergeCell ref="P39:W39"/>
    <mergeCell ref="X39:AA39"/>
    <mergeCell ref="P40:W40"/>
    <mergeCell ref="X40:AA40"/>
    <mergeCell ref="P35:W35"/>
    <mergeCell ref="X35:AA35"/>
    <mergeCell ref="P36:W36"/>
    <mergeCell ref="X36:AA36"/>
    <mergeCell ref="P37:W37"/>
    <mergeCell ref="X37:AA37"/>
    <mergeCell ref="B45:O45"/>
  </mergeCells>
  <phoneticPr fontId="9" type="noConversion"/>
  <conditionalFormatting sqref="L31">
    <cfRule type="containsText" dxfId="66" priority="11" operator="containsText" text="PAGO MENSUAL">
      <formula>NOT(ISERROR(SEARCH("PAGO MENSUAL",L31)))</formula>
    </cfRule>
  </conditionalFormatting>
  <conditionalFormatting sqref="A50:A61">
    <cfRule type="cellIs" dxfId="65" priority="9" operator="greaterThan">
      <formula>$A$64</formula>
    </cfRule>
    <cfRule type="cellIs" dxfId="64" priority="10" operator="equal">
      <formula>$A$64</formula>
    </cfRule>
  </conditionalFormatting>
  <conditionalFormatting sqref="J62">
    <cfRule type="cellIs" dxfId="63" priority="8" operator="notEqual">
      <formula>$T$21</formula>
    </cfRule>
  </conditionalFormatting>
  <conditionalFormatting sqref="P32:AA32 P33 X33">
    <cfRule type="cellIs" dxfId="62" priority="6" operator="equal">
      <formula>$A$64</formula>
    </cfRule>
    <cfRule type="cellIs" dxfId="61" priority="7" operator="equal">
      <formula>$A$64</formula>
    </cfRule>
  </conditionalFormatting>
  <conditionalFormatting sqref="K62:M62">
    <cfRule type="cellIs" dxfId="60" priority="5" operator="notEqual">
      <formula>$F$21</formula>
    </cfRule>
  </conditionalFormatting>
  <conditionalFormatting sqref="P50:R50">
    <cfRule type="expression" dxfId="59" priority="4">
      <formula>$P$50=0</formula>
    </cfRule>
  </conditionalFormatting>
  <conditionalFormatting sqref="P51:R61">
    <cfRule type="expression" dxfId="58" priority="3">
      <formula>$J$51=0</formula>
    </cfRule>
  </conditionalFormatting>
  <conditionalFormatting sqref="S50:U50">
    <cfRule type="expression" dxfId="57" priority="2">
      <formula>$P$50=0</formula>
    </cfRule>
  </conditionalFormatting>
  <conditionalFormatting sqref="S51:U61">
    <cfRule type="expression" dxfId="56" priority="1">
      <formula>$J$51=0</formula>
    </cfRule>
  </conditionalFormatting>
  <pageMargins left="0.7" right="0.7" top="0.75" bottom="0.75" header="0.3" footer="0.3"/>
  <pageSetup scale="52" orientation="portrait" horizontalDpi="0" verticalDpi="0"/>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DATOS!$A$167:$A$179</xm:f>
          </x14:formula1>
          <xm:sqref>O70</xm:sqref>
        </x14:dataValidation>
        <x14:dataValidation type="list" allowBlank="1" showInputMessage="1" showErrorMessage="1">
          <x14:formula1>
            <xm:f>DATOS!$A$99:$A$103</xm:f>
          </x14:formula1>
          <xm:sqref>N50:O62</xm:sqref>
        </x14:dataValidation>
        <x14:dataValidation type="list" allowBlank="1" showInputMessage="1" showErrorMessage="1">
          <x14:formula1>
            <xm:f>BDC!$A$3:$A$258</xm:f>
          </x14:formula1>
          <xm:sqref>F14:O14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J120"/>
  <sheetViews>
    <sheetView topLeftCell="A6" zoomScale="120" zoomScaleNormal="120" workbookViewId="0">
      <selection activeCell="P7" sqref="P7:V7"/>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1420</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273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285" t="s">
        <v>1420</v>
      </c>
      <c r="G6" s="285"/>
      <c r="H6" s="285"/>
      <c r="I6" s="285"/>
      <c r="J6" s="285"/>
      <c r="K6" s="285"/>
      <c r="L6" s="285"/>
      <c r="M6" s="285"/>
      <c r="N6" s="285"/>
      <c r="O6" s="285"/>
      <c r="P6" s="374" t="s">
        <v>60</v>
      </c>
      <c r="Q6" s="374"/>
      <c r="R6" s="374"/>
      <c r="S6" s="374"/>
      <c r="T6" s="374"/>
      <c r="U6" s="374"/>
      <c r="V6" s="374"/>
      <c r="W6" s="375" t="s">
        <v>61</v>
      </c>
      <c r="X6" s="375"/>
      <c r="Y6" s="375"/>
      <c r="Z6" s="376">
        <v>1</v>
      </c>
      <c r="AA6" s="376"/>
    </row>
    <row r="7" spans="1:28" ht="15.95" customHeight="1" x14ac:dyDescent="0.3">
      <c r="A7" s="374" t="s">
        <v>6</v>
      </c>
      <c r="B7" s="374"/>
      <c r="C7" s="374"/>
      <c r="D7" s="374"/>
      <c r="E7" s="374"/>
      <c r="F7" s="377" t="str">
        <f>VLOOKUP($F$14,CONTRA,58,FALSE)</f>
        <v>PRESTACION DE SERVICIOS</v>
      </c>
      <c r="G7" s="377"/>
      <c r="H7" s="377"/>
      <c r="I7" s="377"/>
      <c r="J7" s="377"/>
      <c r="K7" s="377"/>
      <c r="L7" s="377"/>
      <c r="M7" s="377"/>
      <c r="N7" s="377"/>
      <c r="O7" s="377"/>
      <c r="P7" s="378">
        <f ca="1">NOW()</f>
        <v>43405.671954050929</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20</v>
      </c>
      <c r="AA9" s="369"/>
    </row>
    <row r="10" spans="1:28" ht="14.1" customHeight="1" x14ac:dyDescent="0.3">
      <c r="A10" s="325" t="s">
        <v>13</v>
      </c>
      <c r="B10" s="325"/>
      <c r="C10" s="325"/>
      <c r="D10" s="325"/>
      <c r="E10" s="325"/>
      <c r="F10" s="308" t="str">
        <f>VLOOKUP($F$14,CONTRA,2,FALSE)</f>
        <v>32-408</v>
      </c>
      <c r="G10" s="308"/>
      <c r="H10" s="19" t="s">
        <v>25</v>
      </c>
      <c r="I10" s="308" t="str">
        <f>VLOOKUP($F$14,CONTRA,3,FALSE)</f>
        <v>32-438</v>
      </c>
      <c r="J10" s="308"/>
      <c r="K10" s="19" t="s">
        <v>26</v>
      </c>
      <c r="L10" s="20"/>
      <c r="M10" s="308" t="str">
        <f>VLOOKUP($F$14,CONTRA,4,FALSE)</f>
        <v>2.3.1.1.01</v>
      </c>
      <c r="N10" s="308"/>
      <c r="O10" s="308"/>
      <c r="P10" s="325" t="s">
        <v>12</v>
      </c>
      <c r="Q10" s="325"/>
      <c r="R10" s="325"/>
      <c r="S10" s="325"/>
      <c r="T10" s="333">
        <f>VLOOKUP($F$14,CONTRA,5,FALSE)</f>
        <v>2018</v>
      </c>
      <c r="U10" s="333"/>
      <c r="V10" s="333"/>
      <c r="W10" s="325" t="s">
        <v>138</v>
      </c>
      <c r="X10" s="325"/>
      <c r="Y10" s="325"/>
      <c r="Z10" s="370"/>
      <c r="AA10" s="371"/>
    </row>
    <row r="11" spans="1:28" hidden="1"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14-56</v>
      </c>
      <c r="U11" s="333"/>
      <c r="V11" s="333"/>
      <c r="W11" s="333"/>
      <c r="X11" s="333"/>
      <c r="Y11" s="333"/>
      <c r="Z11" s="333"/>
      <c r="AA11" s="333"/>
    </row>
    <row r="12" spans="1:28" hidden="1"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hidden="1" customHeight="1" x14ac:dyDescent="0.3">
      <c r="A13" s="325" t="s">
        <v>10</v>
      </c>
      <c r="B13" s="325"/>
      <c r="C13" s="325"/>
      <c r="D13" s="325"/>
      <c r="E13" s="325"/>
      <c r="F13" s="333" t="str">
        <f>VLOOKUP($F$14,CONTRA,12,FALSE)</f>
        <v>RIGOBERTO LOPERA MUÑOZ</v>
      </c>
      <c r="G13" s="333"/>
      <c r="H13" s="333"/>
      <c r="I13" s="333"/>
      <c r="J13" s="333"/>
      <c r="K13" s="19" t="s">
        <v>16</v>
      </c>
      <c r="L13" s="20"/>
      <c r="M13" s="333" t="str">
        <f>VLOOKUP($F$14,CONTRA,13,FALSE)</f>
        <v>P.UNIVERSITARIO</v>
      </c>
      <c r="N13" s="333"/>
      <c r="O13" s="333"/>
      <c r="P13" s="325" t="s">
        <v>24</v>
      </c>
      <c r="Q13" s="325"/>
      <c r="R13" s="325"/>
      <c r="S13" s="325"/>
      <c r="T13" s="364" t="str">
        <f>VLOOKUP($F$14,CONTRA,14,FALSE)</f>
        <v>23 DE ENERO DE 2018</v>
      </c>
      <c r="U13" s="364"/>
      <c r="V13" s="364"/>
      <c r="W13" s="364"/>
      <c r="X13" s="364"/>
      <c r="Y13" s="364"/>
      <c r="Z13" s="365" t="str">
        <f>VLOOKUP($F$14,CONTRA,15,FALSE)</f>
        <v>037-18</v>
      </c>
      <c r="AA13" s="366"/>
    </row>
    <row r="14" spans="1:28" ht="15.95" hidden="1" customHeight="1" x14ac:dyDescent="0.3">
      <c r="A14" s="325" t="s">
        <v>8</v>
      </c>
      <c r="B14" s="325"/>
      <c r="C14" s="325"/>
      <c r="D14" s="325"/>
      <c r="E14" s="325"/>
      <c r="F14" s="363" t="s">
        <v>658</v>
      </c>
      <c r="G14" s="363"/>
      <c r="H14" s="363"/>
      <c r="I14" s="363"/>
      <c r="J14" s="363"/>
      <c r="K14" s="363"/>
      <c r="L14" s="363"/>
      <c r="M14" s="363"/>
      <c r="N14" s="363"/>
      <c r="O14" s="363"/>
      <c r="P14" s="325" t="s">
        <v>11</v>
      </c>
      <c r="Q14" s="325"/>
      <c r="R14" s="325"/>
      <c r="S14" s="325"/>
      <c r="T14" s="362">
        <f>VLOOKUP($F$14,CONTRA,16,FALSE)</f>
        <v>1088010135</v>
      </c>
      <c r="U14" s="362"/>
      <c r="V14" s="362"/>
      <c r="W14" s="325" t="s">
        <v>18</v>
      </c>
      <c r="X14" s="325"/>
      <c r="Y14" s="325"/>
      <c r="Z14" s="356">
        <f>VLOOKUP($F$14,CONTRA,17,FALSE)</f>
        <v>33661</v>
      </c>
      <c r="AA14" s="356"/>
    </row>
    <row r="15" spans="1:28" ht="15.95" hidden="1" customHeight="1" x14ac:dyDescent="0.3">
      <c r="A15" s="325" t="s">
        <v>19</v>
      </c>
      <c r="B15" s="325"/>
      <c r="C15" s="325"/>
      <c r="D15" s="325"/>
      <c r="E15" s="325"/>
      <c r="F15" s="312" t="str">
        <f>VLOOKUP($F$14,CONTRA,18,FALSE)</f>
        <v>NATURAL</v>
      </c>
      <c r="G15" s="314"/>
      <c r="H15" s="312" t="str">
        <f>VLOOKUP($F$14,CONTRA,57,FALSE)</f>
        <v>SIMPLIFICADO</v>
      </c>
      <c r="I15" s="313"/>
      <c r="J15" s="314"/>
      <c r="K15" s="19" t="s">
        <v>15</v>
      </c>
      <c r="L15" s="20"/>
      <c r="M15" s="333" t="str">
        <f>VLOOKUP($F$14,CONTRA,19,FALSE)</f>
        <v>TECNICA</v>
      </c>
      <c r="N15" s="333"/>
      <c r="O15" s="333"/>
      <c r="P15" s="325" t="s">
        <v>14</v>
      </c>
      <c r="Q15" s="325"/>
      <c r="R15" s="325"/>
      <c r="S15" s="325"/>
      <c r="T15" s="333" t="str">
        <f>VLOOKUP($F$14,CONTRA,20,FALSE)</f>
        <v>CLL 30 N° 6-49 2 PISO</v>
      </c>
      <c r="U15" s="333"/>
      <c r="V15" s="333"/>
      <c r="W15" s="333"/>
      <c r="X15" s="333"/>
      <c r="Y15" s="333"/>
      <c r="Z15" s="333"/>
      <c r="AA15" s="333"/>
    </row>
    <row r="16" spans="1:28" hidden="1" x14ac:dyDescent="0.3">
      <c r="A16" s="325" t="s">
        <v>21</v>
      </c>
      <c r="B16" s="325"/>
      <c r="C16" s="325"/>
      <c r="D16" s="325"/>
      <c r="E16" s="325"/>
      <c r="F16" s="361">
        <f>VLOOKUP($F$14,CONTRA,21,FALSE)</f>
        <v>3122510820</v>
      </c>
      <c r="G16" s="362"/>
      <c r="H16" s="362"/>
      <c r="I16" s="362"/>
      <c r="J16" s="362"/>
      <c r="K16" s="325" t="s">
        <v>22</v>
      </c>
      <c r="L16" s="325"/>
      <c r="M16" s="333" t="str">
        <f>VLOOKUP($F$14,CONTRA,22,FALSE)</f>
        <v>TECNICA</v>
      </c>
      <c r="N16" s="333"/>
      <c r="O16" s="333"/>
      <c r="P16" s="325" t="s">
        <v>23</v>
      </c>
      <c r="Q16" s="325"/>
      <c r="R16" s="325"/>
      <c r="S16" s="325"/>
      <c r="T16" s="333" t="str">
        <f>VLOOKUP($F$14,CONTRA,23,FALSE)</f>
        <v>yohana27778@gmail.com</v>
      </c>
      <c r="U16" s="333"/>
      <c r="V16" s="333"/>
      <c r="W16" s="333"/>
      <c r="X16" s="333"/>
      <c r="Y16" s="333"/>
      <c r="Z16" s="333"/>
      <c r="AA16" s="333"/>
    </row>
    <row r="17" spans="1:34" ht="3.95" hidden="1"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4" ht="15.95" hidden="1" customHeight="1" x14ac:dyDescent="0.3">
      <c r="A18" s="325" t="s">
        <v>30</v>
      </c>
      <c r="B18" s="325"/>
      <c r="C18" s="325"/>
      <c r="D18" s="325"/>
      <c r="E18" s="325"/>
      <c r="F18" s="358" t="str">
        <f>VLOOKUP($F$14,CONTRA,24,FALSE)</f>
        <v>23 de enero de 2018</v>
      </c>
      <c r="G18" s="359"/>
      <c r="H18" s="359"/>
      <c r="I18" s="359"/>
      <c r="J18" s="360"/>
      <c r="K18" s="308"/>
      <c r="L18" s="308"/>
      <c r="M18" s="308"/>
      <c r="N18" s="308"/>
      <c r="O18" s="308"/>
      <c r="P18" s="325" t="s">
        <v>34</v>
      </c>
      <c r="Q18" s="325"/>
      <c r="R18" s="325"/>
      <c r="S18" s="325"/>
      <c r="T18" s="358" t="str">
        <f>VLOOKUP($F$14,CONTRA,25,FALSE)</f>
        <v>30 de diciembre de 2018</v>
      </c>
      <c r="U18" s="359"/>
      <c r="V18" s="359"/>
      <c r="W18" s="359"/>
      <c r="X18" s="359"/>
      <c r="Y18" s="359"/>
      <c r="Z18" s="359"/>
      <c r="AA18" s="360"/>
    </row>
    <row r="19" spans="1:34" hidden="1" x14ac:dyDescent="0.3">
      <c r="A19" s="325" t="s">
        <v>31</v>
      </c>
      <c r="B19" s="325"/>
      <c r="C19" s="325"/>
      <c r="D19" s="325"/>
      <c r="E19" s="325"/>
      <c r="F19" s="320">
        <f>VLOOKUP($F$14,CONTRA,26,FALSE)</f>
        <v>14400000</v>
      </c>
      <c r="G19" s="320"/>
      <c r="H19" s="320"/>
      <c r="I19" s="320"/>
      <c r="J19" s="320"/>
      <c r="K19" s="308"/>
      <c r="L19" s="308"/>
      <c r="M19" s="308"/>
      <c r="N19" s="308"/>
      <c r="O19" s="308"/>
      <c r="P19" s="325" t="s">
        <v>35</v>
      </c>
      <c r="Q19" s="325"/>
      <c r="R19" s="325"/>
      <c r="S19" s="325"/>
      <c r="T19" s="308">
        <f>VLOOKUP($F$14,CONTRA,27,FALSE)</f>
        <v>240</v>
      </c>
      <c r="U19" s="308"/>
      <c r="V19" s="308"/>
      <c r="W19" s="308"/>
      <c r="X19" s="308"/>
      <c r="Y19" s="308"/>
      <c r="Z19" s="308"/>
      <c r="AA19" s="308"/>
    </row>
    <row r="20" spans="1:34" hidden="1" x14ac:dyDescent="0.3">
      <c r="A20" s="325" t="s">
        <v>32</v>
      </c>
      <c r="B20" s="325"/>
      <c r="C20" s="325"/>
      <c r="D20" s="325"/>
      <c r="E20" s="325"/>
      <c r="F20" s="320">
        <f>+Z21*T20</f>
        <v>5880000</v>
      </c>
      <c r="G20" s="320"/>
      <c r="H20" s="320"/>
      <c r="I20" s="320"/>
      <c r="J20" s="320"/>
      <c r="K20" s="19" t="s">
        <v>0</v>
      </c>
      <c r="L20" s="20"/>
      <c r="M20" s="356">
        <f>VLOOKUP($F$14,CONTRA,29,FALSE)</f>
        <v>43364</v>
      </c>
      <c r="N20" s="356"/>
      <c r="O20" s="356"/>
      <c r="P20" s="325" t="s">
        <v>36</v>
      </c>
      <c r="Q20" s="325"/>
      <c r="R20" s="325"/>
      <c r="S20" s="325"/>
      <c r="T20" s="308">
        <f>VLOOKUP($F$14,CONTRA,28,FALSE)</f>
        <v>98</v>
      </c>
      <c r="U20" s="308"/>
      <c r="V20" s="308"/>
      <c r="W20" s="308"/>
      <c r="X20" s="308"/>
      <c r="Y20" s="308"/>
      <c r="Z20" s="308"/>
      <c r="AA20" s="308"/>
    </row>
    <row r="21" spans="1:34" ht="15.95" hidden="1" customHeight="1" x14ac:dyDescent="0.3">
      <c r="A21" s="325" t="s">
        <v>33</v>
      </c>
      <c r="B21" s="325"/>
      <c r="C21" s="325"/>
      <c r="D21" s="325"/>
      <c r="E21" s="325"/>
      <c r="F21" s="309">
        <f>SUM(F19:J20)</f>
        <v>20280000</v>
      </c>
      <c r="G21" s="353"/>
      <c r="H21" s="353"/>
      <c r="I21" s="353"/>
      <c r="J21" s="354"/>
      <c r="K21" s="308"/>
      <c r="L21" s="308"/>
      <c r="M21" s="308"/>
      <c r="N21" s="308"/>
      <c r="O21" s="308"/>
      <c r="P21" s="325" t="s">
        <v>38</v>
      </c>
      <c r="Q21" s="325"/>
      <c r="R21" s="325"/>
      <c r="S21" s="325"/>
      <c r="T21" s="355">
        <f>+T19+T20</f>
        <v>338</v>
      </c>
      <c r="U21" s="353"/>
      <c r="V21" s="354"/>
      <c r="W21" s="325" t="s">
        <v>37</v>
      </c>
      <c r="X21" s="325"/>
      <c r="Y21" s="325"/>
      <c r="Z21" s="309">
        <f>+F19/T19</f>
        <v>60000</v>
      </c>
      <c r="AA21" s="311"/>
    </row>
    <row r="22" spans="1:34" ht="39.950000000000003" hidden="1" customHeight="1" x14ac:dyDescent="0.3">
      <c r="A22" s="349" t="s">
        <v>27</v>
      </c>
      <c r="B22" s="349"/>
      <c r="C22" s="349"/>
      <c r="D22" s="349"/>
      <c r="E22" s="349"/>
      <c r="F22" s="350" t="str">
        <f>VLOOKUP($F$14,CONTRA,30,FALSE)</f>
        <v>PRESTAR SERVICIOS DE APOYO A LA GESTION A LA SUBDIRECCION TECNICA, EN LOS PROCESOS DE COMERCIALIZACION DE LOS PROYECTOS DE VIVIENDA QUE ADELANTA EL INSTITUTO</v>
      </c>
      <c r="G22" s="351"/>
      <c r="H22" s="351"/>
      <c r="I22" s="351"/>
      <c r="J22" s="351"/>
      <c r="K22" s="351"/>
      <c r="L22" s="351"/>
      <c r="M22" s="351"/>
      <c r="N22" s="351"/>
      <c r="O22" s="351"/>
      <c r="P22" s="351"/>
      <c r="Q22" s="351"/>
      <c r="R22" s="351"/>
      <c r="S22" s="351"/>
      <c r="T22" s="351"/>
      <c r="U22" s="351"/>
      <c r="V22" s="351"/>
      <c r="W22" s="351"/>
      <c r="X22" s="351"/>
      <c r="Y22" s="351"/>
      <c r="Z22" s="351"/>
      <c r="AA22" s="352"/>
    </row>
    <row r="23" spans="1:34" ht="39.950000000000003" hidden="1" customHeight="1" x14ac:dyDescent="0.3">
      <c r="A23" s="349" t="s">
        <v>28</v>
      </c>
      <c r="B23" s="349"/>
      <c r="C23" s="349"/>
      <c r="D23" s="349"/>
      <c r="E23" s="349"/>
      <c r="F23" s="350"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4" ht="39.950000000000003" hidden="1" customHeight="1" x14ac:dyDescent="0.3">
      <c r="A24" s="349" t="s">
        <v>29</v>
      </c>
      <c r="B24" s="349"/>
      <c r="C24" s="349"/>
      <c r="D24" s="349"/>
      <c r="E24" s="349"/>
      <c r="F24" s="350"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4" ht="15.95" hidden="1" customHeight="1" x14ac:dyDescent="0.3">
      <c r="A25" s="18">
        <v>2</v>
      </c>
      <c r="B25" s="323" t="s">
        <v>59</v>
      </c>
      <c r="C25" s="323"/>
      <c r="D25" s="323"/>
      <c r="E25" s="323"/>
      <c r="F25" s="323"/>
      <c r="G25" s="323"/>
      <c r="H25" s="323"/>
      <c r="I25" s="323"/>
      <c r="J25" s="323"/>
      <c r="K25" s="323"/>
      <c r="L25" s="323"/>
      <c r="M25" s="323"/>
      <c r="N25" s="323"/>
      <c r="O25" s="323"/>
      <c r="P25" s="84"/>
      <c r="Q25" s="85"/>
      <c r="R25" s="85"/>
      <c r="S25" s="85"/>
      <c r="T25" s="346" t="s">
        <v>1381</v>
      </c>
      <c r="U25" s="346"/>
      <c r="V25" s="346"/>
      <c r="W25" s="346"/>
      <c r="X25" s="346" t="s">
        <v>270</v>
      </c>
      <c r="Y25" s="346"/>
      <c r="Z25" s="346" t="s">
        <v>283</v>
      </c>
      <c r="AA25" s="347"/>
      <c r="AF25" s="12"/>
    </row>
    <row r="26" spans="1:34" ht="15.95" hidden="1" customHeight="1" x14ac:dyDescent="0.3">
      <c r="A26" s="325" t="s">
        <v>292</v>
      </c>
      <c r="B26" s="325"/>
      <c r="C26" s="325"/>
      <c r="D26" s="325"/>
      <c r="E26" s="325"/>
      <c r="F26" s="308"/>
      <c r="G26" s="308"/>
      <c r="H26" s="308"/>
      <c r="I26" s="308"/>
      <c r="J26" s="308"/>
      <c r="K26" s="308"/>
      <c r="L26" s="308"/>
      <c r="M26" s="308"/>
      <c r="N26" s="308"/>
      <c r="O26" s="308"/>
      <c r="P26" s="348" t="str">
        <f>VLOOKUP($F$14,CONTRA,59,FALSE)</f>
        <v>RIESGO V</v>
      </c>
      <c r="Q26" s="348"/>
      <c r="R26" s="341">
        <v>0.4</v>
      </c>
      <c r="S26" s="341"/>
      <c r="T26" s="320">
        <f>+R26*F21</f>
        <v>8112000</v>
      </c>
      <c r="U26" s="320"/>
      <c r="V26" s="320"/>
      <c r="W26" s="320"/>
      <c r="X26" s="320">
        <f>IF(R26*Z21&lt;DATOS!C32,DATOS!C32,R26*Z21)</f>
        <v>26041.4</v>
      </c>
      <c r="Y26" s="320"/>
      <c r="Z26" s="320" t="e">
        <f>+X26*#REF!</f>
        <v>#REF!</v>
      </c>
      <c r="AA26" s="320"/>
      <c r="AB26" s="12"/>
      <c r="AD26"/>
      <c r="AE26"/>
      <c r="AF26" s="4"/>
      <c r="AG26" s="4"/>
    </row>
    <row r="27" spans="1:34" ht="15.95" hidden="1" customHeight="1" x14ac:dyDescent="0.3">
      <c r="A27" s="325" t="s">
        <v>39</v>
      </c>
      <c r="B27" s="325"/>
      <c r="C27" s="325"/>
      <c r="D27" s="325"/>
      <c r="E27" s="325"/>
      <c r="F27" s="333" t="str">
        <f>VLOOKUP($F$14,CONTRA,33,FALSE)</f>
        <v xml:space="preserve">SALUD TOTAL </v>
      </c>
      <c r="G27" s="333"/>
      <c r="H27" s="333"/>
      <c r="I27" s="87" t="s">
        <v>133</v>
      </c>
      <c r="J27" s="87"/>
      <c r="K27" s="87"/>
      <c r="L27" s="345" t="str">
        <f>+VLOOKUP(L28,DATOS!A125:D139,3)</f>
        <v>6º</v>
      </c>
      <c r="M27" s="345"/>
      <c r="N27" s="345"/>
      <c r="O27" s="345"/>
      <c r="P27" s="348"/>
      <c r="Q27" s="348"/>
      <c r="R27" s="335">
        <v>0.125</v>
      </c>
      <c r="S27" s="335"/>
      <c r="T27" s="320">
        <f>+T26*R27</f>
        <v>1014000</v>
      </c>
      <c r="U27" s="320"/>
      <c r="V27" s="320"/>
      <c r="W27" s="320"/>
      <c r="X27" s="320">
        <f>+$X$26*R27</f>
        <v>3255.1750000000002</v>
      </c>
      <c r="Y27" s="320"/>
      <c r="Z27" s="320" t="e">
        <f>ROUNDUP(X27*#REF!,-2)</f>
        <v>#REF!</v>
      </c>
      <c r="AA27" s="320"/>
      <c r="AB27" s="12"/>
      <c r="AD27" s="12"/>
      <c r="AE27" s="4"/>
      <c r="AF27" s="166"/>
      <c r="AG27"/>
      <c r="AH27" s="12"/>
    </row>
    <row r="28" spans="1:34" ht="15.95" hidden="1" customHeight="1" x14ac:dyDescent="0.3">
      <c r="A28" s="325" t="s">
        <v>40</v>
      </c>
      <c r="B28" s="325"/>
      <c r="C28" s="325"/>
      <c r="D28" s="325"/>
      <c r="E28" s="325"/>
      <c r="F28" s="333" t="str">
        <f>VLOOKUP($F$14,CONTRA,34,FALSE)</f>
        <v xml:space="preserve">PORVENIR </v>
      </c>
      <c r="G28" s="333"/>
      <c r="H28" s="333"/>
      <c r="I28" s="19" t="s">
        <v>134</v>
      </c>
      <c r="J28" s="19"/>
      <c r="K28" s="19"/>
      <c r="L28" s="343" t="str">
        <f>VLOOKUP($F$14,CONTRA,35,FALSE)</f>
        <v>35</v>
      </c>
      <c r="M28" s="343"/>
      <c r="N28" s="344" t="s">
        <v>270</v>
      </c>
      <c r="O28" s="344"/>
      <c r="P28" s="348"/>
      <c r="Q28" s="348"/>
      <c r="R28" s="341">
        <v>0.16</v>
      </c>
      <c r="S28" s="341"/>
      <c r="T28" s="320">
        <f>+T26*R28</f>
        <v>1297920</v>
      </c>
      <c r="U28" s="320"/>
      <c r="V28" s="320"/>
      <c r="W28" s="320"/>
      <c r="X28" s="320">
        <f>+$X$26*R28</f>
        <v>4166.6240000000007</v>
      </c>
      <c r="Y28" s="320"/>
      <c r="Z28" s="320" t="e">
        <f>ROUNDUP(X28*#REF!,-2)</f>
        <v>#REF!</v>
      </c>
      <c r="AA28" s="320"/>
      <c r="AB28" s="12"/>
      <c r="AD28" s="4"/>
      <c r="AE28" s="4"/>
      <c r="AF28" s="4"/>
      <c r="AG28" s="4"/>
    </row>
    <row r="29" spans="1:34" ht="15.95" hidden="1" customHeight="1" x14ac:dyDescent="0.3">
      <c r="A29" s="325" t="s">
        <v>41</v>
      </c>
      <c r="B29" s="325"/>
      <c r="C29" s="325"/>
      <c r="D29" s="325"/>
      <c r="E29" s="325"/>
      <c r="F29" s="333" t="str">
        <f>VLOOKUP($F$14,CONTRA,36,FALSE)</f>
        <v>SURA</v>
      </c>
      <c r="G29" s="333"/>
      <c r="H29" s="333"/>
      <c r="I29" s="325" t="s">
        <v>135</v>
      </c>
      <c r="J29" s="325"/>
      <c r="K29" s="325"/>
      <c r="L29" s="319" t="str">
        <f>VLOOKUP($F$14,CONTRA,37,FALSE)</f>
        <v>23 de enero de 2018</v>
      </c>
      <c r="M29" s="319"/>
      <c r="N29" s="319"/>
      <c r="O29" s="319"/>
      <c r="P29" s="348"/>
      <c r="Q29" s="348"/>
      <c r="R29" s="342">
        <f>+VLOOKUP(P26,DATOS!A20:B24,2,FALSE)</f>
        <v>6.9599999999999995E-2</v>
      </c>
      <c r="S29" s="342"/>
      <c r="T29" s="320">
        <f>+T26*R29</f>
        <v>564595.19999999995</v>
      </c>
      <c r="U29" s="320"/>
      <c r="V29" s="320"/>
      <c r="W29" s="320"/>
      <c r="X29" s="320">
        <f>+R29*X26</f>
        <v>1812.48144</v>
      </c>
      <c r="Y29" s="320"/>
      <c r="Z29" s="320" t="e">
        <f>ROUNDUP(X29*#REF!,-2)</f>
        <v>#REF!</v>
      </c>
      <c r="AA29" s="320"/>
      <c r="AD29" s="4"/>
      <c r="AE29" s="4"/>
      <c r="AF29" s="4"/>
      <c r="AG29"/>
    </row>
    <row r="30" spans="1:34" ht="15.95" hidden="1" customHeight="1" x14ac:dyDescent="0.3">
      <c r="A30" s="325" t="s">
        <v>290</v>
      </c>
      <c r="B30" s="325"/>
      <c r="C30" s="325"/>
      <c r="D30" s="325"/>
      <c r="E30" s="325"/>
      <c r="F30" s="336" t="s">
        <v>288</v>
      </c>
      <c r="G30" s="336"/>
      <c r="H30" s="336"/>
      <c r="I30" s="336"/>
      <c r="J30" s="336"/>
      <c r="K30" s="336"/>
      <c r="L30" s="308" t="str">
        <f>+VLOOKUP(P26,DATOS!A157:B161,2,FALSE)</f>
        <v>PATRONAL</v>
      </c>
      <c r="M30" s="308"/>
      <c r="N30" s="308"/>
      <c r="O30" s="308"/>
      <c r="P30" s="337" t="s">
        <v>49</v>
      </c>
      <c r="Q30" s="338"/>
      <c r="R30" s="341"/>
      <c r="S30" s="341"/>
      <c r="T30" s="320">
        <f>SUM(T27:W29)</f>
        <v>2876515.2</v>
      </c>
      <c r="U30" s="341"/>
      <c r="V30" s="341"/>
      <c r="W30" s="341"/>
      <c r="X30" s="320">
        <f>SUM(X27:Y29)</f>
        <v>9234.2804400000005</v>
      </c>
      <c r="Y30" s="320"/>
      <c r="Z30" s="320" t="e">
        <f>IF(P26="RIESGO V",Z27+Z28,Z27+Z28+Z29)</f>
        <v>#REF!</v>
      </c>
      <c r="AA30" s="320"/>
      <c r="AD30" s="4"/>
      <c r="AE30" s="4"/>
      <c r="AF30" s="4"/>
      <c r="AG30"/>
    </row>
    <row r="31" spans="1:34" ht="15.95" hidden="1" customHeight="1" x14ac:dyDescent="0.3">
      <c r="A31" s="325" t="s">
        <v>42</v>
      </c>
      <c r="B31" s="325"/>
      <c r="C31" s="325"/>
      <c r="D31" s="325"/>
      <c r="E31" s="325"/>
      <c r="F31" s="333" t="s">
        <v>142</v>
      </c>
      <c r="G31" s="333"/>
      <c r="H31" s="333"/>
      <c r="I31" s="333"/>
      <c r="J31" s="333"/>
      <c r="K31" s="333"/>
      <c r="L31" s="334" t="str">
        <f>VLOOKUP($F$14,CONTRA,38,FALSE)</f>
        <v>PAGADO</v>
      </c>
      <c r="M31" s="334"/>
      <c r="N31" s="334"/>
      <c r="O31" s="334"/>
      <c r="P31" s="339"/>
      <c r="Q31" s="340"/>
      <c r="R31" s="335">
        <f>VLOOKUP(L31,DATOS!A37:B38,2,FALSE)</f>
        <v>0</v>
      </c>
      <c r="S31" s="335"/>
      <c r="T31" s="320">
        <f>+R31*$F$21</f>
        <v>0</v>
      </c>
      <c r="U31" s="320"/>
      <c r="V31" s="320"/>
      <c r="W31" s="320"/>
      <c r="X31" s="320">
        <f>+T31/T21</f>
        <v>0</v>
      </c>
      <c r="Y31" s="320"/>
      <c r="Z31" s="320" t="e">
        <f>+X31*#REF!</f>
        <v>#REF!</v>
      </c>
      <c r="AA31" s="320"/>
      <c r="AE31" s="13"/>
      <c r="AF31" s="12"/>
    </row>
    <row r="32" spans="1:34" ht="15.95" customHeight="1" x14ac:dyDescent="0.3">
      <c r="A32" s="303" t="s">
        <v>1406</v>
      </c>
      <c r="B32" s="299" t="s">
        <v>287</v>
      </c>
      <c r="C32" s="300"/>
      <c r="D32" s="300"/>
      <c r="E32" s="300"/>
      <c r="F32" s="300"/>
      <c r="G32" s="300"/>
      <c r="H32" s="300"/>
      <c r="I32" s="300"/>
      <c r="J32" s="300"/>
      <c r="K32" s="300"/>
      <c r="L32" s="300"/>
      <c r="M32" s="300"/>
      <c r="N32" s="300"/>
      <c r="O32" s="297" t="s">
        <v>283</v>
      </c>
      <c r="P32" s="59">
        <v>1</v>
      </c>
      <c r="Q32" s="59">
        <v>2</v>
      </c>
      <c r="R32" s="59">
        <v>3</v>
      </c>
      <c r="S32" s="59">
        <v>4</v>
      </c>
      <c r="T32" s="59">
        <v>5</v>
      </c>
      <c r="U32" s="59">
        <v>6</v>
      </c>
      <c r="V32" s="59">
        <v>7</v>
      </c>
      <c r="W32" s="59">
        <v>8</v>
      </c>
      <c r="X32" s="59">
        <v>9</v>
      </c>
      <c r="Y32" s="59">
        <v>10</v>
      </c>
      <c r="Z32" s="59">
        <v>11</v>
      </c>
      <c r="AA32" s="59">
        <v>12</v>
      </c>
      <c r="AF32" s="4"/>
    </row>
    <row r="33" spans="1:36" ht="15.95" customHeight="1" x14ac:dyDescent="0.3">
      <c r="A33" s="304"/>
      <c r="B33" s="301"/>
      <c r="C33" s="302"/>
      <c r="D33" s="302"/>
      <c r="E33" s="302"/>
      <c r="F33" s="302"/>
      <c r="G33" s="302"/>
      <c r="H33" s="302"/>
      <c r="I33" s="302"/>
      <c r="J33" s="302"/>
      <c r="K33" s="302"/>
      <c r="L33" s="302"/>
      <c r="M33" s="302"/>
      <c r="N33" s="302"/>
      <c r="O33" s="298"/>
      <c r="P33" s="294" t="s">
        <v>44</v>
      </c>
      <c r="Q33" s="295"/>
      <c r="R33" s="295"/>
      <c r="S33" s="295"/>
      <c r="T33" s="295"/>
      <c r="U33" s="295"/>
      <c r="V33" s="295"/>
      <c r="W33" s="296"/>
      <c r="X33" s="294" t="s">
        <v>282</v>
      </c>
      <c r="Y33" s="295"/>
      <c r="Z33" s="295"/>
      <c r="AA33" s="296"/>
      <c r="AF33" s="4"/>
    </row>
    <row r="34" spans="1:36" ht="50.1" customHeight="1" x14ac:dyDescent="0.3">
      <c r="A34" s="172">
        <v>1</v>
      </c>
      <c r="B34" s="286">
        <f>+'INFORME CONTRATISTAS'!B34:O34</f>
        <v>0</v>
      </c>
      <c r="C34" s="287"/>
      <c r="D34" s="287"/>
      <c r="E34" s="287"/>
      <c r="F34" s="287"/>
      <c r="G34" s="287"/>
      <c r="H34" s="287"/>
      <c r="I34" s="287"/>
      <c r="J34" s="287"/>
      <c r="K34" s="287"/>
      <c r="L34" s="287"/>
      <c r="M34" s="287"/>
      <c r="N34" s="287"/>
      <c r="O34" s="288"/>
      <c r="P34" s="282"/>
      <c r="Q34" s="283"/>
      <c r="R34" s="283"/>
      <c r="S34" s="283"/>
      <c r="T34" s="283"/>
      <c r="U34" s="283"/>
      <c r="V34" s="283"/>
      <c r="W34" s="284"/>
      <c r="X34" s="282"/>
      <c r="Y34" s="283"/>
      <c r="Z34" s="283"/>
      <c r="AA34" s="284"/>
    </row>
    <row r="35" spans="1:36" ht="50.1" customHeight="1" x14ac:dyDescent="0.3">
      <c r="A35" s="172">
        <v>2</v>
      </c>
      <c r="B35" s="286">
        <f>+'INFORME CONTRATISTAS'!B35:O35</f>
        <v>0</v>
      </c>
      <c r="C35" s="287"/>
      <c r="D35" s="287"/>
      <c r="E35" s="287"/>
      <c r="F35" s="287"/>
      <c r="G35" s="287"/>
      <c r="H35" s="287"/>
      <c r="I35" s="287"/>
      <c r="J35" s="287"/>
      <c r="K35" s="287"/>
      <c r="L35" s="287"/>
      <c r="M35" s="287"/>
      <c r="N35" s="287"/>
      <c r="O35" s="288"/>
      <c r="P35" s="282"/>
      <c r="Q35" s="283"/>
      <c r="R35" s="283"/>
      <c r="S35" s="283"/>
      <c r="T35" s="283"/>
      <c r="U35" s="283"/>
      <c r="V35" s="283"/>
      <c r="W35" s="284"/>
      <c r="X35" s="282"/>
      <c r="Y35" s="283"/>
      <c r="Z35" s="283"/>
      <c r="AA35" s="284"/>
    </row>
    <row r="36" spans="1:36" ht="50.1" customHeight="1" x14ac:dyDescent="0.3">
      <c r="A36" s="172">
        <v>3</v>
      </c>
      <c r="B36" s="286">
        <f>+'INFORME CONTRATISTAS'!B36:O36</f>
        <v>0</v>
      </c>
      <c r="C36" s="287"/>
      <c r="D36" s="287"/>
      <c r="E36" s="287"/>
      <c r="F36" s="287"/>
      <c r="G36" s="287"/>
      <c r="H36" s="287"/>
      <c r="I36" s="287"/>
      <c r="J36" s="287"/>
      <c r="K36" s="287"/>
      <c r="L36" s="287"/>
      <c r="M36" s="287"/>
      <c r="N36" s="287"/>
      <c r="O36" s="288"/>
      <c r="P36" s="282"/>
      <c r="Q36" s="283"/>
      <c r="R36" s="283"/>
      <c r="S36" s="283"/>
      <c r="T36" s="283"/>
      <c r="U36" s="283"/>
      <c r="V36" s="283"/>
      <c r="W36" s="284"/>
      <c r="X36" s="282"/>
      <c r="Y36" s="283"/>
      <c r="Z36" s="283"/>
      <c r="AA36" s="284"/>
      <c r="AE36" s="12"/>
    </row>
    <row r="37" spans="1:36" ht="50.1" customHeight="1" x14ac:dyDescent="0.3">
      <c r="A37" s="172">
        <v>4</v>
      </c>
      <c r="B37" s="286">
        <f>+'INFORME CONTRATISTAS'!B37:O37</f>
        <v>0</v>
      </c>
      <c r="C37" s="287"/>
      <c r="D37" s="287"/>
      <c r="E37" s="287"/>
      <c r="F37" s="287"/>
      <c r="G37" s="287"/>
      <c r="H37" s="287"/>
      <c r="I37" s="287"/>
      <c r="J37" s="287"/>
      <c r="K37" s="287"/>
      <c r="L37" s="287"/>
      <c r="M37" s="287"/>
      <c r="N37" s="287"/>
      <c r="O37" s="288"/>
      <c r="P37" s="282"/>
      <c r="Q37" s="283"/>
      <c r="R37" s="283"/>
      <c r="S37" s="283"/>
      <c r="T37" s="283"/>
      <c r="U37" s="283"/>
      <c r="V37" s="283"/>
      <c r="W37" s="284"/>
      <c r="X37" s="282"/>
      <c r="Y37" s="283"/>
      <c r="Z37" s="283"/>
      <c r="AA37" s="284"/>
    </row>
    <row r="38" spans="1:36" ht="50.1" customHeight="1" x14ac:dyDescent="0.3">
      <c r="A38" s="172">
        <v>5</v>
      </c>
      <c r="B38" s="286">
        <f>+'INFORME CONTRATISTAS'!B38:O38</f>
        <v>0</v>
      </c>
      <c r="C38" s="287"/>
      <c r="D38" s="287"/>
      <c r="E38" s="287"/>
      <c r="F38" s="287"/>
      <c r="G38" s="287"/>
      <c r="H38" s="287"/>
      <c r="I38" s="287"/>
      <c r="J38" s="287"/>
      <c r="K38" s="287"/>
      <c r="L38" s="287"/>
      <c r="M38" s="287"/>
      <c r="N38" s="287"/>
      <c r="O38" s="288"/>
      <c r="P38" s="282"/>
      <c r="Q38" s="283"/>
      <c r="R38" s="283"/>
      <c r="S38" s="283"/>
      <c r="T38" s="283"/>
      <c r="U38" s="283"/>
      <c r="V38" s="283"/>
      <c r="W38" s="284"/>
      <c r="X38" s="282"/>
      <c r="Y38" s="283"/>
      <c r="Z38" s="283"/>
      <c r="AA38" s="284"/>
      <c r="AE38" s="12"/>
      <c r="AH38" s="12"/>
      <c r="AI38" s="86"/>
    </row>
    <row r="39" spans="1:36" ht="50.1" customHeight="1" x14ac:dyDescent="0.3">
      <c r="A39" s="172">
        <v>6</v>
      </c>
      <c r="B39" s="286">
        <f>+'INFORME CONTRATISTAS'!B39:O39</f>
        <v>0</v>
      </c>
      <c r="C39" s="287"/>
      <c r="D39" s="287"/>
      <c r="E39" s="287"/>
      <c r="F39" s="287"/>
      <c r="G39" s="287"/>
      <c r="H39" s="287"/>
      <c r="I39" s="287"/>
      <c r="J39" s="287"/>
      <c r="K39" s="287"/>
      <c r="L39" s="287"/>
      <c r="M39" s="287"/>
      <c r="N39" s="287"/>
      <c r="O39" s="288"/>
      <c r="P39" s="282"/>
      <c r="Q39" s="283"/>
      <c r="R39" s="283"/>
      <c r="S39" s="283"/>
      <c r="T39" s="283"/>
      <c r="U39" s="283"/>
      <c r="V39" s="283"/>
      <c r="W39" s="284"/>
      <c r="X39" s="282"/>
      <c r="Y39" s="283"/>
      <c r="Z39" s="283"/>
      <c r="AA39" s="284"/>
      <c r="AD39" s="52"/>
      <c r="AE39" s="12"/>
      <c r="AF39" s="12"/>
      <c r="AG39" s="12"/>
      <c r="AH39" s="12"/>
      <c r="AI39" s="12"/>
      <c r="AJ39" s="12"/>
    </row>
    <row r="40" spans="1:36" ht="50.1" customHeight="1" x14ac:dyDescent="0.3">
      <c r="A40" s="172">
        <v>7</v>
      </c>
      <c r="B40" s="286">
        <f>+'INFORME CONTRATISTAS'!B40:O40</f>
        <v>0</v>
      </c>
      <c r="C40" s="287"/>
      <c r="D40" s="287"/>
      <c r="E40" s="287"/>
      <c r="F40" s="287"/>
      <c r="G40" s="287"/>
      <c r="H40" s="287"/>
      <c r="I40" s="287"/>
      <c r="J40" s="287"/>
      <c r="K40" s="287"/>
      <c r="L40" s="287"/>
      <c r="M40" s="287"/>
      <c r="N40" s="287"/>
      <c r="O40" s="288"/>
      <c r="P40" s="282"/>
      <c r="Q40" s="283"/>
      <c r="R40" s="283"/>
      <c r="S40" s="283"/>
      <c r="T40" s="283"/>
      <c r="U40" s="283"/>
      <c r="V40" s="283"/>
      <c r="W40" s="284"/>
      <c r="X40" s="282"/>
      <c r="Y40" s="283"/>
      <c r="Z40" s="283"/>
      <c r="AA40" s="284"/>
      <c r="AD40" s="52"/>
      <c r="AE40" s="12"/>
      <c r="AF40" s="12"/>
      <c r="AG40" s="12"/>
      <c r="AH40" s="12"/>
      <c r="AI40" s="12"/>
      <c r="AJ40" s="12"/>
    </row>
    <row r="41" spans="1:36" ht="50.1" customHeight="1" x14ac:dyDescent="0.3">
      <c r="A41" s="172">
        <v>8</v>
      </c>
      <c r="B41" s="286">
        <f>+'INFORME CONTRATISTAS'!B41:O41</f>
        <v>0</v>
      </c>
      <c r="C41" s="287"/>
      <c r="D41" s="287"/>
      <c r="E41" s="287"/>
      <c r="F41" s="287"/>
      <c r="G41" s="287"/>
      <c r="H41" s="287"/>
      <c r="I41" s="287"/>
      <c r="J41" s="287"/>
      <c r="K41" s="287"/>
      <c r="L41" s="287"/>
      <c r="M41" s="287"/>
      <c r="N41" s="287"/>
      <c r="O41" s="288"/>
      <c r="P41" s="282"/>
      <c r="Q41" s="283"/>
      <c r="R41" s="283"/>
      <c r="S41" s="283"/>
      <c r="T41" s="283"/>
      <c r="U41" s="283"/>
      <c r="V41" s="283"/>
      <c r="W41" s="284"/>
      <c r="X41" s="282"/>
      <c r="Y41" s="283"/>
      <c r="Z41" s="283"/>
      <c r="AA41" s="284"/>
      <c r="AE41" s="12"/>
      <c r="AG41" s="12"/>
    </row>
    <row r="42" spans="1:36" ht="50.1" customHeight="1" x14ac:dyDescent="0.3">
      <c r="A42" s="172">
        <v>9</v>
      </c>
      <c r="B42" s="286">
        <f>+'INFORME CONTRATISTAS'!B42:O42</f>
        <v>0</v>
      </c>
      <c r="C42" s="287"/>
      <c r="D42" s="287"/>
      <c r="E42" s="287"/>
      <c r="F42" s="287"/>
      <c r="G42" s="287"/>
      <c r="H42" s="287"/>
      <c r="I42" s="287"/>
      <c r="J42" s="287"/>
      <c r="K42" s="287"/>
      <c r="L42" s="287"/>
      <c r="M42" s="287"/>
      <c r="N42" s="287"/>
      <c r="O42" s="288"/>
      <c r="P42" s="282"/>
      <c r="Q42" s="283"/>
      <c r="R42" s="283"/>
      <c r="S42" s="283"/>
      <c r="T42" s="283"/>
      <c r="U42" s="283"/>
      <c r="V42" s="283"/>
      <c r="W42" s="284"/>
      <c r="X42" s="282"/>
      <c r="Y42" s="283"/>
      <c r="Z42" s="283"/>
      <c r="AA42" s="284"/>
    </row>
    <row r="43" spans="1:36" ht="50.1" customHeight="1" x14ac:dyDescent="0.3">
      <c r="A43" s="172">
        <v>10</v>
      </c>
      <c r="B43" s="286">
        <f>+'INFORME CONTRATISTAS'!B43:O43</f>
        <v>0</v>
      </c>
      <c r="C43" s="287"/>
      <c r="D43" s="287"/>
      <c r="E43" s="287"/>
      <c r="F43" s="287"/>
      <c r="G43" s="287"/>
      <c r="H43" s="287"/>
      <c r="I43" s="287"/>
      <c r="J43" s="287"/>
      <c r="K43" s="287"/>
      <c r="L43" s="287"/>
      <c r="M43" s="287"/>
      <c r="N43" s="287"/>
      <c r="O43" s="288"/>
      <c r="P43" s="282"/>
      <c r="Q43" s="283"/>
      <c r="R43" s="283"/>
      <c r="S43" s="283"/>
      <c r="T43" s="283"/>
      <c r="U43" s="283"/>
      <c r="V43" s="283"/>
      <c r="W43" s="284"/>
      <c r="X43" s="282"/>
      <c r="Y43" s="283"/>
      <c r="Z43" s="283"/>
      <c r="AA43" s="284"/>
      <c r="AE43" s="12"/>
    </row>
    <row r="44" spans="1:36" ht="50.1" customHeight="1" x14ac:dyDescent="0.3">
      <c r="A44" s="172">
        <v>11</v>
      </c>
      <c r="B44" s="286">
        <f>+'INFORME CONTRATISTAS'!B44:O44</f>
        <v>0</v>
      </c>
      <c r="C44" s="287"/>
      <c r="D44" s="287"/>
      <c r="E44" s="287"/>
      <c r="F44" s="287"/>
      <c r="G44" s="287"/>
      <c r="H44" s="287"/>
      <c r="I44" s="287"/>
      <c r="J44" s="287"/>
      <c r="K44" s="287"/>
      <c r="L44" s="287"/>
      <c r="M44" s="287"/>
      <c r="N44" s="287"/>
      <c r="O44" s="288"/>
      <c r="P44" s="282"/>
      <c r="Q44" s="283"/>
      <c r="R44" s="283"/>
      <c r="S44" s="283"/>
      <c r="T44" s="283"/>
      <c r="U44" s="283"/>
      <c r="V44" s="283"/>
      <c r="W44" s="284"/>
      <c r="X44" s="282"/>
      <c r="Y44" s="283"/>
      <c r="Z44" s="283"/>
      <c r="AA44" s="284"/>
    </row>
    <row r="45" spans="1:36" ht="50.1" customHeight="1" x14ac:dyDescent="0.3">
      <c r="A45" s="172">
        <v>12</v>
      </c>
      <c r="B45" s="286">
        <f>+'INFORME CONTRATISTAS'!B45:O45</f>
        <v>0</v>
      </c>
      <c r="C45" s="287"/>
      <c r="D45" s="287"/>
      <c r="E45" s="287"/>
      <c r="F45" s="287"/>
      <c r="G45" s="287"/>
      <c r="H45" s="287"/>
      <c r="I45" s="287"/>
      <c r="J45" s="287"/>
      <c r="K45" s="287"/>
      <c r="L45" s="287"/>
      <c r="M45" s="287"/>
      <c r="N45" s="287"/>
      <c r="O45" s="288"/>
      <c r="P45" s="282"/>
      <c r="Q45" s="283"/>
      <c r="R45" s="283"/>
      <c r="S45" s="283"/>
      <c r="T45" s="283"/>
      <c r="U45" s="283"/>
      <c r="V45" s="283"/>
      <c r="W45" s="284"/>
      <c r="X45" s="282"/>
      <c r="Y45" s="283"/>
      <c r="Z45" s="283"/>
      <c r="AA45" s="284"/>
    </row>
    <row r="46" spans="1:36" ht="50.1" customHeight="1" x14ac:dyDescent="0.3">
      <c r="A46" s="172"/>
      <c r="B46" s="286"/>
      <c r="C46" s="287"/>
      <c r="D46" s="287"/>
      <c r="E46" s="287"/>
      <c r="F46" s="287"/>
      <c r="G46" s="287"/>
      <c r="H46" s="287"/>
      <c r="I46" s="287"/>
      <c r="J46" s="287"/>
      <c r="K46" s="287"/>
      <c r="L46" s="287"/>
      <c r="M46" s="287"/>
      <c r="N46" s="287"/>
      <c r="O46" s="288"/>
      <c r="P46" s="282"/>
      <c r="Q46" s="283"/>
      <c r="R46" s="283"/>
      <c r="S46" s="283"/>
      <c r="T46" s="283"/>
      <c r="U46" s="283"/>
      <c r="V46" s="283"/>
      <c r="W46" s="284"/>
      <c r="X46" s="282"/>
      <c r="Y46" s="283"/>
      <c r="Z46" s="283"/>
      <c r="AA46" s="284"/>
    </row>
    <row r="47" spans="1:36" ht="50.1" customHeight="1" x14ac:dyDescent="0.3">
      <c r="A47" s="172"/>
      <c r="B47" s="286"/>
      <c r="C47" s="287"/>
      <c r="D47" s="287"/>
      <c r="E47" s="287"/>
      <c r="F47" s="287"/>
      <c r="G47" s="287"/>
      <c r="H47" s="287"/>
      <c r="I47" s="287"/>
      <c r="J47" s="287"/>
      <c r="K47" s="287"/>
      <c r="L47" s="287"/>
      <c r="M47" s="287"/>
      <c r="N47" s="287"/>
      <c r="O47" s="288"/>
      <c r="P47" s="282"/>
      <c r="Q47" s="283"/>
      <c r="R47" s="283"/>
      <c r="S47" s="283"/>
      <c r="T47" s="283"/>
      <c r="U47" s="283"/>
      <c r="V47" s="283"/>
      <c r="W47" s="284"/>
      <c r="X47" s="282"/>
      <c r="Y47" s="283"/>
      <c r="Z47" s="283"/>
      <c r="AA47" s="284"/>
    </row>
    <row r="48" spans="1:36" ht="50.1" customHeight="1" x14ac:dyDescent="0.3">
      <c r="A48" s="172"/>
      <c r="B48" s="286"/>
      <c r="C48" s="287"/>
      <c r="D48" s="287"/>
      <c r="E48" s="287"/>
      <c r="F48" s="287"/>
      <c r="G48" s="287"/>
      <c r="H48" s="287"/>
      <c r="I48" s="287"/>
      <c r="J48" s="287"/>
      <c r="K48" s="287"/>
      <c r="L48" s="287"/>
      <c r="M48" s="287"/>
      <c r="N48" s="287"/>
      <c r="O48" s="288"/>
      <c r="P48" s="282"/>
      <c r="Q48" s="283"/>
      <c r="R48" s="283"/>
      <c r="S48" s="283"/>
      <c r="T48" s="283"/>
      <c r="U48" s="283"/>
      <c r="V48" s="283"/>
      <c r="W48" s="284"/>
      <c r="X48" s="282"/>
      <c r="Y48" s="283"/>
      <c r="Z48" s="283"/>
      <c r="AA48" s="284"/>
    </row>
    <row r="49" spans="1:35" ht="50.1" customHeight="1" x14ac:dyDescent="0.3">
      <c r="A49" s="172"/>
      <c r="B49" s="286"/>
      <c r="C49" s="287"/>
      <c r="D49" s="287"/>
      <c r="E49" s="287"/>
      <c r="F49" s="287"/>
      <c r="G49" s="287"/>
      <c r="H49" s="287"/>
      <c r="I49" s="287"/>
      <c r="J49" s="287"/>
      <c r="K49" s="287"/>
      <c r="L49" s="287"/>
      <c r="M49" s="287"/>
      <c r="N49" s="287"/>
      <c r="O49" s="288"/>
      <c r="P49" s="282"/>
      <c r="Q49" s="283"/>
      <c r="R49" s="283"/>
      <c r="S49" s="283"/>
      <c r="T49" s="283"/>
      <c r="U49" s="283"/>
      <c r="V49" s="283"/>
      <c r="W49" s="284"/>
      <c r="X49" s="282"/>
      <c r="Y49" s="283"/>
      <c r="Z49" s="283"/>
      <c r="AA49" s="284"/>
    </row>
    <row r="50" spans="1:35" ht="50.1" customHeight="1" x14ac:dyDescent="0.3">
      <c r="A50" s="172"/>
      <c r="B50" s="286"/>
      <c r="C50" s="287"/>
      <c r="D50" s="287"/>
      <c r="E50" s="287"/>
      <c r="F50" s="287"/>
      <c r="G50" s="287"/>
      <c r="H50" s="287"/>
      <c r="I50" s="287"/>
      <c r="J50" s="287"/>
      <c r="K50" s="287"/>
      <c r="L50" s="287"/>
      <c r="M50" s="287"/>
      <c r="N50" s="287"/>
      <c r="O50" s="288"/>
      <c r="P50" s="282"/>
      <c r="Q50" s="283"/>
      <c r="R50" s="283"/>
      <c r="S50" s="283"/>
      <c r="T50" s="283"/>
      <c r="U50" s="283"/>
      <c r="V50" s="283"/>
      <c r="W50" s="284"/>
      <c r="X50" s="282"/>
      <c r="Y50" s="283"/>
      <c r="Z50" s="283"/>
      <c r="AA50" s="284"/>
    </row>
    <row r="51" spans="1:35" ht="50.1" customHeight="1" x14ac:dyDescent="0.3">
      <c r="A51" s="172"/>
      <c r="B51" s="286"/>
      <c r="C51" s="287"/>
      <c r="D51" s="287"/>
      <c r="E51" s="287"/>
      <c r="F51" s="287"/>
      <c r="G51" s="287"/>
      <c r="H51" s="287"/>
      <c r="I51" s="287"/>
      <c r="J51" s="287"/>
      <c r="K51" s="287"/>
      <c r="L51" s="287"/>
      <c r="M51" s="287"/>
      <c r="N51" s="287"/>
      <c r="O51" s="288"/>
      <c r="P51" s="282"/>
      <c r="Q51" s="283"/>
      <c r="R51" s="283"/>
      <c r="S51" s="283"/>
      <c r="T51" s="283"/>
      <c r="U51" s="283"/>
      <c r="V51" s="283"/>
      <c r="W51" s="284"/>
      <c r="X51" s="282"/>
      <c r="Y51" s="283"/>
      <c r="Z51" s="283"/>
      <c r="AA51" s="284"/>
    </row>
    <row r="52" spans="1:35" ht="50.1" customHeight="1" x14ac:dyDescent="0.3">
      <c r="A52" s="172"/>
      <c r="B52" s="286"/>
      <c r="C52" s="287"/>
      <c r="D52" s="287"/>
      <c r="E52" s="287"/>
      <c r="F52" s="287"/>
      <c r="G52" s="287"/>
      <c r="H52" s="287"/>
      <c r="I52" s="287"/>
      <c r="J52" s="287"/>
      <c r="K52" s="287"/>
      <c r="L52" s="287"/>
      <c r="M52" s="287"/>
      <c r="N52" s="287"/>
      <c r="O52" s="288"/>
      <c r="P52" s="282"/>
      <c r="Q52" s="283"/>
      <c r="R52" s="283"/>
      <c r="S52" s="283"/>
      <c r="T52" s="283"/>
      <c r="U52" s="283"/>
      <c r="V52" s="283"/>
      <c r="W52" s="284"/>
      <c r="X52" s="282"/>
      <c r="Y52" s="283"/>
      <c r="Z52" s="283"/>
      <c r="AA52" s="284"/>
    </row>
    <row r="53" spans="1:35" ht="50.1" customHeight="1" x14ac:dyDescent="0.3">
      <c r="A53" s="172"/>
      <c r="B53" s="286"/>
      <c r="C53" s="287"/>
      <c r="D53" s="287"/>
      <c r="E53" s="287"/>
      <c r="F53" s="287"/>
      <c r="G53" s="287"/>
      <c r="H53" s="287"/>
      <c r="I53" s="287"/>
      <c r="J53" s="287"/>
      <c r="K53" s="287"/>
      <c r="L53" s="287"/>
      <c r="M53" s="287"/>
      <c r="N53" s="287"/>
      <c r="O53" s="288"/>
      <c r="P53" s="282"/>
      <c r="Q53" s="283"/>
      <c r="R53" s="283"/>
      <c r="S53" s="283"/>
      <c r="T53" s="283"/>
      <c r="U53" s="283"/>
      <c r="V53" s="283"/>
      <c r="W53" s="284"/>
      <c r="X53" s="282"/>
      <c r="Y53" s="283"/>
      <c r="Z53" s="283"/>
      <c r="AA53" s="284"/>
    </row>
    <row r="54" spans="1:35" x14ac:dyDescent="0.3">
      <c r="A54" s="332" t="s">
        <v>45</v>
      </c>
      <c r="B54" s="332"/>
      <c r="C54" s="332"/>
      <c r="D54" s="326"/>
      <c r="E54" s="326"/>
      <c r="F54" s="326"/>
      <c r="G54" s="326"/>
      <c r="H54" s="326"/>
      <c r="I54" s="326"/>
      <c r="J54" s="326"/>
      <c r="K54" s="326"/>
      <c r="L54" s="326"/>
      <c r="M54" s="326"/>
      <c r="N54" s="326"/>
      <c r="O54" s="326"/>
      <c r="P54" s="326"/>
      <c r="Q54" s="326"/>
      <c r="R54" s="326"/>
      <c r="S54" s="326"/>
      <c r="T54" s="326"/>
      <c r="U54" s="326"/>
      <c r="V54" s="326"/>
      <c r="W54" s="326"/>
      <c r="X54" s="326"/>
      <c r="Y54" s="326"/>
      <c r="Z54" s="326"/>
      <c r="AA54" s="326"/>
    </row>
    <row r="55" spans="1:35" x14ac:dyDescent="0.3">
      <c r="A55" s="332"/>
      <c r="B55" s="332"/>
      <c r="C55" s="332"/>
      <c r="D55" s="326"/>
      <c r="E55" s="326"/>
      <c r="F55" s="326"/>
      <c r="G55" s="326"/>
      <c r="H55" s="326"/>
      <c r="I55" s="326"/>
      <c r="J55" s="326"/>
      <c r="K55" s="326"/>
      <c r="L55" s="326"/>
      <c r="M55" s="326"/>
      <c r="N55" s="326"/>
      <c r="O55" s="326"/>
      <c r="P55" s="326"/>
      <c r="Q55" s="326"/>
      <c r="R55" s="326"/>
      <c r="S55" s="326"/>
      <c r="T55" s="326"/>
      <c r="U55" s="326"/>
      <c r="V55" s="326"/>
      <c r="W55" s="326"/>
      <c r="X55" s="326"/>
      <c r="Y55" s="326"/>
      <c r="Z55" s="326"/>
      <c r="AA55" s="326"/>
    </row>
    <row r="56" spans="1:35" x14ac:dyDescent="0.3">
      <c r="AG56" s="52"/>
      <c r="AH56" s="12"/>
      <c r="AI56" s="12"/>
    </row>
    <row r="57" spans="1:35" x14ac:dyDescent="0.3">
      <c r="AI57" s="12"/>
    </row>
    <row r="71" spans="1:12" hidden="1" x14ac:dyDescent="0.3">
      <c r="A71" s="57" t="s">
        <v>146</v>
      </c>
      <c r="B71" s="57"/>
      <c r="D71" s="293" t="e">
        <f>+#REF!</f>
        <v>#REF!</v>
      </c>
      <c r="E71" s="293"/>
      <c r="F71" s="293"/>
      <c r="G71" s="57" t="s">
        <v>147</v>
      </c>
      <c r="H71" s="57"/>
      <c r="I71" s="57"/>
      <c r="J71" s="57"/>
      <c r="K71" s="57"/>
      <c r="L71" s="57"/>
    </row>
    <row r="72" spans="1:12" hidden="1" x14ac:dyDescent="0.3">
      <c r="A72" s="57"/>
      <c r="B72" s="57"/>
      <c r="C72" s="57"/>
      <c r="D72" s="57"/>
      <c r="E72" s="57"/>
      <c r="F72" s="57"/>
      <c r="G72" s="57"/>
      <c r="H72" s="57"/>
      <c r="I72" s="57"/>
      <c r="J72" s="57"/>
      <c r="K72" s="57"/>
      <c r="L72" s="57"/>
    </row>
    <row r="73" spans="1:12" hidden="1" x14ac:dyDescent="0.3">
      <c r="A73" s="57" t="s">
        <v>148</v>
      </c>
      <c r="B73" s="57"/>
      <c r="D73" s="57" t="e">
        <f>TRIM(D95)</f>
        <v>#REF!</v>
      </c>
      <c r="E73" s="57"/>
      <c r="F73" s="57"/>
      <c r="G73" s="57"/>
      <c r="H73" s="57"/>
      <c r="I73" s="57"/>
      <c r="J73" s="57"/>
      <c r="K73" s="57"/>
      <c r="L73" s="57"/>
    </row>
    <row r="74" spans="1:12" hidden="1" x14ac:dyDescent="0.3">
      <c r="A74" s="57"/>
      <c r="B74" s="57"/>
      <c r="C74" s="57"/>
      <c r="D74" s="57"/>
      <c r="E74" s="57"/>
      <c r="F74" s="57"/>
      <c r="G74" s="57"/>
      <c r="H74" s="57"/>
      <c r="I74" s="57"/>
      <c r="J74" s="57"/>
      <c r="K74" s="57"/>
      <c r="L74" s="57"/>
    </row>
    <row r="75" spans="1:12" hidden="1" x14ac:dyDescent="0.3">
      <c r="A75" s="57"/>
      <c r="B75" s="57"/>
      <c r="C75" s="57"/>
      <c r="D75" s="57"/>
      <c r="E75" s="57"/>
      <c r="F75" s="57"/>
      <c r="G75" s="57"/>
      <c r="H75" s="57"/>
      <c r="I75" s="57"/>
      <c r="J75" s="57"/>
      <c r="K75" s="57"/>
      <c r="L75" s="57"/>
    </row>
    <row r="76" spans="1:12" hidden="1" x14ac:dyDescent="0.3">
      <c r="A76" s="57">
        <v>1</v>
      </c>
      <c r="B76" s="57" t="s">
        <v>149</v>
      </c>
      <c r="C76" s="57" t="s">
        <v>150</v>
      </c>
      <c r="D76" s="57"/>
      <c r="E76" s="57" t="e">
        <f>INT((D71-(INT(D71/1000000000000000)*1000000000000000))/1000000000000)</f>
        <v>#REF!</v>
      </c>
      <c r="F76" s="57" t="s">
        <v>151</v>
      </c>
      <c r="G76" s="57" t="e">
        <f>INT(E76/100)*100</f>
        <v>#REF!</v>
      </c>
      <c r="H76" s="57" t="e">
        <f>IF(AND(G76=100,G77=0,G78=0),IF(G76=0," ",LOOKUP(G76,A75:C120,B75:B120)),IF(G76=0," ",LOOKUP(G76,A75:C120,C75:C120)))</f>
        <v>#REF!</v>
      </c>
      <c r="I76" s="57"/>
      <c r="J76" s="57" t="s">
        <v>152</v>
      </c>
      <c r="K76" s="57"/>
      <c r="L76" s="57"/>
    </row>
    <row r="77" spans="1:12" hidden="1" x14ac:dyDescent="0.3">
      <c r="A77" s="57">
        <v>2</v>
      </c>
      <c r="B77" s="57" t="s">
        <v>153</v>
      </c>
      <c r="C77" s="57" t="s">
        <v>153</v>
      </c>
      <c r="D77" s="57"/>
      <c r="E77" s="57" t="e">
        <f>+E76-G76</f>
        <v>#REF!</v>
      </c>
      <c r="F77" s="57" t="s">
        <v>154</v>
      </c>
      <c r="G77" s="57" t="e">
        <f>INT(E77/10)*10</f>
        <v>#REF!</v>
      </c>
      <c r="H77" s="57" t="e">
        <f>IF(OR(G77=10,G77=20),LOOKUP(E77,A75:C120,C75:C120),IF(AND(G77=100,G78=0,G79=0),IF(G77=0," ",LOOKUP(G77,A75:C120,B75:B120)),IF(G77=0," ",LOOKUP(G77,A75:C120,C75:C120))))</f>
        <v>#REF!</v>
      </c>
      <c r="I77" s="57" t="e">
        <f>IF(G78=0," ",IF(AND(G77&gt;20,G77&lt;=90),"y"," "))</f>
        <v>#REF!</v>
      </c>
      <c r="J77" s="57"/>
      <c r="K77" s="57"/>
      <c r="L77" s="57"/>
    </row>
    <row r="78" spans="1:12" hidden="1" x14ac:dyDescent="0.3">
      <c r="A78" s="57">
        <v>3</v>
      </c>
      <c r="B78" s="57" t="s">
        <v>155</v>
      </c>
      <c r="C78" s="57" t="s">
        <v>155</v>
      </c>
      <c r="D78" s="57"/>
      <c r="E78" s="57" t="e">
        <f>+E77-G77</f>
        <v>#REF!</v>
      </c>
      <c r="F78" s="57" t="s">
        <v>156</v>
      </c>
      <c r="G78" s="57" t="e">
        <f>INT(E78)</f>
        <v>#REF!</v>
      </c>
      <c r="H78" s="57" t="e">
        <f>IF(OR(G77=10,G77=20)," ",IF(AND(G78=100,G79=0,G80=0),IF(G78=0," ",LOOKUP(G78,A75:C120,B75:B120)),IF(G78=0," ",LOOKUP(G78,A75:C120,B75:B120))))</f>
        <v>#REF!</v>
      </c>
      <c r="I78" s="57" t="e">
        <f>IF(AND(G76=0,G77=0,G78=1),"Billón",IF(SUM(G76:G78)=0," ","Billones"))</f>
        <v>#REF!</v>
      </c>
      <c r="J78" s="57"/>
      <c r="K78" s="57"/>
      <c r="L78" s="57"/>
    </row>
    <row r="79" spans="1:12" hidden="1" x14ac:dyDescent="0.3">
      <c r="A79" s="57">
        <v>4</v>
      </c>
      <c r="B79" s="57" t="s">
        <v>157</v>
      </c>
      <c r="C79" s="57" t="s">
        <v>157</v>
      </c>
      <c r="D79" s="57"/>
      <c r="E79" s="57" t="e">
        <f>INT((D71-(INT(D71/1000000000000)*1000000000000))/1000000000)</f>
        <v>#REF!</v>
      </c>
      <c r="F79" s="57" t="s">
        <v>151</v>
      </c>
      <c r="G79" s="57" t="e">
        <f>INT(E79/100)*100</f>
        <v>#REF!</v>
      </c>
      <c r="H79" s="57" t="e">
        <f>IF(AND(G79=100,G80=0,G81=0),IF(G79=0," ",LOOKUP(G79,A75:C120,B75:B120)),IF(G79=0," ",LOOKUP(G79,A75:C120,C75:C120)))</f>
        <v>#REF!</v>
      </c>
      <c r="I79" s="57"/>
      <c r="J79" s="57" t="s">
        <v>158</v>
      </c>
      <c r="K79" s="57"/>
      <c r="L79" s="57"/>
    </row>
    <row r="80" spans="1:12" hidden="1" x14ac:dyDescent="0.3">
      <c r="A80" s="57">
        <v>5</v>
      </c>
      <c r="B80" s="57" t="s">
        <v>159</v>
      </c>
      <c r="C80" s="57" t="s">
        <v>159</v>
      </c>
      <c r="D80" s="57"/>
      <c r="E80" s="57" t="e">
        <f>+E79-G79</f>
        <v>#REF!</v>
      </c>
      <c r="F80" s="57" t="s">
        <v>154</v>
      </c>
      <c r="G80" s="57" t="e">
        <f>INT(E80/10)*10</f>
        <v>#REF!</v>
      </c>
      <c r="H80" s="57" t="e">
        <f>IF(OR(G80=10,G80=20),LOOKUP(E80,A75:C120,C75:C120),IF(AND(G80=100,G81=0,G82=0),IF(G80=0," ",LOOKUP(G80,A75:C120,B75:B120)),IF(G80=0," ",LOOKUP(G80,A75:C120,C75:C120))))</f>
        <v>#REF!</v>
      </c>
      <c r="I80" s="57" t="e">
        <f>IF(G81=0," ",IF(AND(G80&gt;20,G80&lt;=90),"y"," "))</f>
        <v>#REF!</v>
      </c>
      <c r="J80" s="57"/>
      <c r="K80" s="57"/>
      <c r="L80" s="57"/>
    </row>
    <row r="81" spans="1:12" hidden="1" x14ac:dyDescent="0.3">
      <c r="A81" s="57">
        <v>6</v>
      </c>
      <c r="B81" s="57" t="s">
        <v>160</v>
      </c>
      <c r="C81" s="57" t="s">
        <v>160</v>
      </c>
      <c r="D81" s="57"/>
      <c r="E81" s="57" t="e">
        <f>+E80-G80</f>
        <v>#REF!</v>
      </c>
      <c r="F81" s="57" t="s">
        <v>156</v>
      </c>
      <c r="G81" s="57" t="e">
        <f>INT(E81)</f>
        <v>#REF!</v>
      </c>
      <c r="H81" s="57" t="e">
        <f>IF(AND(G79=0,G80=0,G81=1)," ",IF(AND(G76=0,G77=0,G78=0,G79=0,G80=0,G81=1)," ",IF(OR(G80=10,G80=20)," ",IF(AND(G81=100,G82=0,G83=0),IF(G81=0," ",LOOKUP(G81,A75:C120,B75:B120)),IF(G81=0," ",LOOKUP(G81,A75:C120,B75:B120))))))</f>
        <v>#REF!</v>
      </c>
      <c r="I81" s="57" t="e">
        <f>IF(AND(G79=0,G80=0,G81=1),"Mil",IF(SUM(G79:G81)=0," ","Mil"))</f>
        <v>#REF!</v>
      </c>
      <c r="J81" s="57"/>
      <c r="K81" s="57"/>
      <c r="L81" s="57"/>
    </row>
    <row r="82" spans="1:12" hidden="1" x14ac:dyDescent="0.3">
      <c r="A82" s="57">
        <v>7</v>
      </c>
      <c r="B82" s="57" t="s">
        <v>161</v>
      </c>
      <c r="C82" s="57" t="s">
        <v>161</v>
      </c>
      <c r="D82" s="57"/>
      <c r="E82" s="57" t="e">
        <f>INT((D71-(INT(D71/1000000000)*1000000000))/1000000)</f>
        <v>#REF!</v>
      </c>
      <c r="F82" s="57" t="s">
        <v>151</v>
      </c>
      <c r="G82" s="57" t="e">
        <f>INT(E82/100)*100</f>
        <v>#REF!</v>
      </c>
      <c r="H82" s="57" t="e">
        <f>IF(AND(G82=100,G83=0,G84=0),IF(G82=0," ",LOOKUP(G82,A75:C120,B75:B120)),IF(G82=0," ",LOOKUP(G82,A75:C120,C75:C120)))</f>
        <v>#REF!</v>
      </c>
      <c r="I82" s="57"/>
      <c r="J82" s="57" t="s">
        <v>162</v>
      </c>
      <c r="K82" s="57"/>
      <c r="L82" s="57"/>
    </row>
    <row r="83" spans="1:12" hidden="1" x14ac:dyDescent="0.3">
      <c r="A83" s="57">
        <v>8</v>
      </c>
      <c r="B83" s="57" t="s">
        <v>163</v>
      </c>
      <c r="C83" s="57" t="s">
        <v>163</v>
      </c>
      <c r="D83" s="57"/>
      <c r="E83" s="57" t="e">
        <f>+E82-G82</f>
        <v>#REF!</v>
      </c>
      <c r="F83" s="57" t="s">
        <v>154</v>
      </c>
      <c r="G83" s="57" t="e">
        <f>INT(E83/10)*10</f>
        <v>#REF!</v>
      </c>
      <c r="H83" s="57" t="e">
        <f>IF(OR(G83=10,G83=20),LOOKUP(E83,A75:C120,C75:C120),IF(AND(G83=100,G84=0,G88=0),IF(G83=0," ",LOOKUP(G83,A75:C120,B75:B120)),IF(G83=0," ",LOOKUP(G83,A75:C120,C75:C120))))</f>
        <v>#REF!</v>
      </c>
      <c r="I83" s="57" t="e">
        <f>IF(G84=0," ",IF(AND(G83&gt;20,G83&lt;=90),"y"," "))</f>
        <v>#REF!</v>
      </c>
      <c r="J83" s="57"/>
      <c r="K83" s="57"/>
      <c r="L83" s="57"/>
    </row>
    <row r="84" spans="1:12" hidden="1" x14ac:dyDescent="0.3">
      <c r="A84" s="57">
        <v>9</v>
      </c>
      <c r="B84" s="57" t="s">
        <v>164</v>
      </c>
      <c r="C84" s="57" t="s">
        <v>164</v>
      </c>
      <c r="D84" s="57"/>
      <c r="E84" s="57" t="e">
        <f>+E83-G83</f>
        <v>#REF!</v>
      </c>
      <c r="F84" s="57" t="s">
        <v>156</v>
      </c>
      <c r="G84" s="57" t="e">
        <f>INT(E84)</f>
        <v>#REF!</v>
      </c>
      <c r="H84" s="57" t="e">
        <f>IF(AND(G82=0,G83=0,G84=1),"Un",IF(AND(G79=0,G80=0,G81=0,G82=0,G83=0,G84=1)," ",IF(OR(G83=10,G83=20)," ",IF(AND(G84=100,G88=0,G95=0),IF(G84=0," ",LOOKUP(G84,A75:C120,B75:B120)),IF(G84=0," ",LOOKUP(G84,A75:C120,B75:B120))))))</f>
        <v>#REF!</v>
      </c>
      <c r="I84" s="57" t="e">
        <f>IF(AND(OR(G79&gt;0,G80&gt;0,G81&gt;0),G82=0,G83=0,G84=0),"Millones",IF(AND(G79=0,G80=0,G81=0,G82=0,G83=0,G84=1),"Millón",IF(SUM(G82:G84)=0," ","Millones")))</f>
        <v>#REF!</v>
      </c>
      <c r="J84" s="57"/>
      <c r="K84" s="57"/>
      <c r="L84" s="57"/>
    </row>
    <row r="85" spans="1:12" hidden="1" x14ac:dyDescent="0.3">
      <c r="A85" s="57">
        <v>10</v>
      </c>
      <c r="B85" s="57" t="s">
        <v>165</v>
      </c>
      <c r="C85" s="57" t="s">
        <v>165</v>
      </c>
      <c r="D85" s="57"/>
      <c r="E85" s="57" t="e">
        <f>INT((D71-(INT(D71/1000000)*1000000))/1000)</f>
        <v>#REF!</v>
      </c>
      <c r="F85" s="57" t="s">
        <v>151</v>
      </c>
      <c r="G85" s="57" t="e">
        <f>INT(E85/100)*100</f>
        <v>#REF!</v>
      </c>
      <c r="H85" s="57" t="e">
        <f>IF(AND(G85=100,G86=0,G87=0),IF(G85=0," ",LOOKUP(G85,A75:C120,B75:B120)),IF(G85=0," ",LOOKUP(G85,A75:C120,C75:C120)))</f>
        <v>#REF!</v>
      </c>
      <c r="I85" s="57"/>
      <c r="J85" s="57" t="s">
        <v>166</v>
      </c>
      <c r="K85" s="57"/>
      <c r="L85" s="57"/>
    </row>
    <row r="86" spans="1:12" hidden="1" x14ac:dyDescent="0.3">
      <c r="A86" s="57">
        <v>11</v>
      </c>
      <c r="B86" s="57" t="s">
        <v>167</v>
      </c>
      <c r="C86" s="57" t="s">
        <v>167</v>
      </c>
      <c r="D86" s="57"/>
      <c r="E86" s="57" t="e">
        <f>+E85-G85</f>
        <v>#REF!</v>
      </c>
      <c r="F86" s="57" t="s">
        <v>154</v>
      </c>
      <c r="G86" s="57" t="e">
        <f>INT(E86/10)*10</f>
        <v>#REF!</v>
      </c>
      <c r="H86" s="57" t="e">
        <f>IF(OR(G86=10,G86=20),LOOKUP(E86,A75:C120,C75:C120),IF(AND(G86=100,G87=0,F93=0),IF(G86=0," ",LOOKUP(G86,A75:C120,B75:B120)),IF(G86=0," ",LOOKUP(G86,A75:C120,C75:C120))))</f>
        <v>#REF!</v>
      </c>
      <c r="I86" s="57" t="e">
        <f>IF(G87=0," ",IF(AND(G86&gt;20,G86&lt;=90),"y"," "))</f>
        <v>#REF!</v>
      </c>
      <c r="J86" s="57"/>
      <c r="K86" s="57"/>
      <c r="L86" s="57"/>
    </row>
    <row r="87" spans="1:12" hidden="1" x14ac:dyDescent="0.3">
      <c r="A87" s="57">
        <v>12</v>
      </c>
      <c r="B87" s="57" t="s">
        <v>168</v>
      </c>
      <c r="C87" s="57" t="s">
        <v>168</v>
      </c>
      <c r="D87" s="57"/>
      <c r="E87" s="57" t="e">
        <f>+E86-G86</f>
        <v>#REF!</v>
      </c>
      <c r="F87" s="57" t="s">
        <v>156</v>
      </c>
      <c r="G87" s="57" t="e">
        <f>INT(E87)</f>
        <v>#REF!</v>
      </c>
      <c r="H87" s="57" t="e">
        <f>IF(AND(G85=0,G86=0,G87=1)," ",IF(AND(G82=0,G83=0,G84=0,G85=0,G86=0,G87=1)," ",IF(OR(G86=10,G86=20)," ",IF(AND(G87=100,F93=0,F94=0),IF(G87=0," ",LOOKUP(G87,A75:C120,B75:B120)),IF(G87=0," ",LOOKUP(G87,A75:C120,B75:B120))))))</f>
        <v>#REF!</v>
      </c>
      <c r="I87" s="57" t="e">
        <f>IF(AND(G85=0,G86=0,G87=1),"Mil",IF(SUM(G85:G87)=0," ","Mil"))</f>
        <v>#REF!</v>
      </c>
      <c r="J87" s="57"/>
      <c r="K87" s="57"/>
      <c r="L87" s="57"/>
    </row>
    <row r="88" spans="1:12" hidden="1" x14ac:dyDescent="0.3">
      <c r="A88" s="57">
        <v>13</v>
      </c>
      <c r="B88" s="57" t="s">
        <v>169</v>
      </c>
      <c r="C88" s="57" t="s">
        <v>169</v>
      </c>
      <c r="D88" s="57"/>
      <c r="E88" s="57" t="e">
        <f>INT((D71-(INT(D71/1000)*1000))/1)</f>
        <v>#REF!</v>
      </c>
      <c r="F88" s="57" t="s">
        <v>151</v>
      </c>
      <c r="G88" s="57" t="e">
        <f>INT(E88/100)*100</f>
        <v>#REF!</v>
      </c>
      <c r="H88" s="57" t="e">
        <f>IF(AND(G88=100,G89=0,G90=0),IF(G88=0," ",LOOKUP(G88,A75:C120,B75:B120)),IF(G88=0," ",LOOKUP(G88,A75:C120,C75:C120)))</f>
        <v>#REF!</v>
      </c>
      <c r="I88" s="57"/>
      <c r="J88" s="57" t="s">
        <v>170</v>
      </c>
      <c r="K88" s="57"/>
      <c r="L88" s="57"/>
    </row>
    <row r="89" spans="1:12" hidden="1" x14ac:dyDescent="0.3">
      <c r="A89" s="57">
        <v>14</v>
      </c>
      <c r="B89" s="57" t="s">
        <v>171</v>
      </c>
      <c r="C89" s="57" t="s">
        <v>171</v>
      </c>
      <c r="D89" s="57"/>
      <c r="E89" s="57" t="e">
        <f>+E88-G88</f>
        <v>#REF!</v>
      </c>
      <c r="F89" s="57" t="s">
        <v>154</v>
      </c>
      <c r="G89" s="57" t="e">
        <f>INT(E89/10)*10</f>
        <v>#REF!</v>
      </c>
      <c r="H89" s="57" t="e">
        <f>IF(OR(G89=10,G89=20),LOOKUP(E89,A75:C120,C75:C120),IF(AND(G89=100,G90=0,G100=0),IF(G89=0," ",LOOKUP(G89,A75:C120,B75:B120)),IF(G89=0," ",LOOKUP(G89,A75:C120,C75:C120))))</f>
        <v>#REF!</v>
      </c>
      <c r="I89" s="57" t="e">
        <f>IF(G90=0," ",IF(AND(G89&gt;20,G89&lt;=90),"y"," "))</f>
        <v>#REF!</v>
      </c>
      <c r="J89" s="57"/>
      <c r="K89" s="57"/>
      <c r="L89" s="57"/>
    </row>
    <row r="90" spans="1:12" hidden="1" x14ac:dyDescent="0.3">
      <c r="A90" s="57">
        <v>15</v>
      </c>
      <c r="B90" s="57" t="s">
        <v>172</v>
      </c>
      <c r="C90" s="57" t="s">
        <v>172</v>
      </c>
      <c r="D90" s="57"/>
      <c r="E90" s="57" t="e">
        <f>+E89-G89</f>
        <v>#REF!</v>
      </c>
      <c r="F90" s="57" t="s">
        <v>156</v>
      </c>
      <c r="G90" s="57" t="e">
        <f>INT(E90)</f>
        <v>#REF!</v>
      </c>
      <c r="H90" s="57" t="e">
        <f>IF(AND(G88=0,G89=0,G90=1),"Un",IF(AND(G85=0,G86=0,G87=0,G88=0,G89=0,G90=1)," ",IF(OR(G89=10,G89=20)," ",IF(AND(G90=100,G100=0,G101=0),IF(G90=0," ",LOOKUP(G90,A75:C120,B75:B120)),IF(G90=0," ",LOOKUP(G90,A75:C120,B75:B120))))))</f>
        <v>#REF!</v>
      </c>
      <c r="I90" s="57"/>
      <c r="J90" s="57"/>
      <c r="K90" s="57"/>
      <c r="L90" s="57"/>
    </row>
    <row r="91" spans="1:12" hidden="1" x14ac:dyDescent="0.3">
      <c r="A91" s="57">
        <v>16</v>
      </c>
      <c r="B91" s="57" t="s">
        <v>173</v>
      </c>
      <c r="C91" s="57" t="s">
        <v>173</v>
      </c>
      <c r="D91" s="57"/>
      <c r="E91" s="57"/>
      <c r="F91" s="57"/>
      <c r="G91" s="57"/>
      <c r="H91" s="57"/>
      <c r="I91" s="57"/>
      <c r="J91" s="57"/>
      <c r="K91" s="57"/>
      <c r="L91" s="57"/>
    </row>
    <row r="92" spans="1:12" hidden="1" x14ac:dyDescent="0.3">
      <c r="A92" s="57">
        <v>17</v>
      </c>
      <c r="B92" s="57" t="s">
        <v>174</v>
      </c>
      <c r="C92" s="57" t="s">
        <v>174</v>
      </c>
      <c r="D92" s="57"/>
      <c r="E92" s="57"/>
      <c r="F92" s="57"/>
      <c r="G92" s="57"/>
      <c r="H92" s="57"/>
      <c r="I92" s="57"/>
      <c r="J92" s="57"/>
      <c r="K92" s="57"/>
      <c r="L92" s="57"/>
    </row>
    <row r="93" spans="1:12" hidden="1" x14ac:dyDescent="0.3">
      <c r="A93" s="57">
        <v>18</v>
      </c>
      <c r="B93" s="57" t="s">
        <v>175</v>
      </c>
      <c r="C93" s="57" t="s">
        <v>175</v>
      </c>
      <c r="D93" s="57"/>
      <c r="E93" s="57"/>
      <c r="F93" s="57"/>
      <c r="G93" s="57"/>
      <c r="H93" s="57"/>
      <c r="I93" s="57"/>
      <c r="J93" s="57"/>
      <c r="K93" s="57"/>
      <c r="L93" s="57"/>
    </row>
    <row r="94" spans="1:12" hidden="1" x14ac:dyDescent="0.3">
      <c r="A94" s="57">
        <v>19</v>
      </c>
      <c r="B94" s="57" t="s">
        <v>176</v>
      </c>
      <c r="C94" s="57" t="s">
        <v>176</v>
      </c>
      <c r="D94" s="57"/>
      <c r="E94" s="57"/>
      <c r="F94" s="57"/>
      <c r="G94" s="57"/>
      <c r="H94" s="57"/>
      <c r="I94" s="57"/>
      <c r="J94" s="57"/>
      <c r="K94" s="57"/>
      <c r="L94" s="57"/>
    </row>
    <row r="95" spans="1:12" hidden="1" x14ac:dyDescent="0.3">
      <c r="A95" s="57">
        <v>20</v>
      </c>
      <c r="B95" s="57" t="s">
        <v>177</v>
      </c>
      <c r="C95" s="57" t="s">
        <v>177</v>
      </c>
      <c r="D95" s="57" t="e">
        <f>H76&amp;" "&amp;H77&amp;" "&amp;I77&amp;" "&amp;" "&amp;H78&amp;" "&amp;I78&amp;" "&amp;H79&amp;" "&amp;H80&amp;" "&amp;I80&amp;" "&amp;" "&amp;H81&amp;" "&amp;I81&amp;" "&amp;H82&amp;" "&amp;H83&amp;" "&amp;I83&amp;" "&amp;H84&amp;" "&amp;I84&amp;" "&amp;H85&amp;" "&amp;H86&amp;" "&amp;I86&amp;" "&amp;H87&amp;" "&amp;I87&amp;" "&amp;H88&amp;" "&amp;H89&amp;" "&amp;I89&amp;" "&amp;H90&amp;" "&amp;H97</f>
        <v>#REF!</v>
      </c>
      <c r="E95" s="57"/>
      <c r="F95" s="57"/>
      <c r="G95" s="57"/>
      <c r="H95" s="57"/>
      <c r="I95" s="57"/>
      <c r="J95" s="57"/>
      <c r="K95" s="57"/>
      <c r="L95" s="57"/>
    </row>
    <row r="96" spans="1:12" hidden="1" x14ac:dyDescent="0.3">
      <c r="A96" s="57">
        <v>21</v>
      </c>
      <c r="B96" s="57" t="s">
        <v>178</v>
      </c>
      <c r="C96" s="57" t="s">
        <v>179</v>
      </c>
      <c r="D96" s="57"/>
      <c r="E96" s="57"/>
      <c r="F96" s="57"/>
      <c r="G96" s="57"/>
      <c r="H96" s="57"/>
      <c r="I96" s="57"/>
      <c r="J96" s="57"/>
      <c r="K96" s="57"/>
      <c r="L96" s="57"/>
    </row>
    <row r="97" spans="1:12" hidden="1" x14ac:dyDescent="0.3">
      <c r="A97" s="57">
        <v>22</v>
      </c>
      <c r="B97" s="57" t="s">
        <v>180</v>
      </c>
      <c r="C97" s="57" t="s">
        <v>180</v>
      </c>
      <c r="D97" s="57"/>
      <c r="E97" s="57"/>
      <c r="F97" s="57"/>
      <c r="G97" s="57"/>
      <c r="H97" s="57" t="e">
        <f>IF(F98&lt;&gt;0,"de Pesos M/Cte",IF(D71=1,"Peso M/Cte","Pesos M/Cte"))</f>
        <v>#REF!</v>
      </c>
      <c r="I97" s="57"/>
      <c r="J97" s="57"/>
      <c r="K97" s="57"/>
      <c r="L97" s="57"/>
    </row>
    <row r="98" spans="1:12" hidden="1" x14ac:dyDescent="0.3">
      <c r="A98" s="57">
        <v>23</v>
      </c>
      <c r="B98" s="57" t="s">
        <v>181</v>
      </c>
      <c r="C98" s="57" t="s">
        <v>181</v>
      </c>
      <c r="D98" s="57"/>
      <c r="E98" s="57" t="e">
        <f>D71/1000000</f>
        <v>#REF!</v>
      </c>
      <c r="F98" s="57" t="e">
        <f>IF(E98=INT(E98),"De Pesos M/Cte",0)</f>
        <v>#REF!</v>
      </c>
      <c r="G98" s="57"/>
      <c r="H98" s="57"/>
      <c r="I98" s="57"/>
      <c r="J98" s="57"/>
      <c r="K98" s="57"/>
      <c r="L98" s="57"/>
    </row>
    <row r="99" spans="1:12" hidden="1" x14ac:dyDescent="0.3">
      <c r="A99" s="57">
        <v>24</v>
      </c>
      <c r="B99" s="57" t="s">
        <v>182</v>
      </c>
      <c r="C99" s="57" t="s">
        <v>182</v>
      </c>
      <c r="D99" s="57"/>
      <c r="E99" s="57"/>
      <c r="F99" s="57"/>
      <c r="G99" s="57"/>
      <c r="H99" s="57"/>
      <c r="I99" s="57"/>
      <c r="J99" s="57"/>
      <c r="K99" s="57"/>
      <c r="L99" s="57"/>
    </row>
    <row r="100" spans="1:12" hidden="1" x14ac:dyDescent="0.3">
      <c r="A100" s="57">
        <v>25</v>
      </c>
      <c r="B100" s="57" t="s">
        <v>183</v>
      </c>
      <c r="C100" s="57" t="s">
        <v>183</v>
      </c>
      <c r="D100" s="57"/>
      <c r="E100" s="57"/>
      <c r="F100" s="57"/>
      <c r="G100" s="57"/>
      <c r="H100" s="57"/>
      <c r="I100" s="57"/>
      <c r="J100" s="57"/>
      <c r="K100" s="57"/>
      <c r="L100" s="57"/>
    </row>
    <row r="101" spans="1:12" hidden="1" x14ac:dyDescent="0.3">
      <c r="A101" s="57">
        <v>26</v>
      </c>
      <c r="B101" s="57" t="s">
        <v>184</v>
      </c>
      <c r="C101" s="57" t="s">
        <v>184</v>
      </c>
      <c r="D101" s="57"/>
      <c r="E101" s="57"/>
      <c r="F101" s="57"/>
      <c r="G101" s="57"/>
      <c r="H101" s="57"/>
      <c r="I101" s="57"/>
      <c r="J101" s="57"/>
      <c r="K101" s="57"/>
      <c r="L101" s="57"/>
    </row>
    <row r="102" spans="1:12" hidden="1" x14ac:dyDescent="0.3">
      <c r="A102" s="57">
        <v>27</v>
      </c>
      <c r="B102" s="57" t="s">
        <v>185</v>
      </c>
      <c r="C102" s="57" t="s">
        <v>185</v>
      </c>
      <c r="D102" s="57"/>
      <c r="E102" s="57"/>
      <c r="F102" s="57"/>
      <c r="G102" s="57"/>
      <c r="H102" s="57"/>
      <c r="I102" s="57"/>
      <c r="J102" s="57"/>
      <c r="K102" s="57"/>
      <c r="L102" s="57"/>
    </row>
    <row r="103" spans="1:12" hidden="1" x14ac:dyDescent="0.3">
      <c r="A103" s="57">
        <v>28</v>
      </c>
      <c r="B103" s="57" t="s">
        <v>186</v>
      </c>
      <c r="C103" s="57" t="s">
        <v>186</v>
      </c>
      <c r="D103" s="57"/>
      <c r="E103" s="57"/>
      <c r="F103" s="57"/>
      <c r="G103" s="57"/>
      <c r="H103" s="57"/>
      <c r="I103" s="57"/>
      <c r="J103" s="57"/>
      <c r="K103" s="57"/>
      <c r="L103" s="57"/>
    </row>
    <row r="104" spans="1:12" hidden="1" x14ac:dyDescent="0.3">
      <c r="A104" s="57">
        <v>29</v>
      </c>
      <c r="B104" s="57" t="s">
        <v>187</v>
      </c>
      <c r="C104" s="57" t="s">
        <v>187</v>
      </c>
      <c r="D104" s="57"/>
      <c r="E104" s="57"/>
      <c r="F104" s="57"/>
      <c r="G104" s="57"/>
      <c r="H104" s="57"/>
      <c r="I104" s="57"/>
      <c r="J104" s="57"/>
      <c r="K104" s="57"/>
      <c r="L104" s="57"/>
    </row>
    <row r="105" spans="1:12" hidden="1" x14ac:dyDescent="0.3">
      <c r="A105" s="57">
        <v>30</v>
      </c>
      <c r="B105" s="57" t="s">
        <v>188</v>
      </c>
      <c r="C105" s="57" t="s">
        <v>188</v>
      </c>
      <c r="D105" s="57"/>
      <c r="E105" s="57"/>
      <c r="F105" s="57"/>
      <c r="G105" s="57"/>
      <c r="H105" s="57"/>
      <c r="I105" s="57"/>
      <c r="J105" s="57"/>
      <c r="K105" s="57"/>
      <c r="L105" s="57"/>
    </row>
    <row r="106" spans="1:12" hidden="1" x14ac:dyDescent="0.3">
      <c r="A106" s="57">
        <v>40</v>
      </c>
      <c r="B106" s="57" t="s">
        <v>189</v>
      </c>
      <c r="C106" s="57" t="s">
        <v>189</v>
      </c>
      <c r="D106" s="57"/>
      <c r="E106" s="57"/>
      <c r="F106" s="57"/>
      <c r="G106" s="57"/>
      <c r="H106" s="57"/>
      <c r="I106" s="57"/>
      <c r="J106" s="57"/>
      <c r="K106" s="57"/>
      <c r="L106" s="57"/>
    </row>
    <row r="107" spans="1:12" hidden="1" x14ac:dyDescent="0.3">
      <c r="A107" s="57">
        <v>50</v>
      </c>
      <c r="B107" s="57" t="s">
        <v>190</v>
      </c>
      <c r="C107" s="57" t="s">
        <v>190</v>
      </c>
      <c r="D107" s="57"/>
      <c r="E107" s="57"/>
      <c r="F107" s="57"/>
      <c r="G107" s="57"/>
      <c r="H107" s="57"/>
      <c r="I107" s="57"/>
      <c r="J107" s="57"/>
      <c r="K107" s="57"/>
      <c r="L107" s="57"/>
    </row>
    <row r="108" spans="1:12" hidden="1" x14ac:dyDescent="0.3">
      <c r="A108" s="57">
        <v>60</v>
      </c>
      <c r="B108" s="57" t="s">
        <v>191</v>
      </c>
      <c r="C108" s="57" t="s">
        <v>191</v>
      </c>
      <c r="D108" s="57"/>
      <c r="E108" s="57"/>
      <c r="F108" s="57"/>
      <c r="G108" s="57"/>
      <c r="H108" s="57"/>
      <c r="I108" s="57"/>
      <c r="J108" s="57"/>
      <c r="K108" s="57"/>
      <c r="L108" s="57"/>
    </row>
    <row r="109" spans="1:12" hidden="1" x14ac:dyDescent="0.3">
      <c r="A109" s="57">
        <v>70</v>
      </c>
      <c r="B109" s="57" t="s">
        <v>192</v>
      </c>
      <c r="C109" s="57" t="s">
        <v>192</v>
      </c>
      <c r="D109" s="57"/>
      <c r="E109" s="57"/>
      <c r="F109" s="57"/>
      <c r="G109" s="57"/>
      <c r="H109" s="57"/>
      <c r="I109" s="57"/>
      <c r="J109" s="57"/>
      <c r="K109" s="57"/>
      <c r="L109" s="57"/>
    </row>
    <row r="110" spans="1:12" hidden="1" x14ac:dyDescent="0.3">
      <c r="A110" s="57">
        <v>80</v>
      </c>
      <c r="B110" s="57" t="s">
        <v>193</v>
      </c>
      <c r="C110" s="57" t="s">
        <v>193</v>
      </c>
      <c r="D110" s="57"/>
      <c r="E110" s="57"/>
      <c r="F110" s="57"/>
      <c r="G110" s="57"/>
      <c r="H110" s="57"/>
      <c r="I110" s="57"/>
      <c r="J110" s="57"/>
      <c r="K110" s="57"/>
      <c r="L110" s="57"/>
    </row>
    <row r="111" spans="1:12" hidden="1" x14ac:dyDescent="0.3">
      <c r="A111" s="57">
        <v>90</v>
      </c>
      <c r="B111" s="57" t="s">
        <v>194</v>
      </c>
      <c r="C111" s="57" t="s">
        <v>194</v>
      </c>
      <c r="D111" s="57"/>
      <c r="E111" s="57"/>
      <c r="F111" s="57"/>
      <c r="G111" s="57"/>
      <c r="H111" s="57"/>
      <c r="I111" s="57"/>
      <c r="J111" s="57"/>
      <c r="K111" s="57"/>
      <c r="L111" s="57"/>
    </row>
    <row r="112" spans="1:12" hidden="1" x14ac:dyDescent="0.3">
      <c r="A112" s="57">
        <v>100</v>
      </c>
      <c r="B112" s="57" t="s">
        <v>195</v>
      </c>
      <c r="C112" s="57" t="s">
        <v>196</v>
      </c>
      <c r="D112" s="57"/>
      <c r="E112" s="57"/>
      <c r="F112" s="57"/>
      <c r="G112" s="57"/>
      <c r="H112" s="57"/>
      <c r="I112" s="57"/>
      <c r="J112" s="57"/>
      <c r="K112" s="57"/>
      <c r="L112" s="57"/>
    </row>
    <row r="113" spans="1:12" hidden="1" x14ac:dyDescent="0.3">
      <c r="A113" s="57">
        <v>200</v>
      </c>
      <c r="B113" s="57" t="s">
        <v>197</v>
      </c>
      <c r="C113" s="57" t="s">
        <v>197</v>
      </c>
      <c r="D113" s="57"/>
      <c r="E113" s="57"/>
      <c r="F113" s="57"/>
      <c r="G113" s="57"/>
      <c r="H113" s="57"/>
      <c r="I113" s="57"/>
      <c r="J113" s="57"/>
      <c r="K113" s="57"/>
      <c r="L113" s="57"/>
    </row>
    <row r="114" spans="1:12" hidden="1" x14ac:dyDescent="0.3">
      <c r="A114" s="57">
        <v>300</v>
      </c>
      <c r="B114" s="57" t="s">
        <v>198</v>
      </c>
      <c r="C114" s="57" t="s">
        <v>198</v>
      </c>
      <c r="D114" s="57"/>
      <c r="E114" s="57"/>
      <c r="F114" s="57"/>
      <c r="G114" s="57"/>
      <c r="H114" s="57"/>
      <c r="I114" s="57"/>
      <c r="J114" s="57"/>
      <c r="K114" s="57"/>
      <c r="L114" s="57"/>
    </row>
    <row r="115" spans="1:12" hidden="1" x14ac:dyDescent="0.3">
      <c r="A115" s="57">
        <v>400</v>
      </c>
      <c r="B115" s="57" t="s">
        <v>199</v>
      </c>
      <c r="C115" s="57" t="s">
        <v>199</v>
      </c>
      <c r="D115" s="57"/>
      <c r="E115" s="57"/>
      <c r="F115" s="57"/>
      <c r="G115" s="57"/>
      <c r="H115" s="57"/>
      <c r="I115" s="57"/>
      <c r="J115" s="57"/>
      <c r="K115" s="57"/>
      <c r="L115" s="57"/>
    </row>
    <row r="116" spans="1:12" hidden="1" x14ac:dyDescent="0.3">
      <c r="A116" s="57">
        <v>500</v>
      </c>
      <c r="B116" s="57" t="s">
        <v>200</v>
      </c>
      <c r="C116" s="57" t="s">
        <v>200</v>
      </c>
      <c r="D116" s="57"/>
      <c r="E116" s="57"/>
      <c r="F116" s="57"/>
      <c r="G116" s="57"/>
      <c r="H116" s="57"/>
      <c r="I116" s="57"/>
      <c r="J116" s="57"/>
      <c r="K116" s="57"/>
      <c r="L116" s="57"/>
    </row>
    <row r="117" spans="1:12" hidden="1" x14ac:dyDescent="0.3">
      <c r="A117" s="57">
        <v>600</v>
      </c>
      <c r="B117" s="57" t="s">
        <v>201</v>
      </c>
      <c r="C117" s="57" t="s">
        <v>201</v>
      </c>
      <c r="D117" s="57"/>
      <c r="E117" s="57"/>
      <c r="F117" s="57"/>
      <c r="G117" s="57"/>
      <c r="H117" s="57"/>
      <c r="I117" s="57"/>
      <c r="J117" s="57"/>
      <c r="K117" s="57"/>
      <c r="L117" s="57"/>
    </row>
    <row r="118" spans="1:12" hidden="1" x14ac:dyDescent="0.3">
      <c r="A118" s="57">
        <v>700</v>
      </c>
      <c r="B118" s="57" t="s">
        <v>202</v>
      </c>
      <c r="C118" s="57" t="s">
        <v>202</v>
      </c>
      <c r="D118" s="57"/>
      <c r="E118" s="57"/>
      <c r="F118" s="57"/>
      <c r="G118" s="57"/>
      <c r="H118" s="57"/>
      <c r="I118" s="57"/>
      <c r="J118" s="57"/>
      <c r="K118" s="57"/>
      <c r="L118" s="57"/>
    </row>
    <row r="119" spans="1:12" hidden="1" x14ac:dyDescent="0.3">
      <c r="A119" s="57">
        <v>800</v>
      </c>
      <c r="B119" s="57" t="s">
        <v>203</v>
      </c>
      <c r="C119" s="57" t="s">
        <v>203</v>
      </c>
      <c r="D119" s="57"/>
      <c r="E119" s="57"/>
      <c r="F119" s="57"/>
      <c r="G119" s="57"/>
      <c r="H119" s="57"/>
      <c r="I119" s="57"/>
      <c r="J119" s="57"/>
      <c r="K119" s="57"/>
      <c r="L119" s="57"/>
    </row>
    <row r="120" spans="1:12" hidden="1" x14ac:dyDescent="0.3">
      <c r="A120" s="57">
        <v>900</v>
      </c>
      <c r="B120" s="57" t="s">
        <v>204</v>
      </c>
      <c r="C120" s="57" t="s">
        <v>204</v>
      </c>
      <c r="D120" s="57"/>
      <c r="E120" s="57"/>
      <c r="F120" s="57"/>
      <c r="G120" s="57"/>
      <c r="H120" s="57"/>
      <c r="I120" s="57"/>
      <c r="J120" s="57"/>
      <c r="K120" s="57"/>
      <c r="L120" s="57"/>
    </row>
  </sheetData>
  <sheetProtection password="CCE3" sheet="1" objects="1" scenarios="1" formatCells="0" insertRows="0" insertHyperlinks="0"/>
  <mergeCells count="207">
    <mergeCell ref="A5:AA5"/>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43:O43"/>
    <mergeCell ref="B44:O44"/>
    <mergeCell ref="B34:O34"/>
    <mergeCell ref="B35:O35"/>
    <mergeCell ref="B36:O36"/>
    <mergeCell ref="B37:O37"/>
    <mergeCell ref="B38:O38"/>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X37:AA37"/>
    <mergeCell ref="P38:W38"/>
    <mergeCell ref="X38:AA38"/>
    <mergeCell ref="P39:W39"/>
    <mergeCell ref="X39:AA39"/>
    <mergeCell ref="P40:W40"/>
    <mergeCell ref="X40:AA40"/>
    <mergeCell ref="D71:F71"/>
    <mergeCell ref="P34:W34"/>
    <mergeCell ref="X34:AA34"/>
    <mergeCell ref="P35:W35"/>
    <mergeCell ref="X35:AA35"/>
    <mergeCell ref="P36:W36"/>
    <mergeCell ref="X36:AA36"/>
    <mergeCell ref="P37:W37"/>
    <mergeCell ref="P53:W53"/>
    <mergeCell ref="B45:O45"/>
    <mergeCell ref="A54:C55"/>
    <mergeCell ref="D54:AA55"/>
    <mergeCell ref="B48:O48"/>
    <mergeCell ref="B39:O39"/>
    <mergeCell ref="B40:O40"/>
    <mergeCell ref="B41:O41"/>
    <mergeCell ref="B42:O42"/>
    <mergeCell ref="P49:W49"/>
    <mergeCell ref="X49:AA49"/>
    <mergeCell ref="P44:W44"/>
    <mergeCell ref="X44:AA44"/>
    <mergeCell ref="P45:W45"/>
    <mergeCell ref="X45:AA45"/>
    <mergeCell ref="P46:W46"/>
    <mergeCell ref="X46:AA46"/>
    <mergeCell ref="P41:W41"/>
    <mergeCell ref="X41:AA41"/>
    <mergeCell ref="P42:W42"/>
    <mergeCell ref="X42:AA42"/>
    <mergeCell ref="P43:W43"/>
    <mergeCell ref="X43:AA43"/>
    <mergeCell ref="P33:W33"/>
    <mergeCell ref="X33:AA33"/>
    <mergeCell ref="O32:O33"/>
    <mergeCell ref="B32:N33"/>
    <mergeCell ref="A32:A33"/>
    <mergeCell ref="F6:O6"/>
    <mergeCell ref="X53:AA53"/>
    <mergeCell ref="B46:O46"/>
    <mergeCell ref="B47:O47"/>
    <mergeCell ref="B49:O49"/>
    <mergeCell ref="B50:O50"/>
    <mergeCell ref="B51:O51"/>
    <mergeCell ref="B52:O52"/>
    <mergeCell ref="B53:O53"/>
    <mergeCell ref="P50:W50"/>
    <mergeCell ref="X50:AA50"/>
    <mergeCell ref="P51:W51"/>
    <mergeCell ref="X51:AA51"/>
    <mergeCell ref="P52:W52"/>
    <mergeCell ref="X52:AA52"/>
    <mergeCell ref="P47:W47"/>
    <mergeCell ref="X47:AA47"/>
    <mergeCell ref="P48:W48"/>
    <mergeCell ref="X48:AA48"/>
  </mergeCells>
  <phoneticPr fontId="9" type="noConversion"/>
  <conditionalFormatting sqref="L31">
    <cfRule type="containsText" dxfId="55" priority="11" operator="containsText" text="PAGO MENSUAL">
      <formula>NOT(ISERROR(SEARCH("PAGO MENSUAL",L31)))</formula>
    </cfRule>
  </conditionalFormatting>
  <conditionalFormatting sqref="P32:AA32 P33 X33">
    <cfRule type="cellIs" dxfId="54" priority="46" operator="equal">
      <formula>#REF!</formula>
    </cfRule>
    <cfRule type="cellIs" dxfId="53" priority="47" operator="equal">
      <formula>#REF!</formula>
    </cfRule>
  </conditionalFormatting>
  <pageMargins left="0.7" right="0.7" top="0.75" bottom="0.75" header="0.3" footer="0.3"/>
  <pageSetup scale="56" orientation="portrait" horizontalDpi="0" verticalDpi="0"/>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BDC!$A$3:$A$258</xm:f>
          </x14:formula1>
          <xm:sqref>F14:O14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1"/>
    <pageSetUpPr fitToPage="1"/>
  </sheetPr>
  <dimension ref="A1:AJ147"/>
  <sheetViews>
    <sheetView topLeftCell="C15" zoomScale="120" zoomScaleNormal="120" workbookViewId="0">
      <selection activeCell="L28" sqref="L28:M28"/>
    </sheetView>
  </sheetViews>
  <sheetFormatPr baseColWidth="10" defaultColWidth="10.875" defaultRowHeight="16.5" x14ac:dyDescent="0.3"/>
  <cols>
    <col min="1" max="14" width="5" style="10" customWidth="1"/>
    <col min="15" max="15" width="7.875" style="10" customWidth="1"/>
    <col min="16"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5</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1383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285" t="s">
        <v>5</v>
      </c>
      <c r="G6" s="285"/>
      <c r="H6" s="285"/>
      <c r="I6" s="285"/>
      <c r="J6" s="285"/>
      <c r="K6" s="285"/>
      <c r="L6" s="285"/>
      <c r="M6" s="285"/>
      <c r="N6" s="285"/>
      <c r="O6" s="285"/>
      <c r="P6" s="374" t="s">
        <v>60</v>
      </c>
      <c r="Q6" s="374"/>
      <c r="R6" s="374"/>
      <c r="S6" s="374"/>
      <c r="T6" s="374"/>
      <c r="U6" s="374"/>
      <c r="V6" s="374"/>
      <c r="W6" s="375" t="s">
        <v>61</v>
      </c>
      <c r="X6" s="375"/>
      <c r="Y6" s="375"/>
      <c r="Z6" s="376">
        <v>9</v>
      </c>
      <c r="AA6" s="376"/>
    </row>
    <row r="7" spans="1:28" ht="15.95" customHeight="1" x14ac:dyDescent="0.3">
      <c r="A7" s="374" t="s">
        <v>6</v>
      </c>
      <c r="B7" s="374"/>
      <c r="C7" s="374"/>
      <c r="D7" s="374"/>
      <c r="E7" s="374"/>
      <c r="F7" s="377" t="str">
        <f>VLOOKUP($F$14,CONTRA,58,FALSE)</f>
        <v>PRESTACION DE SERVICIOS</v>
      </c>
      <c r="G7" s="377"/>
      <c r="H7" s="377"/>
      <c r="I7" s="377"/>
      <c r="J7" s="377"/>
      <c r="K7" s="377"/>
      <c r="L7" s="377"/>
      <c r="M7" s="377"/>
      <c r="N7" s="377"/>
      <c r="O7" s="377"/>
      <c r="P7" s="378">
        <f ca="1">NOW()</f>
        <v>43405.671953935183</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15</v>
      </c>
      <c r="AA9" s="369"/>
    </row>
    <row r="10" spans="1:28" ht="14.1" customHeight="1" x14ac:dyDescent="0.3">
      <c r="A10" s="325" t="s">
        <v>13</v>
      </c>
      <c r="B10" s="325"/>
      <c r="C10" s="325"/>
      <c r="D10" s="325"/>
      <c r="E10" s="325"/>
      <c r="F10" s="308" t="str">
        <f>VLOOKUP($F$14,CONTRA,2,FALSE)</f>
        <v>17-400</v>
      </c>
      <c r="G10" s="308"/>
      <c r="H10" s="19" t="s">
        <v>25</v>
      </c>
      <c r="I10" s="308" t="str">
        <f>VLOOKUP($F$14,CONTRA,3,FALSE)</f>
        <v>13-433</v>
      </c>
      <c r="J10" s="308"/>
      <c r="K10" s="19" t="s">
        <v>26</v>
      </c>
      <c r="L10" s="20"/>
      <c r="M10" s="308" t="str">
        <f>VLOOKUP($F$14,CONTRA,4,FALSE)</f>
        <v>2.3.1.1.03</v>
      </c>
      <c r="N10" s="308"/>
      <c r="O10" s="308"/>
      <c r="P10" s="325" t="s">
        <v>12</v>
      </c>
      <c r="Q10" s="325"/>
      <c r="R10" s="325"/>
      <c r="S10" s="325"/>
      <c r="T10" s="333">
        <f>VLOOKUP($F$14,CONTRA,5,FALSE)</f>
        <v>2018</v>
      </c>
      <c r="U10" s="333"/>
      <c r="V10" s="333"/>
      <c r="W10" s="325" t="s">
        <v>138</v>
      </c>
      <c r="X10" s="325"/>
      <c r="Y10" s="325"/>
      <c r="Z10" s="370"/>
      <c r="AA10" s="371"/>
    </row>
    <row r="11" spans="1:28"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14-56</v>
      </c>
      <c r="U11" s="333"/>
      <c r="V11" s="333"/>
      <c r="W11" s="333"/>
      <c r="X11" s="333"/>
      <c r="Y11" s="333"/>
      <c r="Z11" s="333"/>
      <c r="AA11" s="333"/>
    </row>
    <row r="12" spans="1:28"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customHeight="1" x14ac:dyDescent="0.3">
      <c r="A13" s="325" t="s">
        <v>10</v>
      </c>
      <c r="B13" s="325"/>
      <c r="C13" s="325"/>
      <c r="D13" s="325"/>
      <c r="E13" s="325"/>
      <c r="F13" s="333" t="str">
        <f>VLOOKUP($F$14,CONTRA,12,FALSE)</f>
        <v>LUIS FERNANDO ARANGO ALVAREZ</v>
      </c>
      <c r="G13" s="333"/>
      <c r="H13" s="333"/>
      <c r="I13" s="333"/>
      <c r="J13" s="333"/>
      <c r="K13" s="19" t="s">
        <v>16</v>
      </c>
      <c r="L13" s="20"/>
      <c r="M13" s="333" t="str">
        <f>VLOOKUP($F$14,CONTRA,13,FALSE)</f>
        <v>SUB. TECNICO</v>
      </c>
      <c r="N13" s="333"/>
      <c r="O13" s="333"/>
      <c r="P13" s="325" t="s">
        <v>24</v>
      </c>
      <c r="Q13" s="325"/>
      <c r="R13" s="325"/>
      <c r="S13" s="325"/>
      <c r="T13" s="364" t="str">
        <f>VLOOKUP($F$14,CONTRA,14,FALSE)</f>
        <v>19 DE ENERO DE 2018</v>
      </c>
      <c r="U13" s="364"/>
      <c r="V13" s="364"/>
      <c r="W13" s="364"/>
      <c r="X13" s="364"/>
      <c r="Y13" s="364"/>
      <c r="Z13" s="365" t="str">
        <f>VLOOKUP($F$14,CONTRA,15,FALSE)</f>
        <v>0321-32</v>
      </c>
      <c r="AA13" s="366"/>
    </row>
    <row r="14" spans="1:28" ht="15.95" customHeight="1" x14ac:dyDescent="0.3">
      <c r="A14" s="325" t="s">
        <v>8</v>
      </c>
      <c r="B14" s="325"/>
      <c r="C14" s="325"/>
      <c r="D14" s="325"/>
      <c r="E14" s="325"/>
      <c r="F14" s="363" t="s">
        <v>590</v>
      </c>
      <c r="G14" s="363"/>
      <c r="H14" s="363"/>
      <c r="I14" s="363"/>
      <c r="J14" s="363"/>
      <c r="K14" s="363"/>
      <c r="L14" s="363"/>
      <c r="M14" s="363"/>
      <c r="N14" s="363"/>
      <c r="O14" s="363"/>
      <c r="P14" s="325" t="s">
        <v>11</v>
      </c>
      <c r="Q14" s="325"/>
      <c r="R14" s="325"/>
      <c r="S14" s="325"/>
      <c r="T14" s="362">
        <f>VLOOKUP($F$14,CONTRA,16,FALSE)</f>
        <v>1096645855</v>
      </c>
      <c r="U14" s="362"/>
      <c r="V14" s="362"/>
      <c r="W14" s="325" t="s">
        <v>18</v>
      </c>
      <c r="X14" s="325"/>
      <c r="Y14" s="325"/>
      <c r="Z14" s="356">
        <f>VLOOKUP($F$14,CONTRA,17,FALSE)</f>
        <v>34182</v>
      </c>
      <c r="AA14" s="356"/>
    </row>
    <row r="15" spans="1:28" ht="15.95" customHeight="1" x14ac:dyDescent="0.3">
      <c r="A15" s="325" t="s">
        <v>19</v>
      </c>
      <c r="B15" s="325"/>
      <c r="C15" s="325"/>
      <c r="D15" s="325"/>
      <c r="E15" s="325"/>
      <c r="F15" s="312" t="str">
        <f>VLOOKUP($F$14,CONTRA,18,FALSE)</f>
        <v>NATURAL</v>
      </c>
      <c r="G15" s="314"/>
      <c r="H15" s="312" t="str">
        <f>VLOOKUP($F$14,CONTRA,57,FALSE)</f>
        <v>SIMPLIFICADO</v>
      </c>
      <c r="I15" s="313"/>
      <c r="J15" s="314"/>
      <c r="K15" s="19" t="s">
        <v>15</v>
      </c>
      <c r="L15" s="20"/>
      <c r="M15" s="333" t="str">
        <f>VLOOKUP($F$14,CONTRA,19,FALSE)</f>
        <v xml:space="preserve">TECNICO EN SISTEMAS </v>
      </c>
      <c r="N15" s="333"/>
      <c r="O15" s="333"/>
      <c r="P15" s="325" t="s">
        <v>14</v>
      </c>
      <c r="Q15" s="325"/>
      <c r="R15" s="325"/>
      <c r="S15" s="325"/>
      <c r="T15" s="333" t="str">
        <f>VLOOKUP($F$14,CONTRA,20,FALSE)</f>
        <v>CLL 32 N° 12B 40 MANANTIAL 1  SRC</v>
      </c>
      <c r="U15" s="333"/>
      <c r="V15" s="333"/>
      <c r="W15" s="333"/>
      <c r="X15" s="333"/>
      <c r="Y15" s="333"/>
      <c r="Z15" s="333"/>
      <c r="AA15" s="333"/>
    </row>
    <row r="16" spans="1:28" x14ac:dyDescent="0.3">
      <c r="A16" s="325" t="s">
        <v>21</v>
      </c>
      <c r="B16" s="325"/>
      <c r="C16" s="325"/>
      <c r="D16" s="325"/>
      <c r="E16" s="325"/>
      <c r="F16" s="361">
        <f>VLOOKUP($F$14,CONTRA,21,FALSE)</f>
        <v>3137598415</v>
      </c>
      <c r="G16" s="362"/>
      <c r="H16" s="362"/>
      <c r="I16" s="362"/>
      <c r="J16" s="362"/>
      <c r="K16" s="325" t="s">
        <v>22</v>
      </c>
      <c r="L16" s="325"/>
      <c r="M16" s="333" t="str">
        <f>VLOOKUP($F$14,CONTRA,22,FALSE)</f>
        <v>ADMINISTRATIVA</v>
      </c>
      <c r="N16" s="333"/>
      <c r="O16" s="333"/>
      <c r="P16" s="325" t="s">
        <v>23</v>
      </c>
      <c r="Q16" s="325"/>
      <c r="R16" s="325"/>
      <c r="S16" s="325"/>
      <c r="T16" s="333" t="str">
        <f>VLOOKUP($F$14,CONTRA,23,FALSE)</f>
        <v>jhonjamesmejia@gmail.com</v>
      </c>
      <c r="U16" s="333"/>
      <c r="V16" s="333"/>
      <c r="W16" s="333"/>
      <c r="X16" s="333"/>
      <c r="Y16" s="333"/>
      <c r="Z16" s="333"/>
      <c r="AA16" s="333"/>
    </row>
    <row r="17" spans="1:34" ht="3.95"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4" ht="15.95" customHeight="1" x14ac:dyDescent="0.3">
      <c r="A18" s="325" t="s">
        <v>30</v>
      </c>
      <c r="B18" s="325"/>
      <c r="C18" s="325"/>
      <c r="D18" s="325"/>
      <c r="E18" s="325"/>
      <c r="F18" s="358" t="str">
        <f>VLOOKUP($F$14,CONTRA,24,FALSE)</f>
        <v>19 de enero de 2018</v>
      </c>
      <c r="G18" s="359"/>
      <c r="H18" s="359"/>
      <c r="I18" s="359"/>
      <c r="J18" s="360"/>
      <c r="K18" s="308"/>
      <c r="L18" s="308"/>
      <c r="M18" s="308"/>
      <c r="N18" s="308"/>
      <c r="O18" s="308"/>
      <c r="P18" s="325" t="s">
        <v>34</v>
      </c>
      <c r="Q18" s="325"/>
      <c r="R18" s="325"/>
      <c r="S18" s="325"/>
      <c r="T18" s="358" t="str">
        <f>VLOOKUP($F$14,CONTRA,25,FALSE)</f>
        <v>30 de diciembre de 2018</v>
      </c>
      <c r="U18" s="359"/>
      <c r="V18" s="359"/>
      <c r="W18" s="359"/>
      <c r="X18" s="359"/>
      <c r="Y18" s="359"/>
      <c r="Z18" s="359"/>
      <c r="AA18" s="360"/>
    </row>
    <row r="19" spans="1:34" x14ac:dyDescent="0.3">
      <c r="A19" s="325" t="s">
        <v>31</v>
      </c>
      <c r="B19" s="325"/>
      <c r="C19" s="325"/>
      <c r="D19" s="325"/>
      <c r="E19" s="325"/>
      <c r="F19" s="320">
        <f>VLOOKUP($F$14,CONTRA,26,FALSE)</f>
        <v>12000000</v>
      </c>
      <c r="G19" s="320"/>
      <c r="H19" s="320"/>
      <c r="I19" s="320"/>
      <c r="J19" s="320"/>
      <c r="K19" s="308"/>
      <c r="L19" s="308"/>
      <c r="M19" s="308"/>
      <c r="N19" s="308"/>
      <c r="O19" s="308"/>
      <c r="P19" s="325" t="s">
        <v>35</v>
      </c>
      <c r="Q19" s="325"/>
      <c r="R19" s="325"/>
      <c r="S19" s="325"/>
      <c r="T19" s="308">
        <f>VLOOKUP($F$14,CONTRA,27,FALSE)</f>
        <v>240</v>
      </c>
      <c r="U19" s="308"/>
      <c r="V19" s="308"/>
      <c r="W19" s="308"/>
      <c r="X19" s="308"/>
      <c r="Y19" s="308"/>
      <c r="Z19" s="308"/>
      <c r="AA19" s="308"/>
    </row>
    <row r="20" spans="1:34" x14ac:dyDescent="0.3">
      <c r="A20" s="325" t="s">
        <v>32</v>
      </c>
      <c r="B20" s="325"/>
      <c r="C20" s="325"/>
      <c r="D20" s="325"/>
      <c r="E20" s="325"/>
      <c r="F20" s="320">
        <f>+Z21*T20</f>
        <v>5100000</v>
      </c>
      <c r="G20" s="320"/>
      <c r="H20" s="320"/>
      <c r="I20" s="320"/>
      <c r="J20" s="320"/>
      <c r="K20" s="19" t="s">
        <v>0</v>
      </c>
      <c r="L20" s="20"/>
      <c r="M20" s="356">
        <f>VLOOKUP($F$14,CONTRA,29,FALSE)</f>
        <v>43361</v>
      </c>
      <c r="N20" s="356"/>
      <c r="O20" s="356"/>
      <c r="P20" s="325" t="s">
        <v>36</v>
      </c>
      <c r="Q20" s="325"/>
      <c r="R20" s="325"/>
      <c r="S20" s="325"/>
      <c r="T20" s="308">
        <f>VLOOKUP($F$14,CONTRA,28,FALSE)</f>
        <v>102</v>
      </c>
      <c r="U20" s="308"/>
      <c r="V20" s="308"/>
      <c r="W20" s="308"/>
      <c r="X20" s="308"/>
      <c r="Y20" s="308"/>
      <c r="Z20" s="308"/>
      <c r="AA20" s="308"/>
    </row>
    <row r="21" spans="1:34" ht="15.95" customHeight="1" x14ac:dyDescent="0.3">
      <c r="A21" s="325" t="s">
        <v>33</v>
      </c>
      <c r="B21" s="325"/>
      <c r="C21" s="325"/>
      <c r="D21" s="325"/>
      <c r="E21" s="325"/>
      <c r="F21" s="309">
        <f>SUM(F19:J20)</f>
        <v>17100000</v>
      </c>
      <c r="G21" s="353"/>
      <c r="H21" s="353"/>
      <c r="I21" s="353"/>
      <c r="J21" s="354"/>
      <c r="K21" s="308"/>
      <c r="L21" s="308"/>
      <c r="M21" s="308"/>
      <c r="N21" s="308"/>
      <c r="O21" s="308"/>
      <c r="P21" s="325" t="s">
        <v>38</v>
      </c>
      <c r="Q21" s="325"/>
      <c r="R21" s="325"/>
      <c r="S21" s="325"/>
      <c r="T21" s="355">
        <f>+T19+T20</f>
        <v>342</v>
      </c>
      <c r="U21" s="353"/>
      <c r="V21" s="354"/>
      <c r="W21" s="325" t="s">
        <v>37</v>
      </c>
      <c r="X21" s="325"/>
      <c r="Y21" s="325"/>
      <c r="Z21" s="309">
        <f>+F19/T19</f>
        <v>50000</v>
      </c>
      <c r="AA21" s="311"/>
    </row>
    <row r="22" spans="1:34" ht="39.950000000000003" customHeight="1" x14ac:dyDescent="0.3">
      <c r="A22" s="349" t="s">
        <v>27</v>
      </c>
      <c r="B22" s="349"/>
      <c r="C22" s="349"/>
      <c r="D22" s="349"/>
      <c r="E22" s="349"/>
      <c r="F22" s="350" t="str">
        <f>VLOOKUP($F$14,CONTRA,30,FALSE)</f>
        <v>PRESTACIÓN DE SERVICIOS PARA REALIZAR ACTIVIDADES DE APOYO A LA GESTIÓN ADMINISTRATIVA Y JURÍDICA NECESARIAS PARA EL DESARROLLO DEL PROYECTO PLAN DE MOVILIDAD Y CONECTIVIDAD DEL MUNICIPIO DE DOSQUEBRADAS APROBADO MEDIANTE ACUERDO 035 DE 2016</v>
      </c>
      <c r="G22" s="351"/>
      <c r="H22" s="351"/>
      <c r="I22" s="351"/>
      <c r="J22" s="351"/>
      <c r="K22" s="351"/>
      <c r="L22" s="351"/>
      <c r="M22" s="351"/>
      <c r="N22" s="351"/>
      <c r="O22" s="351"/>
      <c r="P22" s="351"/>
      <c r="Q22" s="351"/>
      <c r="R22" s="351"/>
      <c r="S22" s="351"/>
      <c r="T22" s="351"/>
      <c r="U22" s="351"/>
      <c r="V22" s="351"/>
      <c r="W22" s="351"/>
      <c r="X22" s="351"/>
      <c r="Y22" s="351"/>
      <c r="Z22" s="351"/>
      <c r="AA22" s="352"/>
    </row>
    <row r="23" spans="1:34" ht="39.950000000000003" customHeight="1" x14ac:dyDescent="0.3">
      <c r="A23" s="349" t="s">
        <v>28</v>
      </c>
      <c r="B23" s="349"/>
      <c r="C23" s="349"/>
      <c r="D23" s="349"/>
      <c r="E23" s="349"/>
      <c r="F23" s="350"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4" ht="39.950000000000003" customHeight="1" x14ac:dyDescent="0.3">
      <c r="A24" s="349" t="s">
        <v>29</v>
      </c>
      <c r="B24" s="349"/>
      <c r="C24" s="349"/>
      <c r="D24" s="349"/>
      <c r="E24" s="349"/>
      <c r="F24" s="350"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4" ht="15.95" customHeight="1" x14ac:dyDescent="0.3">
      <c r="A25" s="18">
        <v>2</v>
      </c>
      <c r="B25" s="323" t="s">
        <v>59</v>
      </c>
      <c r="C25" s="323"/>
      <c r="D25" s="323"/>
      <c r="E25" s="323"/>
      <c r="F25" s="323"/>
      <c r="G25" s="323"/>
      <c r="H25" s="323"/>
      <c r="I25" s="323"/>
      <c r="J25" s="323"/>
      <c r="K25" s="323"/>
      <c r="L25" s="323"/>
      <c r="M25" s="323"/>
      <c r="N25" s="323"/>
      <c r="O25" s="323"/>
      <c r="P25" s="84"/>
      <c r="Q25" s="85"/>
      <c r="R25" s="85"/>
      <c r="S25" s="85"/>
      <c r="T25" s="346" t="s">
        <v>1381</v>
      </c>
      <c r="U25" s="346"/>
      <c r="V25" s="346"/>
      <c r="W25" s="346"/>
      <c r="X25" s="346" t="s">
        <v>270</v>
      </c>
      <c r="Y25" s="346"/>
      <c r="Z25" s="346" t="s">
        <v>283</v>
      </c>
      <c r="AA25" s="347"/>
      <c r="AF25" s="12"/>
    </row>
    <row r="26" spans="1:34" ht="15.95" customHeight="1" x14ac:dyDescent="0.3">
      <c r="A26" s="325" t="s">
        <v>292</v>
      </c>
      <c r="B26" s="325"/>
      <c r="C26" s="325"/>
      <c r="D26" s="325"/>
      <c r="E26" s="325"/>
      <c r="F26" s="308"/>
      <c r="G26" s="308"/>
      <c r="H26" s="308"/>
      <c r="I26" s="308"/>
      <c r="J26" s="308"/>
      <c r="K26" s="308"/>
      <c r="L26" s="308"/>
      <c r="M26" s="308"/>
      <c r="N26" s="308"/>
      <c r="O26" s="308"/>
      <c r="P26" s="348" t="str">
        <f>VLOOKUP($F$14,CONTRA,59,FALSE)</f>
        <v>RIESGO I</v>
      </c>
      <c r="Q26" s="348"/>
      <c r="R26" s="341">
        <v>0.4</v>
      </c>
      <c r="S26" s="341"/>
      <c r="T26" s="320">
        <f>+R26*F21</f>
        <v>6840000</v>
      </c>
      <c r="U26" s="320"/>
      <c r="V26" s="320"/>
      <c r="W26" s="320"/>
      <c r="X26" s="320">
        <f>IF(R26*Z21&lt;DATOS!C32,DATOS!C32,R26*Z21)</f>
        <v>26041.4</v>
      </c>
      <c r="Y26" s="320"/>
      <c r="Z26" s="320">
        <f>+X26*J49</f>
        <v>781242</v>
      </c>
      <c r="AA26" s="320"/>
      <c r="AB26" s="12"/>
      <c r="AD26"/>
      <c r="AE26"/>
      <c r="AF26" s="4"/>
      <c r="AG26" s="4"/>
    </row>
    <row r="27" spans="1:34" ht="15.95" customHeight="1" x14ac:dyDescent="0.3">
      <c r="A27" s="325" t="s">
        <v>39</v>
      </c>
      <c r="B27" s="325"/>
      <c r="C27" s="325"/>
      <c r="D27" s="325"/>
      <c r="E27" s="325"/>
      <c r="F27" s="333" t="str">
        <f>VLOOKUP($F$14,CONTRA,33,FALSE)</f>
        <v>SURA</v>
      </c>
      <c r="G27" s="333"/>
      <c r="H27" s="333"/>
      <c r="I27" s="87" t="s">
        <v>133</v>
      </c>
      <c r="J27" s="87"/>
      <c r="K27" s="87"/>
      <c r="L27" s="345" t="str">
        <f>+VLOOKUP(L28,DATOS!A125:D139,3)</f>
        <v>9º</v>
      </c>
      <c r="M27" s="345"/>
      <c r="N27" s="345"/>
      <c r="O27" s="345"/>
      <c r="P27" s="348"/>
      <c r="Q27" s="348"/>
      <c r="R27" s="335">
        <v>0.125</v>
      </c>
      <c r="S27" s="335"/>
      <c r="T27" s="320">
        <f>+T26*R27</f>
        <v>855000</v>
      </c>
      <c r="U27" s="320"/>
      <c r="V27" s="320"/>
      <c r="W27" s="320"/>
      <c r="X27" s="320">
        <f>+$X$26*R27</f>
        <v>3255.1750000000002</v>
      </c>
      <c r="Y27" s="320"/>
      <c r="Z27" s="320">
        <f>ROUNDUP(X27*J49,-2)</f>
        <v>97700</v>
      </c>
      <c r="AA27" s="320"/>
      <c r="AB27" s="12"/>
      <c r="AD27" s="12"/>
      <c r="AE27" s="4"/>
      <c r="AF27" s="166"/>
      <c r="AG27"/>
      <c r="AH27" s="12"/>
    </row>
    <row r="28" spans="1:34" ht="15.95" customHeight="1" x14ac:dyDescent="0.3">
      <c r="A28" s="325" t="s">
        <v>40</v>
      </c>
      <c r="B28" s="325"/>
      <c r="C28" s="325"/>
      <c r="D28" s="325"/>
      <c r="E28" s="325"/>
      <c r="F28" s="333" t="str">
        <f>VLOOKUP($F$14,CONTRA,34,FALSE)</f>
        <v xml:space="preserve">PORVENIR </v>
      </c>
      <c r="G28" s="333"/>
      <c r="H28" s="333"/>
      <c r="I28" s="19" t="s">
        <v>134</v>
      </c>
      <c r="J28" s="19"/>
      <c r="K28" s="19"/>
      <c r="L28" s="343" t="str">
        <f>RIGHT(T14,2)</f>
        <v>55</v>
      </c>
      <c r="M28" s="343"/>
      <c r="N28" s="344" t="s">
        <v>270</v>
      </c>
      <c r="O28" s="344"/>
      <c r="P28" s="348"/>
      <c r="Q28" s="348"/>
      <c r="R28" s="341">
        <v>0.16</v>
      </c>
      <c r="S28" s="341"/>
      <c r="T28" s="320">
        <f>+T26*R28</f>
        <v>1094400</v>
      </c>
      <c r="U28" s="320"/>
      <c r="V28" s="320"/>
      <c r="W28" s="320"/>
      <c r="X28" s="320">
        <f>+$X$26*R28</f>
        <v>4166.6240000000007</v>
      </c>
      <c r="Y28" s="320"/>
      <c r="Z28" s="320">
        <f>ROUNDUP(X28*J49,-2)</f>
        <v>125000</v>
      </c>
      <c r="AA28" s="320"/>
      <c r="AB28" s="12"/>
      <c r="AD28" s="4"/>
      <c r="AE28" s="4"/>
      <c r="AF28" s="4"/>
      <c r="AG28" s="4"/>
    </row>
    <row r="29" spans="1:34" ht="15.95" customHeight="1" x14ac:dyDescent="0.3">
      <c r="A29" s="325" t="s">
        <v>41</v>
      </c>
      <c r="B29" s="325"/>
      <c r="C29" s="325"/>
      <c r="D29" s="325"/>
      <c r="E29" s="325"/>
      <c r="F29" s="333" t="str">
        <f>VLOOKUP($F$14,CONTRA,36,FALSE)</f>
        <v>SURA</v>
      </c>
      <c r="G29" s="333"/>
      <c r="H29" s="333"/>
      <c r="I29" s="325" t="s">
        <v>135</v>
      </c>
      <c r="J29" s="325"/>
      <c r="K29" s="325"/>
      <c r="L29" s="319" t="str">
        <f>VLOOKUP($F$14,CONTRA,37,FALSE)</f>
        <v>19 de enero de 2018</v>
      </c>
      <c r="M29" s="319"/>
      <c r="N29" s="319"/>
      <c r="O29" s="319"/>
      <c r="P29" s="348"/>
      <c r="Q29" s="348"/>
      <c r="R29" s="342">
        <f>+VLOOKUP(P26,DATOS!A20:B24,2,FALSE)</f>
        <v>5.2199999999999998E-3</v>
      </c>
      <c r="S29" s="342"/>
      <c r="T29" s="320">
        <f>+T26*R29</f>
        <v>35704.799999999996</v>
      </c>
      <c r="U29" s="320"/>
      <c r="V29" s="320"/>
      <c r="W29" s="320"/>
      <c r="X29" s="320">
        <f>+R29*X26</f>
        <v>135.93610799999999</v>
      </c>
      <c r="Y29" s="320"/>
      <c r="Z29" s="320">
        <f>ROUNDUP(X29*J49,-2)</f>
        <v>4100</v>
      </c>
      <c r="AA29" s="320"/>
      <c r="AD29" s="4"/>
      <c r="AE29" s="4"/>
      <c r="AF29" s="4"/>
      <c r="AG29"/>
    </row>
    <row r="30" spans="1:34" ht="15.95" customHeight="1" x14ac:dyDescent="0.3">
      <c r="A30" s="325" t="s">
        <v>290</v>
      </c>
      <c r="B30" s="325"/>
      <c r="C30" s="325"/>
      <c r="D30" s="325"/>
      <c r="E30" s="325"/>
      <c r="F30" s="336" t="s">
        <v>288</v>
      </c>
      <c r="G30" s="336"/>
      <c r="H30" s="336"/>
      <c r="I30" s="336"/>
      <c r="J30" s="336"/>
      <c r="K30" s="336"/>
      <c r="L30" s="308" t="str">
        <f>+VLOOKUP(P26,DATOS!A157:B161,2,FALSE)</f>
        <v>CONTRATISTA</v>
      </c>
      <c r="M30" s="308"/>
      <c r="N30" s="308"/>
      <c r="O30" s="308"/>
      <c r="P30" s="337" t="s">
        <v>49</v>
      </c>
      <c r="Q30" s="338"/>
      <c r="R30" s="341"/>
      <c r="S30" s="341"/>
      <c r="T30" s="320">
        <f>SUM(T27:W29)</f>
        <v>1985104.8</v>
      </c>
      <c r="U30" s="341"/>
      <c r="V30" s="341"/>
      <c r="W30" s="341"/>
      <c r="X30" s="320">
        <f>SUM(X27:Y29)</f>
        <v>7557.7351080000008</v>
      </c>
      <c r="Y30" s="320"/>
      <c r="Z30" s="320">
        <f>IF(P26="RIESGO V",Z27+Z28,Z27+Z28+Z29)</f>
        <v>226800</v>
      </c>
      <c r="AA30" s="320"/>
      <c r="AD30" s="4"/>
      <c r="AE30" s="4"/>
      <c r="AF30" s="4"/>
      <c r="AG30"/>
    </row>
    <row r="31" spans="1:34" ht="15.95" customHeight="1" x14ac:dyDescent="0.3">
      <c r="A31" s="325" t="s">
        <v>42</v>
      </c>
      <c r="B31" s="325"/>
      <c r="C31" s="325"/>
      <c r="D31" s="325"/>
      <c r="E31" s="325"/>
      <c r="F31" s="333" t="s">
        <v>142</v>
      </c>
      <c r="G31" s="333"/>
      <c r="H31" s="333"/>
      <c r="I31" s="333"/>
      <c r="J31" s="333"/>
      <c r="K31" s="333"/>
      <c r="L31" s="334" t="str">
        <f>VLOOKUP($F$14,CONTRA,38,FALSE)</f>
        <v>MENSUAL</v>
      </c>
      <c r="M31" s="334"/>
      <c r="N31" s="334"/>
      <c r="O31" s="334"/>
      <c r="P31" s="339"/>
      <c r="Q31" s="340"/>
      <c r="R31" s="335">
        <f>VLOOKUP(L31,DATOS!A37:B38,2,FALSE)</f>
        <v>2.5000000000000001E-2</v>
      </c>
      <c r="S31" s="335"/>
      <c r="T31" s="320">
        <f>+R31*$F$21</f>
        <v>427500</v>
      </c>
      <c r="U31" s="320"/>
      <c r="V31" s="320"/>
      <c r="W31" s="320"/>
      <c r="X31" s="320">
        <f>+T31/T21</f>
        <v>1250</v>
      </c>
      <c r="Y31" s="320"/>
      <c r="Z31" s="320">
        <f>+X31*J49</f>
        <v>37500</v>
      </c>
      <c r="AA31" s="320"/>
      <c r="AE31" s="13"/>
      <c r="AF31" s="12"/>
    </row>
    <row r="32" spans="1:34" ht="15.95" customHeight="1" x14ac:dyDescent="0.3">
      <c r="A32" s="56">
        <v>3</v>
      </c>
      <c r="B32" s="390" t="s">
        <v>44</v>
      </c>
      <c r="C32" s="391"/>
      <c r="D32" s="391"/>
      <c r="E32" s="391"/>
      <c r="F32" s="391"/>
      <c r="G32" s="391"/>
      <c r="H32" s="391"/>
      <c r="I32" s="391"/>
      <c r="J32" s="391"/>
      <c r="K32" s="391"/>
      <c r="L32" s="391"/>
      <c r="M32" s="391"/>
      <c r="N32" s="391"/>
      <c r="O32" s="392"/>
      <c r="P32" s="59">
        <v>1</v>
      </c>
      <c r="Q32" s="59">
        <v>2</v>
      </c>
      <c r="R32" s="59">
        <v>3</v>
      </c>
      <c r="S32" s="59">
        <v>4</v>
      </c>
      <c r="T32" s="59">
        <v>5</v>
      </c>
      <c r="U32" s="59">
        <v>6</v>
      </c>
      <c r="V32" s="59">
        <v>7</v>
      </c>
      <c r="W32" s="59">
        <v>8</v>
      </c>
      <c r="X32" s="59">
        <v>9</v>
      </c>
      <c r="Y32" s="59">
        <v>10</v>
      </c>
      <c r="Z32" s="59">
        <v>11</v>
      </c>
      <c r="AA32" s="59">
        <v>12</v>
      </c>
      <c r="AF32" s="4"/>
    </row>
    <row r="33" spans="1:36" ht="31.5" customHeight="1" x14ac:dyDescent="0.3">
      <c r="A33" s="21">
        <v>1</v>
      </c>
      <c r="B33" s="286" t="str">
        <f>VLOOKUP($F$14,CONTRA,39,FALSE)</f>
        <v>Brindar apoyo en la actuación administrativa que se requiere en los diferentes procesos de contratación Pública que se adelanten por parte del Instituto de Desarrollo Municipal de Dosquebradas en el Plan de Movilidad y Conectividad del municipio de Dosquebradas.</v>
      </c>
      <c r="C33" s="287"/>
      <c r="D33" s="287"/>
      <c r="E33" s="287"/>
      <c r="F33" s="287"/>
      <c r="G33" s="287"/>
      <c r="H33" s="287"/>
      <c r="I33" s="287"/>
      <c r="J33" s="287"/>
      <c r="K33" s="287"/>
      <c r="L33" s="287"/>
      <c r="M33" s="287"/>
      <c r="N33" s="287"/>
      <c r="O33" s="288"/>
      <c r="P33" s="277"/>
      <c r="Q33" s="277"/>
      <c r="R33" s="277"/>
      <c r="S33" s="277"/>
      <c r="T33" s="277"/>
      <c r="U33" s="277"/>
      <c r="V33" s="277"/>
      <c r="W33" s="277"/>
      <c r="X33" s="277"/>
      <c r="Y33" s="51"/>
      <c r="Z33" s="51"/>
      <c r="AA33" s="51"/>
    </row>
    <row r="34" spans="1:36" ht="25.5" customHeight="1" x14ac:dyDescent="0.3">
      <c r="A34" s="21">
        <v>2</v>
      </c>
      <c r="B34" s="286" t="str">
        <f>VLOOKUP($F$14,CONTRA,40,FALSE)</f>
        <v>Brindar apoyo y acompañamiento en la supervisión de los procesos de contratación pre-contractual y contractual que se adelanten por parte del Instituto de Desarrollo Municipal en el Plan de Movilidad y Conectividad del municipio de Dosquebradas</v>
      </c>
      <c r="C34" s="287"/>
      <c r="D34" s="287"/>
      <c r="E34" s="287"/>
      <c r="F34" s="287"/>
      <c r="G34" s="287"/>
      <c r="H34" s="287"/>
      <c r="I34" s="287"/>
      <c r="J34" s="287"/>
      <c r="K34" s="287"/>
      <c r="L34" s="287"/>
      <c r="M34" s="287"/>
      <c r="N34" s="287"/>
      <c r="O34" s="288"/>
      <c r="P34" s="277"/>
      <c r="Q34" s="277"/>
      <c r="R34" s="277"/>
      <c r="S34" s="277"/>
      <c r="T34" s="277"/>
      <c r="U34" s="277"/>
      <c r="V34" s="277"/>
      <c r="W34" s="277"/>
      <c r="X34" s="277"/>
      <c r="Y34" s="51"/>
      <c r="Z34" s="51"/>
      <c r="AA34" s="51"/>
    </row>
    <row r="35" spans="1:36" ht="24.95" customHeight="1" x14ac:dyDescent="0.3">
      <c r="A35" s="21">
        <v>3</v>
      </c>
      <c r="B35" s="286" t="str">
        <f>VLOOKUP($F$14,CONTRA,41,FALSE)</f>
        <v>Brindar apoyo y acompañamiento a los procesos Administrativos del Instituto de Desarrollo Municipal de Dosquebradas en el sistema de gestión de calidad, indicadores de Gestión y Aseguramiento de Procesos.</v>
      </c>
      <c r="C35" s="287"/>
      <c r="D35" s="287"/>
      <c r="E35" s="287"/>
      <c r="F35" s="287"/>
      <c r="G35" s="287"/>
      <c r="H35" s="287"/>
      <c r="I35" s="287"/>
      <c r="J35" s="287"/>
      <c r="K35" s="287"/>
      <c r="L35" s="287"/>
      <c r="M35" s="287"/>
      <c r="N35" s="287"/>
      <c r="O35" s="288"/>
      <c r="P35" s="277"/>
      <c r="Q35" s="277"/>
      <c r="R35" s="277"/>
      <c r="S35" s="277"/>
      <c r="T35" s="277"/>
      <c r="U35" s="277"/>
      <c r="V35" s="277"/>
      <c r="W35" s="277"/>
      <c r="X35" s="277"/>
      <c r="Y35" s="51"/>
      <c r="Z35" s="51"/>
      <c r="AA35" s="51"/>
      <c r="AE35" s="12"/>
    </row>
    <row r="36" spans="1:36" ht="42" customHeight="1" x14ac:dyDescent="0.3">
      <c r="A36" s="21">
        <v>4</v>
      </c>
      <c r="B36" s="286" t="str">
        <f>VLOOKUP($F$14,CONTRA,42,FALSE)</f>
        <v>Brindar acompañamiento permanente en el desarrollo de las actividades que permitan una efectiva trazabilidad en el trámite pre contractual y contractual de los procedimientos de contratación que se adelanten por parte del Instituto de Desarrollo Municipal en el Plan de Movilidad y Conectividad del municipio de Dosquebradas.</v>
      </c>
      <c r="C36" s="287"/>
      <c r="D36" s="287"/>
      <c r="E36" s="287"/>
      <c r="F36" s="287"/>
      <c r="G36" s="287"/>
      <c r="H36" s="287"/>
      <c r="I36" s="287"/>
      <c r="J36" s="287"/>
      <c r="K36" s="287"/>
      <c r="L36" s="287"/>
      <c r="M36" s="287"/>
      <c r="N36" s="287"/>
      <c r="O36" s="288"/>
      <c r="P36" s="277"/>
      <c r="Q36" s="277"/>
      <c r="R36" s="277"/>
      <c r="S36" s="277"/>
      <c r="T36" s="277"/>
      <c r="U36" s="277"/>
      <c r="V36" s="277"/>
      <c r="W36" s="277"/>
      <c r="X36" s="277"/>
      <c r="Y36" s="51"/>
      <c r="Z36" s="51"/>
      <c r="AA36" s="51"/>
    </row>
    <row r="37" spans="1:36" ht="24.95" customHeight="1" x14ac:dyDescent="0.3">
      <c r="A37" s="21">
        <v>5</v>
      </c>
      <c r="B37" s="286" t="str">
        <f>VLOOKUP($F$14,CONTRA,43,FALSE)</f>
        <v>Participar en las reuniones programadas por el Instituto de Desarrollo Municipal en el Plan de Movilidad y Conectividad del municipio de Dosquebradas</v>
      </c>
      <c r="C37" s="287"/>
      <c r="D37" s="287"/>
      <c r="E37" s="287"/>
      <c r="F37" s="287"/>
      <c r="G37" s="287"/>
      <c r="H37" s="287"/>
      <c r="I37" s="287"/>
      <c r="J37" s="287"/>
      <c r="K37" s="287"/>
      <c r="L37" s="287"/>
      <c r="M37" s="287"/>
      <c r="N37" s="287"/>
      <c r="O37" s="288"/>
      <c r="P37" s="277"/>
      <c r="Q37" s="277"/>
      <c r="R37" s="277"/>
      <c r="S37" s="277"/>
      <c r="T37" s="277"/>
      <c r="U37" s="277"/>
      <c r="V37" s="277"/>
      <c r="W37" s="277"/>
      <c r="X37" s="277"/>
      <c r="Y37" s="51"/>
      <c r="Z37" s="51"/>
      <c r="AA37" s="51"/>
      <c r="AE37" s="12"/>
      <c r="AH37" s="12"/>
      <c r="AI37" s="86"/>
    </row>
    <row r="38" spans="1:36" ht="24.95" customHeight="1" x14ac:dyDescent="0.3">
      <c r="A38" s="21">
        <v>6</v>
      </c>
      <c r="B38" s="286" t="str">
        <f>VLOOKUP($F$14,CONTRA,44,FALSE)</f>
        <v xml:space="preserve"> Apoyar la atención a los contribuyentes y al público en general respecto de las inquietudes o necesidades generadas por la gestión del Plan de Movilidad y Conectividad de Dosquebradas.</v>
      </c>
      <c r="C38" s="287"/>
      <c r="D38" s="287"/>
      <c r="E38" s="287"/>
      <c r="F38" s="287"/>
      <c r="G38" s="287"/>
      <c r="H38" s="287"/>
      <c r="I38" s="287"/>
      <c r="J38" s="287"/>
      <c r="K38" s="287"/>
      <c r="L38" s="287"/>
      <c r="M38" s="287"/>
      <c r="N38" s="287"/>
      <c r="O38" s="288"/>
      <c r="P38" s="277"/>
      <c r="Q38" s="277"/>
      <c r="R38" s="277"/>
      <c r="S38" s="277"/>
      <c r="T38" s="277"/>
      <c r="U38" s="277"/>
      <c r="V38" s="277"/>
      <c r="W38" s="277"/>
      <c r="X38" s="277"/>
      <c r="Y38" s="51"/>
      <c r="Z38" s="51"/>
      <c r="AA38" s="51"/>
      <c r="AD38" s="52"/>
      <c r="AE38" s="12"/>
      <c r="AF38" s="12"/>
      <c r="AG38" s="12"/>
      <c r="AH38" s="12"/>
      <c r="AI38" s="12"/>
      <c r="AJ38" s="12"/>
    </row>
    <row r="39" spans="1:36" ht="24.95" customHeight="1" x14ac:dyDescent="0.3">
      <c r="A39" s="21">
        <v>7</v>
      </c>
      <c r="B39" s="286" t="str">
        <f>VLOOKUP($F$14,CONTRA,45,FALSE)</f>
        <v>Apoyar al Instituto de Desarrollo Municipal en la socialización y participación de los procesos de valorización necesarios para la ejecución del Plan de Movilidad y Conectividad de Dosquebradas</v>
      </c>
      <c r="C39" s="287"/>
      <c r="D39" s="287"/>
      <c r="E39" s="287"/>
      <c r="F39" s="287"/>
      <c r="G39" s="287"/>
      <c r="H39" s="287"/>
      <c r="I39" s="287"/>
      <c r="J39" s="287"/>
      <c r="K39" s="287"/>
      <c r="L39" s="287"/>
      <c r="M39" s="287"/>
      <c r="N39" s="287"/>
      <c r="O39" s="288"/>
      <c r="P39" s="277"/>
      <c r="Q39" s="277"/>
      <c r="R39" s="277"/>
      <c r="S39" s="277"/>
      <c r="T39" s="277"/>
      <c r="U39" s="277"/>
      <c r="V39" s="277"/>
      <c r="W39" s="277"/>
      <c r="X39" s="277"/>
      <c r="Y39" s="51"/>
      <c r="Z39" s="51"/>
      <c r="AA39" s="51"/>
      <c r="AD39" s="52"/>
      <c r="AE39" s="12"/>
      <c r="AF39" s="12"/>
      <c r="AG39" s="12"/>
      <c r="AH39" s="12"/>
      <c r="AI39" s="12"/>
      <c r="AJ39" s="12"/>
    </row>
    <row r="40" spans="1:36" ht="24.95" customHeight="1" x14ac:dyDescent="0.3">
      <c r="A40" s="21">
        <v>8</v>
      </c>
      <c r="B40" s="286">
        <f>VLOOKUP($F$14,CONTRA,46,FALSE)</f>
        <v>0</v>
      </c>
      <c r="C40" s="287"/>
      <c r="D40" s="287"/>
      <c r="E40" s="287"/>
      <c r="F40" s="287"/>
      <c r="G40" s="287"/>
      <c r="H40" s="287"/>
      <c r="I40" s="287"/>
      <c r="J40" s="287"/>
      <c r="K40" s="287"/>
      <c r="L40" s="287"/>
      <c r="M40" s="287"/>
      <c r="N40" s="287"/>
      <c r="O40" s="288"/>
      <c r="P40" s="277"/>
      <c r="Q40" s="277"/>
      <c r="R40" s="277"/>
      <c r="S40" s="277"/>
      <c r="T40" s="277"/>
      <c r="U40" s="277"/>
      <c r="V40" s="277"/>
      <c r="W40" s="277"/>
      <c r="X40" s="277"/>
      <c r="Y40" s="51"/>
      <c r="Z40" s="51"/>
      <c r="AA40" s="51"/>
      <c r="AE40" s="12"/>
      <c r="AG40" s="12"/>
    </row>
    <row r="41" spans="1:36" ht="24.95" customHeight="1" x14ac:dyDescent="0.3">
      <c r="A41" s="21">
        <v>9</v>
      </c>
      <c r="B41" s="286">
        <f>VLOOKUP($F$14,CONTRA,47,FALSE)</f>
        <v>0</v>
      </c>
      <c r="C41" s="287"/>
      <c r="D41" s="287"/>
      <c r="E41" s="287"/>
      <c r="F41" s="287"/>
      <c r="G41" s="287"/>
      <c r="H41" s="287"/>
      <c r="I41" s="287"/>
      <c r="J41" s="287"/>
      <c r="K41" s="287"/>
      <c r="L41" s="287"/>
      <c r="M41" s="287"/>
      <c r="N41" s="287"/>
      <c r="O41" s="288"/>
      <c r="P41" s="51"/>
      <c r="Q41" s="51"/>
      <c r="R41" s="51"/>
      <c r="S41" s="51"/>
      <c r="T41" s="51"/>
      <c r="U41" s="51"/>
      <c r="V41" s="51"/>
      <c r="W41" s="51"/>
      <c r="X41" s="51"/>
      <c r="Y41" s="51"/>
      <c r="Z41" s="51"/>
      <c r="AA41" s="51"/>
    </row>
    <row r="42" spans="1:36" ht="24.95" customHeight="1" x14ac:dyDescent="0.3">
      <c r="A42" s="21">
        <v>10</v>
      </c>
      <c r="B42" s="286">
        <f>VLOOKUP($F$14,CONTRA,48,FALSE)</f>
        <v>0</v>
      </c>
      <c r="C42" s="287"/>
      <c r="D42" s="287"/>
      <c r="E42" s="287"/>
      <c r="F42" s="287"/>
      <c r="G42" s="287"/>
      <c r="H42" s="287"/>
      <c r="I42" s="287"/>
      <c r="J42" s="287"/>
      <c r="K42" s="287"/>
      <c r="L42" s="287"/>
      <c r="M42" s="287"/>
      <c r="N42" s="287"/>
      <c r="O42" s="288"/>
      <c r="P42" s="51"/>
      <c r="Q42" s="51"/>
      <c r="R42" s="51"/>
      <c r="S42" s="51"/>
      <c r="T42" s="51"/>
      <c r="U42" s="51"/>
      <c r="V42" s="51"/>
      <c r="W42" s="51"/>
      <c r="X42" s="51"/>
      <c r="Y42" s="51"/>
      <c r="Z42" s="51"/>
      <c r="AA42" s="51"/>
      <c r="AE42" s="12"/>
    </row>
    <row r="43" spans="1:36" ht="24.95" customHeight="1" x14ac:dyDescent="0.3">
      <c r="A43" s="21">
        <v>11</v>
      </c>
      <c r="B43" s="286">
        <f>VLOOKUP($F$14,CONTRA,49,FALSE)</f>
        <v>0</v>
      </c>
      <c r="C43" s="287"/>
      <c r="D43" s="287"/>
      <c r="E43" s="287"/>
      <c r="F43" s="287"/>
      <c r="G43" s="287"/>
      <c r="H43" s="287"/>
      <c r="I43" s="287"/>
      <c r="J43" s="287"/>
      <c r="K43" s="287"/>
      <c r="L43" s="287"/>
      <c r="M43" s="287"/>
      <c r="N43" s="287"/>
      <c r="O43" s="288"/>
      <c r="P43" s="51"/>
      <c r="Q43" s="51"/>
      <c r="R43" s="51"/>
      <c r="S43" s="51"/>
      <c r="T43" s="51"/>
      <c r="U43" s="51"/>
      <c r="V43" s="51"/>
      <c r="W43" s="51"/>
      <c r="X43" s="51"/>
      <c r="Y43" s="51"/>
      <c r="Z43" s="51"/>
      <c r="AA43" s="51"/>
    </row>
    <row r="44" spans="1:36" ht="24.95" customHeight="1" x14ac:dyDescent="0.3">
      <c r="A44" s="21">
        <v>12</v>
      </c>
      <c r="B44" s="286">
        <f>VLOOKUP($F$14,CONTRA,50,FALSE)</f>
        <v>0</v>
      </c>
      <c r="C44" s="287"/>
      <c r="D44" s="287"/>
      <c r="E44" s="287"/>
      <c r="F44" s="287"/>
      <c r="G44" s="287"/>
      <c r="H44" s="287"/>
      <c r="I44" s="287"/>
      <c r="J44" s="287"/>
      <c r="K44" s="287"/>
      <c r="L44" s="287"/>
      <c r="M44" s="287"/>
      <c r="N44" s="287"/>
      <c r="O44" s="288"/>
      <c r="P44" s="51"/>
      <c r="Q44" s="51"/>
      <c r="R44" s="51"/>
      <c r="S44" s="51"/>
      <c r="T44" s="51"/>
      <c r="U44" s="51"/>
      <c r="V44" s="51"/>
      <c r="W44" s="51"/>
      <c r="X44" s="51"/>
      <c r="Y44" s="51"/>
      <c r="Z44" s="51"/>
      <c r="AA44" s="51"/>
    </row>
    <row r="45" spans="1:36" x14ac:dyDescent="0.3">
      <c r="A45" s="332" t="s">
        <v>45</v>
      </c>
      <c r="B45" s="332"/>
      <c r="C45" s="332"/>
      <c r="D45" s="394" t="s">
        <v>1481</v>
      </c>
      <c r="E45" s="394"/>
      <c r="F45" s="394"/>
      <c r="G45" s="394"/>
      <c r="H45" s="394"/>
      <c r="I45" s="394"/>
      <c r="J45" s="394"/>
      <c r="K45" s="394"/>
      <c r="L45" s="394"/>
      <c r="M45" s="394"/>
      <c r="N45" s="394"/>
      <c r="O45" s="394"/>
      <c r="P45" s="394"/>
      <c r="Q45" s="394"/>
      <c r="R45" s="394"/>
      <c r="S45" s="394"/>
      <c r="T45" s="394"/>
      <c r="U45" s="394"/>
      <c r="V45" s="394"/>
      <c r="W45" s="394"/>
      <c r="X45" s="394"/>
      <c r="Y45" s="394"/>
      <c r="Z45" s="394"/>
      <c r="AA45" s="394"/>
    </row>
    <row r="46" spans="1:36" x14ac:dyDescent="0.3">
      <c r="A46" s="332"/>
      <c r="B46" s="332"/>
      <c r="C46" s="332"/>
      <c r="D46" s="394"/>
      <c r="E46" s="394"/>
      <c r="F46" s="394"/>
      <c r="G46" s="394"/>
      <c r="H46" s="394"/>
      <c r="I46" s="394"/>
      <c r="J46" s="394"/>
      <c r="K46" s="394"/>
      <c r="L46" s="394"/>
      <c r="M46" s="394"/>
      <c r="N46" s="394"/>
      <c r="O46" s="394"/>
      <c r="P46" s="394"/>
      <c r="Q46" s="394"/>
      <c r="R46" s="394"/>
      <c r="S46" s="394"/>
      <c r="T46" s="394"/>
      <c r="U46" s="394"/>
      <c r="V46" s="394"/>
      <c r="W46" s="394"/>
      <c r="X46" s="394"/>
      <c r="Y46" s="394"/>
      <c r="Z46" s="394"/>
      <c r="AA46" s="394"/>
    </row>
    <row r="47" spans="1:36" ht="15.95" customHeight="1" x14ac:dyDescent="0.3">
      <c r="A47" s="18">
        <v>4</v>
      </c>
      <c r="B47" s="323" t="s">
        <v>46</v>
      </c>
      <c r="C47" s="323"/>
      <c r="D47" s="323"/>
      <c r="E47" s="323"/>
      <c r="F47" s="323"/>
      <c r="G47" s="323"/>
      <c r="H47" s="323"/>
      <c r="I47" s="323"/>
      <c r="J47" s="323"/>
      <c r="K47" s="323"/>
      <c r="L47" s="323"/>
      <c r="M47" s="323"/>
      <c r="N47" s="323"/>
      <c r="O47" s="323"/>
      <c r="P47" s="324"/>
      <c r="Q47" s="324"/>
      <c r="R47" s="324"/>
      <c r="S47" s="324"/>
      <c r="T47" s="324"/>
      <c r="U47" s="324"/>
      <c r="V47" s="324"/>
      <c r="W47" s="324"/>
      <c r="X47" s="324"/>
      <c r="Y47" s="324"/>
      <c r="Z47" s="324"/>
      <c r="AA47" s="324"/>
    </row>
    <row r="48" spans="1:36" ht="15.95" customHeight="1" x14ac:dyDescent="0.3">
      <c r="A48" s="20"/>
      <c r="B48" s="308" t="s">
        <v>47</v>
      </c>
      <c r="C48" s="308"/>
      <c r="D48" s="308"/>
      <c r="E48" s="308"/>
      <c r="F48" s="308"/>
      <c r="G48" s="308"/>
      <c r="H48" s="308"/>
      <c r="I48" s="308"/>
      <c r="J48" s="177" t="s">
        <v>48</v>
      </c>
      <c r="K48" s="308" t="s">
        <v>49</v>
      </c>
      <c r="L48" s="308"/>
      <c r="M48" s="308"/>
      <c r="N48" s="308" t="s">
        <v>220</v>
      </c>
      <c r="O48" s="308"/>
      <c r="P48" s="308" t="s">
        <v>50</v>
      </c>
      <c r="Q48" s="308"/>
      <c r="R48" s="308"/>
      <c r="S48" s="308" t="s">
        <v>51</v>
      </c>
      <c r="T48" s="308"/>
      <c r="U48" s="308"/>
      <c r="V48" s="308" t="s">
        <v>52</v>
      </c>
      <c r="W48" s="308"/>
      <c r="X48" s="308"/>
      <c r="Y48" s="308" t="s">
        <v>137</v>
      </c>
      <c r="Z48" s="308"/>
      <c r="AA48" s="308"/>
    </row>
    <row r="49" spans="1:27" ht="15.95" customHeight="1" x14ac:dyDescent="0.3">
      <c r="A49" s="64">
        <v>1</v>
      </c>
      <c r="B49" s="331" t="str">
        <f>+F18</f>
        <v>19 de enero de 2018</v>
      </c>
      <c r="C49" s="331"/>
      <c r="D49" s="331"/>
      <c r="E49" s="331"/>
      <c r="F49" s="329">
        <v>43153</v>
      </c>
      <c r="G49" s="329"/>
      <c r="H49" s="329"/>
      <c r="I49" s="329"/>
      <c r="J49" s="14">
        <v>30</v>
      </c>
      <c r="K49" s="320">
        <f>+J49*$Z$21</f>
        <v>1500000</v>
      </c>
      <c r="L49" s="320"/>
      <c r="M49" s="320"/>
      <c r="N49" s="320"/>
      <c r="O49" s="320"/>
      <c r="P49" s="309">
        <f>IF(J49=0," ",K49)</f>
        <v>1500000</v>
      </c>
      <c r="Q49" s="310"/>
      <c r="R49" s="311"/>
      <c r="S49" s="309">
        <f>+IF(J49=0," ",F21-K49)</f>
        <v>15600000</v>
      </c>
      <c r="T49" s="310"/>
      <c r="U49" s="311"/>
      <c r="V49" s="320">
        <f>IF($H$15="COMUN",$Z$30/1.19,$Z$30)</f>
        <v>226800</v>
      </c>
      <c r="W49" s="320"/>
      <c r="X49" s="320"/>
      <c r="Y49" s="393" t="s">
        <v>291</v>
      </c>
      <c r="Z49" s="393"/>
      <c r="AA49" s="393"/>
    </row>
    <row r="50" spans="1:27" x14ac:dyDescent="0.3">
      <c r="A50" s="64">
        <v>2</v>
      </c>
      <c r="B50" s="328">
        <v>43154</v>
      </c>
      <c r="C50" s="328"/>
      <c r="D50" s="328"/>
      <c r="E50" s="328"/>
      <c r="F50" s="329">
        <v>43181</v>
      </c>
      <c r="G50" s="329"/>
      <c r="H50" s="329"/>
      <c r="I50" s="329"/>
      <c r="J50" s="14">
        <v>30</v>
      </c>
      <c r="K50" s="320">
        <f t="shared" ref="K50:K60" si="0">+J50*$Z$21</f>
        <v>1500000</v>
      </c>
      <c r="L50" s="320"/>
      <c r="M50" s="320"/>
      <c r="N50" s="320"/>
      <c r="O50" s="320"/>
      <c r="P50" s="309">
        <f>IF(J50=0," ",K50+P49)</f>
        <v>3000000</v>
      </c>
      <c r="Q50" s="310"/>
      <c r="R50" s="311"/>
      <c r="S50" s="309">
        <f>IF(J50=0," ",$F$21-P50)</f>
        <v>14100000</v>
      </c>
      <c r="T50" s="310"/>
      <c r="U50" s="311"/>
      <c r="V50" s="320">
        <f t="shared" ref="V50:V60" si="1">IF($H$15="COMUN",$Z$30/1.19,$Z$30)</f>
        <v>226800</v>
      </c>
      <c r="W50" s="320"/>
      <c r="X50" s="320"/>
      <c r="Y50" s="393" t="s">
        <v>291</v>
      </c>
      <c r="Z50" s="393"/>
      <c r="AA50" s="393"/>
    </row>
    <row r="51" spans="1:27" x14ac:dyDescent="0.3">
      <c r="A51" s="64">
        <v>3</v>
      </c>
      <c r="B51" s="328">
        <v>43182</v>
      </c>
      <c r="C51" s="328"/>
      <c r="D51" s="328"/>
      <c r="E51" s="328"/>
      <c r="F51" s="329">
        <v>43212</v>
      </c>
      <c r="G51" s="329"/>
      <c r="H51" s="329"/>
      <c r="I51" s="329"/>
      <c r="J51" s="14">
        <v>30</v>
      </c>
      <c r="K51" s="320">
        <f t="shared" si="0"/>
        <v>1500000</v>
      </c>
      <c r="L51" s="320"/>
      <c r="M51" s="320"/>
      <c r="N51" s="320"/>
      <c r="O51" s="320"/>
      <c r="P51" s="309">
        <f t="shared" ref="P51:P60" si="2">IF(J51=0," ",K51+P50)</f>
        <v>4500000</v>
      </c>
      <c r="Q51" s="310"/>
      <c r="R51" s="311"/>
      <c r="S51" s="309">
        <f t="shared" ref="S51:S60" si="3">IF(J51=0," ",$F$21-P51)</f>
        <v>12600000</v>
      </c>
      <c r="T51" s="310"/>
      <c r="U51" s="311"/>
      <c r="V51" s="320">
        <f t="shared" si="1"/>
        <v>226800</v>
      </c>
      <c r="W51" s="320"/>
      <c r="X51" s="320"/>
      <c r="Y51" s="393" t="s">
        <v>291</v>
      </c>
      <c r="Z51" s="393"/>
      <c r="AA51" s="393"/>
    </row>
    <row r="52" spans="1:27" x14ac:dyDescent="0.3">
      <c r="A52" s="64">
        <v>4</v>
      </c>
      <c r="B52" s="328">
        <v>43213</v>
      </c>
      <c r="C52" s="328"/>
      <c r="D52" s="328"/>
      <c r="E52" s="328"/>
      <c r="F52" s="329">
        <v>43242</v>
      </c>
      <c r="G52" s="329"/>
      <c r="H52" s="329"/>
      <c r="I52" s="329"/>
      <c r="J52" s="14">
        <v>30</v>
      </c>
      <c r="K52" s="320">
        <f t="shared" si="0"/>
        <v>1500000</v>
      </c>
      <c r="L52" s="320"/>
      <c r="M52" s="320"/>
      <c r="N52" s="320"/>
      <c r="O52" s="320"/>
      <c r="P52" s="309">
        <f t="shared" si="2"/>
        <v>6000000</v>
      </c>
      <c r="Q52" s="310"/>
      <c r="R52" s="311"/>
      <c r="S52" s="309">
        <f t="shared" si="3"/>
        <v>11100000</v>
      </c>
      <c r="T52" s="310"/>
      <c r="U52" s="311"/>
      <c r="V52" s="320">
        <f t="shared" si="1"/>
        <v>226800</v>
      </c>
      <c r="W52" s="320"/>
      <c r="X52" s="320"/>
      <c r="Y52" s="393" t="s">
        <v>291</v>
      </c>
      <c r="Z52" s="393"/>
      <c r="AA52" s="393"/>
    </row>
    <row r="53" spans="1:27" x14ac:dyDescent="0.3">
      <c r="A53" s="64">
        <v>5</v>
      </c>
      <c r="B53" s="328">
        <v>43243</v>
      </c>
      <c r="C53" s="328"/>
      <c r="D53" s="328"/>
      <c r="E53" s="328"/>
      <c r="F53" s="329">
        <v>43273</v>
      </c>
      <c r="G53" s="329"/>
      <c r="H53" s="329"/>
      <c r="I53" s="329"/>
      <c r="J53" s="14">
        <v>30</v>
      </c>
      <c r="K53" s="320">
        <f t="shared" si="0"/>
        <v>1500000</v>
      </c>
      <c r="L53" s="320"/>
      <c r="M53" s="320"/>
      <c r="N53" s="320"/>
      <c r="O53" s="320"/>
      <c r="P53" s="309">
        <f t="shared" si="2"/>
        <v>7500000</v>
      </c>
      <c r="Q53" s="310"/>
      <c r="R53" s="311"/>
      <c r="S53" s="309">
        <f t="shared" si="3"/>
        <v>9600000</v>
      </c>
      <c r="T53" s="310"/>
      <c r="U53" s="311"/>
      <c r="V53" s="320">
        <f t="shared" si="1"/>
        <v>226800</v>
      </c>
      <c r="W53" s="320"/>
      <c r="X53" s="320"/>
      <c r="Y53" s="393" t="s">
        <v>291</v>
      </c>
      <c r="Z53" s="393"/>
      <c r="AA53" s="393"/>
    </row>
    <row r="54" spans="1:27" x14ac:dyDescent="0.3">
      <c r="A54" s="64">
        <v>6</v>
      </c>
      <c r="B54" s="328">
        <v>43274</v>
      </c>
      <c r="C54" s="328"/>
      <c r="D54" s="328"/>
      <c r="E54" s="328"/>
      <c r="F54" s="329">
        <v>43303</v>
      </c>
      <c r="G54" s="329"/>
      <c r="H54" s="329"/>
      <c r="I54" s="329"/>
      <c r="J54" s="14">
        <v>30</v>
      </c>
      <c r="K54" s="320">
        <f t="shared" si="0"/>
        <v>1500000</v>
      </c>
      <c r="L54" s="320"/>
      <c r="M54" s="320"/>
      <c r="N54" s="320"/>
      <c r="O54" s="320"/>
      <c r="P54" s="309">
        <f t="shared" si="2"/>
        <v>9000000</v>
      </c>
      <c r="Q54" s="310"/>
      <c r="R54" s="311"/>
      <c r="S54" s="309">
        <f t="shared" si="3"/>
        <v>8100000</v>
      </c>
      <c r="T54" s="310"/>
      <c r="U54" s="311"/>
      <c r="V54" s="320">
        <f t="shared" si="1"/>
        <v>226800</v>
      </c>
      <c r="W54" s="320"/>
      <c r="X54" s="320"/>
      <c r="Y54" s="393" t="s">
        <v>291</v>
      </c>
      <c r="Z54" s="393"/>
      <c r="AA54" s="393"/>
    </row>
    <row r="55" spans="1:27" x14ac:dyDescent="0.3">
      <c r="A55" s="64">
        <v>7</v>
      </c>
      <c r="B55" s="328">
        <v>43304</v>
      </c>
      <c r="C55" s="328"/>
      <c r="D55" s="328"/>
      <c r="E55" s="328"/>
      <c r="F55" s="329">
        <v>43334</v>
      </c>
      <c r="G55" s="329"/>
      <c r="H55" s="329"/>
      <c r="I55" s="329"/>
      <c r="J55" s="14">
        <v>30</v>
      </c>
      <c r="K55" s="320">
        <f t="shared" si="0"/>
        <v>1500000</v>
      </c>
      <c r="L55" s="320"/>
      <c r="M55" s="320"/>
      <c r="N55" s="320"/>
      <c r="O55" s="320"/>
      <c r="P55" s="309">
        <f t="shared" si="2"/>
        <v>10500000</v>
      </c>
      <c r="Q55" s="310"/>
      <c r="R55" s="311"/>
      <c r="S55" s="309">
        <f t="shared" si="3"/>
        <v>6600000</v>
      </c>
      <c r="T55" s="310"/>
      <c r="U55" s="311"/>
      <c r="V55" s="320">
        <f t="shared" si="1"/>
        <v>226800</v>
      </c>
      <c r="W55" s="320"/>
      <c r="X55" s="320"/>
      <c r="Y55" s="393" t="s">
        <v>291</v>
      </c>
      <c r="Z55" s="393"/>
      <c r="AA55" s="393"/>
    </row>
    <row r="56" spans="1:27" x14ac:dyDescent="0.3">
      <c r="A56" s="64">
        <v>8</v>
      </c>
      <c r="B56" s="328">
        <v>43335</v>
      </c>
      <c r="C56" s="328"/>
      <c r="D56" s="328"/>
      <c r="E56" s="328"/>
      <c r="F56" s="329">
        <v>43365</v>
      </c>
      <c r="G56" s="329"/>
      <c r="H56" s="329"/>
      <c r="I56" s="329"/>
      <c r="J56" s="14">
        <v>30</v>
      </c>
      <c r="K56" s="320">
        <f t="shared" si="0"/>
        <v>1500000</v>
      </c>
      <c r="L56" s="320"/>
      <c r="M56" s="320"/>
      <c r="N56" s="320"/>
      <c r="O56" s="320"/>
      <c r="P56" s="309">
        <f t="shared" si="2"/>
        <v>12000000</v>
      </c>
      <c r="Q56" s="310"/>
      <c r="R56" s="311"/>
      <c r="S56" s="309">
        <f t="shared" si="3"/>
        <v>5100000</v>
      </c>
      <c r="T56" s="310"/>
      <c r="U56" s="311"/>
      <c r="V56" s="320">
        <f t="shared" si="1"/>
        <v>226800</v>
      </c>
      <c r="W56" s="320"/>
      <c r="X56" s="320"/>
      <c r="Y56" s="393" t="s">
        <v>291</v>
      </c>
      <c r="Z56" s="393"/>
      <c r="AA56" s="393"/>
    </row>
    <row r="57" spans="1:27" x14ac:dyDescent="0.3">
      <c r="A57" s="64">
        <v>9</v>
      </c>
      <c r="B57" s="328">
        <v>43366</v>
      </c>
      <c r="C57" s="328"/>
      <c r="D57" s="328"/>
      <c r="E57" s="328"/>
      <c r="F57" s="329">
        <v>43395</v>
      </c>
      <c r="G57" s="329"/>
      <c r="H57" s="329"/>
      <c r="I57" s="329"/>
      <c r="J57" s="14">
        <v>30</v>
      </c>
      <c r="K57" s="320">
        <f t="shared" si="0"/>
        <v>1500000</v>
      </c>
      <c r="L57" s="320"/>
      <c r="M57" s="320"/>
      <c r="N57" s="320"/>
      <c r="O57" s="320"/>
      <c r="P57" s="309">
        <f t="shared" si="2"/>
        <v>13500000</v>
      </c>
      <c r="Q57" s="310"/>
      <c r="R57" s="311"/>
      <c r="S57" s="309">
        <f t="shared" si="3"/>
        <v>3600000</v>
      </c>
      <c r="T57" s="310"/>
      <c r="U57" s="311"/>
      <c r="V57" s="320">
        <f t="shared" si="1"/>
        <v>226800</v>
      </c>
      <c r="W57" s="320"/>
      <c r="X57" s="320"/>
      <c r="Y57" s="393" t="s">
        <v>291</v>
      </c>
      <c r="Z57" s="393"/>
      <c r="AA57" s="393"/>
    </row>
    <row r="58" spans="1:27" x14ac:dyDescent="0.3">
      <c r="A58" s="64">
        <v>10</v>
      </c>
      <c r="B58" s="328">
        <v>43396</v>
      </c>
      <c r="C58" s="328"/>
      <c r="D58" s="328"/>
      <c r="E58" s="328"/>
      <c r="F58" s="329">
        <v>43426</v>
      </c>
      <c r="G58" s="329"/>
      <c r="H58" s="329"/>
      <c r="I58" s="329"/>
      <c r="J58" s="14">
        <v>30</v>
      </c>
      <c r="K58" s="320">
        <f t="shared" si="0"/>
        <v>1500000</v>
      </c>
      <c r="L58" s="320"/>
      <c r="M58" s="320"/>
      <c r="N58" s="320"/>
      <c r="O58" s="320"/>
      <c r="P58" s="309">
        <f t="shared" si="2"/>
        <v>15000000</v>
      </c>
      <c r="Q58" s="310"/>
      <c r="R58" s="311"/>
      <c r="S58" s="309">
        <f t="shared" si="3"/>
        <v>2100000</v>
      </c>
      <c r="T58" s="310"/>
      <c r="U58" s="311"/>
      <c r="V58" s="320">
        <f t="shared" si="1"/>
        <v>226800</v>
      </c>
      <c r="W58" s="320"/>
      <c r="X58" s="320"/>
      <c r="Y58" s="393" t="s">
        <v>291</v>
      </c>
      <c r="Z58" s="393"/>
      <c r="AA58" s="393"/>
    </row>
    <row r="59" spans="1:27" x14ac:dyDescent="0.3">
      <c r="A59" s="64">
        <v>11</v>
      </c>
      <c r="B59" s="328">
        <v>43427</v>
      </c>
      <c r="C59" s="328"/>
      <c r="D59" s="328"/>
      <c r="E59" s="328"/>
      <c r="F59" s="329">
        <v>43456</v>
      </c>
      <c r="G59" s="329"/>
      <c r="H59" s="329"/>
      <c r="I59" s="329"/>
      <c r="J59" s="14">
        <v>30</v>
      </c>
      <c r="K59" s="320">
        <f t="shared" si="0"/>
        <v>1500000</v>
      </c>
      <c r="L59" s="320"/>
      <c r="M59" s="320"/>
      <c r="N59" s="320"/>
      <c r="O59" s="320"/>
      <c r="P59" s="309">
        <f t="shared" si="2"/>
        <v>16500000</v>
      </c>
      <c r="Q59" s="310"/>
      <c r="R59" s="311"/>
      <c r="S59" s="309">
        <f t="shared" si="3"/>
        <v>600000</v>
      </c>
      <c r="T59" s="310"/>
      <c r="U59" s="311"/>
      <c r="V59" s="320">
        <f t="shared" si="1"/>
        <v>226800</v>
      </c>
      <c r="W59" s="320"/>
      <c r="X59" s="320"/>
      <c r="Y59" s="393" t="s">
        <v>291</v>
      </c>
      <c r="Z59" s="393"/>
      <c r="AA59" s="393"/>
    </row>
    <row r="60" spans="1:27" x14ac:dyDescent="0.3">
      <c r="A60" s="64">
        <v>12</v>
      </c>
      <c r="B60" s="328">
        <v>43457</v>
      </c>
      <c r="C60" s="328"/>
      <c r="D60" s="328"/>
      <c r="E60" s="328"/>
      <c r="F60" s="329">
        <v>43464</v>
      </c>
      <c r="G60" s="329"/>
      <c r="H60" s="329"/>
      <c r="I60" s="329"/>
      <c r="J60" s="14">
        <v>12</v>
      </c>
      <c r="K60" s="320">
        <f t="shared" si="0"/>
        <v>600000</v>
      </c>
      <c r="L60" s="320"/>
      <c r="M60" s="320"/>
      <c r="N60" s="320"/>
      <c r="O60" s="320"/>
      <c r="P60" s="309">
        <f t="shared" si="2"/>
        <v>17100000</v>
      </c>
      <c r="Q60" s="310"/>
      <c r="R60" s="311"/>
      <c r="S60" s="309">
        <f t="shared" si="3"/>
        <v>0</v>
      </c>
      <c r="T60" s="310"/>
      <c r="U60" s="311"/>
      <c r="V60" s="320">
        <f t="shared" si="1"/>
        <v>226800</v>
      </c>
      <c r="W60" s="320"/>
      <c r="X60" s="320"/>
      <c r="Y60" s="393" t="s">
        <v>291</v>
      </c>
      <c r="Z60" s="393"/>
      <c r="AA60" s="393"/>
    </row>
    <row r="61" spans="1:27" x14ac:dyDescent="0.3">
      <c r="A61" s="20"/>
      <c r="B61" s="308" t="s">
        <v>53</v>
      </c>
      <c r="C61" s="308"/>
      <c r="D61" s="308"/>
      <c r="E61" s="308"/>
      <c r="F61" s="308"/>
      <c r="G61" s="308"/>
      <c r="H61" s="308"/>
      <c r="I61" s="308"/>
      <c r="J61" s="178">
        <f>SUM(J49:J60)</f>
        <v>342</v>
      </c>
      <c r="K61" s="320">
        <f>SUM(K49:O60)</f>
        <v>17100000</v>
      </c>
      <c r="L61" s="320"/>
      <c r="M61" s="320"/>
      <c r="N61" s="309"/>
      <c r="O61" s="311"/>
      <c r="P61" s="308"/>
      <c r="Q61" s="308"/>
      <c r="R61" s="308"/>
      <c r="S61" s="308"/>
      <c r="T61" s="308"/>
      <c r="U61" s="308"/>
      <c r="V61" s="308"/>
      <c r="W61" s="308"/>
      <c r="X61" s="308"/>
      <c r="Y61" s="308"/>
      <c r="Z61" s="308"/>
      <c r="AA61" s="308"/>
    </row>
    <row r="62" spans="1:27" x14ac:dyDescent="0.3">
      <c r="A62" s="325" t="s">
        <v>54</v>
      </c>
      <c r="B62" s="325"/>
      <c r="C62" s="325"/>
      <c r="D62" s="325"/>
      <c r="E62" s="325"/>
      <c r="F62" s="326"/>
      <c r="G62" s="326"/>
      <c r="H62" s="326"/>
      <c r="I62" s="326"/>
      <c r="J62" s="326"/>
      <c r="K62" s="326"/>
      <c r="L62" s="326"/>
      <c r="M62" s="326"/>
      <c r="N62" s="326"/>
      <c r="O62" s="326"/>
      <c r="P62" s="326"/>
      <c r="Q62" s="326"/>
      <c r="R62" s="326"/>
      <c r="S62" s="326" t="s">
        <v>136</v>
      </c>
      <c r="T62" s="326"/>
      <c r="U62" s="326"/>
      <c r="V62" s="326" t="s">
        <v>55</v>
      </c>
      <c r="W62" s="326"/>
      <c r="X62" s="326"/>
      <c r="Y62" s="326" t="s">
        <v>56</v>
      </c>
      <c r="Z62" s="326"/>
      <c r="AA62" s="326"/>
    </row>
    <row r="63" spans="1:27" ht="15.95" customHeight="1" x14ac:dyDescent="0.3">
      <c r="A63" s="322">
        <f>+Z6</f>
        <v>9</v>
      </c>
      <c r="B63" s="323" t="s">
        <v>57</v>
      </c>
      <c r="C63" s="323"/>
      <c r="D63" s="323"/>
      <c r="E63" s="323"/>
      <c r="F63" s="323"/>
      <c r="G63" s="323"/>
      <c r="H63" s="323"/>
      <c r="I63" s="323"/>
      <c r="J63" s="323"/>
      <c r="K63" s="323"/>
      <c r="L63" s="323"/>
      <c r="M63" s="323"/>
      <c r="N63" s="323"/>
      <c r="O63" s="323"/>
      <c r="P63" s="324"/>
      <c r="Q63" s="324"/>
      <c r="R63" s="324"/>
      <c r="S63" s="324"/>
      <c r="T63" s="324"/>
      <c r="U63" s="324"/>
      <c r="V63" s="324"/>
      <c r="W63" s="324"/>
      <c r="X63" s="324"/>
      <c r="Y63" s="324"/>
      <c r="Z63" s="324"/>
      <c r="AA63" s="324"/>
    </row>
    <row r="64" spans="1:27" ht="14.1" customHeight="1" x14ac:dyDescent="0.3">
      <c r="A64" s="322"/>
      <c r="B64" s="308" t="s">
        <v>47</v>
      </c>
      <c r="C64" s="308"/>
      <c r="D64" s="308"/>
      <c r="E64" s="308"/>
      <c r="F64" s="308"/>
      <c r="G64" s="308"/>
      <c r="H64" s="308"/>
      <c r="I64" s="308"/>
      <c r="J64" s="55" t="s">
        <v>48</v>
      </c>
      <c r="K64" s="308" t="s">
        <v>49</v>
      </c>
      <c r="L64" s="308"/>
      <c r="M64" s="308"/>
      <c r="N64" s="308"/>
      <c r="O64" s="308"/>
      <c r="P64" s="308" t="s">
        <v>50</v>
      </c>
      <c r="Q64" s="308"/>
      <c r="R64" s="308"/>
      <c r="S64" s="308" t="s">
        <v>51</v>
      </c>
      <c r="T64" s="308"/>
      <c r="U64" s="308"/>
      <c r="V64" s="308" t="s">
        <v>52</v>
      </c>
      <c r="W64" s="308"/>
      <c r="X64" s="308"/>
      <c r="Y64" s="308" t="s">
        <v>137</v>
      </c>
      <c r="Z64" s="308"/>
      <c r="AA64" s="308"/>
    </row>
    <row r="65" spans="1:35" ht="14.1" customHeight="1" x14ac:dyDescent="0.3">
      <c r="A65" s="322"/>
      <c r="B65" s="319">
        <f>VLOOKUP(A63,A49:AA60,2)</f>
        <v>43366</v>
      </c>
      <c r="C65" s="319"/>
      <c r="D65" s="319"/>
      <c r="E65" s="319"/>
      <c r="F65" s="319">
        <f>VLOOKUP(A63,A49:AA60,6)</f>
        <v>43395</v>
      </c>
      <c r="G65" s="319"/>
      <c r="H65" s="319"/>
      <c r="I65" s="319"/>
      <c r="J65" s="22">
        <f>VLOOKUP(A63,A49:AA60,10)</f>
        <v>30</v>
      </c>
      <c r="K65" s="320">
        <f>VLOOKUP(A63,A49:AA60,11)</f>
        <v>1500000</v>
      </c>
      <c r="L65" s="320"/>
      <c r="M65" s="320"/>
      <c r="N65" s="320"/>
      <c r="O65" s="320"/>
      <c r="P65" s="320">
        <f>VLOOKUP(A63,A49:AA60,16)</f>
        <v>13500000</v>
      </c>
      <c r="Q65" s="320"/>
      <c r="R65" s="320"/>
      <c r="S65" s="320">
        <f>VLOOKUP(A63,A49:AA60,19)</f>
        <v>3600000</v>
      </c>
      <c r="T65" s="320"/>
      <c r="U65" s="320"/>
      <c r="V65" s="320">
        <f>VLOOKUP(A63,A49:AA60,22)</f>
        <v>226800</v>
      </c>
      <c r="W65" s="320"/>
      <c r="X65" s="320"/>
      <c r="Y65" s="343" t="str">
        <f>VLOOKUP(A63,A49:AA60,25)</f>
        <v># Planilla Seg. Soc.</v>
      </c>
      <c r="Z65" s="343"/>
      <c r="AA65" s="343"/>
    </row>
    <row r="66" spans="1:35" ht="14.1" customHeight="1" x14ac:dyDescent="0.3">
      <c r="A66" s="322"/>
      <c r="B66" s="308" t="s">
        <v>284</v>
      </c>
      <c r="C66" s="308"/>
      <c r="D66" s="308"/>
      <c r="E66" s="308"/>
      <c r="F66" s="309">
        <f>+K65</f>
        <v>1500000</v>
      </c>
      <c r="G66" s="310"/>
      <c r="H66" s="310"/>
      <c r="I66" s="311"/>
      <c r="J66" s="312" t="str">
        <f>+D100</f>
        <v>Un Millón Quinientos Mil Pesos M/Cte</v>
      </c>
      <c r="K66" s="313"/>
      <c r="L66" s="313"/>
      <c r="M66" s="313"/>
      <c r="N66" s="313"/>
      <c r="O66" s="313"/>
      <c r="P66" s="313"/>
      <c r="Q66" s="313"/>
      <c r="R66" s="313"/>
      <c r="S66" s="313"/>
      <c r="T66" s="313"/>
      <c r="U66" s="313"/>
      <c r="V66" s="313"/>
      <c r="W66" s="313"/>
      <c r="X66" s="313"/>
      <c r="Y66" s="313"/>
      <c r="Z66" s="313"/>
      <c r="AA66" s="314"/>
    </row>
    <row r="67" spans="1:35" ht="3.95" customHeight="1" x14ac:dyDescent="0.3">
      <c r="A67" s="315"/>
      <c r="B67" s="315"/>
      <c r="C67" s="315"/>
      <c r="D67" s="315"/>
      <c r="E67" s="315"/>
      <c r="F67" s="315"/>
      <c r="G67" s="315"/>
      <c r="H67" s="315"/>
      <c r="I67" s="315"/>
      <c r="J67" s="315"/>
      <c r="K67" s="315"/>
      <c r="L67" s="315"/>
      <c r="M67" s="315"/>
      <c r="N67" s="315"/>
      <c r="O67" s="315"/>
      <c r="P67" s="315"/>
      <c r="Q67" s="315"/>
      <c r="R67" s="315"/>
      <c r="S67" s="315"/>
      <c r="T67" s="315"/>
      <c r="U67" s="315"/>
      <c r="V67" s="315"/>
      <c r="W67" s="315"/>
      <c r="X67" s="315"/>
      <c r="Y67" s="315"/>
      <c r="Z67" s="315"/>
      <c r="AA67" s="315"/>
    </row>
    <row r="68" spans="1:35" ht="15.95" customHeight="1" x14ac:dyDescent="0.3">
      <c r="A68" s="23" t="s">
        <v>143</v>
      </c>
      <c r="B68" s="24"/>
      <c r="C68" s="24"/>
      <c r="D68" s="24"/>
      <c r="E68" s="24"/>
      <c r="F68" s="24"/>
      <c r="G68" s="24"/>
      <c r="H68" s="24"/>
      <c r="I68" s="316">
        <f>+B65</f>
        <v>43366</v>
      </c>
      <c r="J68" s="316"/>
      <c r="K68" s="316"/>
      <c r="L68" s="316"/>
      <c r="M68" s="169" t="s">
        <v>144</v>
      </c>
      <c r="N68" s="316">
        <f>+F65</f>
        <v>43395</v>
      </c>
      <c r="O68" s="316"/>
      <c r="P68" s="316"/>
      <c r="Q68" s="316"/>
      <c r="R68" s="317" t="s">
        <v>145</v>
      </c>
      <c r="S68" s="317"/>
      <c r="T68" s="317"/>
      <c r="U68" s="317"/>
      <c r="V68" s="317"/>
      <c r="W68" s="317"/>
      <c r="X68" s="317"/>
      <c r="Y68" s="317"/>
      <c r="Z68" s="317"/>
      <c r="AA68" s="318"/>
    </row>
    <row r="69" spans="1:35" ht="14.1" customHeight="1" x14ac:dyDescent="0.3">
      <c r="A69" s="60" t="s">
        <v>1384</v>
      </c>
      <c r="B69" s="32"/>
      <c r="C69" s="32"/>
      <c r="D69" s="32"/>
      <c r="E69" s="32"/>
      <c r="F69" s="32"/>
      <c r="G69" s="32"/>
      <c r="H69" s="32"/>
      <c r="I69" s="32"/>
      <c r="J69" s="32"/>
      <c r="K69" s="32"/>
      <c r="L69" s="32"/>
      <c r="M69" s="32"/>
      <c r="N69" s="32"/>
      <c r="O69" s="289" t="s">
        <v>1393</v>
      </c>
      <c r="P69" s="289"/>
      <c r="Q69" s="289"/>
      <c r="R69" s="32" t="s">
        <v>1397</v>
      </c>
      <c r="S69" s="32"/>
      <c r="T69" s="32"/>
      <c r="U69" s="32"/>
      <c r="V69" s="32"/>
      <c r="W69" s="32"/>
      <c r="X69" s="32"/>
      <c r="Y69" s="32"/>
      <c r="Z69" s="32"/>
      <c r="AA69" s="33"/>
    </row>
    <row r="70" spans="1:35" x14ac:dyDescent="0.3">
      <c r="A70" s="60" t="s">
        <v>1398</v>
      </c>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3"/>
    </row>
    <row r="71" spans="1:35" x14ac:dyDescent="0.3">
      <c r="A71" s="60"/>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3"/>
    </row>
    <row r="72" spans="1:35" x14ac:dyDescent="0.3">
      <c r="A72" s="60"/>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3"/>
    </row>
    <row r="73" spans="1:35" x14ac:dyDescent="0.3">
      <c r="A73" s="61"/>
      <c r="B73" s="62"/>
      <c r="C73" s="62"/>
      <c r="D73" s="62"/>
      <c r="E73" s="62"/>
      <c r="F73" s="32"/>
      <c r="G73" s="32"/>
      <c r="H73" s="32"/>
      <c r="I73" s="32"/>
      <c r="J73" s="32"/>
      <c r="K73" s="32"/>
      <c r="L73" s="32"/>
      <c r="M73" s="32"/>
      <c r="N73" s="32"/>
      <c r="O73" s="32"/>
      <c r="P73" s="32"/>
      <c r="Q73" s="32"/>
      <c r="R73" s="32"/>
      <c r="S73" s="32"/>
      <c r="T73" s="32"/>
      <c r="U73" s="32"/>
      <c r="V73" s="32"/>
      <c r="W73" s="32"/>
      <c r="X73" s="32"/>
      <c r="Y73" s="32"/>
      <c r="Z73" s="32"/>
      <c r="AA73" s="33"/>
    </row>
    <row r="74" spans="1:35" x14ac:dyDescent="0.3">
      <c r="A74" s="60" t="str">
        <f>+F13</f>
        <v>LUIS FERNANDO ARANGO ALVAREZ</v>
      </c>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3"/>
    </row>
    <row r="75" spans="1:35" x14ac:dyDescent="0.3">
      <c r="A75" s="61" t="str">
        <f>+A13</f>
        <v>SUPERVISOR</v>
      </c>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3"/>
    </row>
    <row r="78" spans="1:35" x14ac:dyDescent="0.3">
      <c r="AF78" s="12"/>
    </row>
    <row r="79" spans="1:35" x14ac:dyDescent="0.3">
      <c r="AG79" s="52"/>
      <c r="AH79" s="12"/>
      <c r="AI79" s="12"/>
    </row>
    <row r="80" spans="1:35" x14ac:dyDescent="0.3">
      <c r="AH80" s="12"/>
    </row>
    <row r="81" spans="1:35" x14ac:dyDescent="0.3">
      <c r="AG81" s="52"/>
      <c r="AH81" s="12"/>
      <c r="AI81" s="12"/>
    </row>
    <row r="82" spans="1:35" x14ac:dyDescent="0.3">
      <c r="A82" s="290" t="s">
        <v>1382</v>
      </c>
      <c r="B82" s="291"/>
      <c r="C82" s="291"/>
      <c r="D82" s="291"/>
      <c r="E82" s="291"/>
      <c r="F82" s="291"/>
      <c r="G82" s="291"/>
      <c r="H82" s="291"/>
      <c r="I82" s="291"/>
      <c r="J82" s="291"/>
      <c r="K82" s="291"/>
      <c r="L82" s="291"/>
      <c r="M82" s="291"/>
      <c r="N82" s="291"/>
      <c r="O82" s="291"/>
      <c r="P82" s="291"/>
      <c r="Q82" s="291"/>
      <c r="R82" s="291"/>
      <c r="S82" s="291"/>
      <c r="T82" s="291"/>
      <c r="U82" s="291"/>
      <c r="V82" s="291"/>
      <c r="W82" s="291"/>
      <c r="X82" s="291"/>
      <c r="Y82" s="291"/>
      <c r="Z82" s="291"/>
      <c r="AA82" s="292"/>
      <c r="AG82" s="52"/>
      <c r="AH82" s="12"/>
      <c r="AI82" s="12"/>
    </row>
    <row r="83" spans="1:35" x14ac:dyDescent="0.3">
      <c r="A83" s="290"/>
      <c r="B83" s="291"/>
      <c r="C83" s="291"/>
      <c r="D83" s="291"/>
      <c r="E83" s="291"/>
      <c r="F83" s="291"/>
      <c r="G83" s="291"/>
      <c r="H83" s="291"/>
      <c r="I83" s="291"/>
      <c r="J83" s="291"/>
      <c r="K83" s="291"/>
      <c r="L83" s="291"/>
      <c r="M83" s="291"/>
      <c r="N83" s="291"/>
      <c r="O83" s="291"/>
      <c r="P83" s="291"/>
      <c r="Q83" s="291"/>
      <c r="R83" s="291"/>
      <c r="S83" s="291"/>
      <c r="T83" s="291"/>
      <c r="U83" s="291"/>
      <c r="V83" s="291"/>
      <c r="W83" s="291"/>
      <c r="X83" s="291"/>
      <c r="Y83" s="291"/>
      <c r="Z83" s="291"/>
      <c r="AA83" s="292"/>
      <c r="AH83" s="12"/>
      <c r="AI83" s="12"/>
    </row>
    <row r="84" spans="1:35" x14ac:dyDescent="0.3">
      <c r="AI84" s="12"/>
    </row>
    <row r="98" spans="1:12" hidden="1" x14ac:dyDescent="0.3">
      <c r="A98" s="57" t="s">
        <v>146</v>
      </c>
      <c r="B98" s="57"/>
      <c r="D98" s="293">
        <f>+F66</f>
        <v>1500000</v>
      </c>
      <c r="E98" s="293"/>
      <c r="F98" s="293"/>
      <c r="G98" s="57" t="s">
        <v>147</v>
      </c>
      <c r="H98" s="57"/>
      <c r="I98" s="57"/>
      <c r="J98" s="57"/>
      <c r="K98" s="57"/>
      <c r="L98" s="57"/>
    </row>
    <row r="99" spans="1:12" hidden="1" x14ac:dyDescent="0.3">
      <c r="A99" s="57"/>
      <c r="B99" s="57"/>
      <c r="C99" s="57"/>
      <c r="D99" s="57"/>
      <c r="E99" s="57"/>
      <c r="F99" s="57"/>
      <c r="G99" s="57"/>
      <c r="H99" s="57"/>
      <c r="I99" s="57"/>
      <c r="J99" s="57"/>
      <c r="K99" s="57"/>
      <c r="L99" s="57"/>
    </row>
    <row r="100" spans="1:12" hidden="1" x14ac:dyDescent="0.3">
      <c r="A100" s="57" t="s">
        <v>148</v>
      </c>
      <c r="B100" s="57"/>
      <c r="D100" s="57" t="str">
        <f>TRIM(D122)</f>
        <v>Un Millón Quinientos Mil Pesos M/Cte</v>
      </c>
      <c r="E100" s="57"/>
      <c r="F100" s="57"/>
      <c r="G100" s="57"/>
      <c r="H100" s="57"/>
      <c r="I100" s="57"/>
      <c r="J100" s="57"/>
      <c r="K100" s="57"/>
      <c r="L100" s="57"/>
    </row>
    <row r="101" spans="1:12" hidden="1" x14ac:dyDescent="0.3">
      <c r="A101" s="57"/>
      <c r="B101" s="57"/>
      <c r="C101" s="57"/>
      <c r="D101" s="57"/>
      <c r="E101" s="57"/>
      <c r="F101" s="57"/>
      <c r="G101" s="57"/>
      <c r="H101" s="57"/>
      <c r="I101" s="57"/>
      <c r="J101" s="57"/>
      <c r="K101" s="57"/>
      <c r="L101" s="57"/>
    </row>
    <row r="102" spans="1:12" hidden="1" x14ac:dyDescent="0.3">
      <c r="A102" s="57"/>
      <c r="B102" s="57"/>
      <c r="C102" s="57"/>
      <c r="D102" s="57"/>
      <c r="E102" s="57"/>
      <c r="F102" s="57"/>
      <c r="G102" s="57"/>
      <c r="H102" s="57"/>
      <c r="I102" s="57"/>
      <c r="J102" s="57"/>
      <c r="K102" s="57"/>
      <c r="L102" s="57"/>
    </row>
    <row r="103" spans="1:12" hidden="1" x14ac:dyDescent="0.3">
      <c r="A103" s="57">
        <v>1</v>
      </c>
      <c r="B103" s="57" t="s">
        <v>149</v>
      </c>
      <c r="C103" s="57" t="s">
        <v>150</v>
      </c>
      <c r="D103" s="57"/>
      <c r="E103" s="57">
        <f>INT((D98-(INT(D98/1000000000000000)*1000000000000000))/1000000000000)</f>
        <v>0</v>
      </c>
      <c r="F103" s="57" t="s">
        <v>151</v>
      </c>
      <c r="G103" s="57">
        <f>INT(E103/100)*100</f>
        <v>0</v>
      </c>
      <c r="H103" s="57" t="str">
        <f>IF(AND(G103=100,G104=0,G105=0),IF(G103=0," ",LOOKUP(G103,A102:C147,B102:B147)),IF(G103=0," ",LOOKUP(G103,A102:C147,C102:C147)))</f>
        <v xml:space="preserve"> </v>
      </c>
      <c r="I103" s="57"/>
      <c r="J103" s="57" t="s">
        <v>152</v>
      </c>
      <c r="K103" s="57"/>
      <c r="L103" s="57"/>
    </row>
    <row r="104" spans="1:12" hidden="1" x14ac:dyDescent="0.3">
      <c r="A104" s="57">
        <v>2</v>
      </c>
      <c r="B104" s="57" t="s">
        <v>153</v>
      </c>
      <c r="C104" s="57" t="s">
        <v>153</v>
      </c>
      <c r="D104" s="57"/>
      <c r="E104" s="57">
        <f>+E103-G103</f>
        <v>0</v>
      </c>
      <c r="F104" s="57" t="s">
        <v>154</v>
      </c>
      <c r="G104" s="57">
        <f>INT(E104/10)*10</f>
        <v>0</v>
      </c>
      <c r="H104" s="57" t="str">
        <f>IF(OR(G104=10,G104=20),LOOKUP(E104,A102:C147,C102:C147),IF(AND(G104=100,G105=0,G106=0),IF(G104=0," ",LOOKUP(G104,A102:C147,B102:B147)),IF(G104=0," ",LOOKUP(G104,A102:C147,C102:C147))))</f>
        <v xml:space="preserve"> </v>
      </c>
      <c r="I104" s="57" t="str">
        <f>IF(G105=0," ",IF(AND(G104&gt;20,G104&lt;=90),"y"," "))</f>
        <v xml:space="preserve"> </v>
      </c>
      <c r="J104" s="57"/>
      <c r="K104" s="57"/>
      <c r="L104" s="57"/>
    </row>
    <row r="105" spans="1:12" hidden="1" x14ac:dyDescent="0.3">
      <c r="A105" s="57">
        <v>3</v>
      </c>
      <c r="B105" s="57" t="s">
        <v>155</v>
      </c>
      <c r="C105" s="57" t="s">
        <v>155</v>
      </c>
      <c r="D105" s="57"/>
      <c r="E105" s="57">
        <f>+E104-G104</f>
        <v>0</v>
      </c>
      <c r="F105" s="57" t="s">
        <v>156</v>
      </c>
      <c r="G105" s="57">
        <f>INT(E105)</f>
        <v>0</v>
      </c>
      <c r="H105" s="57" t="str">
        <f>IF(OR(G104=10,G104=20)," ",IF(AND(G105=100,G106=0,G107=0),IF(G105=0," ",LOOKUP(G105,A102:C147,B102:B147)),IF(G105=0," ",LOOKUP(G105,A102:C147,B102:B147))))</f>
        <v xml:space="preserve"> </v>
      </c>
      <c r="I105" s="57" t="str">
        <f>IF(AND(G103=0,G104=0,G105=1),"Billón",IF(SUM(G103:G105)=0," ","Billones"))</f>
        <v xml:space="preserve"> </v>
      </c>
      <c r="J105" s="57"/>
      <c r="K105" s="57"/>
      <c r="L105" s="57"/>
    </row>
    <row r="106" spans="1:12" hidden="1" x14ac:dyDescent="0.3">
      <c r="A106" s="57">
        <v>4</v>
      </c>
      <c r="B106" s="57" t="s">
        <v>157</v>
      </c>
      <c r="C106" s="57" t="s">
        <v>157</v>
      </c>
      <c r="D106" s="57"/>
      <c r="E106" s="57">
        <f>INT((D98-(INT(D98/1000000000000)*1000000000000))/1000000000)</f>
        <v>0</v>
      </c>
      <c r="F106" s="57" t="s">
        <v>151</v>
      </c>
      <c r="G106" s="57">
        <f>INT(E106/100)*100</f>
        <v>0</v>
      </c>
      <c r="H106" s="57" t="str">
        <f>IF(AND(G106=100,G107=0,G108=0),IF(G106=0," ",LOOKUP(G106,A102:C147,B102:B147)),IF(G106=0," ",LOOKUP(G106,A102:C147,C102:C147)))</f>
        <v xml:space="preserve"> </v>
      </c>
      <c r="I106" s="57"/>
      <c r="J106" s="57" t="s">
        <v>158</v>
      </c>
      <c r="K106" s="57"/>
      <c r="L106" s="57"/>
    </row>
    <row r="107" spans="1:12" hidden="1" x14ac:dyDescent="0.3">
      <c r="A107" s="57">
        <v>5</v>
      </c>
      <c r="B107" s="57" t="s">
        <v>159</v>
      </c>
      <c r="C107" s="57" t="s">
        <v>159</v>
      </c>
      <c r="D107" s="57"/>
      <c r="E107" s="57">
        <f>+E106-G106</f>
        <v>0</v>
      </c>
      <c r="F107" s="57" t="s">
        <v>154</v>
      </c>
      <c r="G107" s="57">
        <f>INT(E107/10)*10</f>
        <v>0</v>
      </c>
      <c r="H107" s="57" t="str">
        <f>IF(OR(G107=10,G107=20),LOOKUP(E107,A102:C147,C102:C147),IF(AND(G107=100,G108=0,G109=0),IF(G107=0," ",LOOKUP(G107,A102:C147,B102:B147)),IF(G107=0," ",LOOKUP(G107,A102:C147,C102:C147))))</f>
        <v xml:space="preserve"> </v>
      </c>
      <c r="I107" s="57" t="str">
        <f>IF(G108=0," ",IF(AND(G107&gt;20,G107&lt;=90),"y"," "))</f>
        <v xml:space="preserve"> </v>
      </c>
      <c r="J107" s="57"/>
      <c r="K107" s="57"/>
      <c r="L107" s="57"/>
    </row>
    <row r="108" spans="1:12" hidden="1" x14ac:dyDescent="0.3">
      <c r="A108" s="57">
        <v>6</v>
      </c>
      <c r="B108" s="57" t="s">
        <v>160</v>
      </c>
      <c r="C108" s="57" t="s">
        <v>160</v>
      </c>
      <c r="D108" s="57"/>
      <c r="E108" s="57">
        <f>+E107-G107</f>
        <v>0</v>
      </c>
      <c r="F108" s="57" t="s">
        <v>156</v>
      </c>
      <c r="G108" s="57">
        <f>INT(E108)</f>
        <v>0</v>
      </c>
      <c r="H108" s="57" t="str">
        <f>IF(AND(G106=0,G107=0,G108=1)," ",IF(AND(G103=0,G104=0,G105=0,G106=0,G107=0,G108=1)," ",IF(OR(G107=10,G107=20)," ",IF(AND(G108=100,G109=0,G110=0),IF(G108=0," ",LOOKUP(G108,A102:C147,B102:B147)),IF(G108=0," ",LOOKUP(G108,A102:C147,B102:B147))))))</f>
        <v xml:space="preserve"> </v>
      </c>
      <c r="I108" s="57" t="str">
        <f>IF(AND(G106=0,G107=0,G108=1),"Mil",IF(SUM(G106:G108)=0," ","Mil"))</f>
        <v xml:space="preserve"> </v>
      </c>
      <c r="J108" s="57"/>
      <c r="K108" s="57"/>
      <c r="L108" s="57"/>
    </row>
    <row r="109" spans="1:12" hidden="1" x14ac:dyDescent="0.3">
      <c r="A109" s="57">
        <v>7</v>
      </c>
      <c r="B109" s="57" t="s">
        <v>161</v>
      </c>
      <c r="C109" s="57" t="s">
        <v>161</v>
      </c>
      <c r="D109" s="57"/>
      <c r="E109" s="57">
        <f>INT((D98-(INT(D98/1000000000)*1000000000))/1000000)</f>
        <v>1</v>
      </c>
      <c r="F109" s="57" t="s">
        <v>151</v>
      </c>
      <c r="G109" s="57">
        <f>INT(E109/100)*100</f>
        <v>0</v>
      </c>
      <c r="H109" s="57" t="str">
        <f>IF(AND(G109=100,G110=0,G111=0),IF(G109=0," ",LOOKUP(G109,A102:C147,B102:B147)),IF(G109=0," ",LOOKUP(G109,A102:C147,C102:C147)))</f>
        <v xml:space="preserve"> </v>
      </c>
      <c r="I109" s="57"/>
      <c r="J109" s="57" t="s">
        <v>162</v>
      </c>
      <c r="K109" s="57"/>
      <c r="L109" s="57"/>
    </row>
    <row r="110" spans="1:12" hidden="1" x14ac:dyDescent="0.3">
      <c r="A110" s="57">
        <v>8</v>
      </c>
      <c r="B110" s="57" t="s">
        <v>163</v>
      </c>
      <c r="C110" s="57" t="s">
        <v>163</v>
      </c>
      <c r="D110" s="57"/>
      <c r="E110" s="57">
        <f>+E109-G109</f>
        <v>1</v>
      </c>
      <c r="F110" s="57" t="s">
        <v>154</v>
      </c>
      <c r="G110" s="57">
        <f>INT(E110/10)*10</f>
        <v>0</v>
      </c>
      <c r="H110" s="57" t="str">
        <f>IF(OR(G110=10,G110=20),LOOKUP(E110,A102:C147,C102:C147),IF(AND(G110=100,G111=0,G115=0),IF(G110=0," ",LOOKUP(G110,A102:C147,B102:B147)),IF(G110=0," ",LOOKUP(G110,A102:C147,C102:C147))))</f>
        <v xml:space="preserve"> </v>
      </c>
      <c r="I110" s="57" t="str">
        <f>IF(G111=0," ",IF(AND(G110&gt;20,G110&lt;=90),"y"," "))</f>
        <v xml:space="preserve"> </v>
      </c>
      <c r="J110" s="57"/>
      <c r="K110" s="57"/>
      <c r="L110" s="57"/>
    </row>
    <row r="111" spans="1:12" hidden="1" x14ac:dyDescent="0.3">
      <c r="A111" s="57">
        <v>9</v>
      </c>
      <c r="B111" s="57" t="s">
        <v>164</v>
      </c>
      <c r="C111" s="57" t="s">
        <v>164</v>
      </c>
      <c r="D111" s="57"/>
      <c r="E111" s="57">
        <f>+E110-G110</f>
        <v>1</v>
      </c>
      <c r="F111" s="57" t="s">
        <v>156</v>
      </c>
      <c r="G111" s="57">
        <f>INT(E111)</f>
        <v>1</v>
      </c>
      <c r="H111" s="57" t="str">
        <f>IF(AND(G109=0,G110=0,G111=1),"Un",IF(AND(G106=0,G107=0,G108=0,G109=0,G110=0,G111=1)," ",IF(OR(G110=10,G110=20)," ",IF(AND(G111=100,G115=0,G122=0),IF(G111=0," ",LOOKUP(G111,A102:C147,B102:B147)),IF(G111=0," ",LOOKUP(G111,A102:C147,B102:B147))))))</f>
        <v>Un</v>
      </c>
      <c r="I111" s="57" t="str">
        <f>IF(AND(OR(G106&gt;0,G107&gt;0,G108&gt;0),G109=0,G110=0,G111=0),"Millones",IF(AND(G106=0,G107=0,G108=0,G109=0,G110=0,G111=1),"Millón",IF(SUM(G109:G111)=0," ","Millones")))</f>
        <v>Millón</v>
      </c>
      <c r="J111" s="57"/>
      <c r="K111" s="57"/>
      <c r="L111" s="57"/>
    </row>
    <row r="112" spans="1:12" hidden="1" x14ac:dyDescent="0.3">
      <c r="A112" s="57">
        <v>10</v>
      </c>
      <c r="B112" s="57" t="s">
        <v>165</v>
      </c>
      <c r="C112" s="57" t="s">
        <v>165</v>
      </c>
      <c r="D112" s="57"/>
      <c r="E112" s="57">
        <f>INT((D98-(INT(D98/1000000)*1000000))/1000)</f>
        <v>500</v>
      </c>
      <c r="F112" s="57" t="s">
        <v>151</v>
      </c>
      <c r="G112" s="57">
        <f>INT(E112/100)*100</f>
        <v>500</v>
      </c>
      <c r="H112" s="57" t="str">
        <f>IF(AND(G112=100,G113=0,G114=0),IF(G112=0," ",LOOKUP(G112,A102:C147,B102:B147)),IF(G112=0," ",LOOKUP(G112,A102:C147,C102:C147)))</f>
        <v>Quinientos</v>
      </c>
      <c r="I112" s="57"/>
      <c r="J112" s="57" t="s">
        <v>166</v>
      </c>
      <c r="K112" s="57"/>
      <c r="L112" s="57"/>
    </row>
    <row r="113" spans="1:12" hidden="1" x14ac:dyDescent="0.3">
      <c r="A113" s="57">
        <v>11</v>
      </c>
      <c r="B113" s="57" t="s">
        <v>167</v>
      </c>
      <c r="C113" s="57" t="s">
        <v>167</v>
      </c>
      <c r="D113" s="57"/>
      <c r="E113" s="57">
        <f>+E112-G112</f>
        <v>0</v>
      </c>
      <c r="F113" s="57" t="s">
        <v>154</v>
      </c>
      <c r="G113" s="57">
        <f>INT(E113/10)*10</f>
        <v>0</v>
      </c>
      <c r="H113" s="57" t="str">
        <f>IF(OR(G113=10,G113=20),LOOKUP(E113,A102:C147,C102:C147),IF(AND(G113=100,G114=0,F120=0),IF(G113=0," ",LOOKUP(G113,A102:C147,B102:B147)),IF(G113=0," ",LOOKUP(G113,A102:C147,C102:C147))))</f>
        <v xml:space="preserve"> </v>
      </c>
      <c r="I113" s="57" t="str">
        <f>IF(G114=0," ",IF(AND(G113&gt;20,G113&lt;=90),"y"," "))</f>
        <v xml:space="preserve"> </v>
      </c>
      <c r="J113" s="57"/>
      <c r="K113" s="57"/>
      <c r="L113" s="57"/>
    </row>
    <row r="114" spans="1:12" hidden="1" x14ac:dyDescent="0.3">
      <c r="A114" s="57">
        <v>12</v>
      </c>
      <c r="B114" s="57" t="s">
        <v>168</v>
      </c>
      <c r="C114" s="57" t="s">
        <v>168</v>
      </c>
      <c r="D114" s="57"/>
      <c r="E114" s="57">
        <f>+E113-G113</f>
        <v>0</v>
      </c>
      <c r="F114" s="57" t="s">
        <v>156</v>
      </c>
      <c r="G114" s="57">
        <f>INT(E114)</f>
        <v>0</v>
      </c>
      <c r="H114" s="57" t="str">
        <f>IF(AND(G112=0,G113=0,G114=1)," ",IF(AND(G109=0,G110=0,G111=0,G112=0,G113=0,G114=1)," ",IF(OR(G113=10,G113=20)," ",IF(AND(G114=100,F120=0,F121=0),IF(G114=0," ",LOOKUP(G114,A102:C147,B102:B147)),IF(G114=0," ",LOOKUP(G114,A102:C147,B102:B147))))))</f>
        <v xml:space="preserve"> </v>
      </c>
      <c r="I114" s="57" t="str">
        <f>IF(AND(G112=0,G113=0,G114=1),"Mil",IF(SUM(G112:G114)=0," ","Mil"))</f>
        <v>Mil</v>
      </c>
      <c r="J114" s="57"/>
      <c r="K114" s="57"/>
      <c r="L114" s="57"/>
    </row>
    <row r="115" spans="1:12" hidden="1" x14ac:dyDescent="0.3">
      <c r="A115" s="57">
        <v>13</v>
      </c>
      <c r="B115" s="57" t="s">
        <v>169</v>
      </c>
      <c r="C115" s="57" t="s">
        <v>169</v>
      </c>
      <c r="D115" s="57"/>
      <c r="E115" s="57">
        <f>INT((D98-(INT(D98/1000)*1000))/1)</f>
        <v>0</v>
      </c>
      <c r="F115" s="57" t="s">
        <v>151</v>
      </c>
      <c r="G115" s="57">
        <f>INT(E115/100)*100</f>
        <v>0</v>
      </c>
      <c r="H115" s="57" t="str">
        <f>IF(AND(G115=100,G116=0,G117=0),IF(G115=0," ",LOOKUP(G115,A102:C147,B102:B147)),IF(G115=0," ",LOOKUP(G115,A102:C147,C102:C147)))</f>
        <v xml:space="preserve"> </v>
      </c>
      <c r="I115" s="57"/>
      <c r="J115" s="57" t="s">
        <v>170</v>
      </c>
      <c r="K115" s="57"/>
      <c r="L115" s="57"/>
    </row>
    <row r="116" spans="1:12" hidden="1" x14ac:dyDescent="0.3">
      <c r="A116" s="57">
        <v>14</v>
      </c>
      <c r="B116" s="57" t="s">
        <v>171</v>
      </c>
      <c r="C116" s="57" t="s">
        <v>171</v>
      </c>
      <c r="D116" s="57"/>
      <c r="E116" s="57">
        <f>+E115-G115</f>
        <v>0</v>
      </c>
      <c r="F116" s="57" t="s">
        <v>154</v>
      </c>
      <c r="G116" s="57">
        <f>INT(E116/10)*10</f>
        <v>0</v>
      </c>
      <c r="H116" s="57" t="str">
        <f>IF(OR(G116=10,G116=20),LOOKUP(E116,A102:C147,C102:C147),IF(AND(G116=100,G117=0,G127=0),IF(G116=0," ",LOOKUP(G116,A102:C147,B102:B147)),IF(G116=0," ",LOOKUP(G116,A102:C147,C102:C147))))</f>
        <v xml:space="preserve"> </v>
      </c>
      <c r="I116" s="57" t="str">
        <f>IF(G117=0," ",IF(AND(G116&gt;20,G116&lt;=90),"y"," "))</f>
        <v xml:space="preserve"> </v>
      </c>
      <c r="J116" s="57"/>
      <c r="K116" s="57"/>
      <c r="L116" s="57"/>
    </row>
    <row r="117" spans="1:12" hidden="1" x14ac:dyDescent="0.3">
      <c r="A117" s="57">
        <v>15</v>
      </c>
      <c r="B117" s="57" t="s">
        <v>172</v>
      </c>
      <c r="C117" s="57" t="s">
        <v>172</v>
      </c>
      <c r="D117" s="57"/>
      <c r="E117" s="57">
        <f>+E116-G116</f>
        <v>0</v>
      </c>
      <c r="F117" s="57" t="s">
        <v>156</v>
      </c>
      <c r="G117" s="57">
        <f>INT(E117)</f>
        <v>0</v>
      </c>
      <c r="H117" s="57" t="str">
        <f>IF(AND(G115=0,G116=0,G117=1),"Un",IF(AND(G112=0,G113=0,G114=0,G115=0,G116=0,G117=1)," ",IF(OR(G116=10,G116=20)," ",IF(AND(G117=100,G127=0,G128=0),IF(G117=0," ",LOOKUP(G117,A102:C147,B102:B147)),IF(G117=0," ",LOOKUP(G117,A102:C147,B102:B147))))))</f>
        <v xml:space="preserve"> </v>
      </c>
      <c r="I117" s="57"/>
      <c r="J117" s="57"/>
      <c r="K117" s="57"/>
      <c r="L117" s="57"/>
    </row>
    <row r="118" spans="1:12" hidden="1" x14ac:dyDescent="0.3">
      <c r="A118" s="57">
        <v>16</v>
      </c>
      <c r="B118" s="57" t="s">
        <v>173</v>
      </c>
      <c r="C118" s="57" t="s">
        <v>173</v>
      </c>
      <c r="D118" s="57"/>
      <c r="E118" s="57"/>
      <c r="F118" s="57"/>
      <c r="G118" s="57"/>
      <c r="H118" s="57"/>
      <c r="I118" s="57"/>
      <c r="J118" s="57"/>
      <c r="K118" s="57"/>
      <c r="L118" s="57"/>
    </row>
    <row r="119" spans="1:12" hidden="1" x14ac:dyDescent="0.3">
      <c r="A119" s="57">
        <v>17</v>
      </c>
      <c r="B119" s="57" t="s">
        <v>174</v>
      </c>
      <c r="C119" s="57" t="s">
        <v>174</v>
      </c>
      <c r="D119" s="57"/>
      <c r="E119" s="57"/>
      <c r="F119" s="57"/>
      <c r="G119" s="57"/>
      <c r="H119" s="57"/>
      <c r="I119" s="57"/>
      <c r="J119" s="57"/>
      <c r="K119" s="57"/>
      <c r="L119" s="57"/>
    </row>
    <row r="120" spans="1:12" hidden="1" x14ac:dyDescent="0.3">
      <c r="A120" s="57">
        <v>18</v>
      </c>
      <c r="B120" s="57" t="s">
        <v>175</v>
      </c>
      <c r="C120" s="57" t="s">
        <v>175</v>
      </c>
      <c r="D120" s="57"/>
      <c r="E120" s="57"/>
      <c r="F120" s="57"/>
      <c r="G120" s="57"/>
      <c r="H120" s="57"/>
      <c r="I120" s="57"/>
      <c r="J120" s="57"/>
      <c r="K120" s="57"/>
      <c r="L120" s="57"/>
    </row>
    <row r="121" spans="1:12" hidden="1" x14ac:dyDescent="0.3">
      <c r="A121" s="57">
        <v>19</v>
      </c>
      <c r="B121" s="57" t="s">
        <v>176</v>
      </c>
      <c r="C121" s="57" t="s">
        <v>176</v>
      </c>
      <c r="D121" s="57"/>
      <c r="E121" s="57"/>
      <c r="F121" s="57"/>
      <c r="G121" s="57"/>
      <c r="H121" s="57"/>
      <c r="I121" s="57"/>
      <c r="J121" s="57"/>
      <c r="K121" s="57"/>
      <c r="L121" s="57"/>
    </row>
    <row r="122" spans="1:12" hidden="1" x14ac:dyDescent="0.3">
      <c r="A122" s="57">
        <v>20</v>
      </c>
      <c r="B122" s="57" t="s">
        <v>177</v>
      </c>
      <c r="C122" s="57" t="s">
        <v>177</v>
      </c>
      <c r="D122" s="57" t="str">
        <f>H103&amp;" "&amp;H104&amp;" "&amp;I104&amp;" "&amp;" "&amp;H105&amp;" "&amp;I105&amp;" "&amp;H106&amp;" "&amp;H107&amp;" "&amp;I107&amp;" "&amp;" "&amp;H108&amp;" "&amp;I108&amp;" "&amp;H109&amp;" "&amp;H110&amp;" "&amp;I110&amp;" "&amp;H111&amp;" "&amp;I111&amp;" "&amp;H112&amp;" "&amp;H113&amp;" "&amp;I113&amp;" "&amp;H114&amp;" "&amp;I114&amp;" "&amp;H115&amp;" "&amp;H116&amp;" "&amp;I116&amp;" "&amp;H117&amp;" "&amp;H124</f>
        <v xml:space="preserve">                            Un Millón Quinientos       Mil         Pesos M/Cte</v>
      </c>
      <c r="E122" s="57"/>
      <c r="F122" s="57"/>
      <c r="G122" s="57"/>
      <c r="H122" s="57"/>
      <c r="I122" s="57"/>
      <c r="J122" s="57"/>
      <c r="K122" s="57"/>
      <c r="L122" s="57"/>
    </row>
    <row r="123" spans="1:12" hidden="1" x14ac:dyDescent="0.3">
      <c r="A123" s="57">
        <v>21</v>
      </c>
      <c r="B123" s="57" t="s">
        <v>178</v>
      </c>
      <c r="C123" s="57" t="s">
        <v>179</v>
      </c>
      <c r="D123" s="57"/>
      <c r="E123" s="57"/>
      <c r="F123" s="57"/>
      <c r="G123" s="57"/>
      <c r="H123" s="57"/>
      <c r="I123" s="57"/>
      <c r="J123" s="57"/>
      <c r="K123" s="57"/>
      <c r="L123" s="57"/>
    </row>
    <row r="124" spans="1:12" hidden="1" x14ac:dyDescent="0.3">
      <c r="A124" s="57">
        <v>22</v>
      </c>
      <c r="B124" s="57" t="s">
        <v>180</v>
      </c>
      <c r="C124" s="57" t="s">
        <v>180</v>
      </c>
      <c r="D124" s="57"/>
      <c r="E124" s="57"/>
      <c r="F124" s="57"/>
      <c r="G124" s="57"/>
      <c r="H124" s="57" t="str">
        <f>IF(F125&lt;&gt;0,"de Pesos M/Cte",IF(D98=1,"Peso M/Cte","Pesos M/Cte"))</f>
        <v>Pesos M/Cte</v>
      </c>
      <c r="I124" s="57"/>
      <c r="J124" s="57"/>
      <c r="K124" s="57"/>
      <c r="L124" s="57"/>
    </row>
    <row r="125" spans="1:12" hidden="1" x14ac:dyDescent="0.3">
      <c r="A125" s="57">
        <v>23</v>
      </c>
      <c r="B125" s="57" t="s">
        <v>181</v>
      </c>
      <c r="C125" s="57" t="s">
        <v>181</v>
      </c>
      <c r="D125" s="57"/>
      <c r="E125" s="57">
        <f>D98/1000000</f>
        <v>1.5</v>
      </c>
      <c r="F125" s="57">
        <f>IF(E125=INT(E125),"De Pesos M/Cte",0)</f>
        <v>0</v>
      </c>
      <c r="G125" s="57"/>
      <c r="H125" s="57"/>
      <c r="I125" s="57"/>
      <c r="J125" s="57"/>
      <c r="K125" s="57"/>
      <c r="L125" s="57"/>
    </row>
    <row r="126" spans="1:12" hidden="1" x14ac:dyDescent="0.3">
      <c r="A126" s="57">
        <v>24</v>
      </c>
      <c r="B126" s="57" t="s">
        <v>182</v>
      </c>
      <c r="C126" s="57" t="s">
        <v>182</v>
      </c>
      <c r="D126" s="57"/>
      <c r="E126" s="57"/>
      <c r="F126" s="57"/>
      <c r="G126" s="57"/>
      <c r="H126" s="57"/>
      <c r="I126" s="57"/>
      <c r="J126" s="57"/>
      <c r="K126" s="57"/>
      <c r="L126" s="57"/>
    </row>
    <row r="127" spans="1:12" hidden="1" x14ac:dyDescent="0.3">
      <c r="A127" s="57">
        <v>25</v>
      </c>
      <c r="B127" s="57" t="s">
        <v>183</v>
      </c>
      <c r="C127" s="57" t="s">
        <v>183</v>
      </c>
      <c r="D127" s="57"/>
      <c r="E127" s="57"/>
      <c r="F127" s="57"/>
      <c r="G127" s="57"/>
      <c r="H127" s="57"/>
      <c r="I127" s="57"/>
      <c r="J127" s="57"/>
      <c r="K127" s="57"/>
      <c r="L127" s="57"/>
    </row>
    <row r="128" spans="1:12" hidden="1" x14ac:dyDescent="0.3">
      <c r="A128" s="57">
        <v>26</v>
      </c>
      <c r="B128" s="57" t="s">
        <v>184</v>
      </c>
      <c r="C128" s="57" t="s">
        <v>184</v>
      </c>
      <c r="D128" s="57"/>
      <c r="E128" s="57"/>
      <c r="F128" s="57"/>
      <c r="G128" s="57"/>
      <c r="H128" s="57"/>
      <c r="I128" s="57"/>
      <c r="J128" s="57"/>
      <c r="K128" s="57"/>
      <c r="L128" s="57"/>
    </row>
    <row r="129" spans="1:12" hidden="1" x14ac:dyDescent="0.3">
      <c r="A129" s="57">
        <v>27</v>
      </c>
      <c r="B129" s="57" t="s">
        <v>185</v>
      </c>
      <c r="C129" s="57" t="s">
        <v>185</v>
      </c>
      <c r="D129" s="57"/>
      <c r="E129" s="57"/>
      <c r="F129" s="57"/>
      <c r="G129" s="57"/>
      <c r="H129" s="57"/>
      <c r="I129" s="57"/>
      <c r="J129" s="57"/>
      <c r="K129" s="57"/>
      <c r="L129" s="57"/>
    </row>
    <row r="130" spans="1:12" hidden="1" x14ac:dyDescent="0.3">
      <c r="A130" s="57">
        <v>28</v>
      </c>
      <c r="B130" s="57" t="s">
        <v>186</v>
      </c>
      <c r="C130" s="57" t="s">
        <v>186</v>
      </c>
      <c r="D130" s="57"/>
      <c r="E130" s="57"/>
      <c r="F130" s="57"/>
      <c r="G130" s="57"/>
      <c r="H130" s="57"/>
      <c r="I130" s="57"/>
      <c r="J130" s="57"/>
      <c r="K130" s="57"/>
      <c r="L130" s="57"/>
    </row>
    <row r="131" spans="1:12" hidden="1" x14ac:dyDescent="0.3">
      <c r="A131" s="57">
        <v>29</v>
      </c>
      <c r="B131" s="57" t="s">
        <v>187</v>
      </c>
      <c r="C131" s="57" t="s">
        <v>187</v>
      </c>
      <c r="D131" s="57"/>
      <c r="E131" s="57"/>
      <c r="F131" s="57"/>
      <c r="G131" s="57"/>
      <c r="H131" s="57"/>
      <c r="I131" s="57"/>
      <c r="J131" s="57"/>
      <c r="K131" s="57"/>
      <c r="L131" s="57"/>
    </row>
    <row r="132" spans="1:12" hidden="1" x14ac:dyDescent="0.3">
      <c r="A132" s="57">
        <v>30</v>
      </c>
      <c r="B132" s="57" t="s">
        <v>188</v>
      </c>
      <c r="C132" s="57" t="s">
        <v>188</v>
      </c>
      <c r="D132" s="57"/>
      <c r="E132" s="57"/>
      <c r="F132" s="57"/>
      <c r="G132" s="57"/>
      <c r="H132" s="57"/>
      <c r="I132" s="57"/>
      <c r="J132" s="57"/>
      <c r="K132" s="57"/>
      <c r="L132" s="57"/>
    </row>
    <row r="133" spans="1:12" hidden="1" x14ac:dyDescent="0.3">
      <c r="A133" s="57">
        <v>40</v>
      </c>
      <c r="B133" s="57" t="s">
        <v>189</v>
      </c>
      <c r="C133" s="57" t="s">
        <v>189</v>
      </c>
      <c r="D133" s="57"/>
      <c r="E133" s="57"/>
      <c r="F133" s="57"/>
      <c r="G133" s="57"/>
      <c r="H133" s="57"/>
      <c r="I133" s="57"/>
      <c r="J133" s="57"/>
      <c r="K133" s="57"/>
      <c r="L133" s="57"/>
    </row>
    <row r="134" spans="1:12" hidden="1" x14ac:dyDescent="0.3">
      <c r="A134" s="57">
        <v>50</v>
      </c>
      <c r="B134" s="57" t="s">
        <v>190</v>
      </c>
      <c r="C134" s="57" t="s">
        <v>190</v>
      </c>
      <c r="D134" s="57"/>
      <c r="E134" s="57"/>
      <c r="F134" s="57"/>
      <c r="G134" s="57"/>
      <c r="H134" s="57"/>
      <c r="I134" s="57"/>
      <c r="J134" s="57"/>
      <c r="K134" s="57"/>
      <c r="L134" s="57"/>
    </row>
    <row r="135" spans="1:12" hidden="1" x14ac:dyDescent="0.3">
      <c r="A135" s="57">
        <v>60</v>
      </c>
      <c r="B135" s="57" t="s">
        <v>191</v>
      </c>
      <c r="C135" s="57" t="s">
        <v>191</v>
      </c>
      <c r="D135" s="57"/>
      <c r="E135" s="57"/>
      <c r="F135" s="57"/>
      <c r="G135" s="57"/>
      <c r="H135" s="57"/>
      <c r="I135" s="57"/>
      <c r="J135" s="57"/>
      <c r="K135" s="57"/>
      <c r="L135" s="57"/>
    </row>
    <row r="136" spans="1:12" hidden="1" x14ac:dyDescent="0.3">
      <c r="A136" s="57">
        <v>70</v>
      </c>
      <c r="B136" s="57" t="s">
        <v>192</v>
      </c>
      <c r="C136" s="57" t="s">
        <v>192</v>
      </c>
      <c r="D136" s="57"/>
      <c r="E136" s="57"/>
      <c r="F136" s="57"/>
      <c r="G136" s="57"/>
      <c r="H136" s="57"/>
      <c r="I136" s="57"/>
      <c r="J136" s="57"/>
      <c r="K136" s="57"/>
      <c r="L136" s="57"/>
    </row>
    <row r="137" spans="1:12" hidden="1" x14ac:dyDescent="0.3">
      <c r="A137" s="57">
        <v>80</v>
      </c>
      <c r="B137" s="57" t="s">
        <v>193</v>
      </c>
      <c r="C137" s="57" t="s">
        <v>193</v>
      </c>
      <c r="D137" s="57"/>
      <c r="E137" s="57"/>
      <c r="F137" s="57"/>
      <c r="G137" s="57"/>
      <c r="H137" s="57"/>
      <c r="I137" s="57"/>
      <c r="J137" s="57"/>
      <c r="K137" s="57"/>
      <c r="L137" s="57"/>
    </row>
    <row r="138" spans="1:12" hidden="1" x14ac:dyDescent="0.3">
      <c r="A138" s="57">
        <v>90</v>
      </c>
      <c r="B138" s="57" t="s">
        <v>194</v>
      </c>
      <c r="C138" s="57" t="s">
        <v>194</v>
      </c>
      <c r="D138" s="57"/>
      <c r="E138" s="57"/>
      <c r="F138" s="57"/>
      <c r="G138" s="57"/>
      <c r="H138" s="57"/>
      <c r="I138" s="57"/>
      <c r="J138" s="57"/>
      <c r="K138" s="57"/>
      <c r="L138" s="57"/>
    </row>
    <row r="139" spans="1:12" hidden="1" x14ac:dyDescent="0.3">
      <c r="A139" s="57">
        <v>100</v>
      </c>
      <c r="B139" s="57" t="s">
        <v>195</v>
      </c>
      <c r="C139" s="57" t="s">
        <v>196</v>
      </c>
      <c r="D139" s="57"/>
      <c r="E139" s="57"/>
      <c r="F139" s="57"/>
      <c r="G139" s="57"/>
      <c r="H139" s="57"/>
      <c r="I139" s="57"/>
      <c r="J139" s="57"/>
      <c r="K139" s="57"/>
      <c r="L139" s="57"/>
    </row>
    <row r="140" spans="1:12" hidden="1" x14ac:dyDescent="0.3">
      <c r="A140" s="57">
        <v>200</v>
      </c>
      <c r="B140" s="57" t="s">
        <v>197</v>
      </c>
      <c r="C140" s="57" t="s">
        <v>197</v>
      </c>
      <c r="D140" s="57"/>
      <c r="E140" s="57"/>
      <c r="F140" s="57"/>
      <c r="G140" s="57"/>
      <c r="H140" s="57"/>
      <c r="I140" s="57"/>
      <c r="J140" s="57"/>
      <c r="K140" s="57"/>
      <c r="L140" s="57"/>
    </row>
    <row r="141" spans="1:12" hidden="1" x14ac:dyDescent="0.3">
      <c r="A141" s="57">
        <v>300</v>
      </c>
      <c r="B141" s="57" t="s">
        <v>198</v>
      </c>
      <c r="C141" s="57" t="s">
        <v>198</v>
      </c>
      <c r="D141" s="57"/>
      <c r="E141" s="57"/>
      <c r="F141" s="57"/>
      <c r="G141" s="57"/>
      <c r="H141" s="57"/>
      <c r="I141" s="57"/>
      <c r="J141" s="57"/>
      <c r="K141" s="57"/>
      <c r="L141" s="57"/>
    </row>
    <row r="142" spans="1:12" hidden="1" x14ac:dyDescent="0.3">
      <c r="A142" s="57">
        <v>400</v>
      </c>
      <c r="B142" s="57" t="s">
        <v>199</v>
      </c>
      <c r="C142" s="57" t="s">
        <v>199</v>
      </c>
      <c r="D142" s="57"/>
      <c r="E142" s="57"/>
      <c r="F142" s="57"/>
      <c r="G142" s="57"/>
      <c r="H142" s="57"/>
      <c r="I142" s="57"/>
      <c r="J142" s="57"/>
      <c r="K142" s="57"/>
      <c r="L142" s="57"/>
    </row>
    <row r="143" spans="1:12" hidden="1" x14ac:dyDescent="0.3">
      <c r="A143" s="57">
        <v>500</v>
      </c>
      <c r="B143" s="57" t="s">
        <v>200</v>
      </c>
      <c r="C143" s="57" t="s">
        <v>200</v>
      </c>
      <c r="D143" s="57"/>
      <c r="E143" s="57"/>
      <c r="F143" s="57"/>
      <c r="G143" s="57"/>
      <c r="H143" s="57"/>
      <c r="I143" s="57"/>
      <c r="J143" s="57"/>
      <c r="K143" s="57"/>
      <c r="L143" s="57"/>
    </row>
    <row r="144" spans="1:12" hidden="1" x14ac:dyDescent="0.3">
      <c r="A144" s="57">
        <v>600</v>
      </c>
      <c r="B144" s="57" t="s">
        <v>201</v>
      </c>
      <c r="C144" s="57" t="s">
        <v>201</v>
      </c>
      <c r="D144" s="57"/>
      <c r="E144" s="57"/>
      <c r="F144" s="57"/>
      <c r="G144" s="57"/>
      <c r="H144" s="57"/>
      <c r="I144" s="57"/>
      <c r="J144" s="57"/>
      <c r="K144" s="57"/>
      <c r="L144" s="57"/>
    </row>
    <row r="145" spans="1:12" hidden="1" x14ac:dyDescent="0.3">
      <c r="A145" s="57">
        <v>700</v>
      </c>
      <c r="B145" s="57" t="s">
        <v>202</v>
      </c>
      <c r="C145" s="57" t="s">
        <v>202</v>
      </c>
      <c r="D145" s="57"/>
      <c r="E145" s="57"/>
      <c r="F145" s="57"/>
      <c r="G145" s="57"/>
      <c r="H145" s="57"/>
      <c r="I145" s="57"/>
      <c r="J145" s="57"/>
      <c r="K145" s="57"/>
      <c r="L145" s="57"/>
    </row>
    <row r="146" spans="1:12" hidden="1" x14ac:dyDescent="0.3">
      <c r="A146" s="57">
        <v>800</v>
      </c>
      <c r="B146" s="57" t="s">
        <v>203</v>
      </c>
      <c r="C146" s="57" t="s">
        <v>203</v>
      </c>
      <c r="D146" s="57"/>
      <c r="E146" s="57"/>
      <c r="F146" s="57"/>
      <c r="G146" s="57"/>
      <c r="H146" s="57"/>
      <c r="I146" s="57"/>
      <c r="J146" s="57"/>
      <c r="K146" s="57"/>
      <c r="L146" s="57"/>
    </row>
    <row r="147" spans="1:12" hidden="1" x14ac:dyDescent="0.3">
      <c r="A147" s="57">
        <v>900</v>
      </c>
      <c r="B147" s="57" t="s">
        <v>204</v>
      </c>
      <c r="C147" s="57" t="s">
        <v>204</v>
      </c>
      <c r="D147" s="57"/>
      <c r="E147" s="57"/>
      <c r="F147" s="57"/>
      <c r="G147" s="57"/>
      <c r="H147" s="57"/>
      <c r="I147" s="57"/>
      <c r="J147" s="57"/>
      <c r="K147" s="57"/>
      <c r="L147" s="57"/>
    </row>
  </sheetData>
  <sheetProtection password="CCE3" sheet="1" objects="1" scenarios="1" formatCells="0" insertRows="0"/>
  <mergeCells count="298">
    <mergeCell ref="F57:I57"/>
    <mergeCell ref="B37:O37"/>
    <mergeCell ref="B51:E51"/>
    <mergeCell ref="F51:I51"/>
    <mergeCell ref="B52:E52"/>
    <mergeCell ref="I68:L68"/>
    <mergeCell ref="B57:E57"/>
    <mergeCell ref="N68:Q68"/>
    <mergeCell ref="P54:R54"/>
    <mergeCell ref="B58:E58"/>
    <mergeCell ref="B55:E55"/>
    <mergeCell ref="B56:E56"/>
    <mergeCell ref="B66:E66"/>
    <mergeCell ref="B63:O63"/>
    <mergeCell ref="P63:AA63"/>
    <mergeCell ref="F62:O62"/>
    <mergeCell ref="P62:R62"/>
    <mergeCell ref="K65:O65"/>
    <mergeCell ref="P65:R65"/>
    <mergeCell ref="S65:U65"/>
    <mergeCell ref="V65:X65"/>
    <mergeCell ref="K61:M61"/>
    <mergeCell ref="N61:O61"/>
    <mergeCell ref="K56:M56"/>
    <mergeCell ref="N56:O56"/>
    <mergeCell ref="B33:O33"/>
    <mergeCell ref="B34:O34"/>
    <mergeCell ref="B35:O35"/>
    <mergeCell ref="B36:O36"/>
    <mergeCell ref="B39:O39"/>
    <mergeCell ref="B40:O40"/>
    <mergeCell ref="N49:O49"/>
    <mergeCell ref="K57:M57"/>
    <mergeCell ref="N57:O57"/>
    <mergeCell ref="B49:E49"/>
    <mergeCell ref="F49:I49"/>
    <mergeCell ref="D45:AA46"/>
    <mergeCell ref="F53:I53"/>
    <mergeCell ref="S51:U51"/>
    <mergeCell ref="V51:X51"/>
    <mergeCell ref="Y51:AA51"/>
    <mergeCell ref="P52:R52"/>
    <mergeCell ref="S52:U52"/>
    <mergeCell ref="V52:X52"/>
    <mergeCell ref="Y52:AA52"/>
    <mergeCell ref="N52:O52"/>
    <mergeCell ref="N50:O50"/>
    <mergeCell ref="B44:O44"/>
    <mergeCell ref="K58:M58"/>
    <mergeCell ref="F58:I58"/>
    <mergeCell ref="F55:I55"/>
    <mergeCell ref="F56:I56"/>
    <mergeCell ref="B41:O41"/>
    <mergeCell ref="B42:O42"/>
    <mergeCell ref="B43:O43"/>
    <mergeCell ref="A45:C46"/>
    <mergeCell ref="B50:E50"/>
    <mergeCell ref="N58:O58"/>
    <mergeCell ref="K49:M49"/>
    <mergeCell ref="F52:I52"/>
    <mergeCell ref="B53:E53"/>
    <mergeCell ref="N53:O53"/>
    <mergeCell ref="K50:M50"/>
    <mergeCell ref="K53:M53"/>
    <mergeCell ref="K48:M48"/>
    <mergeCell ref="N48:O48"/>
    <mergeCell ref="K54:M54"/>
    <mergeCell ref="N54:O54"/>
    <mergeCell ref="K55:M55"/>
    <mergeCell ref="N55:O55"/>
    <mergeCell ref="B54:E54"/>
    <mergeCell ref="F54:I54"/>
    <mergeCell ref="B48:I48"/>
    <mergeCell ref="B47:O47"/>
    <mergeCell ref="K51:M51"/>
    <mergeCell ref="N51:O51"/>
    <mergeCell ref="K52:M52"/>
    <mergeCell ref="F7:O7"/>
    <mergeCell ref="W14:Y14"/>
    <mergeCell ref="Z9:AA10"/>
    <mergeCell ref="P9:Y9"/>
    <mergeCell ref="F14:O14"/>
    <mergeCell ref="P10:S10"/>
    <mergeCell ref="W21:Y21"/>
    <mergeCell ref="Z14:AA14"/>
    <mergeCell ref="T15:AA15"/>
    <mergeCell ref="T16:AA16"/>
    <mergeCell ref="K16:L16"/>
    <mergeCell ref="T11:AA11"/>
    <mergeCell ref="T12:AA12"/>
    <mergeCell ref="T14:V14"/>
    <mergeCell ref="W10:Y10"/>
    <mergeCell ref="T21:V21"/>
    <mergeCell ref="Z21:AA21"/>
    <mergeCell ref="P11:S11"/>
    <mergeCell ref="P13:S13"/>
    <mergeCell ref="P14:S14"/>
    <mergeCell ref="P15:S15"/>
    <mergeCell ref="P16:S16"/>
    <mergeCell ref="K19:O19"/>
    <mergeCell ref="V61:X61"/>
    <mergeCell ref="P1:AA4"/>
    <mergeCell ref="A5:AA5"/>
    <mergeCell ref="B9:O9"/>
    <mergeCell ref="T10:V10"/>
    <mergeCell ref="F10:G10"/>
    <mergeCell ref="I10:J10"/>
    <mergeCell ref="M10:O10"/>
    <mergeCell ref="F1:O1"/>
    <mergeCell ref="F2:O2"/>
    <mergeCell ref="F3:O3"/>
    <mergeCell ref="F4:O4"/>
    <mergeCell ref="A10:E10"/>
    <mergeCell ref="A1:E1"/>
    <mergeCell ref="A2:E2"/>
    <mergeCell ref="A3:E3"/>
    <mergeCell ref="A4:E4"/>
    <mergeCell ref="W6:Y7"/>
    <mergeCell ref="F50:I50"/>
    <mergeCell ref="A8:AA8"/>
    <mergeCell ref="P6:V6"/>
    <mergeCell ref="P7:V7"/>
    <mergeCell ref="Z6:AA7"/>
    <mergeCell ref="A7:E7"/>
    <mergeCell ref="Y65:AA65"/>
    <mergeCell ref="B64:I64"/>
    <mergeCell ref="K64:O64"/>
    <mergeCell ref="P64:R64"/>
    <mergeCell ref="S64:U64"/>
    <mergeCell ref="V64:X64"/>
    <mergeCell ref="Y64:AA64"/>
    <mergeCell ref="P61:R61"/>
    <mergeCell ref="S61:U61"/>
    <mergeCell ref="P58:R58"/>
    <mergeCell ref="S58:U58"/>
    <mergeCell ref="V58:X58"/>
    <mergeCell ref="Y58:AA58"/>
    <mergeCell ref="P55:R55"/>
    <mergeCell ref="S55:U55"/>
    <mergeCell ref="V55:X55"/>
    <mergeCell ref="Y55:AA55"/>
    <mergeCell ref="P56:R56"/>
    <mergeCell ref="P12:S12"/>
    <mergeCell ref="S56:U56"/>
    <mergeCell ref="F66:I66"/>
    <mergeCell ref="J66:AA66"/>
    <mergeCell ref="Y61:AA61"/>
    <mergeCell ref="A62:E62"/>
    <mergeCell ref="S62:U62"/>
    <mergeCell ref="V62:X62"/>
    <mergeCell ref="Y62:AA62"/>
    <mergeCell ref="P59:R59"/>
    <mergeCell ref="S59:U59"/>
    <mergeCell ref="V59:X59"/>
    <mergeCell ref="Y59:AA59"/>
    <mergeCell ref="P60:R60"/>
    <mergeCell ref="S60:U60"/>
    <mergeCell ref="V60:X60"/>
    <mergeCell ref="Y60:AA60"/>
    <mergeCell ref="B61:I61"/>
    <mergeCell ref="B59:E59"/>
    <mergeCell ref="F59:I59"/>
    <mergeCell ref="K59:M59"/>
    <mergeCell ref="N59:O59"/>
    <mergeCell ref="K60:M60"/>
    <mergeCell ref="N60:O60"/>
    <mergeCell ref="B60:E60"/>
    <mergeCell ref="F60:I60"/>
    <mergeCell ref="V56:X56"/>
    <mergeCell ref="Y56:AA56"/>
    <mergeCell ref="P57:R57"/>
    <mergeCell ref="S57:U57"/>
    <mergeCell ref="V57:X57"/>
    <mergeCell ref="S50:U50"/>
    <mergeCell ref="V50:X50"/>
    <mergeCell ref="Y57:AA57"/>
    <mergeCell ref="Y50:AA50"/>
    <mergeCell ref="P48:R48"/>
    <mergeCell ref="S48:U48"/>
    <mergeCell ref="V48:X48"/>
    <mergeCell ref="Y48:AA48"/>
    <mergeCell ref="P49:R49"/>
    <mergeCell ref="V49:X49"/>
    <mergeCell ref="Y49:AA49"/>
    <mergeCell ref="P50:R50"/>
    <mergeCell ref="V54:X54"/>
    <mergeCell ref="Y53:AA53"/>
    <mergeCell ref="P53:R53"/>
    <mergeCell ref="S53:U53"/>
    <mergeCell ref="Y54:AA54"/>
    <mergeCell ref="P51:R51"/>
    <mergeCell ref="V53:X53"/>
    <mergeCell ref="S54:U54"/>
    <mergeCell ref="S49:U49"/>
    <mergeCell ref="B38:O38"/>
    <mergeCell ref="B32:O32"/>
    <mergeCell ref="A31:E31"/>
    <mergeCell ref="L30:O30"/>
    <mergeCell ref="F30:K30"/>
    <mergeCell ref="I29:K29"/>
    <mergeCell ref="T27:W27"/>
    <mergeCell ref="T28:W28"/>
    <mergeCell ref="T29:W29"/>
    <mergeCell ref="A29:E29"/>
    <mergeCell ref="F29:H29"/>
    <mergeCell ref="L29:O29"/>
    <mergeCell ref="T30:W30"/>
    <mergeCell ref="R30:S30"/>
    <mergeCell ref="R31:S31"/>
    <mergeCell ref="A30:E30"/>
    <mergeCell ref="L31:O31"/>
    <mergeCell ref="F31:K31"/>
    <mergeCell ref="T31:W31"/>
    <mergeCell ref="R26:S26"/>
    <mergeCell ref="R27:S27"/>
    <mergeCell ref="L28:M28"/>
    <mergeCell ref="N28:O28"/>
    <mergeCell ref="A20:E20"/>
    <mergeCell ref="A21:E21"/>
    <mergeCell ref="P30:Q31"/>
    <mergeCell ref="A24:E24"/>
    <mergeCell ref="T26:W26"/>
    <mergeCell ref="K21:O21"/>
    <mergeCell ref="F20:J20"/>
    <mergeCell ref="F22:AA22"/>
    <mergeCell ref="T20:AA20"/>
    <mergeCell ref="P21:S21"/>
    <mergeCell ref="T25:W25"/>
    <mergeCell ref="Z29:AA29"/>
    <mergeCell ref="Z30:AA30"/>
    <mergeCell ref="X29:Y29"/>
    <mergeCell ref="F21:J21"/>
    <mergeCell ref="A18:E18"/>
    <mergeCell ref="A19:E19"/>
    <mergeCell ref="F23:AA23"/>
    <mergeCell ref="A23:E23"/>
    <mergeCell ref="K18:O18"/>
    <mergeCell ref="P19:S19"/>
    <mergeCell ref="A22:E22"/>
    <mergeCell ref="M20:O20"/>
    <mergeCell ref="F18:J18"/>
    <mergeCell ref="A14:E14"/>
    <mergeCell ref="A15:E15"/>
    <mergeCell ref="A16:E16"/>
    <mergeCell ref="A11:E11"/>
    <mergeCell ref="M16:O16"/>
    <mergeCell ref="A12:E12"/>
    <mergeCell ref="A13:E13"/>
    <mergeCell ref="H15:J15"/>
    <mergeCell ref="F15:G15"/>
    <mergeCell ref="Z13:AA13"/>
    <mergeCell ref="M15:O15"/>
    <mergeCell ref="F24:AA24"/>
    <mergeCell ref="R29:S29"/>
    <mergeCell ref="R28:S28"/>
    <mergeCell ref="T18:AA18"/>
    <mergeCell ref="P18:S18"/>
    <mergeCell ref="O69:Q69"/>
    <mergeCell ref="F6:O6"/>
    <mergeCell ref="T13:Y13"/>
    <mergeCell ref="Z31:AA31"/>
    <mergeCell ref="P26:Q29"/>
    <mergeCell ref="F11:O11"/>
    <mergeCell ref="F12:J12"/>
    <mergeCell ref="F13:J13"/>
    <mergeCell ref="F16:J16"/>
    <mergeCell ref="M12:O12"/>
    <mergeCell ref="M13:O13"/>
    <mergeCell ref="F19:J19"/>
    <mergeCell ref="A17:AA17"/>
    <mergeCell ref="T19:AA19"/>
    <mergeCell ref="F26:O26"/>
    <mergeCell ref="F27:H27"/>
    <mergeCell ref="F28:H28"/>
    <mergeCell ref="D98:F98"/>
    <mergeCell ref="A63:A66"/>
    <mergeCell ref="P20:S20"/>
    <mergeCell ref="A82:AA83"/>
    <mergeCell ref="R68:AA68"/>
    <mergeCell ref="A67:AA67"/>
    <mergeCell ref="B65:E65"/>
    <mergeCell ref="F65:I65"/>
    <mergeCell ref="P47:AA47"/>
    <mergeCell ref="L27:O27"/>
    <mergeCell ref="Z25:AA25"/>
    <mergeCell ref="X31:Y31"/>
    <mergeCell ref="X26:Y26"/>
    <mergeCell ref="Z26:AA26"/>
    <mergeCell ref="X27:Y27"/>
    <mergeCell ref="Z27:AA27"/>
    <mergeCell ref="X28:Y28"/>
    <mergeCell ref="Z28:AA28"/>
    <mergeCell ref="X30:Y30"/>
    <mergeCell ref="B25:O25"/>
    <mergeCell ref="A26:E26"/>
    <mergeCell ref="A27:E27"/>
    <mergeCell ref="A28:E28"/>
    <mergeCell ref="X25:Y25"/>
  </mergeCells>
  <phoneticPr fontId="9" type="noConversion"/>
  <conditionalFormatting sqref="L31">
    <cfRule type="containsText" dxfId="52" priority="45" operator="containsText" text="PAGO MENSUAL">
      <formula>NOT(ISERROR(SEARCH("PAGO MENSUAL",L31)))</formula>
    </cfRule>
  </conditionalFormatting>
  <conditionalFormatting sqref="A49:A60">
    <cfRule type="cellIs" dxfId="51" priority="41" operator="greaterThan">
      <formula>$A$63</formula>
    </cfRule>
    <cfRule type="cellIs" dxfId="50" priority="42" operator="equal">
      <formula>$A$63</formula>
    </cfRule>
  </conditionalFormatting>
  <conditionalFormatting sqref="J61">
    <cfRule type="cellIs" dxfId="49" priority="40" operator="notEqual">
      <formula>$T$21</formula>
    </cfRule>
  </conditionalFormatting>
  <conditionalFormatting sqref="P32:AA32">
    <cfRule type="cellIs" dxfId="48" priority="32" operator="equal">
      <formula>$A$63</formula>
    </cfRule>
    <cfRule type="cellIs" dxfId="47" priority="33" operator="equal">
      <formula>$A$63</formula>
    </cfRule>
  </conditionalFormatting>
  <conditionalFormatting sqref="K61:M61">
    <cfRule type="cellIs" dxfId="46" priority="31" operator="notEqual">
      <formula>$F$21</formula>
    </cfRule>
  </conditionalFormatting>
  <conditionalFormatting sqref="P49:R49">
    <cfRule type="expression" dxfId="45" priority="28">
      <formula>$P$49=0</formula>
    </cfRule>
  </conditionalFormatting>
  <conditionalFormatting sqref="P50:R60">
    <cfRule type="expression" dxfId="44" priority="26">
      <formula>$J$50=0</formula>
    </cfRule>
  </conditionalFormatting>
  <conditionalFormatting sqref="S49:U49">
    <cfRule type="expression" dxfId="43" priority="11">
      <formula>$P$49=0</formula>
    </cfRule>
  </conditionalFormatting>
  <conditionalFormatting sqref="S50:U60">
    <cfRule type="expression" dxfId="42" priority="10">
      <formula>$J$50=0</formula>
    </cfRule>
  </conditionalFormatting>
  <pageMargins left="0.7" right="0.7" top="0.75" bottom="0.75" header="0.3" footer="0.3"/>
  <pageSetup scale="50"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BDC!$A$3:$A$258</xm:f>
          </x14:formula1>
          <xm:sqref>F14:O14</xm:sqref>
        </x14:dataValidation>
        <x14:dataValidation type="list" allowBlank="1" showInputMessage="1" showErrorMessage="1">
          <x14:formula1>
            <xm:f>DATOS!$A$99:$A$103</xm:f>
          </x14:formula1>
          <xm:sqref>N49:O61</xm:sqref>
        </x14:dataValidation>
        <x14:dataValidation type="list" allowBlank="1" showInputMessage="1" showErrorMessage="1">
          <x14:formula1>
            <xm:f>DATOS!$A$167:$A$179</xm:f>
          </x14:formula1>
          <xm:sqref>O69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AI96"/>
  <sheetViews>
    <sheetView topLeftCell="A22" zoomScaleNormal="100" workbookViewId="0">
      <selection activeCell="Z6" sqref="Z6:AA7"/>
    </sheetView>
  </sheetViews>
  <sheetFormatPr baseColWidth="10" defaultColWidth="10.875" defaultRowHeight="16.5" x14ac:dyDescent="0.3"/>
  <cols>
    <col min="1" max="26" width="5" style="10" customWidth="1"/>
    <col min="27" max="27" width="30.2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1408</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273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167" t="s">
        <v>1408</v>
      </c>
      <c r="G6" s="167"/>
      <c r="H6" s="167"/>
      <c r="I6" s="167"/>
      <c r="J6" s="167"/>
      <c r="K6" s="167"/>
      <c r="L6" s="167"/>
      <c r="M6" s="167"/>
      <c r="N6" s="167"/>
      <c r="O6" s="167"/>
      <c r="P6" s="374" t="s">
        <v>60</v>
      </c>
      <c r="Q6" s="374"/>
      <c r="R6" s="374"/>
      <c r="S6" s="374"/>
      <c r="T6" s="374"/>
      <c r="U6" s="374"/>
      <c r="V6" s="374"/>
      <c r="W6" s="375" t="s">
        <v>61</v>
      </c>
      <c r="X6" s="375"/>
      <c r="Y6" s="375"/>
      <c r="Z6" s="376">
        <v>2</v>
      </c>
      <c r="AA6" s="376"/>
    </row>
    <row r="7" spans="1:28" ht="15.95" customHeight="1" x14ac:dyDescent="0.3">
      <c r="A7" s="374" t="s">
        <v>6</v>
      </c>
      <c r="B7" s="374"/>
      <c r="C7" s="374"/>
      <c r="D7" s="374"/>
      <c r="E7" s="374"/>
      <c r="F7" s="377" t="str">
        <f>VLOOKUP($F$14,CONTRA,58,FALSE)</f>
        <v>PRESTACION DE SERVICIOS PROFESIONALES</v>
      </c>
      <c r="G7" s="377"/>
      <c r="H7" s="377"/>
      <c r="I7" s="377"/>
      <c r="J7" s="377"/>
      <c r="K7" s="377"/>
      <c r="L7" s="377"/>
      <c r="M7" s="377"/>
      <c r="N7" s="377"/>
      <c r="O7" s="377"/>
      <c r="P7" s="378">
        <v>43389</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10</v>
      </c>
      <c r="AA9" s="369"/>
    </row>
    <row r="10" spans="1:28" ht="14.1" customHeight="1" x14ac:dyDescent="0.3">
      <c r="A10" s="325" t="s">
        <v>13</v>
      </c>
      <c r="B10" s="325"/>
      <c r="C10" s="325"/>
      <c r="D10" s="325"/>
      <c r="E10" s="325"/>
      <c r="F10" s="308" t="str">
        <f>VLOOKUP($F$14,CONTRA,2,FALSE)</f>
        <v>26-394</v>
      </c>
      <c r="G10" s="308"/>
      <c r="H10" s="19" t="s">
        <v>25</v>
      </c>
      <c r="I10" s="308" t="str">
        <f>VLOOKUP($F$14,CONTRA,3,FALSE)</f>
        <v>21-417</v>
      </c>
      <c r="J10" s="308"/>
      <c r="K10" s="19" t="s">
        <v>26</v>
      </c>
      <c r="L10" s="20"/>
      <c r="M10" s="308" t="str">
        <f>VLOOKUP($F$14,CONTRA,4,FALSE)</f>
        <v>2.3.1.1.01</v>
      </c>
      <c r="N10" s="308"/>
      <c r="O10" s="308"/>
      <c r="P10" s="325" t="s">
        <v>12</v>
      </c>
      <c r="Q10" s="325"/>
      <c r="R10" s="325"/>
      <c r="S10" s="325"/>
      <c r="T10" s="333">
        <f>VLOOKUP($F$14,CONTRA,5,FALSE)</f>
        <v>2018</v>
      </c>
      <c r="U10" s="333"/>
      <c r="V10" s="333"/>
      <c r="W10" s="325" t="s">
        <v>138</v>
      </c>
      <c r="X10" s="325"/>
      <c r="Y10" s="325"/>
      <c r="Z10" s="370"/>
      <c r="AA10" s="371"/>
    </row>
    <row r="11" spans="1:28"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14-56</v>
      </c>
      <c r="U11" s="333"/>
      <c r="V11" s="333"/>
      <c r="W11" s="333"/>
      <c r="X11" s="333"/>
      <c r="Y11" s="333"/>
      <c r="Z11" s="333"/>
      <c r="AA11" s="333"/>
    </row>
    <row r="12" spans="1:28"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customHeight="1" x14ac:dyDescent="0.3">
      <c r="A13" s="325" t="s">
        <v>10</v>
      </c>
      <c r="B13" s="325"/>
      <c r="C13" s="325"/>
      <c r="D13" s="325"/>
      <c r="E13" s="325"/>
      <c r="F13" s="333" t="str">
        <f>VLOOKUP($F$14,CONTRA,12,FALSE)</f>
        <v>MARIA NANCY ROMERO MURILLO</v>
      </c>
      <c r="G13" s="333"/>
      <c r="H13" s="333"/>
      <c r="I13" s="333"/>
      <c r="J13" s="333"/>
      <c r="K13" s="19" t="s">
        <v>16</v>
      </c>
      <c r="L13" s="20"/>
      <c r="M13" s="333" t="str">
        <f>VLOOKUP($F$14,CONTRA,13,FALSE)</f>
        <v>P.UNIVERSITARIO</v>
      </c>
      <c r="N13" s="333"/>
      <c r="O13" s="333"/>
      <c r="P13" s="325" t="s">
        <v>24</v>
      </c>
      <c r="Q13" s="325"/>
      <c r="R13" s="325"/>
      <c r="S13" s="325"/>
      <c r="T13" s="364" t="str">
        <f>VLOOKUP($F$14,CONTRA,14,FALSE)</f>
        <v>23 DE ENERO DE 2018</v>
      </c>
      <c r="U13" s="364"/>
      <c r="V13" s="364"/>
      <c r="W13" s="364"/>
      <c r="X13" s="364"/>
      <c r="Y13" s="364"/>
      <c r="Z13" s="365" t="str">
        <f>VLOOKUP($F$14,CONTRA,15,FALSE)</f>
        <v>036-18</v>
      </c>
      <c r="AA13" s="366"/>
    </row>
    <row r="14" spans="1:28" ht="15.95" customHeight="1" x14ac:dyDescent="0.3">
      <c r="A14" s="325" t="s">
        <v>8</v>
      </c>
      <c r="B14" s="325"/>
      <c r="C14" s="325"/>
      <c r="D14" s="325"/>
      <c r="E14" s="325"/>
      <c r="F14" s="363" t="s">
        <v>511</v>
      </c>
      <c r="G14" s="363"/>
      <c r="H14" s="363"/>
      <c r="I14" s="363"/>
      <c r="J14" s="363"/>
      <c r="K14" s="363"/>
      <c r="L14" s="363"/>
      <c r="M14" s="363"/>
      <c r="N14" s="363"/>
      <c r="O14" s="363"/>
      <c r="P14" s="325" t="s">
        <v>11</v>
      </c>
      <c r="Q14" s="325"/>
      <c r="R14" s="325"/>
      <c r="S14" s="325"/>
      <c r="T14" s="362">
        <f>VLOOKUP($F$14,CONTRA,16,FALSE)</f>
        <v>1054916502</v>
      </c>
      <c r="U14" s="362"/>
      <c r="V14" s="362"/>
      <c r="W14" s="325" t="s">
        <v>18</v>
      </c>
      <c r="X14" s="325"/>
      <c r="Y14" s="325"/>
      <c r="Z14" s="356">
        <f>VLOOKUP($F$14,CONTRA,17,FALSE)</f>
        <v>31515</v>
      </c>
      <c r="AA14" s="356"/>
    </row>
    <row r="15" spans="1:28" ht="15.95" customHeight="1" x14ac:dyDescent="0.3">
      <c r="A15" s="325" t="s">
        <v>19</v>
      </c>
      <c r="B15" s="325"/>
      <c r="C15" s="325"/>
      <c r="D15" s="325"/>
      <c r="E15" s="325"/>
      <c r="F15" s="312" t="str">
        <f>VLOOKUP($F$14,CONTRA,18,FALSE)</f>
        <v>NATURAL</v>
      </c>
      <c r="G15" s="314"/>
      <c r="H15" s="312" t="str">
        <f>VLOOKUP($F$14,CONTRA,57,FALSE)</f>
        <v>SIMPLIFICADO</v>
      </c>
      <c r="I15" s="313"/>
      <c r="J15" s="314"/>
      <c r="K15" s="19" t="s">
        <v>15</v>
      </c>
      <c r="L15" s="20"/>
      <c r="M15" s="333" t="str">
        <f>VLOOKUP($F$14,CONTRA,19,FALSE)</f>
        <v xml:space="preserve">TRABAJADORA SOCIAL </v>
      </c>
      <c r="N15" s="333"/>
      <c r="O15" s="333"/>
      <c r="P15" s="325" t="s">
        <v>14</v>
      </c>
      <c r="Q15" s="325"/>
      <c r="R15" s="325"/>
      <c r="S15" s="325"/>
      <c r="T15" s="333" t="str">
        <f>VLOOKUP($F$14,CONTRA,20,FALSE)</f>
        <v>GUADUALES DE MILAN TORRE E APT 401</v>
      </c>
      <c r="U15" s="333"/>
      <c r="V15" s="333"/>
      <c r="W15" s="333"/>
      <c r="X15" s="333"/>
      <c r="Y15" s="333"/>
      <c r="Z15" s="333"/>
      <c r="AA15" s="333"/>
    </row>
    <row r="16" spans="1:28" x14ac:dyDescent="0.3">
      <c r="A16" s="325" t="s">
        <v>21</v>
      </c>
      <c r="B16" s="325"/>
      <c r="C16" s="325"/>
      <c r="D16" s="325"/>
      <c r="E16" s="325"/>
      <c r="F16" s="361">
        <f>VLOOKUP($F$14,CONTRA,21,FALSE)</f>
        <v>3012575135</v>
      </c>
      <c r="G16" s="362"/>
      <c r="H16" s="362"/>
      <c r="I16" s="362"/>
      <c r="J16" s="362"/>
      <c r="K16" s="325" t="s">
        <v>22</v>
      </c>
      <c r="L16" s="325"/>
      <c r="M16" s="333" t="str">
        <f>VLOOKUP($F$14,CONTRA,22,FALSE)</f>
        <v>TECNICA</v>
      </c>
      <c r="N16" s="333"/>
      <c r="O16" s="333"/>
      <c r="P16" s="325" t="s">
        <v>23</v>
      </c>
      <c r="Q16" s="325"/>
      <c r="R16" s="325"/>
      <c r="S16" s="325"/>
      <c r="T16" s="333" t="str">
        <f>VLOOKUP($F$14,CONTRA,23,FALSE)</f>
        <v>rodaslimar@hotmail.com</v>
      </c>
      <c r="U16" s="333"/>
      <c r="V16" s="333"/>
      <c r="W16" s="333"/>
      <c r="X16" s="333"/>
      <c r="Y16" s="333"/>
      <c r="Z16" s="333"/>
      <c r="AA16" s="333"/>
    </row>
    <row r="17" spans="1:35" ht="3.95"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5" ht="15.95" customHeight="1" x14ac:dyDescent="0.3">
      <c r="A18" s="325" t="s">
        <v>30</v>
      </c>
      <c r="B18" s="325"/>
      <c r="C18" s="325"/>
      <c r="D18" s="325"/>
      <c r="E18" s="325"/>
      <c r="F18" s="358" t="str">
        <f>VLOOKUP($F$14,CONTRA,24,FALSE)</f>
        <v>23 enero de 2018</v>
      </c>
      <c r="G18" s="359"/>
      <c r="H18" s="359"/>
      <c r="I18" s="359"/>
      <c r="J18" s="360"/>
      <c r="K18" s="308"/>
      <c r="L18" s="308"/>
      <c r="M18" s="308"/>
      <c r="N18" s="308"/>
      <c r="O18" s="308"/>
      <c r="P18" s="325" t="s">
        <v>34</v>
      </c>
      <c r="Q18" s="325"/>
      <c r="R18" s="325"/>
      <c r="S18" s="325"/>
      <c r="T18" s="358" t="str">
        <f>VLOOKUP($F$14,CONTRA,25,FALSE)</f>
        <v>30 de diciembre de 2018</v>
      </c>
      <c r="U18" s="359"/>
      <c r="V18" s="359"/>
      <c r="W18" s="359"/>
      <c r="X18" s="359"/>
      <c r="Y18" s="359"/>
      <c r="Z18" s="359"/>
      <c r="AA18" s="360"/>
    </row>
    <row r="19" spans="1:35" x14ac:dyDescent="0.3">
      <c r="A19" s="325" t="s">
        <v>31</v>
      </c>
      <c r="B19" s="325"/>
      <c r="C19" s="325"/>
      <c r="D19" s="325"/>
      <c r="E19" s="325"/>
      <c r="F19" s="320">
        <f>VLOOKUP($F$14,CONTRA,26,FALSE)</f>
        <v>24000000</v>
      </c>
      <c r="G19" s="320"/>
      <c r="H19" s="320"/>
      <c r="I19" s="320"/>
      <c r="J19" s="320"/>
      <c r="K19" s="308"/>
      <c r="L19" s="308"/>
      <c r="M19" s="308"/>
      <c r="N19" s="308"/>
      <c r="O19" s="308"/>
      <c r="P19" s="325" t="s">
        <v>35</v>
      </c>
      <c r="Q19" s="325"/>
      <c r="R19" s="325"/>
      <c r="S19" s="325"/>
      <c r="T19" s="308">
        <f>VLOOKUP($F$14,CONTRA,27,FALSE)</f>
        <v>240</v>
      </c>
      <c r="U19" s="308"/>
      <c r="V19" s="308"/>
      <c r="W19" s="308"/>
      <c r="X19" s="308"/>
      <c r="Y19" s="308"/>
      <c r="Z19" s="308"/>
      <c r="AA19" s="308"/>
    </row>
    <row r="20" spans="1:35" x14ac:dyDescent="0.3">
      <c r="A20" s="325" t="s">
        <v>32</v>
      </c>
      <c r="B20" s="325"/>
      <c r="C20" s="325"/>
      <c r="D20" s="325"/>
      <c r="E20" s="325"/>
      <c r="F20" s="320">
        <f>+Z21*T20</f>
        <v>9800000</v>
      </c>
      <c r="G20" s="320"/>
      <c r="H20" s="320"/>
      <c r="I20" s="320"/>
      <c r="J20" s="320"/>
      <c r="K20" s="19" t="s">
        <v>0</v>
      </c>
      <c r="L20" s="20"/>
      <c r="M20" s="356">
        <f>VLOOKUP($F$14,CONTRA,29,FALSE)</f>
        <v>43360</v>
      </c>
      <c r="N20" s="356"/>
      <c r="O20" s="356"/>
      <c r="P20" s="325" t="s">
        <v>36</v>
      </c>
      <c r="Q20" s="325"/>
      <c r="R20" s="325"/>
      <c r="S20" s="325"/>
      <c r="T20" s="308">
        <f>VLOOKUP($F$14,CONTRA,28,FALSE)</f>
        <v>98</v>
      </c>
      <c r="U20" s="308"/>
      <c r="V20" s="308"/>
      <c r="W20" s="308"/>
      <c r="X20" s="308"/>
      <c r="Y20" s="308"/>
      <c r="Z20" s="308"/>
      <c r="AA20" s="308"/>
    </row>
    <row r="21" spans="1:35" ht="15.95" customHeight="1" x14ac:dyDescent="0.3">
      <c r="A21" s="325" t="s">
        <v>33</v>
      </c>
      <c r="B21" s="325"/>
      <c r="C21" s="325"/>
      <c r="D21" s="325"/>
      <c r="E21" s="325"/>
      <c r="F21" s="309">
        <f>SUM(F19:J20)</f>
        <v>33800000</v>
      </c>
      <c r="G21" s="353"/>
      <c r="H21" s="353"/>
      <c r="I21" s="353"/>
      <c r="J21" s="354"/>
      <c r="K21" s="308"/>
      <c r="L21" s="308"/>
      <c r="M21" s="308"/>
      <c r="N21" s="308"/>
      <c r="O21" s="308"/>
      <c r="P21" s="325" t="s">
        <v>38</v>
      </c>
      <c r="Q21" s="325"/>
      <c r="R21" s="325"/>
      <c r="S21" s="325"/>
      <c r="T21" s="355">
        <f>+T19+T20</f>
        <v>338</v>
      </c>
      <c r="U21" s="353"/>
      <c r="V21" s="354"/>
      <c r="W21" s="325" t="s">
        <v>37</v>
      </c>
      <c r="X21" s="325"/>
      <c r="Y21" s="325"/>
      <c r="Z21" s="309">
        <f>+F19/T19</f>
        <v>100000</v>
      </c>
      <c r="AA21" s="311"/>
    </row>
    <row r="22" spans="1:35" ht="36" customHeight="1" x14ac:dyDescent="0.3">
      <c r="A22" s="348" t="s">
        <v>27</v>
      </c>
      <c r="B22" s="348"/>
      <c r="C22" s="348"/>
      <c r="D22" s="348"/>
      <c r="E22" s="348"/>
      <c r="F22" s="350" t="str">
        <f>VLOOKUP($F$14,CONTRA,30,FALSE)</f>
        <v xml:space="preserve">PRESTAR SUS SERVICIOS PROFESIONALES COMO TRABAJADORA SOCIAL EN LOS PROYECTOS Y PROGRAMAS DE VIVIENDA A CARGO DEL INSTITUTO DE DESARROLLO MUNICIPAL </v>
      </c>
      <c r="G22" s="351"/>
      <c r="H22" s="351"/>
      <c r="I22" s="351"/>
      <c r="J22" s="351"/>
      <c r="K22" s="351"/>
      <c r="L22" s="351"/>
      <c r="M22" s="351"/>
      <c r="N22" s="351"/>
      <c r="O22" s="351"/>
      <c r="P22" s="351"/>
      <c r="Q22" s="351"/>
      <c r="R22" s="351"/>
      <c r="S22" s="351"/>
      <c r="T22" s="351"/>
      <c r="U22" s="351"/>
      <c r="V22" s="351"/>
      <c r="W22" s="351"/>
      <c r="X22" s="351"/>
      <c r="Y22" s="351"/>
      <c r="Z22" s="351"/>
      <c r="AA22" s="352"/>
    </row>
    <row r="23" spans="1:35" ht="27.75" customHeight="1" x14ac:dyDescent="0.3">
      <c r="A23" s="348" t="s">
        <v>28</v>
      </c>
      <c r="B23" s="348"/>
      <c r="C23" s="348"/>
      <c r="D23" s="348"/>
      <c r="E23" s="348"/>
      <c r="F23" s="350"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5" ht="54" customHeight="1" x14ac:dyDescent="0.3">
      <c r="A24" s="348" t="s">
        <v>29</v>
      </c>
      <c r="B24" s="348"/>
      <c r="C24" s="348"/>
      <c r="D24" s="348"/>
      <c r="E24" s="348"/>
      <c r="F24" s="350"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5" ht="32.1" customHeight="1" x14ac:dyDescent="0.3">
      <c r="A25" s="283"/>
      <c r="B25" s="283"/>
      <c r="C25" s="283"/>
      <c r="D25" s="283"/>
      <c r="E25" s="283"/>
      <c r="F25" s="283"/>
      <c r="G25" s="283"/>
      <c r="H25" s="283"/>
      <c r="I25" s="283"/>
      <c r="J25" s="283"/>
      <c r="K25" s="283"/>
      <c r="L25" s="283"/>
      <c r="M25" s="283"/>
      <c r="N25" s="283"/>
      <c r="O25" s="283"/>
      <c r="P25" s="283"/>
      <c r="Q25" s="283"/>
      <c r="R25" s="283"/>
      <c r="S25" s="283"/>
      <c r="T25" s="283"/>
      <c r="U25" s="283"/>
      <c r="V25" s="283"/>
      <c r="W25" s="283"/>
      <c r="X25" s="283"/>
      <c r="Y25" s="283"/>
      <c r="Z25" s="283"/>
      <c r="AA25" s="283"/>
    </row>
    <row r="26" spans="1:35" x14ac:dyDescent="0.3">
      <c r="A26" s="65"/>
      <c r="B26" s="66"/>
      <c r="C26" s="67" t="s">
        <v>205</v>
      </c>
      <c r="D26" s="395" t="str">
        <f>F18</f>
        <v>23 enero de 2018</v>
      </c>
      <c r="E26" s="395"/>
      <c r="F26" s="395"/>
      <c r="G26" s="395"/>
      <c r="H26" s="68" t="s">
        <v>206</v>
      </c>
      <c r="I26" s="68"/>
      <c r="J26" s="68"/>
      <c r="K26" s="68"/>
      <c r="L26" s="68"/>
      <c r="M26" s="68"/>
      <c r="N26" s="68"/>
      <c r="O26" s="68"/>
      <c r="P26" s="68"/>
      <c r="Q26" s="68"/>
      <c r="R26" s="68"/>
      <c r="S26" s="68"/>
      <c r="T26" s="68"/>
      <c r="U26" s="68"/>
      <c r="V26" s="68"/>
      <c r="W26" s="68"/>
      <c r="X26" s="68"/>
      <c r="Y26" s="68"/>
      <c r="Z26" s="68"/>
      <c r="AA26" s="69"/>
    </row>
    <row r="27" spans="1:35" x14ac:dyDescent="0.3">
      <c r="A27" s="400" t="str">
        <f>+F13</f>
        <v>MARIA NANCY ROMERO MURILLO</v>
      </c>
      <c r="B27" s="401"/>
      <c r="C27" s="401"/>
      <c r="D27" s="401"/>
      <c r="E27" s="401"/>
      <c r="F27" s="396" t="s">
        <v>1407</v>
      </c>
      <c r="G27" s="396"/>
      <c r="H27" s="396"/>
      <c r="I27" s="396" t="str">
        <f>+F14</f>
        <v>LINA MARIA RODAS ACEVEDO</v>
      </c>
      <c r="J27" s="396"/>
      <c r="K27" s="396"/>
      <c r="L27" s="396"/>
      <c r="M27" s="396"/>
      <c r="N27" s="396" t="s">
        <v>208</v>
      </c>
      <c r="O27" s="396"/>
      <c r="P27" s="396"/>
      <c r="Q27" s="396"/>
      <c r="R27" s="396"/>
      <c r="S27" s="396"/>
      <c r="T27" s="396"/>
      <c r="U27" s="396"/>
      <c r="V27" s="396"/>
      <c r="W27" s="396"/>
      <c r="X27" s="396"/>
      <c r="Y27" s="396"/>
      <c r="Z27" s="396"/>
      <c r="AA27" s="397"/>
      <c r="AF27" s="12"/>
    </row>
    <row r="28" spans="1:35" x14ac:dyDescent="0.3">
      <c r="A28" s="398" t="s">
        <v>209</v>
      </c>
      <c r="B28" s="399"/>
      <c r="C28" s="399"/>
      <c r="D28" s="399"/>
      <c r="E28" s="399"/>
      <c r="F28" s="399"/>
      <c r="G28" s="70"/>
      <c r="H28" s="70"/>
      <c r="I28" s="70"/>
      <c r="J28" s="70"/>
      <c r="K28" s="70"/>
      <c r="L28" s="70"/>
      <c r="M28" s="70"/>
      <c r="N28" s="70"/>
      <c r="O28" s="70"/>
      <c r="P28" s="70"/>
      <c r="Q28" s="70"/>
      <c r="R28" s="70"/>
      <c r="S28" s="70"/>
      <c r="T28" s="70"/>
      <c r="U28" s="70"/>
      <c r="V28" s="70"/>
      <c r="W28" s="70"/>
      <c r="X28" s="70"/>
      <c r="Y28" s="70"/>
      <c r="Z28" s="70"/>
      <c r="AA28" s="71"/>
      <c r="AG28" s="52"/>
      <c r="AH28" s="12"/>
      <c r="AI28" s="12"/>
    </row>
    <row r="29" spans="1:35" x14ac:dyDescent="0.3">
      <c r="A29" s="72">
        <v>1</v>
      </c>
      <c r="B29" s="73" t="s">
        <v>210</v>
      </c>
      <c r="C29" s="73"/>
      <c r="D29" s="73"/>
      <c r="E29" s="73"/>
      <c r="F29" s="73"/>
      <c r="G29" s="73"/>
      <c r="H29" s="73"/>
      <c r="I29" s="73"/>
      <c r="J29" s="73"/>
      <c r="K29" s="73"/>
      <c r="L29" s="73"/>
      <c r="M29" s="73"/>
      <c r="N29" s="73"/>
      <c r="O29" s="73"/>
      <c r="P29" s="73"/>
      <c r="Q29" s="73"/>
      <c r="R29" s="73"/>
      <c r="S29" s="73"/>
      <c r="T29" s="73"/>
      <c r="U29" s="73"/>
      <c r="V29" s="73"/>
      <c r="W29" s="73"/>
      <c r="X29" s="73"/>
      <c r="Y29" s="73"/>
      <c r="Z29" s="73"/>
      <c r="AA29" s="74"/>
      <c r="AH29" s="12"/>
    </row>
    <row r="30" spans="1:35" x14ac:dyDescent="0.3">
      <c r="A30" s="72">
        <v>2</v>
      </c>
      <c r="B30" s="73" t="s">
        <v>272</v>
      </c>
      <c r="C30" s="73"/>
      <c r="D30" s="73"/>
      <c r="E30" s="73"/>
      <c r="F30" s="73"/>
      <c r="G30" s="73"/>
      <c r="H30" s="73"/>
      <c r="I30" s="73"/>
      <c r="J30" s="73"/>
      <c r="K30" s="73"/>
      <c r="L30" s="73"/>
      <c r="M30" s="73"/>
      <c r="N30" s="73"/>
      <c r="O30" s="73"/>
      <c r="P30" s="73"/>
      <c r="Q30" s="73"/>
      <c r="R30" s="73"/>
      <c r="S30" s="73"/>
      <c r="T30" s="73"/>
      <c r="U30" s="73"/>
      <c r="V30" s="73"/>
      <c r="W30" s="73"/>
      <c r="X30" s="73"/>
      <c r="Y30" s="73"/>
      <c r="Z30" s="73"/>
      <c r="AA30" s="74"/>
      <c r="AG30" s="52"/>
      <c r="AH30" s="12"/>
      <c r="AI30" s="12"/>
    </row>
    <row r="31" spans="1:35" x14ac:dyDescent="0.3">
      <c r="A31" s="191"/>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3"/>
      <c r="AB31" s="83"/>
      <c r="AG31" s="52"/>
      <c r="AH31" s="12"/>
      <c r="AI31" s="12"/>
    </row>
    <row r="32" spans="1:35" x14ac:dyDescent="0.3">
      <c r="A32" s="191"/>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c r="AA32" s="193"/>
      <c r="AB32" s="83"/>
      <c r="AH32" s="12"/>
      <c r="AI32" s="12"/>
    </row>
    <row r="33" spans="1:35" x14ac:dyDescent="0.3">
      <c r="A33" s="191"/>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3"/>
      <c r="AB33" s="83"/>
      <c r="AI33" s="12"/>
    </row>
    <row r="34" spans="1:35" x14ac:dyDescent="0.3">
      <c r="A34" s="191"/>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3"/>
      <c r="AB34" s="83"/>
    </row>
    <row r="35" spans="1:35" x14ac:dyDescent="0.3">
      <c r="A35" s="191"/>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3"/>
      <c r="AB35" s="83"/>
    </row>
    <row r="36" spans="1:35" x14ac:dyDescent="0.3">
      <c r="A36" s="191"/>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3"/>
    </row>
    <row r="37" spans="1:35" hidden="1" x14ac:dyDescent="0.3">
      <c r="A37" s="76"/>
      <c r="B37" s="77"/>
      <c r="C37" s="77"/>
      <c r="D37" s="77"/>
      <c r="E37" s="77"/>
      <c r="F37" s="73"/>
      <c r="G37" s="73"/>
      <c r="H37" s="73"/>
      <c r="I37" s="73"/>
      <c r="J37" s="73"/>
      <c r="K37" s="77"/>
      <c r="L37" s="77"/>
      <c r="M37" s="77"/>
      <c r="N37" s="77"/>
      <c r="O37" s="77"/>
      <c r="P37" s="77"/>
      <c r="Q37" s="73"/>
      <c r="R37" s="73"/>
      <c r="S37" s="73"/>
      <c r="T37" s="73"/>
      <c r="U37" s="73"/>
      <c r="V37" s="73"/>
      <c r="W37" s="73"/>
      <c r="X37" s="73"/>
      <c r="Y37" s="73"/>
      <c r="Z37" s="73"/>
      <c r="AA37" s="74"/>
    </row>
    <row r="38" spans="1:35" x14ac:dyDescent="0.3">
      <c r="A38" s="75" t="str">
        <f>+F13</f>
        <v>MARIA NANCY ROMERO MURILLO</v>
      </c>
      <c r="B38" s="73"/>
      <c r="C38" s="73"/>
      <c r="D38" s="73"/>
      <c r="E38" s="73"/>
      <c r="F38" s="73"/>
      <c r="G38" s="73"/>
      <c r="H38" s="73"/>
      <c r="I38" s="73"/>
      <c r="J38" s="73"/>
      <c r="K38" s="73" t="str">
        <f>+F14</f>
        <v>LINA MARIA RODAS ACEVEDO</v>
      </c>
      <c r="L38" s="73"/>
      <c r="M38" s="73"/>
      <c r="N38" s="73"/>
      <c r="O38" s="73"/>
      <c r="P38" s="73"/>
      <c r="Q38" s="73"/>
      <c r="R38" s="73"/>
      <c r="S38" s="73"/>
      <c r="T38" s="73"/>
      <c r="U38" s="73"/>
      <c r="V38" s="73"/>
      <c r="W38" s="73"/>
      <c r="X38" s="73"/>
      <c r="Y38" s="73"/>
      <c r="Z38" s="73"/>
      <c r="AA38" s="74"/>
    </row>
    <row r="39" spans="1:35" x14ac:dyDescent="0.3">
      <c r="A39" s="76" t="str">
        <f>+A13</f>
        <v>SUPERVISOR</v>
      </c>
      <c r="B39" s="77"/>
      <c r="C39" s="77"/>
      <c r="D39" s="77"/>
      <c r="E39" s="77"/>
      <c r="F39" s="77"/>
      <c r="G39" s="77"/>
      <c r="H39" s="77"/>
      <c r="I39" s="77"/>
      <c r="J39" s="77"/>
      <c r="K39" s="77" t="str">
        <f>+A14</f>
        <v>CONTRATISTA</v>
      </c>
      <c r="L39" s="77"/>
      <c r="M39" s="77"/>
      <c r="N39" s="77"/>
      <c r="O39" s="77"/>
      <c r="P39" s="77"/>
      <c r="Q39" s="77"/>
      <c r="R39" s="77"/>
      <c r="S39" s="77"/>
      <c r="T39" s="77"/>
      <c r="U39" s="77"/>
      <c r="V39" s="77"/>
      <c r="W39" s="77"/>
      <c r="X39" s="77"/>
      <c r="Y39" s="77"/>
      <c r="Z39" s="77"/>
      <c r="AA39" s="78"/>
    </row>
    <row r="47" spans="1:35" hidden="1" x14ac:dyDescent="0.3">
      <c r="A47" s="57" t="s">
        <v>146</v>
      </c>
      <c r="B47" s="57"/>
      <c r="D47" s="293" t="e">
        <f>+#REF!</f>
        <v>#REF!</v>
      </c>
      <c r="E47" s="293"/>
      <c r="F47" s="293"/>
      <c r="G47" s="57" t="s">
        <v>147</v>
      </c>
      <c r="H47" s="57"/>
      <c r="I47" s="57"/>
      <c r="J47" s="57"/>
      <c r="K47" s="57"/>
      <c r="L47" s="57"/>
    </row>
    <row r="48" spans="1:35" hidden="1" x14ac:dyDescent="0.3">
      <c r="A48" s="57"/>
      <c r="B48" s="57"/>
      <c r="C48" s="57"/>
      <c r="D48" s="57"/>
      <c r="E48" s="57"/>
      <c r="F48" s="57"/>
      <c r="G48" s="57"/>
      <c r="H48" s="57"/>
      <c r="I48" s="57"/>
      <c r="J48" s="57"/>
      <c r="K48" s="57"/>
      <c r="L48" s="57"/>
    </row>
    <row r="49" spans="1:12" hidden="1" x14ac:dyDescent="0.3">
      <c r="A49" s="57" t="s">
        <v>148</v>
      </c>
      <c r="B49" s="57"/>
      <c r="D49" s="57" t="e">
        <f>TRIM(D71)</f>
        <v>#REF!</v>
      </c>
      <c r="E49" s="57"/>
      <c r="F49" s="57"/>
      <c r="G49" s="57"/>
      <c r="H49" s="57"/>
      <c r="I49" s="57"/>
      <c r="J49" s="57"/>
      <c r="K49" s="57"/>
      <c r="L49" s="57"/>
    </row>
    <row r="50" spans="1:12" hidden="1" x14ac:dyDescent="0.3">
      <c r="A50" s="57"/>
      <c r="B50" s="57"/>
      <c r="C50" s="57"/>
      <c r="D50" s="57"/>
      <c r="E50" s="57"/>
      <c r="F50" s="57"/>
      <c r="G50" s="57"/>
      <c r="H50" s="57"/>
      <c r="I50" s="57"/>
      <c r="J50" s="57"/>
      <c r="K50" s="57"/>
      <c r="L50" s="57"/>
    </row>
    <row r="51" spans="1:12" hidden="1" x14ac:dyDescent="0.3">
      <c r="A51" s="57"/>
      <c r="B51" s="57"/>
      <c r="C51" s="57"/>
      <c r="D51" s="57"/>
      <c r="E51" s="57"/>
      <c r="F51" s="57"/>
      <c r="G51" s="57"/>
      <c r="H51" s="57"/>
      <c r="I51" s="57"/>
      <c r="J51" s="57"/>
      <c r="K51" s="57"/>
      <c r="L51" s="57"/>
    </row>
    <row r="52" spans="1:12" hidden="1" x14ac:dyDescent="0.3">
      <c r="A52" s="57">
        <v>1</v>
      </c>
      <c r="B52" s="57" t="s">
        <v>149</v>
      </c>
      <c r="C52" s="57" t="s">
        <v>150</v>
      </c>
      <c r="D52" s="57"/>
      <c r="E52" s="57" t="e">
        <f>INT((D47-(INT(D47/1000000000000000)*1000000000000000))/1000000000000)</f>
        <v>#REF!</v>
      </c>
      <c r="F52" s="57" t="s">
        <v>151</v>
      </c>
      <c r="G52" s="57" t="e">
        <f>INT(E52/100)*100</f>
        <v>#REF!</v>
      </c>
      <c r="H52" s="57" t="e">
        <f>IF(AND(G52=100,G53=0,G54=0),IF(G52=0," ",LOOKUP(G52,A51:C96,B51:B96)),IF(G52=0," ",LOOKUP(G52,A51:C96,C51:C96)))</f>
        <v>#REF!</v>
      </c>
      <c r="I52" s="57"/>
      <c r="J52" s="57" t="s">
        <v>152</v>
      </c>
      <c r="K52" s="57"/>
      <c r="L52" s="57"/>
    </row>
    <row r="53" spans="1:12" hidden="1" x14ac:dyDescent="0.3">
      <c r="A53" s="57">
        <v>2</v>
      </c>
      <c r="B53" s="57" t="s">
        <v>153</v>
      </c>
      <c r="C53" s="57" t="s">
        <v>153</v>
      </c>
      <c r="D53" s="57"/>
      <c r="E53" s="57" t="e">
        <f>+E52-G52</f>
        <v>#REF!</v>
      </c>
      <c r="F53" s="57" t="s">
        <v>154</v>
      </c>
      <c r="G53" s="57" t="e">
        <f>INT(E53/10)*10</f>
        <v>#REF!</v>
      </c>
      <c r="H53" s="57" t="e">
        <f>IF(OR(G53=10,G53=20),LOOKUP(E53,A51:C96,C51:C96),IF(AND(G53=100,G54=0,G55=0),IF(G53=0," ",LOOKUP(G53,A51:C96,B51:B96)),IF(G53=0," ",LOOKUP(G53,A51:C96,C51:C96))))</f>
        <v>#REF!</v>
      </c>
      <c r="I53" s="57" t="e">
        <f>IF(G54=0," ",IF(AND(G53&gt;20,G53&lt;=90),"y"," "))</f>
        <v>#REF!</v>
      </c>
      <c r="J53" s="57"/>
      <c r="K53" s="57"/>
      <c r="L53" s="57"/>
    </row>
    <row r="54" spans="1:12" hidden="1" x14ac:dyDescent="0.3">
      <c r="A54" s="57">
        <v>3</v>
      </c>
      <c r="B54" s="57" t="s">
        <v>155</v>
      </c>
      <c r="C54" s="57" t="s">
        <v>155</v>
      </c>
      <c r="D54" s="57"/>
      <c r="E54" s="57" t="e">
        <f>+E53-G53</f>
        <v>#REF!</v>
      </c>
      <c r="F54" s="57" t="s">
        <v>156</v>
      </c>
      <c r="G54" s="57" t="e">
        <f>INT(E54)</f>
        <v>#REF!</v>
      </c>
      <c r="H54" s="57" t="e">
        <f>IF(OR(G53=10,G53=20)," ",IF(AND(G54=100,G55=0,G56=0),IF(G54=0," ",LOOKUP(G54,A51:C96,B51:B96)),IF(G54=0," ",LOOKUP(G54,A51:C96,B51:B96))))</f>
        <v>#REF!</v>
      </c>
      <c r="I54" s="57" t="e">
        <f>IF(AND(G52=0,G53=0,G54=1),"Billón",IF(SUM(G52:G54)=0," ","Billones"))</f>
        <v>#REF!</v>
      </c>
      <c r="J54" s="57"/>
      <c r="K54" s="57"/>
      <c r="L54" s="57"/>
    </row>
    <row r="55" spans="1:12" hidden="1" x14ac:dyDescent="0.3">
      <c r="A55" s="57">
        <v>4</v>
      </c>
      <c r="B55" s="57" t="s">
        <v>157</v>
      </c>
      <c r="C55" s="57" t="s">
        <v>157</v>
      </c>
      <c r="D55" s="57"/>
      <c r="E55" s="57" t="e">
        <f>INT((D47-(INT(D47/1000000000000)*1000000000000))/1000000000)</f>
        <v>#REF!</v>
      </c>
      <c r="F55" s="57" t="s">
        <v>151</v>
      </c>
      <c r="G55" s="57" t="e">
        <f>INT(E55/100)*100</f>
        <v>#REF!</v>
      </c>
      <c r="H55" s="57" t="e">
        <f>IF(AND(G55=100,G56=0,G57=0),IF(G55=0," ",LOOKUP(G55,A51:C96,B51:B96)),IF(G55=0," ",LOOKUP(G55,A51:C96,C51:C96)))</f>
        <v>#REF!</v>
      </c>
      <c r="I55" s="57"/>
      <c r="J55" s="57" t="s">
        <v>158</v>
      </c>
      <c r="K55" s="57"/>
      <c r="L55" s="57"/>
    </row>
    <row r="56" spans="1:12" hidden="1" x14ac:dyDescent="0.3">
      <c r="A56" s="57">
        <v>5</v>
      </c>
      <c r="B56" s="57" t="s">
        <v>159</v>
      </c>
      <c r="C56" s="57" t="s">
        <v>159</v>
      </c>
      <c r="D56" s="57"/>
      <c r="E56" s="57" t="e">
        <f>+E55-G55</f>
        <v>#REF!</v>
      </c>
      <c r="F56" s="57" t="s">
        <v>154</v>
      </c>
      <c r="G56" s="57" t="e">
        <f>INT(E56/10)*10</f>
        <v>#REF!</v>
      </c>
      <c r="H56" s="57" t="e">
        <f>IF(OR(G56=10,G56=20),LOOKUP(E56,A51:C96,C51:C96),IF(AND(G56=100,G57=0,G58=0),IF(G56=0," ",LOOKUP(G56,A51:C96,B51:B96)),IF(G56=0," ",LOOKUP(G56,A51:C96,C51:C96))))</f>
        <v>#REF!</v>
      </c>
      <c r="I56" s="57" t="e">
        <f>IF(G57=0," ",IF(AND(G56&gt;20,G56&lt;=90),"y"," "))</f>
        <v>#REF!</v>
      </c>
      <c r="J56" s="57"/>
      <c r="K56" s="57"/>
      <c r="L56" s="57"/>
    </row>
    <row r="57" spans="1:12" hidden="1" x14ac:dyDescent="0.3">
      <c r="A57" s="57">
        <v>6</v>
      </c>
      <c r="B57" s="57" t="s">
        <v>160</v>
      </c>
      <c r="C57" s="57" t="s">
        <v>160</v>
      </c>
      <c r="D57" s="57"/>
      <c r="E57" s="57" t="e">
        <f>+E56-G56</f>
        <v>#REF!</v>
      </c>
      <c r="F57" s="57" t="s">
        <v>156</v>
      </c>
      <c r="G57" s="57" t="e">
        <f>INT(E57)</f>
        <v>#REF!</v>
      </c>
      <c r="H57" s="57" t="e">
        <f>IF(AND(G55=0,G56=0,G57=1)," ",IF(AND(G52=0,G53=0,G54=0,G55=0,G56=0,G57=1)," ",IF(OR(G56=10,G56=20)," ",IF(AND(G57=100,G58=0,G59=0),IF(G57=0," ",LOOKUP(G57,A51:C96,B51:B96)),IF(G57=0," ",LOOKUP(G57,A51:C96,B51:B96))))))</f>
        <v>#REF!</v>
      </c>
      <c r="I57" s="57" t="e">
        <f>IF(AND(G55=0,G56=0,G57=1),"Mil",IF(SUM(G55:G57)=0," ","Mil"))</f>
        <v>#REF!</v>
      </c>
      <c r="J57" s="57"/>
      <c r="K57" s="57"/>
      <c r="L57" s="57"/>
    </row>
    <row r="58" spans="1:12" hidden="1" x14ac:dyDescent="0.3">
      <c r="A58" s="57">
        <v>7</v>
      </c>
      <c r="B58" s="57" t="s">
        <v>161</v>
      </c>
      <c r="C58" s="57" t="s">
        <v>161</v>
      </c>
      <c r="D58" s="57"/>
      <c r="E58" s="57" t="e">
        <f>INT((D47-(INT(D47/1000000000)*1000000000))/1000000)</f>
        <v>#REF!</v>
      </c>
      <c r="F58" s="57" t="s">
        <v>151</v>
      </c>
      <c r="G58" s="57" t="e">
        <f>INT(E58/100)*100</f>
        <v>#REF!</v>
      </c>
      <c r="H58" s="57" t="e">
        <f>IF(AND(G58=100,G59=0,G60=0),IF(G58=0," ",LOOKUP(G58,A51:C96,B51:B96)),IF(G58=0," ",LOOKUP(G58,A51:C96,C51:C96)))</f>
        <v>#REF!</v>
      </c>
      <c r="I58" s="57"/>
      <c r="J58" s="57" t="s">
        <v>162</v>
      </c>
      <c r="K58" s="57"/>
      <c r="L58" s="57"/>
    </row>
    <row r="59" spans="1:12" hidden="1" x14ac:dyDescent="0.3">
      <c r="A59" s="57">
        <v>8</v>
      </c>
      <c r="B59" s="57" t="s">
        <v>163</v>
      </c>
      <c r="C59" s="57" t="s">
        <v>163</v>
      </c>
      <c r="D59" s="57"/>
      <c r="E59" s="57" t="e">
        <f>+E58-G58</f>
        <v>#REF!</v>
      </c>
      <c r="F59" s="57" t="s">
        <v>154</v>
      </c>
      <c r="G59" s="57" t="e">
        <f>INT(E59/10)*10</f>
        <v>#REF!</v>
      </c>
      <c r="H59" s="57" t="e">
        <f>IF(OR(G59=10,G59=20),LOOKUP(E59,A51:C96,C51:C96),IF(AND(G59=100,G60=0,G64=0),IF(G59=0," ",LOOKUP(G59,A51:C96,B51:B96)),IF(G59=0," ",LOOKUP(G59,A51:C96,C51:C96))))</f>
        <v>#REF!</v>
      </c>
      <c r="I59" s="57" t="e">
        <f>IF(G60=0," ",IF(AND(G59&gt;20,G59&lt;=90),"y"," "))</f>
        <v>#REF!</v>
      </c>
      <c r="J59" s="57"/>
      <c r="K59" s="57"/>
      <c r="L59" s="57"/>
    </row>
    <row r="60" spans="1:12" hidden="1" x14ac:dyDescent="0.3">
      <c r="A60" s="57">
        <v>9</v>
      </c>
      <c r="B60" s="57" t="s">
        <v>164</v>
      </c>
      <c r="C60" s="57" t="s">
        <v>164</v>
      </c>
      <c r="D60" s="57"/>
      <c r="E60" s="57" t="e">
        <f>+E59-G59</f>
        <v>#REF!</v>
      </c>
      <c r="F60" s="57" t="s">
        <v>156</v>
      </c>
      <c r="G60" s="57" t="e">
        <f>INT(E60)</f>
        <v>#REF!</v>
      </c>
      <c r="H60" s="57" t="e">
        <f>IF(AND(G58=0,G59=0,G60=1),"Un",IF(AND(G55=0,G56=0,G57=0,G58=0,G59=0,G60=1)," ",IF(OR(G59=10,G59=20)," ",IF(AND(G60=100,G64=0,G71=0),IF(G60=0," ",LOOKUP(G60,A51:C96,B51:B96)),IF(G60=0," ",LOOKUP(G60,A51:C96,B51:B96))))))</f>
        <v>#REF!</v>
      </c>
      <c r="I60" s="57" t="e">
        <f>IF(AND(OR(G55&gt;0,G56&gt;0,G57&gt;0),G58=0,G59=0,G60=0),"Millones",IF(AND(G55=0,G56=0,G57=0,G58=0,G59=0,G60=1),"Millón",IF(SUM(G58:G60)=0," ","Millones")))</f>
        <v>#REF!</v>
      </c>
      <c r="J60" s="57"/>
      <c r="K60" s="57"/>
      <c r="L60" s="57"/>
    </row>
    <row r="61" spans="1:12" hidden="1" x14ac:dyDescent="0.3">
      <c r="A61" s="57">
        <v>10</v>
      </c>
      <c r="B61" s="57" t="s">
        <v>165</v>
      </c>
      <c r="C61" s="57" t="s">
        <v>165</v>
      </c>
      <c r="D61" s="57"/>
      <c r="E61" s="57" t="e">
        <f>INT((D47-(INT(D47/1000000)*1000000))/1000)</f>
        <v>#REF!</v>
      </c>
      <c r="F61" s="57" t="s">
        <v>151</v>
      </c>
      <c r="G61" s="57" t="e">
        <f>INT(E61/100)*100</f>
        <v>#REF!</v>
      </c>
      <c r="H61" s="57" t="e">
        <f>IF(AND(G61=100,G62=0,G63=0),IF(G61=0," ",LOOKUP(G61,A51:C96,B51:B96)),IF(G61=0," ",LOOKUP(G61,A51:C96,C51:C96)))</f>
        <v>#REF!</v>
      </c>
      <c r="I61" s="57"/>
      <c r="J61" s="57" t="s">
        <v>166</v>
      </c>
      <c r="K61" s="57"/>
      <c r="L61" s="57"/>
    </row>
    <row r="62" spans="1:12" hidden="1" x14ac:dyDescent="0.3">
      <c r="A62" s="57">
        <v>11</v>
      </c>
      <c r="B62" s="57" t="s">
        <v>167</v>
      </c>
      <c r="C62" s="57" t="s">
        <v>167</v>
      </c>
      <c r="D62" s="57"/>
      <c r="E62" s="57" t="e">
        <f>+E61-G61</f>
        <v>#REF!</v>
      </c>
      <c r="F62" s="57" t="s">
        <v>154</v>
      </c>
      <c r="G62" s="57" t="e">
        <f>INT(E62/10)*10</f>
        <v>#REF!</v>
      </c>
      <c r="H62" s="57" t="e">
        <f>IF(OR(G62=10,G62=20),LOOKUP(E62,A51:C96,C51:C96),IF(AND(G62=100,G63=0,F69=0),IF(G62=0," ",LOOKUP(G62,A51:C96,B51:B96)),IF(G62=0," ",LOOKUP(G62,A51:C96,C51:C96))))</f>
        <v>#REF!</v>
      </c>
      <c r="I62" s="57" t="e">
        <f>IF(G63=0," ",IF(AND(G62&gt;20,G62&lt;=90),"y"," "))</f>
        <v>#REF!</v>
      </c>
      <c r="J62" s="57"/>
      <c r="K62" s="57"/>
      <c r="L62" s="57"/>
    </row>
    <row r="63" spans="1:12" hidden="1" x14ac:dyDescent="0.3">
      <c r="A63" s="57">
        <v>12</v>
      </c>
      <c r="B63" s="57" t="s">
        <v>168</v>
      </c>
      <c r="C63" s="57" t="s">
        <v>168</v>
      </c>
      <c r="D63" s="57"/>
      <c r="E63" s="57" t="e">
        <f>+E62-G62</f>
        <v>#REF!</v>
      </c>
      <c r="F63" s="57" t="s">
        <v>156</v>
      </c>
      <c r="G63" s="57" t="e">
        <f>INT(E63)</f>
        <v>#REF!</v>
      </c>
      <c r="H63" s="57" t="e">
        <f>IF(AND(G61=0,G62=0,G63=1)," ",IF(AND(G58=0,G59=0,G60=0,G61=0,G62=0,G63=1)," ",IF(OR(G62=10,G62=20)," ",IF(AND(G63=100,F69=0,F70=0),IF(G63=0," ",LOOKUP(G63,A51:C96,B51:B96)),IF(G63=0," ",LOOKUP(G63,A51:C96,B51:B96))))))</f>
        <v>#REF!</v>
      </c>
      <c r="I63" s="57" t="e">
        <f>IF(AND(G61=0,G62=0,G63=1),"Mil",IF(SUM(G61:G63)=0," ","Mil"))</f>
        <v>#REF!</v>
      </c>
      <c r="J63" s="57"/>
      <c r="K63" s="57"/>
      <c r="L63" s="57"/>
    </row>
    <row r="64" spans="1:12" hidden="1" x14ac:dyDescent="0.3">
      <c r="A64" s="57">
        <v>13</v>
      </c>
      <c r="B64" s="57" t="s">
        <v>169</v>
      </c>
      <c r="C64" s="57" t="s">
        <v>169</v>
      </c>
      <c r="D64" s="57"/>
      <c r="E64" s="57" t="e">
        <f>INT((D47-(INT(D47/1000)*1000))/1)</f>
        <v>#REF!</v>
      </c>
      <c r="F64" s="57" t="s">
        <v>151</v>
      </c>
      <c r="G64" s="57" t="e">
        <f>INT(E64/100)*100</f>
        <v>#REF!</v>
      </c>
      <c r="H64" s="57" t="e">
        <f>IF(AND(G64=100,G65=0,G66=0),IF(G64=0," ",LOOKUP(G64,A51:C96,B51:B96)),IF(G64=0," ",LOOKUP(G64,A51:C96,C51:C96)))</f>
        <v>#REF!</v>
      </c>
      <c r="I64" s="57"/>
      <c r="J64" s="57" t="s">
        <v>170</v>
      </c>
      <c r="K64" s="57"/>
      <c r="L64" s="57"/>
    </row>
    <row r="65" spans="1:12" hidden="1" x14ac:dyDescent="0.3">
      <c r="A65" s="57">
        <v>14</v>
      </c>
      <c r="B65" s="57" t="s">
        <v>171</v>
      </c>
      <c r="C65" s="57" t="s">
        <v>171</v>
      </c>
      <c r="D65" s="57"/>
      <c r="E65" s="57" t="e">
        <f>+E64-G64</f>
        <v>#REF!</v>
      </c>
      <c r="F65" s="57" t="s">
        <v>154</v>
      </c>
      <c r="G65" s="57" t="e">
        <f>INT(E65/10)*10</f>
        <v>#REF!</v>
      </c>
      <c r="H65" s="57" t="e">
        <f>IF(OR(G65=10,G65=20),LOOKUP(E65,A51:C96,C51:C96),IF(AND(G65=100,G66=0,G76=0),IF(G65=0," ",LOOKUP(G65,A51:C96,B51:B96)),IF(G65=0," ",LOOKUP(G65,A51:C96,C51:C96))))</f>
        <v>#REF!</v>
      </c>
      <c r="I65" s="57" t="e">
        <f>IF(G66=0," ",IF(AND(G65&gt;20,G65&lt;=90),"y"," "))</f>
        <v>#REF!</v>
      </c>
      <c r="J65" s="57"/>
      <c r="K65" s="57"/>
      <c r="L65" s="57"/>
    </row>
    <row r="66" spans="1:12" hidden="1" x14ac:dyDescent="0.3">
      <c r="A66" s="57">
        <v>15</v>
      </c>
      <c r="B66" s="57" t="s">
        <v>172</v>
      </c>
      <c r="C66" s="57" t="s">
        <v>172</v>
      </c>
      <c r="D66" s="57"/>
      <c r="E66" s="57" t="e">
        <f>+E65-G65</f>
        <v>#REF!</v>
      </c>
      <c r="F66" s="57" t="s">
        <v>156</v>
      </c>
      <c r="G66" s="57" t="e">
        <f>INT(E66)</f>
        <v>#REF!</v>
      </c>
      <c r="H66" s="57" t="e">
        <f>IF(AND(G64=0,G65=0,G66=1),"Un",IF(AND(G61=0,G62=0,G63=0,G64=0,G65=0,G66=1)," ",IF(OR(G65=10,G65=20)," ",IF(AND(G66=100,G76=0,G77=0),IF(G66=0," ",LOOKUP(G66,A51:C96,B51:B96)),IF(G66=0," ",LOOKUP(G66,A51:C96,B51:B96))))))</f>
        <v>#REF!</v>
      </c>
      <c r="I66" s="57"/>
      <c r="J66" s="57"/>
      <c r="K66" s="57"/>
      <c r="L66" s="57"/>
    </row>
    <row r="67" spans="1:12" hidden="1" x14ac:dyDescent="0.3">
      <c r="A67" s="57">
        <v>16</v>
      </c>
      <c r="B67" s="57" t="s">
        <v>173</v>
      </c>
      <c r="C67" s="57" t="s">
        <v>173</v>
      </c>
      <c r="D67" s="57"/>
      <c r="E67" s="57"/>
      <c r="F67" s="57"/>
      <c r="G67" s="57"/>
      <c r="H67" s="57"/>
      <c r="I67" s="57"/>
      <c r="J67" s="57"/>
      <c r="K67" s="57"/>
      <c r="L67" s="57"/>
    </row>
    <row r="68" spans="1:12" hidden="1" x14ac:dyDescent="0.3">
      <c r="A68" s="57">
        <v>17</v>
      </c>
      <c r="B68" s="57" t="s">
        <v>174</v>
      </c>
      <c r="C68" s="57" t="s">
        <v>174</v>
      </c>
      <c r="D68" s="57"/>
      <c r="E68" s="57"/>
      <c r="F68" s="57"/>
      <c r="G68" s="57"/>
      <c r="H68" s="57"/>
      <c r="I68" s="57"/>
      <c r="J68" s="57"/>
      <c r="K68" s="57"/>
      <c r="L68" s="57"/>
    </row>
    <row r="69" spans="1:12" hidden="1" x14ac:dyDescent="0.3">
      <c r="A69" s="57">
        <v>18</v>
      </c>
      <c r="B69" s="57" t="s">
        <v>175</v>
      </c>
      <c r="C69" s="57" t="s">
        <v>175</v>
      </c>
      <c r="D69" s="57"/>
      <c r="E69" s="57"/>
      <c r="F69" s="57"/>
      <c r="G69" s="57"/>
      <c r="H69" s="57"/>
      <c r="I69" s="57"/>
      <c r="J69" s="57"/>
      <c r="K69" s="57"/>
      <c r="L69" s="57"/>
    </row>
    <row r="70" spans="1:12" hidden="1" x14ac:dyDescent="0.3">
      <c r="A70" s="57">
        <v>19</v>
      </c>
      <c r="B70" s="57" t="s">
        <v>176</v>
      </c>
      <c r="C70" s="57" t="s">
        <v>176</v>
      </c>
      <c r="D70" s="57"/>
      <c r="E70" s="57"/>
      <c r="F70" s="57"/>
      <c r="G70" s="57"/>
      <c r="H70" s="57"/>
      <c r="I70" s="57"/>
      <c r="J70" s="57"/>
      <c r="K70" s="57"/>
      <c r="L70" s="57"/>
    </row>
    <row r="71" spans="1:12" hidden="1" x14ac:dyDescent="0.3">
      <c r="A71" s="57">
        <v>20</v>
      </c>
      <c r="B71" s="57" t="s">
        <v>177</v>
      </c>
      <c r="C71" s="57" t="s">
        <v>177</v>
      </c>
      <c r="D71" s="57" t="e">
        <f>H52&amp;" "&amp;H53&amp;" "&amp;I53&amp;" "&amp;" "&amp;H54&amp;" "&amp;I54&amp;" "&amp;H55&amp;" "&amp;H56&amp;" "&amp;I56&amp;" "&amp;" "&amp;H57&amp;" "&amp;I57&amp;" "&amp;H58&amp;" "&amp;H59&amp;" "&amp;I59&amp;" "&amp;H60&amp;" "&amp;I60&amp;" "&amp;H61&amp;" "&amp;H62&amp;" "&amp;I62&amp;" "&amp;H63&amp;" "&amp;I63&amp;" "&amp;H64&amp;" "&amp;H65&amp;" "&amp;I65&amp;" "&amp;H66&amp;" "&amp;H73</f>
        <v>#REF!</v>
      </c>
      <c r="E71" s="57"/>
      <c r="F71" s="57"/>
      <c r="G71" s="57"/>
      <c r="H71" s="57"/>
      <c r="I71" s="57"/>
      <c r="J71" s="57"/>
      <c r="K71" s="57"/>
      <c r="L71" s="57"/>
    </row>
    <row r="72" spans="1:12" hidden="1" x14ac:dyDescent="0.3">
      <c r="A72" s="57">
        <v>21</v>
      </c>
      <c r="B72" s="57" t="s">
        <v>178</v>
      </c>
      <c r="C72" s="57" t="s">
        <v>179</v>
      </c>
      <c r="D72" s="57"/>
      <c r="E72" s="57"/>
      <c r="F72" s="57"/>
      <c r="G72" s="57"/>
      <c r="H72" s="57"/>
      <c r="I72" s="57"/>
      <c r="J72" s="57"/>
      <c r="K72" s="57"/>
      <c r="L72" s="57"/>
    </row>
    <row r="73" spans="1:12" hidden="1" x14ac:dyDescent="0.3">
      <c r="A73" s="57">
        <v>22</v>
      </c>
      <c r="B73" s="57" t="s">
        <v>180</v>
      </c>
      <c r="C73" s="57" t="s">
        <v>180</v>
      </c>
      <c r="D73" s="57"/>
      <c r="E73" s="57"/>
      <c r="F73" s="57"/>
      <c r="G73" s="57"/>
      <c r="H73" s="57" t="e">
        <f>IF(F74&lt;&gt;0,"de Pesos M/Cte",IF(D47=1,"Peso M/Cte","Pesos M/Cte"))</f>
        <v>#REF!</v>
      </c>
      <c r="I73" s="57"/>
      <c r="J73" s="57"/>
      <c r="K73" s="57"/>
      <c r="L73" s="57"/>
    </row>
    <row r="74" spans="1:12" hidden="1" x14ac:dyDescent="0.3">
      <c r="A74" s="57">
        <v>23</v>
      </c>
      <c r="B74" s="57" t="s">
        <v>181</v>
      </c>
      <c r="C74" s="57" t="s">
        <v>181</v>
      </c>
      <c r="D74" s="57"/>
      <c r="E74" s="57" t="e">
        <f>D47/1000000</f>
        <v>#REF!</v>
      </c>
      <c r="F74" s="57" t="e">
        <f>IF(E74=INT(E74),"De Pesos M/Cte",0)</f>
        <v>#REF!</v>
      </c>
      <c r="G74" s="57"/>
      <c r="H74" s="57"/>
      <c r="I74" s="57"/>
      <c r="J74" s="57"/>
      <c r="K74" s="57"/>
      <c r="L74" s="57"/>
    </row>
    <row r="75" spans="1:12" hidden="1" x14ac:dyDescent="0.3">
      <c r="A75" s="57">
        <v>24</v>
      </c>
      <c r="B75" s="57" t="s">
        <v>182</v>
      </c>
      <c r="C75" s="57" t="s">
        <v>182</v>
      </c>
      <c r="D75" s="57"/>
      <c r="E75" s="57"/>
      <c r="F75" s="57"/>
      <c r="G75" s="57"/>
      <c r="H75" s="57"/>
      <c r="I75" s="57"/>
      <c r="J75" s="57"/>
      <c r="K75" s="57"/>
      <c r="L75" s="57"/>
    </row>
    <row r="76" spans="1:12" hidden="1" x14ac:dyDescent="0.3">
      <c r="A76" s="57">
        <v>25</v>
      </c>
      <c r="B76" s="57" t="s">
        <v>183</v>
      </c>
      <c r="C76" s="57" t="s">
        <v>183</v>
      </c>
      <c r="D76" s="57"/>
      <c r="E76" s="57"/>
      <c r="F76" s="57"/>
      <c r="G76" s="57"/>
      <c r="H76" s="57"/>
      <c r="I76" s="57"/>
      <c r="J76" s="57"/>
      <c r="K76" s="57"/>
      <c r="L76" s="57"/>
    </row>
    <row r="77" spans="1:12" hidden="1" x14ac:dyDescent="0.3">
      <c r="A77" s="57">
        <v>26</v>
      </c>
      <c r="B77" s="57" t="s">
        <v>184</v>
      </c>
      <c r="C77" s="57" t="s">
        <v>184</v>
      </c>
      <c r="D77" s="57"/>
      <c r="E77" s="57"/>
      <c r="F77" s="57"/>
      <c r="G77" s="57"/>
      <c r="H77" s="57"/>
      <c r="I77" s="57"/>
      <c r="J77" s="57"/>
      <c r="K77" s="57"/>
      <c r="L77" s="57"/>
    </row>
    <row r="78" spans="1:12" hidden="1" x14ac:dyDescent="0.3">
      <c r="A78" s="57">
        <v>27</v>
      </c>
      <c r="B78" s="57" t="s">
        <v>185</v>
      </c>
      <c r="C78" s="57" t="s">
        <v>185</v>
      </c>
      <c r="D78" s="57"/>
      <c r="E78" s="57"/>
      <c r="F78" s="57"/>
      <c r="G78" s="57"/>
      <c r="H78" s="57"/>
      <c r="I78" s="57"/>
      <c r="J78" s="57"/>
      <c r="K78" s="57"/>
      <c r="L78" s="57"/>
    </row>
    <row r="79" spans="1:12" hidden="1" x14ac:dyDescent="0.3">
      <c r="A79" s="57">
        <v>28</v>
      </c>
      <c r="B79" s="57" t="s">
        <v>186</v>
      </c>
      <c r="C79" s="57" t="s">
        <v>186</v>
      </c>
      <c r="D79" s="57"/>
      <c r="E79" s="57"/>
      <c r="F79" s="57"/>
      <c r="G79" s="57"/>
      <c r="H79" s="57"/>
      <c r="I79" s="57"/>
      <c r="J79" s="57"/>
      <c r="K79" s="57"/>
      <c r="L79" s="57"/>
    </row>
    <row r="80" spans="1:12" hidden="1" x14ac:dyDescent="0.3">
      <c r="A80" s="57">
        <v>29</v>
      </c>
      <c r="B80" s="57" t="s">
        <v>187</v>
      </c>
      <c r="C80" s="57" t="s">
        <v>187</v>
      </c>
      <c r="D80" s="57"/>
      <c r="E80" s="57"/>
      <c r="F80" s="57"/>
      <c r="G80" s="57"/>
      <c r="H80" s="57"/>
      <c r="I80" s="57"/>
      <c r="J80" s="57"/>
      <c r="K80" s="57"/>
      <c r="L80" s="57"/>
    </row>
    <row r="81" spans="1:12" hidden="1" x14ac:dyDescent="0.3">
      <c r="A81" s="57">
        <v>30</v>
      </c>
      <c r="B81" s="57" t="s">
        <v>188</v>
      </c>
      <c r="C81" s="57" t="s">
        <v>188</v>
      </c>
      <c r="D81" s="57"/>
      <c r="E81" s="57"/>
      <c r="F81" s="57"/>
      <c r="G81" s="57"/>
      <c r="H81" s="57"/>
      <c r="I81" s="57"/>
      <c r="J81" s="57"/>
      <c r="K81" s="57"/>
      <c r="L81" s="57"/>
    </row>
    <row r="82" spans="1:12" hidden="1" x14ac:dyDescent="0.3">
      <c r="A82" s="57">
        <v>40</v>
      </c>
      <c r="B82" s="57" t="s">
        <v>189</v>
      </c>
      <c r="C82" s="57" t="s">
        <v>189</v>
      </c>
      <c r="D82" s="57"/>
      <c r="E82" s="57"/>
      <c r="F82" s="57"/>
      <c r="G82" s="57"/>
      <c r="H82" s="57"/>
      <c r="I82" s="57"/>
      <c r="J82" s="57"/>
      <c r="K82" s="57"/>
      <c r="L82" s="57"/>
    </row>
    <row r="83" spans="1:12" hidden="1" x14ac:dyDescent="0.3">
      <c r="A83" s="57">
        <v>50</v>
      </c>
      <c r="B83" s="57" t="s">
        <v>190</v>
      </c>
      <c r="C83" s="57" t="s">
        <v>190</v>
      </c>
      <c r="D83" s="57"/>
      <c r="E83" s="57"/>
      <c r="F83" s="57"/>
      <c r="G83" s="57"/>
      <c r="H83" s="57"/>
      <c r="I83" s="57"/>
      <c r="J83" s="57"/>
      <c r="K83" s="57"/>
      <c r="L83" s="57"/>
    </row>
    <row r="84" spans="1:12" hidden="1" x14ac:dyDescent="0.3">
      <c r="A84" s="57">
        <v>60</v>
      </c>
      <c r="B84" s="57" t="s">
        <v>191</v>
      </c>
      <c r="C84" s="57" t="s">
        <v>191</v>
      </c>
      <c r="D84" s="57"/>
      <c r="E84" s="57"/>
      <c r="F84" s="57"/>
      <c r="G84" s="57"/>
      <c r="H84" s="57"/>
      <c r="I84" s="57"/>
      <c r="J84" s="57"/>
      <c r="K84" s="57"/>
      <c r="L84" s="57"/>
    </row>
    <row r="85" spans="1:12" hidden="1" x14ac:dyDescent="0.3">
      <c r="A85" s="57">
        <v>70</v>
      </c>
      <c r="B85" s="57" t="s">
        <v>192</v>
      </c>
      <c r="C85" s="57" t="s">
        <v>192</v>
      </c>
      <c r="D85" s="57"/>
      <c r="E85" s="57"/>
      <c r="F85" s="57"/>
      <c r="G85" s="57"/>
      <c r="H85" s="57"/>
      <c r="I85" s="57"/>
      <c r="J85" s="57"/>
      <c r="K85" s="57"/>
      <c r="L85" s="57"/>
    </row>
    <row r="86" spans="1:12" hidden="1" x14ac:dyDescent="0.3">
      <c r="A86" s="57">
        <v>80</v>
      </c>
      <c r="B86" s="57" t="s">
        <v>193</v>
      </c>
      <c r="C86" s="57" t="s">
        <v>193</v>
      </c>
      <c r="D86" s="57"/>
      <c r="E86" s="57"/>
      <c r="F86" s="57"/>
      <c r="G86" s="57"/>
      <c r="H86" s="57"/>
      <c r="I86" s="57"/>
      <c r="J86" s="57"/>
      <c r="K86" s="57"/>
      <c r="L86" s="57"/>
    </row>
    <row r="87" spans="1:12" hidden="1" x14ac:dyDescent="0.3">
      <c r="A87" s="57">
        <v>90</v>
      </c>
      <c r="B87" s="57" t="s">
        <v>194</v>
      </c>
      <c r="C87" s="57" t="s">
        <v>194</v>
      </c>
      <c r="D87" s="57"/>
      <c r="E87" s="57"/>
      <c r="F87" s="57"/>
      <c r="G87" s="57"/>
      <c r="H87" s="57"/>
      <c r="I87" s="57"/>
      <c r="J87" s="57"/>
      <c r="K87" s="57"/>
      <c r="L87" s="57"/>
    </row>
    <row r="88" spans="1:12" hidden="1" x14ac:dyDescent="0.3">
      <c r="A88" s="57">
        <v>100</v>
      </c>
      <c r="B88" s="57" t="s">
        <v>195</v>
      </c>
      <c r="C88" s="57" t="s">
        <v>196</v>
      </c>
      <c r="D88" s="57"/>
      <c r="E88" s="57"/>
      <c r="F88" s="57"/>
      <c r="G88" s="57"/>
      <c r="H88" s="57"/>
      <c r="I88" s="57"/>
      <c r="J88" s="57"/>
      <c r="K88" s="57"/>
      <c r="L88" s="57"/>
    </row>
    <row r="89" spans="1:12" hidden="1" x14ac:dyDescent="0.3">
      <c r="A89" s="57">
        <v>200</v>
      </c>
      <c r="B89" s="57" t="s">
        <v>197</v>
      </c>
      <c r="C89" s="57" t="s">
        <v>197</v>
      </c>
      <c r="D89" s="57"/>
      <c r="E89" s="57"/>
      <c r="F89" s="57"/>
      <c r="G89" s="57"/>
      <c r="H89" s="57"/>
      <c r="I89" s="57"/>
      <c r="J89" s="57"/>
      <c r="K89" s="57"/>
      <c r="L89" s="57"/>
    </row>
    <row r="90" spans="1:12" hidden="1" x14ac:dyDescent="0.3">
      <c r="A90" s="57">
        <v>300</v>
      </c>
      <c r="B90" s="57" t="s">
        <v>198</v>
      </c>
      <c r="C90" s="57" t="s">
        <v>198</v>
      </c>
      <c r="D90" s="57"/>
      <c r="E90" s="57"/>
      <c r="F90" s="57"/>
      <c r="G90" s="57"/>
      <c r="H90" s="57"/>
      <c r="I90" s="57"/>
      <c r="J90" s="57"/>
      <c r="K90" s="57"/>
      <c r="L90" s="57"/>
    </row>
    <row r="91" spans="1:12" hidden="1" x14ac:dyDescent="0.3">
      <c r="A91" s="57">
        <v>400</v>
      </c>
      <c r="B91" s="57" t="s">
        <v>199</v>
      </c>
      <c r="C91" s="57" t="s">
        <v>199</v>
      </c>
      <c r="D91" s="57"/>
      <c r="E91" s="57"/>
      <c r="F91" s="57"/>
      <c r="G91" s="57"/>
      <c r="H91" s="57"/>
      <c r="I91" s="57"/>
      <c r="J91" s="57"/>
      <c r="K91" s="57"/>
      <c r="L91" s="57"/>
    </row>
    <row r="92" spans="1:12" hidden="1" x14ac:dyDescent="0.3">
      <c r="A92" s="57">
        <v>500</v>
      </c>
      <c r="B92" s="57" t="s">
        <v>200</v>
      </c>
      <c r="C92" s="57" t="s">
        <v>200</v>
      </c>
      <c r="D92" s="57"/>
      <c r="E92" s="57"/>
      <c r="F92" s="57"/>
      <c r="G92" s="57"/>
      <c r="H92" s="57"/>
      <c r="I92" s="57"/>
      <c r="J92" s="57"/>
      <c r="K92" s="57"/>
      <c r="L92" s="57"/>
    </row>
    <row r="93" spans="1:12" hidden="1" x14ac:dyDescent="0.3">
      <c r="A93" s="57">
        <v>600</v>
      </c>
      <c r="B93" s="57" t="s">
        <v>201</v>
      </c>
      <c r="C93" s="57" t="s">
        <v>201</v>
      </c>
      <c r="D93" s="57"/>
      <c r="E93" s="57"/>
      <c r="F93" s="57"/>
      <c r="G93" s="57"/>
      <c r="H93" s="57"/>
      <c r="I93" s="57"/>
      <c r="J93" s="57"/>
      <c r="K93" s="57"/>
      <c r="L93" s="57"/>
    </row>
    <row r="94" spans="1:12" hidden="1" x14ac:dyDescent="0.3">
      <c r="A94" s="57">
        <v>700</v>
      </c>
      <c r="B94" s="57" t="s">
        <v>202</v>
      </c>
      <c r="C94" s="57" t="s">
        <v>202</v>
      </c>
      <c r="D94" s="57"/>
      <c r="E94" s="57"/>
      <c r="F94" s="57"/>
      <c r="G94" s="57"/>
      <c r="H94" s="57"/>
      <c r="I94" s="57"/>
      <c r="J94" s="57"/>
      <c r="K94" s="57"/>
      <c r="L94" s="57"/>
    </row>
    <row r="95" spans="1:12" hidden="1" x14ac:dyDescent="0.3">
      <c r="A95" s="57">
        <v>800</v>
      </c>
      <c r="B95" s="57" t="s">
        <v>203</v>
      </c>
      <c r="C95" s="57" t="s">
        <v>203</v>
      </c>
      <c r="D95" s="57"/>
      <c r="E95" s="57"/>
      <c r="F95" s="57"/>
      <c r="G95" s="57"/>
      <c r="H95" s="57"/>
      <c r="I95" s="57"/>
      <c r="J95" s="57"/>
      <c r="K95" s="57"/>
      <c r="L95" s="57"/>
    </row>
    <row r="96" spans="1:12" hidden="1" x14ac:dyDescent="0.3">
      <c r="A96" s="57">
        <v>900</v>
      </c>
      <c r="B96" s="57" t="s">
        <v>204</v>
      </c>
      <c r="C96" s="57" t="s">
        <v>204</v>
      </c>
      <c r="D96" s="57"/>
      <c r="E96" s="57"/>
      <c r="F96" s="57"/>
      <c r="G96" s="57"/>
      <c r="H96" s="57"/>
      <c r="I96" s="57"/>
      <c r="J96" s="57"/>
      <c r="K96" s="57"/>
      <c r="L96" s="57"/>
    </row>
  </sheetData>
  <sheetProtection algorithmName="SHA-512" hashValue="7Ojfn+B3/3YACxZ/IopXBRj/dpwF6UD6M6S/5WGFDGES8ngXphFOIVrvorrL+OVumq+/vd1CNoXosaC2F/pxzg==" saltValue="QnLe1yMpLl5vbfF2XtJ0MA==" spinCount="100000" sheet="1" objects="1" scenarios="1" formatCells="0" insertRows="0"/>
  <mergeCells count="97">
    <mergeCell ref="A1:E1"/>
    <mergeCell ref="F1:O1"/>
    <mergeCell ref="P1:AA4"/>
    <mergeCell ref="A2:E2"/>
    <mergeCell ref="F2:O2"/>
    <mergeCell ref="A3:E3"/>
    <mergeCell ref="F3:O3"/>
    <mergeCell ref="A4:E4"/>
    <mergeCell ref="F4:O4"/>
    <mergeCell ref="A5:AA5"/>
    <mergeCell ref="P6:V6"/>
    <mergeCell ref="W6:Y7"/>
    <mergeCell ref="Z6:AA7"/>
    <mergeCell ref="A7:E7"/>
    <mergeCell ref="F7:O7"/>
    <mergeCell ref="P7:V7"/>
    <mergeCell ref="A8:AA8"/>
    <mergeCell ref="B9:O9"/>
    <mergeCell ref="P9:Y9"/>
    <mergeCell ref="Z9:AA10"/>
    <mergeCell ref="A10:E10"/>
    <mergeCell ref="F10:G10"/>
    <mergeCell ref="I10:J10"/>
    <mergeCell ref="M10:O10"/>
    <mergeCell ref="P10:S10"/>
    <mergeCell ref="T10:V10"/>
    <mergeCell ref="W10:Y10"/>
    <mergeCell ref="A12:E12"/>
    <mergeCell ref="F12:J12"/>
    <mergeCell ref="M12:O12"/>
    <mergeCell ref="P12:S12"/>
    <mergeCell ref="T12:AA12"/>
    <mergeCell ref="A11:E11"/>
    <mergeCell ref="F11:O11"/>
    <mergeCell ref="P11:S11"/>
    <mergeCell ref="T11:AA11"/>
    <mergeCell ref="Z14:AA14"/>
    <mergeCell ref="A13:E13"/>
    <mergeCell ref="F13:J13"/>
    <mergeCell ref="M13:O13"/>
    <mergeCell ref="P13:S13"/>
    <mergeCell ref="T13:Y13"/>
    <mergeCell ref="Z13:AA13"/>
    <mergeCell ref="A14:E14"/>
    <mergeCell ref="F14:O14"/>
    <mergeCell ref="P14:S14"/>
    <mergeCell ref="T14:V14"/>
    <mergeCell ref="W14:Y14"/>
    <mergeCell ref="T16:AA16"/>
    <mergeCell ref="A15:E15"/>
    <mergeCell ref="F15:G15"/>
    <mergeCell ref="H15:J15"/>
    <mergeCell ref="M15:O15"/>
    <mergeCell ref="P15:S15"/>
    <mergeCell ref="T15:AA15"/>
    <mergeCell ref="A16:E16"/>
    <mergeCell ref="F16:J16"/>
    <mergeCell ref="K16:L16"/>
    <mergeCell ref="M16:O16"/>
    <mergeCell ref="P16:S16"/>
    <mergeCell ref="A17:AA17"/>
    <mergeCell ref="A18:E18"/>
    <mergeCell ref="F18:J18"/>
    <mergeCell ref="K18:O18"/>
    <mergeCell ref="P18:S18"/>
    <mergeCell ref="T18:AA18"/>
    <mergeCell ref="A20:E20"/>
    <mergeCell ref="F20:J20"/>
    <mergeCell ref="M20:O20"/>
    <mergeCell ref="P20:S20"/>
    <mergeCell ref="T20:AA20"/>
    <mergeCell ref="A19:E19"/>
    <mergeCell ref="F19:J19"/>
    <mergeCell ref="K19:O19"/>
    <mergeCell ref="P19:S19"/>
    <mergeCell ref="T19:AA19"/>
    <mergeCell ref="A24:E24"/>
    <mergeCell ref="F24:AA24"/>
    <mergeCell ref="A21:E21"/>
    <mergeCell ref="F21:J21"/>
    <mergeCell ref="K21:O21"/>
    <mergeCell ref="P21:S21"/>
    <mergeCell ref="T21:V21"/>
    <mergeCell ref="W21:Y21"/>
    <mergeCell ref="Z21:AA21"/>
    <mergeCell ref="A22:E22"/>
    <mergeCell ref="F22:AA22"/>
    <mergeCell ref="A23:E23"/>
    <mergeCell ref="F23:AA23"/>
    <mergeCell ref="A25:AA25"/>
    <mergeCell ref="D47:F47"/>
    <mergeCell ref="D26:G26"/>
    <mergeCell ref="I27:M27"/>
    <mergeCell ref="N27:AA27"/>
    <mergeCell ref="A28:F28"/>
    <mergeCell ref="A27:E27"/>
    <mergeCell ref="F27:H27"/>
  </mergeCells>
  <phoneticPr fontId="9" type="noConversion"/>
  <pageMargins left="0.7" right="0.7" top="0.75" bottom="0.75" header="0.3" footer="0.3"/>
  <pageSetup scale="7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BDC!$A$3:$A$258</xm:f>
          </x14:formula1>
          <xm:sqref>F14:O14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AI132"/>
  <sheetViews>
    <sheetView topLeftCell="A15" zoomScale="120" zoomScaleNormal="120" workbookViewId="0">
      <selection activeCell="L28" sqref="L28:M28"/>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1413</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273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285" t="s">
        <v>1413</v>
      </c>
      <c r="G6" s="285"/>
      <c r="H6" s="285"/>
      <c r="I6" s="285"/>
      <c r="J6" s="285"/>
      <c r="K6" s="285"/>
      <c r="L6" s="285"/>
      <c r="M6" s="285"/>
      <c r="N6" s="285"/>
      <c r="O6" s="285"/>
      <c r="P6" s="374" t="s">
        <v>60</v>
      </c>
      <c r="Q6" s="374"/>
      <c r="R6" s="374"/>
      <c r="S6" s="374"/>
      <c r="T6" s="374"/>
      <c r="U6" s="374"/>
      <c r="V6" s="374"/>
      <c r="W6" s="375" t="s">
        <v>61</v>
      </c>
      <c r="X6" s="375"/>
      <c r="Y6" s="375"/>
      <c r="Z6" s="376">
        <v>1</v>
      </c>
      <c r="AA6" s="376"/>
    </row>
    <row r="7" spans="1:28" ht="15.95" customHeight="1" x14ac:dyDescent="0.3">
      <c r="A7" s="374" t="s">
        <v>6</v>
      </c>
      <c r="B7" s="374"/>
      <c r="C7" s="374"/>
      <c r="D7" s="374"/>
      <c r="E7" s="374"/>
      <c r="F7" s="377" t="str">
        <f>VLOOKUP($F$14,CONTRA,58,FALSE)</f>
        <v>PRESTACION DE SERVICIOS PROFESIONALES</v>
      </c>
      <c r="G7" s="377"/>
      <c r="H7" s="377"/>
      <c r="I7" s="377"/>
      <c r="J7" s="377"/>
      <c r="K7" s="377"/>
      <c r="L7" s="377"/>
      <c r="M7" s="377"/>
      <c r="N7" s="377"/>
      <c r="O7" s="377"/>
      <c r="P7" s="378">
        <f ca="1">NOW()</f>
        <v>43405.671954050929</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1</v>
      </c>
      <c r="AA9" s="369"/>
    </row>
    <row r="10" spans="1:28" ht="14.1" customHeight="1" x14ac:dyDescent="0.3">
      <c r="A10" s="325" t="s">
        <v>13</v>
      </c>
      <c r="B10" s="325"/>
      <c r="C10" s="325"/>
      <c r="D10" s="325"/>
      <c r="E10" s="325"/>
      <c r="F10" s="308" t="str">
        <f>VLOOKUP($F$14,CONTRA,2,FALSE)</f>
        <v>9-392</v>
      </c>
      <c r="G10" s="308"/>
      <c r="H10" s="19" t="s">
        <v>25</v>
      </c>
      <c r="I10" s="308" t="str">
        <f>VLOOKUP($F$14,CONTRA,3,FALSE)</f>
        <v>19-416</v>
      </c>
      <c r="J10" s="308"/>
      <c r="K10" s="19" t="s">
        <v>26</v>
      </c>
      <c r="L10" s="20"/>
      <c r="M10" s="308" t="str">
        <f>VLOOKUP($F$14,CONTRA,4,FALSE)</f>
        <v>2.3.1.1.01- 2.3.1.1.03</v>
      </c>
      <c r="N10" s="308"/>
      <c r="O10" s="308"/>
      <c r="P10" s="325" t="s">
        <v>12</v>
      </c>
      <c r="Q10" s="325"/>
      <c r="R10" s="325"/>
      <c r="S10" s="325"/>
      <c r="T10" s="333">
        <f>VLOOKUP($F$14,CONTRA,5,FALSE)</f>
        <v>2018</v>
      </c>
      <c r="U10" s="333"/>
      <c r="V10" s="333"/>
      <c r="W10" s="325" t="s">
        <v>138</v>
      </c>
      <c r="X10" s="325"/>
      <c r="Y10" s="325"/>
      <c r="Z10" s="370"/>
      <c r="AA10" s="371"/>
    </row>
    <row r="11" spans="1:28"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14-56</v>
      </c>
      <c r="U11" s="333"/>
      <c r="V11" s="333"/>
      <c r="W11" s="333"/>
      <c r="X11" s="333"/>
      <c r="Y11" s="333"/>
      <c r="Z11" s="333"/>
      <c r="AA11" s="333"/>
    </row>
    <row r="12" spans="1:28"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customHeight="1" x14ac:dyDescent="0.3">
      <c r="A13" s="325" t="s">
        <v>10</v>
      </c>
      <c r="B13" s="325"/>
      <c r="C13" s="325"/>
      <c r="D13" s="325"/>
      <c r="E13" s="325"/>
      <c r="F13" s="333" t="str">
        <f>VLOOKUP($F$14,CONTRA,12,FALSE)</f>
        <v>JUAN DAVID VILLA ROMERO</v>
      </c>
      <c r="G13" s="333"/>
      <c r="H13" s="333"/>
      <c r="I13" s="333"/>
      <c r="J13" s="333"/>
      <c r="K13" s="19" t="s">
        <v>16</v>
      </c>
      <c r="L13" s="20"/>
      <c r="M13" s="333" t="str">
        <f>VLOOKUP($F$14,CONTRA,13,FALSE)</f>
        <v>DIRECTOR</v>
      </c>
      <c r="N13" s="333"/>
      <c r="O13" s="333"/>
      <c r="P13" s="325" t="s">
        <v>24</v>
      </c>
      <c r="Q13" s="325"/>
      <c r="R13" s="325"/>
      <c r="S13" s="325"/>
      <c r="T13" s="364" t="str">
        <f>VLOOKUP($F$14,CONTRA,14,FALSE)</f>
        <v>18 DE ENERO DE 2018</v>
      </c>
      <c r="U13" s="364"/>
      <c r="V13" s="364"/>
      <c r="W13" s="364"/>
      <c r="X13" s="364"/>
      <c r="Y13" s="364"/>
      <c r="Z13" s="365" t="str">
        <f>VLOOKUP($F$14,CONTRA,15,FALSE)</f>
        <v>0200-18</v>
      </c>
      <c r="AA13" s="366"/>
    </row>
    <row r="14" spans="1:28" ht="15.95" customHeight="1" x14ac:dyDescent="0.3">
      <c r="A14" s="325" t="s">
        <v>8</v>
      </c>
      <c r="B14" s="325"/>
      <c r="C14" s="325"/>
      <c r="D14" s="325"/>
      <c r="E14" s="325"/>
      <c r="F14" s="363" t="s">
        <v>258</v>
      </c>
      <c r="G14" s="363"/>
      <c r="H14" s="363"/>
      <c r="I14" s="363"/>
      <c r="J14" s="363"/>
      <c r="K14" s="363"/>
      <c r="L14" s="363"/>
      <c r="M14" s="363"/>
      <c r="N14" s="363"/>
      <c r="O14" s="363"/>
      <c r="P14" s="325" t="s">
        <v>11</v>
      </c>
      <c r="Q14" s="325"/>
      <c r="R14" s="325"/>
      <c r="S14" s="325"/>
      <c r="T14" s="362">
        <f>VLOOKUP($F$14,CONTRA,16,FALSE)</f>
        <v>18504054</v>
      </c>
      <c r="U14" s="362"/>
      <c r="V14" s="362"/>
      <c r="W14" s="325" t="s">
        <v>18</v>
      </c>
      <c r="X14" s="325"/>
      <c r="Y14" s="325"/>
      <c r="Z14" s="356" t="str">
        <f>VLOOKUP($F$14,CONTRA,17,FALSE)</f>
        <v>08/09/1864</v>
      </c>
      <c r="AA14" s="356"/>
    </row>
    <row r="15" spans="1:28" ht="15.95" customHeight="1" x14ac:dyDescent="0.3">
      <c r="A15" s="325" t="s">
        <v>19</v>
      </c>
      <c r="B15" s="325"/>
      <c r="C15" s="325"/>
      <c r="D15" s="325"/>
      <c r="E15" s="325"/>
      <c r="F15" s="312" t="str">
        <f>VLOOKUP($F$14,CONTRA,18,FALSE)</f>
        <v>NATURAL</v>
      </c>
      <c r="G15" s="314"/>
      <c r="H15" s="312" t="str">
        <f>VLOOKUP($F$14,CONTRA,57,FALSE)</f>
        <v>SIMPLIFICADO</v>
      </c>
      <c r="I15" s="313"/>
      <c r="J15" s="314"/>
      <c r="K15" s="19" t="s">
        <v>15</v>
      </c>
      <c r="L15" s="20"/>
      <c r="M15" s="333" t="str">
        <f>VLOOKUP($F$14,CONTRA,19,FALSE)</f>
        <v>ABOGADO</v>
      </c>
      <c r="N15" s="333"/>
      <c r="O15" s="333"/>
      <c r="P15" s="325" t="s">
        <v>14</v>
      </c>
      <c r="Q15" s="325"/>
      <c r="R15" s="325"/>
      <c r="S15" s="325"/>
      <c r="T15" s="333" t="str">
        <f>VLOOKUP($F$14,CONTRA,20,FALSE)</f>
        <v>CRA 7 Nª 13-15-APT 401</v>
      </c>
      <c r="U15" s="333"/>
      <c r="V15" s="333"/>
      <c r="W15" s="333"/>
      <c r="X15" s="333"/>
      <c r="Y15" s="333"/>
      <c r="Z15" s="333"/>
      <c r="AA15" s="333"/>
    </row>
    <row r="16" spans="1:28" x14ac:dyDescent="0.3">
      <c r="A16" s="325" t="s">
        <v>21</v>
      </c>
      <c r="B16" s="325"/>
      <c r="C16" s="325"/>
      <c r="D16" s="325"/>
      <c r="E16" s="325"/>
      <c r="F16" s="361">
        <f>VLOOKUP($F$14,CONTRA,21,FALSE)</f>
        <v>3207274531</v>
      </c>
      <c r="G16" s="362"/>
      <c r="H16" s="362"/>
      <c r="I16" s="362"/>
      <c r="J16" s="362"/>
      <c r="K16" s="325" t="s">
        <v>22</v>
      </c>
      <c r="L16" s="325"/>
      <c r="M16" s="333" t="str">
        <f>VLOOKUP($F$14,CONTRA,22,FALSE)</f>
        <v>ADMINISTRATIVA</v>
      </c>
      <c r="N16" s="333"/>
      <c r="O16" s="333"/>
      <c r="P16" s="325" t="s">
        <v>23</v>
      </c>
      <c r="Q16" s="325"/>
      <c r="R16" s="325"/>
      <c r="S16" s="325"/>
      <c r="T16" s="333" t="str">
        <f>VLOOKUP($F$14,CONTRA,23,FALSE)</f>
        <v>duparbuitrago@yahoo.com</v>
      </c>
      <c r="U16" s="333"/>
      <c r="V16" s="333"/>
      <c r="W16" s="333"/>
      <c r="X16" s="333"/>
      <c r="Y16" s="333"/>
      <c r="Z16" s="333"/>
      <c r="AA16" s="333"/>
    </row>
    <row r="17" spans="1:34" ht="3.95"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4" ht="15.95" customHeight="1" x14ac:dyDescent="0.3">
      <c r="A18" s="325" t="s">
        <v>30</v>
      </c>
      <c r="B18" s="325"/>
      <c r="C18" s="325"/>
      <c r="D18" s="325"/>
      <c r="E18" s="325"/>
      <c r="F18" s="358" t="str">
        <f>VLOOKUP($F$14,CONTRA,24,FALSE)</f>
        <v>18 de enero de 2018</v>
      </c>
      <c r="G18" s="359"/>
      <c r="H18" s="359"/>
      <c r="I18" s="359"/>
      <c r="J18" s="360"/>
      <c r="K18" s="308"/>
      <c r="L18" s="308"/>
      <c r="M18" s="308"/>
      <c r="N18" s="308"/>
      <c r="O18" s="308"/>
      <c r="P18" s="325" t="s">
        <v>34</v>
      </c>
      <c r="Q18" s="325"/>
      <c r="R18" s="325"/>
      <c r="S18" s="325"/>
      <c r="T18" s="358" t="str">
        <f>VLOOKUP($F$14,CONTRA,25,FALSE)</f>
        <v>30 de diciembre de 2018</v>
      </c>
      <c r="U18" s="359"/>
      <c r="V18" s="359"/>
      <c r="W18" s="359"/>
      <c r="X18" s="359"/>
      <c r="Y18" s="359"/>
      <c r="Z18" s="359"/>
      <c r="AA18" s="360"/>
    </row>
    <row r="19" spans="1:34" x14ac:dyDescent="0.3">
      <c r="A19" s="325" t="s">
        <v>31</v>
      </c>
      <c r="B19" s="325"/>
      <c r="C19" s="325"/>
      <c r="D19" s="325"/>
      <c r="E19" s="325"/>
      <c r="F19" s="320">
        <f>VLOOKUP($F$14,CONTRA,26,FALSE)</f>
        <v>48000000</v>
      </c>
      <c r="G19" s="320"/>
      <c r="H19" s="320"/>
      <c r="I19" s="320"/>
      <c r="J19" s="320"/>
      <c r="K19" s="308"/>
      <c r="L19" s="308"/>
      <c r="M19" s="308"/>
      <c r="N19" s="308"/>
      <c r="O19" s="308"/>
      <c r="P19" s="325" t="s">
        <v>35</v>
      </c>
      <c r="Q19" s="325"/>
      <c r="R19" s="325"/>
      <c r="S19" s="325"/>
      <c r="T19" s="308">
        <f>VLOOKUP($F$14,CONTRA,27,FALSE)</f>
        <v>240</v>
      </c>
      <c r="U19" s="308"/>
      <c r="V19" s="308"/>
      <c r="W19" s="308"/>
      <c r="X19" s="308"/>
      <c r="Y19" s="308"/>
      <c r="Z19" s="308"/>
      <c r="AA19" s="308"/>
    </row>
    <row r="20" spans="1:34" x14ac:dyDescent="0.3">
      <c r="A20" s="325" t="s">
        <v>32</v>
      </c>
      <c r="B20" s="325"/>
      <c r="C20" s="325"/>
      <c r="D20" s="325"/>
      <c r="E20" s="325"/>
      <c r="F20" s="320">
        <f>+Z21*T20</f>
        <v>20600000</v>
      </c>
      <c r="G20" s="320"/>
      <c r="H20" s="320"/>
      <c r="I20" s="320"/>
      <c r="J20" s="320"/>
      <c r="K20" s="19" t="s">
        <v>0</v>
      </c>
      <c r="L20" s="20"/>
      <c r="M20" s="356">
        <f>VLOOKUP($F$14,CONTRA,29,FALSE)</f>
        <v>43360</v>
      </c>
      <c r="N20" s="356"/>
      <c r="O20" s="356"/>
      <c r="P20" s="325" t="s">
        <v>36</v>
      </c>
      <c r="Q20" s="325"/>
      <c r="R20" s="325"/>
      <c r="S20" s="325"/>
      <c r="T20" s="308">
        <f>VLOOKUP($F$14,CONTRA,28,FALSE)</f>
        <v>103</v>
      </c>
      <c r="U20" s="308"/>
      <c r="V20" s="308"/>
      <c r="W20" s="308"/>
      <c r="X20" s="308"/>
      <c r="Y20" s="308"/>
      <c r="Z20" s="308"/>
      <c r="AA20" s="308"/>
    </row>
    <row r="21" spans="1:34" ht="15.95" customHeight="1" x14ac:dyDescent="0.3">
      <c r="A21" s="325" t="s">
        <v>33</v>
      </c>
      <c r="B21" s="325"/>
      <c r="C21" s="325"/>
      <c r="D21" s="325"/>
      <c r="E21" s="325"/>
      <c r="F21" s="309">
        <f>SUM(F19:J20)</f>
        <v>68600000</v>
      </c>
      <c r="G21" s="353"/>
      <c r="H21" s="353"/>
      <c r="I21" s="353"/>
      <c r="J21" s="354"/>
      <c r="K21" s="308"/>
      <c r="L21" s="308"/>
      <c r="M21" s="308"/>
      <c r="N21" s="308"/>
      <c r="O21" s="308"/>
      <c r="P21" s="325" t="s">
        <v>38</v>
      </c>
      <c r="Q21" s="325"/>
      <c r="R21" s="325"/>
      <c r="S21" s="325"/>
      <c r="T21" s="355">
        <f>+T19+T20</f>
        <v>343</v>
      </c>
      <c r="U21" s="353"/>
      <c r="V21" s="354"/>
      <c r="W21" s="325" t="s">
        <v>37</v>
      </c>
      <c r="X21" s="325"/>
      <c r="Y21" s="325"/>
      <c r="Z21" s="309">
        <f>+F19/T19</f>
        <v>200000</v>
      </c>
      <c r="AA21" s="311"/>
    </row>
    <row r="22" spans="1:34" ht="39.950000000000003" customHeight="1" x14ac:dyDescent="0.3">
      <c r="A22" s="349" t="s">
        <v>27</v>
      </c>
      <c r="B22" s="349"/>
      <c r="C22" s="349"/>
      <c r="D22" s="349"/>
      <c r="E22" s="349"/>
      <c r="F22" s="350" t="str">
        <f>VLOOKUP($F$14,CONTRA,30,FALSE)</f>
        <v xml:space="preserve">PRESTAR SUS SERVICIOS PROFESIONALES COMO ABOGADO EN DEFENSA JUDICIAL Y ASESORIA JURIDICA A LA DIRECCION DEL INSTITUTO DE DESARROLLO MUNICIPAL </v>
      </c>
      <c r="G22" s="351"/>
      <c r="H22" s="351"/>
      <c r="I22" s="351"/>
      <c r="J22" s="351"/>
      <c r="K22" s="351"/>
      <c r="L22" s="351"/>
      <c r="M22" s="351"/>
      <c r="N22" s="351"/>
      <c r="O22" s="351"/>
      <c r="P22" s="351"/>
      <c r="Q22" s="351"/>
      <c r="R22" s="351"/>
      <c r="S22" s="351"/>
      <c r="T22" s="351"/>
      <c r="U22" s="351"/>
      <c r="V22" s="351"/>
      <c r="W22" s="351"/>
      <c r="X22" s="351"/>
      <c r="Y22" s="351"/>
      <c r="Z22" s="351"/>
      <c r="AA22" s="352"/>
    </row>
    <row r="23" spans="1:34" ht="39.950000000000003" customHeight="1" x14ac:dyDescent="0.3">
      <c r="A23" s="349" t="s">
        <v>28</v>
      </c>
      <c r="B23" s="349"/>
      <c r="C23" s="349"/>
      <c r="D23" s="349"/>
      <c r="E23" s="349"/>
      <c r="F23" s="350"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4" ht="39.950000000000003" customHeight="1" x14ac:dyDescent="0.3">
      <c r="A24" s="349" t="s">
        <v>29</v>
      </c>
      <c r="B24" s="349"/>
      <c r="C24" s="349"/>
      <c r="D24" s="349"/>
      <c r="E24" s="349"/>
      <c r="F24" s="350"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4" ht="15.95" customHeight="1" x14ac:dyDescent="0.3">
      <c r="A25" s="18">
        <v>2</v>
      </c>
      <c r="B25" s="323" t="s">
        <v>59</v>
      </c>
      <c r="C25" s="323"/>
      <c r="D25" s="323"/>
      <c r="E25" s="323"/>
      <c r="F25" s="323"/>
      <c r="G25" s="323"/>
      <c r="H25" s="323"/>
      <c r="I25" s="323"/>
      <c r="J25" s="323"/>
      <c r="K25" s="323"/>
      <c r="L25" s="323"/>
      <c r="M25" s="323"/>
      <c r="N25" s="323"/>
      <c r="O25" s="323"/>
      <c r="P25" s="84"/>
      <c r="Q25" s="85"/>
      <c r="R25" s="85"/>
      <c r="S25" s="85"/>
      <c r="T25" s="346" t="s">
        <v>1381</v>
      </c>
      <c r="U25" s="346"/>
      <c r="V25" s="346"/>
      <c r="W25" s="346"/>
      <c r="X25" s="346" t="s">
        <v>270</v>
      </c>
      <c r="Y25" s="346"/>
      <c r="Z25" s="346" t="s">
        <v>283</v>
      </c>
      <c r="AA25" s="347"/>
      <c r="AF25" s="12"/>
    </row>
    <row r="26" spans="1:34" ht="15.95" customHeight="1" x14ac:dyDescent="0.3">
      <c r="A26" s="325" t="s">
        <v>292</v>
      </c>
      <c r="B26" s="325"/>
      <c r="C26" s="325"/>
      <c r="D26" s="325"/>
      <c r="E26" s="325"/>
      <c r="F26" s="308"/>
      <c r="G26" s="308"/>
      <c r="H26" s="308"/>
      <c r="I26" s="308"/>
      <c r="J26" s="308"/>
      <c r="K26" s="308"/>
      <c r="L26" s="308"/>
      <c r="M26" s="308"/>
      <c r="N26" s="308"/>
      <c r="O26" s="308"/>
      <c r="P26" s="348" t="str">
        <f>VLOOKUP($F$14,CONTRA,59,FALSE)</f>
        <v>RIESGO I</v>
      </c>
      <c r="Q26" s="348"/>
      <c r="R26" s="341">
        <v>0.4</v>
      </c>
      <c r="S26" s="341"/>
      <c r="T26" s="320">
        <f>+R26*F21</f>
        <v>27440000</v>
      </c>
      <c r="U26" s="320"/>
      <c r="V26" s="320"/>
      <c r="W26" s="320"/>
      <c r="X26" s="320">
        <f>IF(R26*Z21&lt;DATOS!C32,DATOS!C32,R26*Z21)</f>
        <v>80000</v>
      </c>
      <c r="Y26" s="320"/>
      <c r="Z26" s="320">
        <f>+X26*J34</f>
        <v>2400000</v>
      </c>
      <c r="AA26" s="320"/>
      <c r="AB26" s="12"/>
      <c r="AD26"/>
      <c r="AE26"/>
      <c r="AF26" s="4"/>
      <c r="AG26" s="4"/>
    </row>
    <row r="27" spans="1:34" ht="15.95" customHeight="1" x14ac:dyDescent="0.3">
      <c r="A27" s="325" t="s">
        <v>39</v>
      </c>
      <c r="B27" s="325"/>
      <c r="C27" s="325"/>
      <c r="D27" s="325"/>
      <c r="E27" s="325"/>
      <c r="F27" s="333" t="str">
        <f>VLOOKUP($F$14,CONTRA,33,FALSE)</f>
        <v xml:space="preserve">SOS </v>
      </c>
      <c r="G27" s="333"/>
      <c r="H27" s="333"/>
      <c r="I27" s="87" t="s">
        <v>133</v>
      </c>
      <c r="J27" s="87"/>
      <c r="K27" s="87"/>
      <c r="L27" s="345" t="str">
        <f>+VLOOKUP(L28,DATOS!A125:D139,3)</f>
        <v>9º</v>
      </c>
      <c r="M27" s="345"/>
      <c r="N27" s="345"/>
      <c r="O27" s="345"/>
      <c r="P27" s="348"/>
      <c r="Q27" s="348"/>
      <c r="R27" s="335">
        <v>0.125</v>
      </c>
      <c r="S27" s="335"/>
      <c r="T27" s="320">
        <f>+T26*R27</f>
        <v>3430000</v>
      </c>
      <c r="U27" s="320"/>
      <c r="V27" s="320"/>
      <c r="W27" s="320"/>
      <c r="X27" s="320">
        <f>+$X$26*R27</f>
        <v>10000</v>
      </c>
      <c r="Y27" s="320"/>
      <c r="Z27" s="320">
        <f>ROUNDUP(X27*J34,-2)</f>
        <v>300000</v>
      </c>
      <c r="AA27" s="320"/>
      <c r="AB27" s="12"/>
      <c r="AD27" s="12"/>
      <c r="AE27" s="4"/>
      <c r="AF27" s="166"/>
      <c r="AG27"/>
      <c r="AH27" s="12"/>
    </row>
    <row r="28" spans="1:34" ht="15.95" customHeight="1" x14ac:dyDescent="0.3">
      <c r="A28" s="325" t="s">
        <v>40</v>
      </c>
      <c r="B28" s="325"/>
      <c r="C28" s="325"/>
      <c r="D28" s="325"/>
      <c r="E28" s="325"/>
      <c r="F28" s="333" t="str">
        <f>VLOOKUP($F$14,CONTRA,34,FALSE)</f>
        <v>COLPENSIONES</v>
      </c>
      <c r="G28" s="333"/>
      <c r="H28" s="333"/>
      <c r="I28" s="19" t="s">
        <v>134</v>
      </c>
      <c r="J28" s="19"/>
      <c r="K28" s="19"/>
      <c r="L28" s="343" t="str">
        <f>RIGHT(T14,2)</f>
        <v>54</v>
      </c>
      <c r="M28" s="343"/>
      <c r="N28" s="344" t="s">
        <v>270</v>
      </c>
      <c r="O28" s="344"/>
      <c r="P28" s="348"/>
      <c r="Q28" s="348"/>
      <c r="R28" s="341">
        <v>0.16</v>
      </c>
      <c r="S28" s="341"/>
      <c r="T28" s="320">
        <f>+T26*R28</f>
        <v>4390400</v>
      </c>
      <c r="U28" s="320"/>
      <c r="V28" s="320"/>
      <c r="W28" s="320"/>
      <c r="X28" s="320">
        <f>+$X$26*R28</f>
        <v>12800</v>
      </c>
      <c r="Y28" s="320"/>
      <c r="Z28" s="320">
        <f>ROUNDUP(X28*J34,-2)</f>
        <v>384000</v>
      </c>
      <c r="AA28" s="320"/>
      <c r="AB28" s="12"/>
      <c r="AD28" s="4"/>
      <c r="AE28" s="4"/>
      <c r="AF28" s="4"/>
      <c r="AG28" s="4"/>
    </row>
    <row r="29" spans="1:34" ht="15.95" customHeight="1" x14ac:dyDescent="0.3">
      <c r="A29" s="325" t="s">
        <v>41</v>
      </c>
      <c r="B29" s="325"/>
      <c r="C29" s="325"/>
      <c r="D29" s="325"/>
      <c r="E29" s="325"/>
      <c r="F29" s="333" t="str">
        <f>VLOOKUP($F$14,CONTRA,36,FALSE)</f>
        <v>SURA</v>
      </c>
      <c r="G29" s="333"/>
      <c r="H29" s="333"/>
      <c r="I29" s="325" t="s">
        <v>135</v>
      </c>
      <c r="J29" s="325"/>
      <c r="K29" s="325"/>
      <c r="L29" s="319" t="str">
        <f>VLOOKUP($F$14,CONTRA,37,FALSE)</f>
        <v>18 de enero de 2018</v>
      </c>
      <c r="M29" s="319"/>
      <c r="N29" s="319"/>
      <c r="O29" s="319"/>
      <c r="P29" s="348"/>
      <c r="Q29" s="348"/>
      <c r="R29" s="342">
        <f>+VLOOKUP(P26,DATOS!A20:B24,2,FALSE)</f>
        <v>5.2199999999999998E-3</v>
      </c>
      <c r="S29" s="342"/>
      <c r="T29" s="320">
        <f>+T26*R29</f>
        <v>143236.79999999999</v>
      </c>
      <c r="U29" s="320"/>
      <c r="V29" s="320"/>
      <c r="W29" s="320"/>
      <c r="X29" s="320">
        <f>+R29*X26</f>
        <v>417.59999999999997</v>
      </c>
      <c r="Y29" s="320"/>
      <c r="Z29" s="320">
        <f>ROUNDUP(X29*J34,-2)</f>
        <v>12600</v>
      </c>
      <c r="AA29" s="320"/>
      <c r="AD29" s="4"/>
      <c r="AE29" s="4"/>
      <c r="AF29" s="4"/>
      <c r="AG29"/>
    </row>
    <row r="30" spans="1:34" ht="15.95" customHeight="1" x14ac:dyDescent="0.3">
      <c r="A30" s="325" t="s">
        <v>290</v>
      </c>
      <c r="B30" s="325"/>
      <c r="C30" s="325"/>
      <c r="D30" s="325"/>
      <c r="E30" s="325"/>
      <c r="F30" s="336" t="s">
        <v>288</v>
      </c>
      <c r="G30" s="336"/>
      <c r="H30" s="336"/>
      <c r="I30" s="336"/>
      <c r="J30" s="336"/>
      <c r="K30" s="336"/>
      <c r="L30" s="308" t="str">
        <f>+VLOOKUP(P26,DATOS!A157:B161,2,FALSE)</f>
        <v>CONTRATISTA</v>
      </c>
      <c r="M30" s="308"/>
      <c r="N30" s="308"/>
      <c r="O30" s="308"/>
      <c r="P30" s="337" t="s">
        <v>49</v>
      </c>
      <c r="Q30" s="338"/>
      <c r="R30" s="341"/>
      <c r="S30" s="341"/>
      <c r="T30" s="320">
        <f>SUM(T27:W29)</f>
        <v>7963636.7999999998</v>
      </c>
      <c r="U30" s="341"/>
      <c r="V30" s="341"/>
      <c r="W30" s="341"/>
      <c r="X30" s="320">
        <f>SUM(X27:Y29)</f>
        <v>23217.599999999999</v>
      </c>
      <c r="Y30" s="320"/>
      <c r="Z30" s="320">
        <f>IF(P26="RIESGO V",Z27+Z28,Z27+Z28+Z29)</f>
        <v>696600</v>
      </c>
      <c r="AA30" s="320"/>
      <c r="AD30" s="4"/>
      <c r="AE30" s="4"/>
      <c r="AF30" s="4"/>
      <c r="AG30"/>
    </row>
    <row r="31" spans="1:34" ht="15.95" customHeight="1" x14ac:dyDescent="0.3">
      <c r="A31" s="325" t="s">
        <v>42</v>
      </c>
      <c r="B31" s="325"/>
      <c r="C31" s="325"/>
      <c r="D31" s="325"/>
      <c r="E31" s="325"/>
      <c r="F31" s="333" t="s">
        <v>142</v>
      </c>
      <c r="G31" s="333"/>
      <c r="H31" s="333"/>
      <c r="I31" s="333"/>
      <c r="J31" s="333"/>
      <c r="K31" s="333"/>
      <c r="L31" s="334" t="str">
        <f>VLOOKUP($F$14,CONTRA,38,FALSE)</f>
        <v>PAGADO</v>
      </c>
      <c r="M31" s="334"/>
      <c r="N31" s="334"/>
      <c r="O31" s="334"/>
      <c r="P31" s="339"/>
      <c r="Q31" s="340"/>
      <c r="R31" s="335">
        <f>VLOOKUP(L31,DATOS!A37:B38,2,FALSE)</f>
        <v>0</v>
      </c>
      <c r="S31" s="335"/>
      <c r="T31" s="320">
        <f>+R31*$F$21</f>
        <v>0</v>
      </c>
      <c r="U31" s="320"/>
      <c r="V31" s="320"/>
      <c r="W31" s="320"/>
      <c r="X31" s="320">
        <f>+T31/T21</f>
        <v>0</v>
      </c>
      <c r="Y31" s="320"/>
      <c r="Z31" s="320">
        <f>+X31*J34</f>
        <v>0</v>
      </c>
      <c r="AA31" s="320"/>
      <c r="AE31" s="13"/>
      <c r="AF31" s="12"/>
    </row>
    <row r="32" spans="1:34" ht="15.95" customHeight="1" x14ac:dyDescent="0.3">
      <c r="A32" s="18">
        <v>4</v>
      </c>
      <c r="B32" s="323" t="s">
        <v>46</v>
      </c>
      <c r="C32" s="323"/>
      <c r="D32" s="323"/>
      <c r="E32" s="323"/>
      <c r="F32" s="323"/>
      <c r="G32" s="323"/>
      <c r="H32" s="323"/>
      <c r="I32" s="323"/>
      <c r="J32" s="323"/>
      <c r="K32" s="323"/>
      <c r="L32" s="323"/>
      <c r="M32" s="323"/>
      <c r="N32" s="323"/>
      <c r="O32" s="323"/>
      <c r="P32" s="324"/>
      <c r="Q32" s="324"/>
      <c r="R32" s="324"/>
      <c r="S32" s="324"/>
      <c r="T32" s="324"/>
      <c r="U32" s="324"/>
      <c r="V32" s="324"/>
      <c r="W32" s="324"/>
      <c r="X32" s="324"/>
      <c r="Y32" s="324"/>
      <c r="Z32" s="324"/>
      <c r="AA32" s="324"/>
    </row>
    <row r="33" spans="1:27" ht="15.95" customHeight="1" x14ac:dyDescent="0.3">
      <c r="A33" s="20"/>
      <c r="B33" s="308" t="s">
        <v>47</v>
      </c>
      <c r="C33" s="308"/>
      <c r="D33" s="308"/>
      <c r="E33" s="308"/>
      <c r="F33" s="308"/>
      <c r="G33" s="308"/>
      <c r="H33" s="308"/>
      <c r="I33" s="308"/>
      <c r="J33" s="170" t="s">
        <v>48</v>
      </c>
      <c r="K33" s="308" t="s">
        <v>49</v>
      </c>
      <c r="L33" s="308"/>
      <c r="M33" s="308"/>
      <c r="N33" s="308" t="s">
        <v>220</v>
      </c>
      <c r="O33" s="308"/>
      <c r="P33" s="308" t="s">
        <v>50</v>
      </c>
      <c r="Q33" s="308"/>
      <c r="R33" s="308"/>
      <c r="S33" s="308" t="s">
        <v>51</v>
      </c>
      <c r="T33" s="308"/>
      <c r="U33" s="308"/>
      <c r="V33" s="308" t="s">
        <v>52</v>
      </c>
      <c r="W33" s="308"/>
      <c r="X33" s="308"/>
      <c r="Y33" s="308" t="s">
        <v>137</v>
      </c>
      <c r="Z33" s="308"/>
      <c r="AA33" s="308"/>
    </row>
    <row r="34" spans="1:27" ht="15.95" customHeight="1" x14ac:dyDescent="0.3">
      <c r="A34" s="64">
        <v>1</v>
      </c>
      <c r="B34" s="331" t="str">
        <f>+F18</f>
        <v>18 de enero de 2018</v>
      </c>
      <c r="C34" s="331"/>
      <c r="D34" s="331"/>
      <c r="E34" s="331"/>
      <c r="F34" s="329">
        <v>43145</v>
      </c>
      <c r="G34" s="329"/>
      <c r="H34" s="329"/>
      <c r="I34" s="329"/>
      <c r="J34" s="14">
        <v>30</v>
      </c>
      <c r="K34" s="320">
        <f>+J34*$Z$21</f>
        <v>6000000</v>
      </c>
      <c r="L34" s="320"/>
      <c r="M34" s="320"/>
      <c r="N34" s="330"/>
      <c r="O34" s="330"/>
      <c r="P34" s="309">
        <f>IF(J34=0," ",K34)</f>
        <v>6000000</v>
      </c>
      <c r="Q34" s="310"/>
      <c r="R34" s="311"/>
      <c r="S34" s="309">
        <f>+IF(J34=0," ",F21-K34)</f>
        <v>62600000</v>
      </c>
      <c r="T34" s="310"/>
      <c r="U34" s="311"/>
      <c r="V34" s="320">
        <f>IF($H$15="COMUN",$Z$30/1.19,$Z$30)</f>
        <v>696600</v>
      </c>
      <c r="W34" s="320"/>
      <c r="X34" s="320"/>
      <c r="Y34" s="327" t="s">
        <v>291</v>
      </c>
      <c r="Z34" s="327"/>
      <c r="AA34" s="327"/>
    </row>
    <row r="35" spans="1:27" x14ac:dyDescent="0.3">
      <c r="A35" s="64">
        <v>2</v>
      </c>
      <c r="B35" s="328">
        <v>43146</v>
      </c>
      <c r="C35" s="328"/>
      <c r="D35" s="328"/>
      <c r="E35" s="328"/>
      <c r="F35" s="329">
        <v>43173</v>
      </c>
      <c r="G35" s="329"/>
      <c r="H35" s="329"/>
      <c r="I35" s="329"/>
      <c r="J35" s="14">
        <v>30</v>
      </c>
      <c r="K35" s="320">
        <f t="shared" ref="K35:K45" si="0">+J35*$Z$21</f>
        <v>6000000</v>
      </c>
      <c r="L35" s="320"/>
      <c r="M35" s="320"/>
      <c r="N35" s="330"/>
      <c r="O35" s="330"/>
      <c r="P35" s="309">
        <f>IF(J35=0," ",K35+P34)</f>
        <v>12000000</v>
      </c>
      <c r="Q35" s="310"/>
      <c r="R35" s="311"/>
      <c r="S35" s="309">
        <f>IF(J35=0," ",$F$21-P35)</f>
        <v>56600000</v>
      </c>
      <c r="T35" s="310"/>
      <c r="U35" s="311"/>
      <c r="V35" s="320">
        <f t="shared" ref="V35:V45" si="1">IF($H$15="COMUN",$Z$30/1.19,$Z$30)</f>
        <v>696600</v>
      </c>
      <c r="W35" s="320"/>
      <c r="X35" s="320"/>
      <c r="Y35" s="327" t="s">
        <v>291</v>
      </c>
      <c r="Z35" s="327"/>
      <c r="AA35" s="327"/>
    </row>
    <row r="36" spans="1:27" x14ac:dyDescent="0.3">
      <c r="A36" s="64">
        <v>3</v>
      </c>
      <c r="B36" s="328">
        <v>43174</v>
      </c>
      <c r="C36" s="328"/>
      <c r="D36" s="328"/>
      <c r="E36" s="328"/>
      <c r="F36" s="329">
        <v>43204</v>
      </c>
      <c r="G36" s="329"/>
      <c r="H36" s="329"/>
      <c r="I36" s="329"/>
      <c r="J36" s="14">
        <v>30</v>
      </c>
      <c r="K36" s="320">
        <f t="shared" si="0"/>
        <v>6000000</v>
      </c>
      <c r="L36" s="320"/>
      <c r="M36" s="320"/>
      <c r="N36" s="330"/>
      <c r="O36" s="330"/>
      <c r="P36" s="309">
        <f t="shared" ref="P36:P45" si="2">IF(J36=0," ",K36+P35)</f>
        <v>18000000</v>
      </c>
      <c r="Q36" s="310"/>
      <c r="R36" s="311"/>
      <c r="S36" s="309">
        <f t="shared" ref="S36:S45" si="3">IF(J36=0," ",$F$21-P36)</f>
        <v>50600000</v>
      </c>
      <c r="T36" s="310"/>
      <c r="U36" s="311"/>
      <c r="V36" s="320">
        <f t="shared" si="1"/>
        <v>696600</v>
      </c>
      <c r="W36" s="320"/>
      <c r="X36" s="320"/>
      <c r="Y36" s="327" t="s">
        <v>291</v>
      </c>
      <c r="Z36" s="327"/>
      <c r="AA36" s="327"/>
    </row>
    <row r="37" spans="1:27" x14ac:dyDescent="0.3">
      <c r="A37" s="64">
        <v>4</v>
      </c>
      <c r="B37" s="328">
        <v>43205</v>
      </c>
      <c r="C37" s="328"/>
      <c r="D37" s="328"/>
      <c r="E37" s="328"/>
      <c r="F37" s="329">
        <v>43234</v>
      </c>
      <c r="G37" s="329"/>
      <c r="H37" s="329"/>
      <c r="I37" s="329"/>
      <c r="J37" s="14">
        <v>30</v>
      </c>
      <c r="K37" s="320">
        <f t="shared" si="0"/>
        <v>6000000</v>
      </c>
      <c r="L37" s="320"/>
      <c r="M37" s="320"/>
      <c r="N37" s="330"/>
      <c r="O37" s="330"/>
      <c r="P37" s="309">
        <f t="shared" si="2"/>
        <v>24000000</v>
      </c>
      <c r="Q37" s="310"/>
      <c r="R37" s="311"/>
      <c r="S37" s="309">
        <f t="shared" si="3"/>
        <v>44600000</v>
      </c>
      <c r="T37" s="310"/>
      <c r="U37" s="311"/>
      <c r="V37" s="320">
        <f t="shared" si="1"/>
        <v>696600</v>
      </c>
      <c r="W37" s="320"/>
      <c r="X37" s="320"/>
      <c r="Y37" s="327" t="s">
        <v>291</v>
      </c>
      <c r="Z37" s="327"/>
      <c r="AA37" s="327"/>
    </row>
    <row r="38" spans="1:27" x14ac:dyDescent="0.3">
      <c r="A38" s="64">
        <v>5</v>
      </c>
      <c r="B38" s="328">
        <v>43235</v>
      </c>
      <c r="C38" s="328"/>
      <c r="D38" s="328"/>
      <c r="E38" s="328"/>
      <c r="F38" s="329">
        <v>43265</v>
      </c>
      <c r="G38" s="329"/>
      <c r="H38" s="329"/>
      <c r="I38" s="329"/>
      <c r="J38" s="14">
        <v>30</v>
      </c>
      <c r="K38" s="320">
        <f t="shared" si="0"/>
        <v>6000000</v>
      </c>
      <c r="L38" s="320"/>
      <c r="M38" s="320"/>
      <c r="N38" s="330"/>
      <c r="O38" s="330"/>
      <c r="P38" s="309">
        <f t="shared" si="2"/>
        <v>30000000</v>
      </c>
      <c r="Q38" s="310"/>
      <c r="R38" s="311"/>
      <c r="S38" s="309">
        <f t="shared" si="3"/>
        <v>38600000</v>
      </c>
      <c r="T38" s="310"/>
      <c r="U38" s="311"/>
      <c r="V38" s="320">
        <f t="shared" si="1"/>
        <v>696600</v>
      </c>
      <c r="W38" s="320"/>
      <c r="X38" s="320"/>
      <c r="Y38" s="327" t="s">
        <v>291</v>
      </c>
      <c r="Z38" s="327"/>
      <c r="AA38" s="327"/>
    </row>
    <row r="39" spans="1:27" x14ac:dyDescent="0.3">
      <c r="A39" s="64">
        <v>6</v>
      </c>
      <c r="B39" s="328">
        <v>43266</v>
      </c>
      <c r="C39" s="328"/>
      <c r="D39" s="328"/>
      <c r="E39" s="328"/>
      <c r="F39" s="329">
        <v>43295</v>
      </c>
      <c r="G39" s="329"/>
      <c r="H39" s="329"/>
      <c r="I39" s="329"/>
      <c r="J39" s="14">
        <v>30</v>
      </c>
      <c r="K39" s="320">
        <f t="shared" si="0"/>
        <v>6000000</v>
      </c>
      <c r="L39" s="320"/>
      <c r="M39" s="320"/>
      <c r="N39" s="330"/>
      <c r="O39" s="330"/>
      <c r="P39" s="309">
        <f t="shared" si="2"/>
        <v>36000000</v>
      </c>
      <c r="Q39" s="310"/>
      <c r="R39" s="311"/>
      <c r="S39" s="309">
        <f t="shared" si="3"/>
        <v>32600000</v>
      </c>
      <c r="T39" s="310"/>
      <c r="U39" s="311"/>
      <c r="V39" s="320">
        <f t="shared" si="1"/>
        <v>696600</v>
      </c>
      <c r="W39" s="320"/>
      <c r="X39" s="320"/>
      <c r="Y39" s="327" t="s">
        <v>291</v>
      </c>
      <c r="Z39" s="327"/>
      <c r="AA39" s="327"/>
    </row>
    <row r="40" spans="1:27" x14ac:dyDescent="0.3">
      <c r="A40" s="64">
        <v>7</v>
      </c>
      <c r="B40" s="328">
        <v>43296</v>
      </c>
      <c r="C40" s="328"/>
      <c r="D40" s="328"/>
      <c r="E40" s="328"/>
      <c r="F40" s="329">
        <v>43326</v>
      </c>
      <c r="G40" s="329"/>
      <c r="H40" s="329"/>
      <c r="I40" s="329"/>
      <c r="J40" s="14">
        <v>30</v>
      </c>
      <c r="K40" s="320">
        <f t="shared" si="0"/>
        <v>6000000</v>
      </c>
      <c r="L40" s="320"/>
      <c r="M40" s="320"/>
      <c r="N40" s="330"/>
      <c r="O40" s="330"/>
      <c r="P40" s="309">
        <f t="shared" si="2"/>
        <v>42000000</v>
      </c>
      <c r="Q40" s="310"/>
      <c r="R40" s="311"/>
      <c r="S40" s="309">
        <f t="shared" si="3"/>
        <v>26600000</v>
      </c>
      <c r="T40" s="310"/>
      <c r="U40" s="311"/>
      <c r="V40" s="320">
        <f t="shared" si="1"/>
        <v>696600</v>
      </c>
      <c r="W40" s="320"/>
      <c r="X40" s="320"/>
      <c r="Y40" s="327" t="s">
        <v>291</v>
      </c>
      <c r="Z40" s="327"/>
      <c r="AA40" s="327"/>
    </row>
    <row r="41" spans="1:27" x14ac:dyDescent="0.3">
      <c r="A41" s="64">
        <v>8</v>
      </c>
      <c r="B41" s="328">
        <v>43327</v>
      </c>
      <c r="C41" s="328"/>
      <c r="D41" s="328"/>
      <c r="E41" s="328"/>
      <c r="F41" s="329">
        <v>43357</v>
      </c>
      <c r="G41" s="329"/>
      <c r="H41" s="329"/>
      <c r="I41" s="329"/>
      <c r="J41" s="14">
        <v>30</v>
      </c>
      <c r="K41" s="320">
        <f t="shared" si="0"/>
        <v>6000000</v>
      </c>
      <c r="L41" s="320"/>
      <c r="M41" s="320"/>
      <c r="N41" s="330"/>
      <c r="O41" s="330"/>
      <c r="P41" s="309">
        <f t="shared" si="2"/>
        <v>48000000</v>
      </c>
      <c r="Q41" s="310"/>
      <c r="R41" s="311"/>
      <c r="S41" s="309">
        <f t="shared" si="3"/>
        <v>20600000</v>
      </c>
      <c r="T41" s="310"/>
      <c r="U41" s="311"/>
      <c r="V41" s="320">
        <f t="shared" si="1"/>
        <v>696600</v>
      </c>
      <c r="W41" s="320"/>
      <c r="X41" s="320"/>
      <c r="Y41" s="327" t="s">
        <v>291</v>
      </c>
      <c r="Z41" s="327"/>
      <c r="AA41" s="327"/>
    </row>
    <row r="42" spans="1:27" x14ac:dyDescent="0.3">
      <c r="A42" s="64">
        <v>9</v>
      </c>
      <c r="B42" s="328">
        <v>43358</v>
      </c>
      <c r="C42" s="328"/>
      <c r="D42" s="328"/>
      <c r="E42" s="328"/>
      <c r="F42" s="329">
        <v>43387</v>
      </c>
      <c r="G42" s="329"/>
      <c r="H42" s="329"/>
      <c r="I42" s="329"/>
      <c r="J42" s="14">
        <v>30</v>
      </c>
      <c r="K42" s="320">
        <f t="shared" si="0"/>
        <v>6000000</v>
      </c>
      <c r="L42" s="320"/>
      <c r="M42" s="320"/>
      <c r="N42" s="330"/>
      <c r="O42" s="330"/>
      <c r="P42" s="309">
        <f t="shared" si="2"/>
        <v>54000000</v>
      </c>
      <c r="Q42" s="310"/>
      <c r="R42" s="311"/>
      <c r="S42" s="309">
        <f t="shared" si="3"/>
        <v>14600000</v>
      </c>
      <c r="T42" s="310"/>
      <c r="U42" s="311"/>
      <c r="V42" s="320">
        <f t="shared" si="1"/>
        <v>696600</v>
      </c>
      <c r="W42" s="320"/>
      <c r="X42" s="320"/>
      <c r="Y42" s="327" t="s">
        <v>291</v>
      </c>
      <c r="Z42" s="327"/>
      <c r="AA42" s="327"/>
    </row>
    <row r="43" spans="1:27" x14ac:dyDescent="0.3">
      <c r="A43" s="64">
        <v>10</v>
      </c>
      <c r="B43" s="328">
        <v>43388</v>
      </c>
      <c r="C43" s="328"/>
      <c r="D43" s="328"/>
      <c r="E43" s="328"/>
      <c r="F43" s="329">
        <v>43418</v>
      </c>
      <c r="G43" s="329"/>
      <c r="H43" s="329"/>
      <c r="I43" s="329"/>
      <c r="J43" s="14">
        <v>30</v>
      </c>
      <c r="K43" s="320">
        <f t="shared" si="0"/>
        <v>6000000</v>
      </c>
      <c r="L43" s="320"/>
      <c r="M43" s="320"/>
      <c r="N43" s="330"/>
      <c r="O43" s="330"/>
      <c r="P43" s="309">
        <f t="shared" si="2"/>
        <v>60000000</v>
      </c>
      <c r="Q43" s="310"/>
      <c r="R43" s="311"/>
      <c r="S43" s="309">
        <f t="shared" si="3"/>
        <v>8600000</v>
      </c>
      <c r="T43" s="310"/>
      <c r="U43" s="311"/>
      <c r="V43" s="320">
        <f t="shared" si="1"/>
        <v>696600</v>
      </c>
      <c r="W43" s="320"/>
      <c r="X43" s="320"/>
      <c r="Y43" s="327" t="s">
        <v>291</v>
      </c>
      <c r="Z43" s="327"/>
      <c r="AA43" s="327"/>
    </row>
    <row r="44" spans="1:27" x14ac:dyDescent="0.3">
      <c r="A44" s="64">
        <v>11</v>
      </c>
      <c r="B44" s="328">
        <v>43419</v>
      </c>
      <c r="C44" s="328"/>
      <c r="D44" s="328"/>
      <c r="E44" s="328"/>
      <c r="F44" s="329">
        <v>43448</v>
      </c>
      <c r="G44" s="329"/>
      <c r="H44" s="329"/>
      <c r="I44" s="329"/>
      <c r="J44" s="14">
        <v>30</v>
      </c>
      <c r="K44" s="320">
        <f t="shared" si="0"/>
        <v>6000000</v>
      </c>
      <c r="L44" s="320"/>
      <c r="M44" s="320"/>
      <c r="N44" s="330"/>
      <c r="O44" s="330"/>
      <c r="P44" s="309">
        <f t="shared" si="2"/>
        <v>66000000</v>
      </c>
      <c r="Q44" s="310"/>
      <c r="R44" s="311"/>
      <c r="S44" s="309">
        <f t="shared" si="3"/>
        <v>2600000</v>
      </c>
      <c r="T44" s="310"/>
      <c r="U44" s="311"/>
      <c r="V44" s="320">
        <f t="shared" si="1"/>
        <v>696600</v>
      </c>
      <c r="W44" s="320"/>
      <c r="X44" s="320"/>
      <c r="Y44" s="327" t="s">
        <v>291</v>
      </c>
      <c r="Z44" s="327"/>
      <c r="AA44" s="327"/>
    </row>
    <row r="45" spans="1:27" x14ac:dyDescent="0.3">
      <c r="A45" s="64">
        <v>12</v>
      </c>
      <c r="B45" s="328">
        <v>43449</v>
      </c>
      <c r="C45" s="328"/>
      <c r="D45" s="328"/>
      <c r="E45" s="328"/>
      <c r="F45" s="329">
        <v>43465</v>
      </c>
      <c r="G45" s="329"/>
      <c r="H45" s="329"/>
      <c r="I45" s="329"/>
      <c r="J45" s="14">
        <v>8</v>
      </c>
      <c r="K45" s="320">
        <f t="shared" si="0"/>
        <v>1600000</v>
      </c>
      <c r="L45" s="320"/>
      <c r="M45" s="320"/>
      <c r="N45" s="330"/>
      <c r="O45" s="330"/>
      <c r="P45" s="309">
        <f t="shared" si="2"/>
        <v>67600000</v>
      </c>
      <c r="Q45" s="310"/>
      <c r="R45" s="311"/>
      <c r="S45" s="309">
        <f t="shared" si="3"/>
        <v>1000000</v>
      </c>
      <c r="T45" s="310"/>
      <c r="U45" s="311"/>
      <c r="V45" s="320">
        <f t="shared" si="1"/>
        <v>696600</v>
      </c>
      <c r="W45" s="320"/>
      <c r="X45" s="320"/>
      <c r="Y45" s="327" t="s">
        <v>291</v>
      </c>
      <c r="Z45" s="327"/>
      <c r="AA45" s="327"/>
    </row>
    <row r="46" spans="1:27" x14ac:dyDescent="0.3">
      <c r="A46" s="20"/>
      <c r="B46" s="308" t="s">
        <v>53</v>
      </c>
      <c r="C46" s="308"/>
      <c r="D46" s="308"/>
      <c r="E46" s="308"/>
      <c r="F46" s="308"/>
      <c r="G46" s="308"/>
      <c r="H46" s="308"/>
      <c r="I46" s="308"/>
      <c r="J46" s="171">
        <f>SUM(J34:J45)</f>
        <v>338</v>
      </c>
      <c r="K46" s="320">
        <f>SUM(K34:O45)</f>
        <v>67600000</v>
      </c>
      <c r="L46" s="320"/>
      <c r="M46" s="320"/>
      <c r="N46" s="309"/>
      <c r="O46" s="311"/>
      <c r="P46" s="308"/>
      <c r="Q46" s="308"/>
      <c r="R46" s="308"/>
      <c r="S46" s="308"/>
      <c r="T46" s="308"/>
      <c r="U46" s="308"/>
      <c r="V46" s="308"/>
      <c r="W46" s="308"/>
      <c r="X46" s="308"/>
      <c r="Y46" s="308"/>
      <c r="Z46" s="308"/>
      <c r="AA46" s="308"/>
    </row>
    <row r="47" spans="1:27" x14ac:dyDescent="0.3">
      <c r="A47" s="325" t="s">
        <v>54</v>
      </c>
      <c r="B47" s="325"/>
      <c r="C47" s="325"/>
      <c r="D47" s="325"/>
      <c r="E47" s="325"/>
      <c r="F47" s="326"/>
      <c r="G47" s="326"/>
      <c r="H47" s="326"/>
      <c r="I47" s="326"/>
      <c r="J47" s="326"/>
      <c r="K47" s="326"/>
      <c r="L47" s="326"/>
      <c r="M47" s="326"/>
      <c r="N47" s="326"/>
      <c r="O47" s="326"/>
      <c r="P47" s="326"/>
      <c r="Q47" s="326"/>
      <c r="R47" s="326"/>
      <c r="S47" s="326" t="s">
        <v>136</v>
      </c>
      <c r="T47" s="326"/>
      <c r="U47" s="326"/>
      <c r="V47" s="326" t="s">
        <v>55</v>
      </c>
      <c r="W47" s="326"/>
      <c r="X47" s="326"/>
      <c r="Y47" s="326" t="s">
        <v>56</v>
      </c>
      <c r="Z47" s="326"/>
      <c r="AA47" s="326"/>
    </row>
    <row r="48" spans="1:27" ht="15.95" customHeight="1" x14ac:dyDescent="0.3">
      <c r="A48" s="194">
        <v>4</v>
      </c>
      <c r="B48" s="424" t="s">
        <v>136</v>
      </c>
      <c r="C48" s="425"/>
      <c r="D48" s="425"/>
      <c r="E48" s="425"/>
      <c r="F48" s="425"/>
      <c r="G48" s="425"/>
      <c r="H48" s="425"/>
      <c r="I48" s="425"/>
      <c r="J48" s="425"/>
      <c r="K48" s="425"/>
      <c r="L48" s="425"/>
      <c r="M48" s="425"/>
      <c r="N48" s="425"/>
      <c r="O48" s="426"/>
      <c r="P48" s="427"/>
      <c r="Q48" s="428"/>
      <c r="R48" s="428"/>
      <c r="S48" s="428"/>
      <c r="T48" s="428"/>
      <c r="U48" s="428"/>
      <c r="V48" s="428"/>
      <c r="W48" s="428"/>
      <c r="X48" s="428"/>
      <c r="Y48" s="428"/>
      <c r="Z48" s="428"/>
      <c r="AA48" s="429"/>
    </row>
    <row r="49" spans="1:35" ht="14.1" customHeight="1" x14ac:dyDescent="0.3">
      <c r="A49" s="402"/>
      <c r="B49" s="402"/>
      <c r="C49" s="402"/>
      <c r="D49" s="402"/>
      <c r="E49" s="402"/>
      <c r="F49" s="402"/>
      <c r="G49" s="402"/>
      <c r="H49" s="402"/>
      <c r="I49" s="402"/>
      <c r="J49" s="402"/>
      <c r="K49" s="430" t="s">
        <v>218</v>
      </c>
      <c r="L49" s="430"/>
      <c r="M49" s="430"/>
      <c r="N49" s="430"/>
      <c r="O49" s="431"/>
      <c r="P49" s="196">
        <v>0.05</v>
      </c>
      <c r="Q49" s="196">
        <v>0.1</v>
      </c>
      <c r="R49" s="197">
        <v>0.15</v>
      </c>
      <c r="S49" s="197">
        <v>0.2</v>
      </c>
      <c r="T49" s="197">
        <v>0.3</v>
      </c>
      <c r="U49" s="197">
        <v>0.4</v>
      </c>
      <c r="V49" s="197">
        <v>0.5</v>
      </c>
      <c r="W49" s="197">
        <v>0.6</v>
      </c>
      <c r="X49" s="197">
        <v>0.7</v>
      </c>
      <c r="Y49" s="197">
        <v>0.8</v>
      </c>
      <c r="Z49" s="197">
        <v>0.9</v>
      </c>
      <c r="AA49" s="197">
        <v>1</v>
      </c>
    </row>
    <row r="50" spans="1:35" ht="14.1" customHeight="1" x14ac:dyDescent="0.3">
      <c r="A50" s="198">
        <v>1</v>
      </c>
      <c r="B50" s="199" t="s">
        <v>216</v>
      </c>
      <c r="C50" s="200"/>
      <c r="D50" s="200"/>
      <c r="E50" s="201"/>
      <c r="F50" s="408" t="s">
        <v>1409</v>
      </c>
      <c r="G50" s="409"/>
      <c r="H50" s="409"/>
      <c r="I50" s="409"/>
      <c r="J50" s="420"/>
      <c r="K50" s="418" t="s">
        <v>221</v>
      </c>
      <c r="L50" s="419"/>
      <c r="M50" s="416" t="s">
        <v>224</v>
      </c>
      <c r="N50" s="406"/>
      <c r="O50" s="417"/>
      <c r="P50" s="410"/>
      <c r="Q50" s="410"/>
      <c r="R50" s="410"/>
      <c r="S50" s="410"/>
      <c r="T50" s="410"/>
      <c r="U50" s="410"/>
      <c r="V50" s="410"/>
      <c r="W50" s="410"/>
      <c r="X50" s="410"/>
      <c r="Y50" s="410"/>
      <c r="Z50" s="410"/>
      <c r="AA50" s="411"/>
    </row>
    <row r="51" spans="1:35" ht="14.1" customHeight="1" x14ac:dyDescent="0.3">
      <c r="A51" s="198">
        <v>2</v>
      </c>
      <c r="B51" s="403" t="s">
        <v>217</v>
      </c>
      <c r="C51" s="404"/>
      <c r="D51" s="404"/>
      <c r="E51" s="405"/>
      <c r="F51" s="408" t="s">
        <v>1410</v>
      </c>
      <c r="G51" s="409"/>
      <c r="H51" s="409"/>
      <c r="I51" s="409"/>
      <c r="J51" s="409"/>
      <c r="K51" s="406"/>
      <c r="L51" s="406"/>
      <c r="M51" s="406"/>
      <c r="N51" s="406"/>
      <c r="O51" s="407"/>
      <c r="P51" s="412"/>
      <c r="Q51" s="412"/>
      <c r="R51" s="412"/>
      <c r="S51" s="412"/>
      <c r="T51" s="412"/>
      <c r="U51" s="412"/>
      <c r="V51" s="412"/>
      <c r="W51" s="412"/>
      <c r="X51" s="412"/>
      <c r="Y51" s="412"/>
      <c r="Z51" s="412"/>
      <c r="AA51" s="413"/>
    </row>
    <row r="52" spans="1:35" ht="14.1" customHeight="1" x14ac:dyDescent="0.3">
      <c r="A52" s="198">
        <v>3</v>
      </c>
      <c r="B52" s="403" t="s">
        <v>222</v>
      </c>
      <c r="C52" s="404"/>
      <c r="D52" s="404"/>
      <c r="E52" s="405"/>
      <c r="F52" s="408" t="s">
        <v>1411</v>
      </c>
      <c r="G52" s="409"/>
      <c r="H52" s="409"/>
      <c r="I52" s="409"/>
      <c r="J52" s="420"/>
      <c r="K52" s="418" t="s">
        <v>49</v>
      </c>
      <c r="L52" s="419"/>
      <c r="M52" s="421" t="e">
        <v>#REF!</v>
      </c>
      <c r="N52" s="422"/>
      <c r="O52" s="423"/>
      <c r="P52" s="412"/>
      <c r="Q52" s="412"/>
      <c r="R52" s="412"/>
      <c r="S52" s="412"/>
      <c r="T52" s="412"/>
      <c r="U52" s="412"/>
      <c r="V52" s="412"/>
      <c r="W52" s="412"/>
      <c r="X52" s="412"/>
      <c r="Y52" s="412"/>
      <c r="Z52" s="412"/>
      <c r="AA52" s="413"/>
    </row>
    <row r="53" spans="1:35" ht="15.95" customHeight="1" x14ac:dyDescent="0.3">
      <c r="A53" s="198">
        <v>4</v>
      </c>
      <c r="B53" s="403" t="s">
        <v>223</v>
      </c>
      <c r="C53" s="404"/>
      <c r="D53" s="404"/>
      <c r="E53" s="405"/>
      <c r="F53" s="408" t="s">
        <v>1412</v>
      </c>
      <c r="G53" s="409"/>
      <c r="H53" s="409"/>
      <c r="I53" s="409"/>
      <c r="J53" s="420"/>
      <c r="K53" s="418" t="s">
        <v>49</v>
      </c>
      <c r="L53" s="419"/>
      <c r="M53" s="421" t="e">
        <v>#REF!</v>
      </c>
      <c r="N53" s="422"/>
      <c r="O53" s="423"/>
      <c r="P53" s="412"/>
      <c r="Q53" s="412"/>
      <c r="R53" s="412"/>
      <c r="S53" s="412"/>
      <c r="T53" s="412"/>
      <c r="U53" s="412"/>
      <c r="V53" s="412"/>
      <c r="W53" s="412"/>
      <c r="X53" s="412"/>
      <c r="Y53" s="412"/>
      <c r="Z53" s="412"/>
      <c r="AA53" s="413"/>
    </row>
    <row r="54" spans="1:35" ht="14.1" customHeight="1" x14ac:dyDescent="0.3">
      <c r="A54" s="198">
        <v>5</v>
      </c>
      <c r="B54" s="403" t="s">
        <v>50</v>
      </c>
      <c r="C54" s="404"/>
      <c r="D54" s="404"/>
      <c r="E54" s="405"/>
      <c r="F54" s="408"/>
      <c r="G54" s="409"/>
      <c r="H54" s="409"/>
      <c r="I54" s="409"/>
      <c r="J54" s="420"/>
      <c r="K54" s="418" t="s">
        <v>49</v>
      </c>
      <c r="L54" s="419"/>
      <c r="M54" s="421" t="e">
        <v>#REF!</v>
      </c>
      <c r="N54" s="422"/>
      <c r="O54" s="423"/>
      <c r="P54" s="412"/>
      <c r="Q54" s="412"/>
      <c r="R54" s="412"/>
      <c r="S54" s="412"/>
      <c r="T54" s="412"/>
      <c r="U54" s="412"/>
      <c r="V54" s="412"/>
      <c r="W54" s="412"/>
      <c r="X54" s="412"/>
      <c r="Y54" s="412"/>
      <c r="Z54" s="412"/>
      <c r="AA54" s="413"/>
    </row>
    <row r="55" spans="1:35" x14ac:dyDescent="0.3">
      <c r="A55" s="198">
        <v>6</v>
      </c>
      <c r="B55" s="403" t="s">
        <v>51</v>
      </c>
      <c r="C55" s="404"/>
      <c r="D55" s="404"/>
      <c r="E55" s="405"/>
      <c r="F55" s="408"/>
      <c r="G55" s="409"/>
      <c r="H55" s="409"/>
      <c r="I55" s="409"/>
      <c r="J55" s="420"/>
      <c r="K55" s="418" t="s">
        <v>49</v>
      </c>
      <c r="L55" s="419"/>
      <c r="M55" s="421" t="e">
        <v>#REF!</v>
      </c>
      <c r="N55" s="422"/>
      <c r="O55" s="423"/>
      <c r="P55" s="414"/>
      <c r="Q55" s="414"/>
      <c r="R55" s="414"/>
      <c r="S55" s="414"/>
      <c r="T55" s="414"/>
      <c r="U55" s="414"/>
      <c r="V55" s="414"/>
      <c r="W55" s="414"/>
      <c r="X55" s="414"/>
      <c r="Y55" s="414"/>
      <c r="Z55" s="414"/>
      <c r="AA55" s="415"/>
    </row>
    <row r="56" spans="1:35" x14ac:dyDescent="0.3">
      <c r="A56" s="438" t="s">
        <v>45</v>
      </c>
      <c r="B56" s="439"/>
      <c r="C56" s="440"/>
      <c r="D56" s="432"/>
      <c r="E56" s="433"/>
      <c r="F56" s="433"/>
      <c r="G56" s="433"/>
      <c r="H56" s="433"/>
      <c r="I56" s="433"/>
      <c r="J56" s="433"/>
      <c r="K56" s="433"/>
      <c r="L56" s="433"/>
      <c r="M56" s="433"/>
      <c r="N56" s="433"/>
      <c r="O56" s="433"/>
      <c r="P56" s="433"/>
      <c r="Q56" s="433"/>
      <c r="R56" s="433"/>
      <c r="S56" s="433"/>
      <c r="T56" s="433"/>
      <c r="U56" s="433"/>
      <c r="V56" s="433"/>
      <c r="W56" s="433"/>
      <c r="X56" s="433"/>
      <c r="Y56" s="433"/>
      <c r="Z56" s="433"/>
      <c r="AA56" s="434"/>
    </row>
    <row r="57" spans="1:35" x14ac:dyDescent="0.3">
      <c r="A57" s="441"/>
      <c r="B57" s="442"/>
      <c r="C57" s="443"/>
      <c r="D57" s="435"/>
      <c r="E57" s="436"/>
      <c r="F57" s="436"/>
      <c r="G57" s="436"/>
      <c r="H57" s="436"/>
      <c r="I57" s="436"/>
      <c r="J57" s="436"/>
      <c r="K57" s="436"/>
      <c r="L57" s="436"/>
      <c r="M57" s="436"/>
      <c r="N57" s="436"/>
      <c r="O57" s="436"/>
      <c r="P57" s="436"/>
      <c r="Q57" s="436"/>
      <c r="R57" s="436"/>
      <c r="S57" s="436"/>
      <c r="T57" s="436"/>
      <c r="U57" s="436"/>
      <c r="V57" s="436"/>
      <c r="W57" s="436"/>
      <c r="X57" s="436"/>
      <c r="Y57" s="436"/>
      <c r="Z57" s="436"/>
      <c r="AA57" s="437"/>
    </row>
    <row r="58" spans="1:35" ht="27" x14ac:dyDescent="0.3">
      <c r="A58" s="449"/>
      <c r="B58" s="449"/>
      <c r="C58" s="449"/>
      <c r="D58" s="449"/>
      <c r="E58" s="449"/>
      <c r="F58" s="449"/>
      <c r="G58" s="449"/>
      <c r="H58" s="449"/>
      <c r="I58" s="449"/>
      <c r="J58" s="449"/>
      <c r="K58" s="449"/>
      <c r="L58" s="449"/>
      <c r="M58" s="449"/>
      <c r="N58" s="449"/>
      <c r="O58" s="449"/>
      <c r="P58" s="449"/>
      <c r="Q58" s="449"/>
      <c r="R58" s="449"/>
      <c r="S58" s="449"/>
      <c r="T58" s="449"/>
      <c r="U58" s="449"/>
      <c r="V58" s="449"/>
      <c r="W58" s="449"/>
      <c r="X58" s="449"/>
      <c r="Y58" s="449"/>
      <c r="Z58" s="449"/>
      <c r="AA58" s="449"/>
    </row>
    <row r="59" spans="1:35" x14ac:dyDescent="0.3">
      <c r="A59" s="202"/>
      <c r="B59" s="203" t="s">
        <v>205</v>
      </c>
      <c r="C59" s="448" t="s">
        <v>211</v>
      </c>
      <c r="D59" s="448"/>
      <c r="E59" s="448"/>
      <c r="F59" s="448"/>
      <c r="G59" s="205" t="s">
        <v>212</v>
      </c>
      <c r="H59" s="205"/>
      <c r="I59" s="205"/>
      <c r="J59" s="205"/>
      <c r="K59" s="205"/>
      <c r="L59" s="205"/>
      <c r="M59" s="205"/>
      <c r="N59" s="205"/>
      <c r="O59" s="205"/>
      <c r="P59" s="205"/>
      <c r="Q59" s="205"/>
      <c r="R59" s="205"/>
      <c r="S59" s="205"/>
      <c r="T59" s="205"/>
      <c r="U59" s="205"/>
      <c r="V59" s="205"/>
      <c r="W59" s="205"/>
      <c r="X59" s="205"/>
      <c r="Y59" s="205"/>
      <c r="Z59" s="205"/>
      <c r="AA59" s="206"/>
    </row>
    <row r="60" spans="1:35" ht="14.1" customHeight="1" x14ac:dyDescent="0.3">
      <c r="A60" s="444" t="str">
        <f>+F12</f>
        <v>JUAN DAVID VILLA ROMERO</v>
      </c>
      <c r="B60" s="445"/>
      <c r="C60" s="445"/>
      <c r="D60" s="445"/>
      <c r="E60" s="445"/>
      <c r="F60" s="446" t="s">
        <v>207</v>
      </c>
      <c r="G60" s="446"/>
      <c r="H60" s="446"/>
      <c r="I60" s="446" t="str">
        <f>+F14</f>
        <v>DUPARFAY DE JESUS BUITRAGO TORRES</v>
      </c>
      <c r="J60" s="446"/>
      <c r="K60" s="446"/>
      <c r="L60" s="446"/>
      <c r="M60" s="446"/>
      <c r="N60" s="446" t="s">
        <v>226</v>
      </c>
      <c r="O60" s="446"/>
      <c r="P60" s="446"/>
      <c r="Q60" s="446"/>
      <c r="R60" s="446"/>
      <c r="S60" s="446"/>
      <c r="T60" s="446"/>
      <c r="U60" s="446"/>
      <c r="V60" s="446"/>
      <c r="W60" s="446"/>
      <c r="X60" s="446"/>
      <c r="Y60" s="446"/>
      <c r="Z60" s="446"/>
      <c r="AA60" s="447"/>
    </row>
    <row r="61" spans="1:35" ht="14.1" customHeight="1" x14ac:dyDescent="0.3">
      <c r="A61" s="444" t="s">
        <v>213</v>
      </c>
      <c r="B61" s="445"/>
      <c r="C61" s="445"/>
      <c r="D61" s="445"/>
      <c r="E61" s="445"/>
      <c r="F61" s="445"/>
      <c r="G61" s="445"/>
      <c r="H61" s="445"/>
      <c r="I61" s="445"/>
      <c r="J61" s="207"/>
      <c r="K61" s="207"/>
      <c r="L61" s="207"/>
      <c r="M61" s="207"/>
      <c r="N61" s="207"/>
      <c r="O61" s="207"/>
      <c r="P61" s="207"/>
      <c r="Q61" s="207"/>
      <c r="R61" s="207"/>
      <c r="S61" s="207"/>
      <c r="T61" s="207"/>
      <c r="U61" s="207"/>
      <c r="V61" s="207"/>
      <c r="W61" s="207"/>
      <c r="X61" s="207"/>
      <c r="Y61" s="207"/>
      <c r="Z61" s="207"/>
      <c r="AA61" s="208"/>
    </row>
    <row r="62" spans="1:35" x14ac:dyDescent="0.3">
      <c r="A62" s="209">
        <v>1</v>
      </c>
      <c r="B62" s="204"/>
      <c r="C62" s="204"/>
      <c r="D62" s="204"/>
      <c r="E62" s="204"/>
      <c r="F62" s="204"/>
      <c r="G62" s="204"/>
      <c r="H62" s="204"/>
      <c r="I62" s="204"/>
      <c r="J62" s="204"/>
      <c r="K62" s="204"/>
      <c r="L62" s="204"/>
      <c r="M62" s="204"/>
      <c r="N62" s="204"/>
      <c r="O62" s="204"/>
      <c r="P62" s="204"/>
      <c r="Q62" s="204"/>
      <c r="R62" s="204"/>
      <c r="S62" s="204"/>
      <c r="T62" s="204"/>
      <c r="U62" s="204"/>
      <c r="V62" s="204"/>
      <c r="W62" s="204"/>
      <c r="X62" s="204"/>
      <c r="Y62" s="204"/>
      <c r="Z62" s="204"/>
      <c r="AA62" s="210"/>
    </row>
    <row r="63" spans="1:35" x14ac:dyDescent="0.3">
      <c r="A63" s="209">
        <v>2</v>
      </c>
      <c r="B63" s="204"/>
      <c r="C63" s="204"/>
      <c r="D63" s="204"/>
      <c r="E63" s="204"/>
      <c r="F63" s="204"/>
      <c r="G63" s="204"/>
      <c r="H63" s="204"/>
      <c r="I63" s="204"/>
      <c r="J63" s="204"/>
      <c r="K63" s="204"/>
      <c r="L63" s="204"/>
      <c r="M63" s="204"/>
      <c r="N63" s="204"/>
      <c r="O63" s="204"/>
      <c r="P63" s="204"/>
      <c r="Q63" s="204"/>
      <c r="R63" s="204"/>
      <c r="S63" s="204"/>
      <c r="T63" s="204"/>
      <c r="U63" s="204"/>
      <c r="V63" s="204"/>
      <c r="W63" s="204"/>
      <c r="X63" s="204"/>
      <c r="Y63" s="204"/>
      <c r="Z63" s="204"/>
      <c r="AA63" s="210"/>
      <c r="AF63" s="12"/>
    </row>
    <row r="64" spans="1:35" x14ac:dyDescent="0.3">
      <c r="A64" s="211" t="s">
        <v>215</v>
      </c>
      <c r="B64" s="204"/>
      <c r="C64" s="204"/>
      <c r="D64" s="204"/>
      <c r="E64" s="204"/>
      <c r="F64" s="204"/>
      <c r="G64" s="204"/>
      <c r="H64" s="204"/>
      <c r="I64" s="204"/>
      <c r="J64" s="204"/>
      <c r="K64" s="204"/>
      <c r="L64" s="204"/>
      <c r="M64" s="204"/>
      <c r="N64" s="204"/>
      <c r="O64" s="204"/>
      <c r="P64" s="204"/>
      <c r="Q64" s="204"/>
      <c r="R64" s="204"/>
      <c r="S64" s="204"/>
      <c r="T64" s="204"/>
      <c r="U64" s="204"/>
      <c r="V64" s="204"/>
      <c r="W64" s="204"/>
      <c r="X64" s="204"/>
      <c r="Y64" s="204"/>
      <c r="Z64" s="204"/>
      <c r="AA64" s="212"/>
      <c r="AG64" s="52"/>
      <c r="AH64" s="12"/>
      <c r="AI64" s="12"/>
    </row>
    <row r="65" spans="1:35" x14ac:dyDescent="0.3">
      <c r="A65" s="211" t="s">
        <v>214</v>
      </c>
      <c r="B65" s="204"/>
      <c r="C65" s="204"/>
      <c r="D65" s="204"/>
      <c r="E65" s="204"/>
      <c r="F65" s="204"/>
      <c r="G65" s="204"/>
      <c r="H65" s="204"/>
      <c r="I65" s="204"/>
      <c r="J65" s="204"/>
      <c r="K65" s="204"/>
      <c r="L65" s="204"/>
      <c r="M65" s="204"/>
      <c r="N65" s="204"/>
      <c r="O65" s="204"/>
      <c r="P65" s="204"/>
      <c r="Q65" s="204"/>
      <c r="R65" s="204"/>
      <c r="S65" s="204"/>
      <c r="T65" s="204"/>
      <c r="U65" s="204"/>
      <c r="V65" s="204"/>
      <c r="W65" s="204"/>
      <c r="X65" s="204"/>
      <c r="Y65" s="204"/>
      <c r="Z65" s="204"/>
      <c r="AA65" s="210"/>
      <c r="AH65" s="12"/>
    </row>
    <row r="66" spans="1:35" x14ac:dyDescent="0.3">
      <c r="A66" s="211"/>
      <c r="B66" s="204"/>
      <c r="C66" s="204"/>
      <c r="D66" s="204"/>
      <c r="E66" s="204"/>
      <c r="F66" s="204"/>
      <c r="G66" s="204"/>
      <c r="H66" s="204"/>
      <c r="I66" s="204"/>
      <c r="J66" s="204"/>
      <c r="K66" s="204"/>
      <c r="L66" s="204"/>
      <c r="M66" s="204"/>
      <c r="N66" s="204"/>
      <c r="O66" s="204"/>
      <c r="P66" s="204"/>
      <c r="Q66" s="204"/>
      <c r="R66" s="204"/>
      <c r="S66" s="204"/>
      <c r="T66" s="204"/>
      <c r="U66" s="204"/>
      <c r="V66" s="204"/>
      <c r="W66" s="204"/>
      <c r="X66" s="204"/>
      <c r="Y66" s="204"/>
      <c r="Z66" s="204"/>
      <c r="AA66" s="210"/>
      <c r="AG66" s="52"/>
      <c r="AH66" s="12"/>
      <c r="AI66" s="12"/>
    </row>
    <row r="67" spans="1:35" ht="14.1" customHeight="1" x14ac:dyDescent="0.3">
      <c r="A67" s="211"/>
      <c r="B67" s="204"/>
      <c r="C67" s="204"/>
      <c r="D67" s="204"/>
      <c r="E67" s="204"/>
      <c r="F67" s="204"/>
      <c r="G67" s="204"/>
      <c r="H67" s="204"/>
      <c r="I67" s="204"/>
      <c r="J67" s="204"/>
      <c r="K67" s="204"/>
      <c r="L67" s="204"/>
      <c r="M67" s="204"/>
      <c r="N67" s="204"/>
      <c r="O67" s="204"/>
      <c r="P67" s="204"/>
      <c r="Q67" s="204"/>
      <c r="R67" s="204"/>
      <c r="S67" s="204"/>
      <c r="T67" s="204"/>
      <c r="U67" s="204"/>
      <c r="V67" s="204"/>
      <c r="W67" s="204"/>
      <c r="X67" s="204"/>
      <c r="Y67" s="204"/>
      <c r="Z67" s="204"/>
      <c r="AA67" s="210"/>
      <c r="AG67" s="52"/>
      <c r="AH67" s="12"/>
      <c r="AI67" s="12"/>
    </row>
    <row r="68" spans="1:35" x14ac:dyDescent="0.3">
      <c r="A68" s="211"/>
      <c r="B68" s="204"/>
      <c r="C68" s="204"/>
      <c r="D68" s="204"/>
      <c r="E68" s="204"/>
      <c r="F68" s="204"/>
      <c r="G68" s="204"/>
      <c r="H68" s="204"/>
      <c r="I68" s="204"/>
      <c r="J68" s="204"/>
      <c r="K68" s="204"/>
      <c r="L68" s="204"/>
      <c r="M68" s="204"/>
      <c r="N68" s="204"/>
      <c r="O68" s="204"/>
      <c r="P68" s="204"/>
      <c r="Q68" s="204"/>
      <c r="R68" s="204"/>
      <c r="S68" s="204"/>
      <c r="T68" s="204"/>
      <c r="U68" s="204"/>
      <c r="V68" s="204"/>
      <c r="W68" s="204"/>
      <c r="X68" s="204"/>
      <c r="Y68" s="204"/>
      <c r="Z68" s="204"/>
      <c r="AA68" s="210"/>
      <c r="AH68" s="12"/>
      <c r="AI68" s="12"/>
    </row>
    <row r="69" spans="1:35" x14ac:dyDescent="0.3">
      <c r="A69" s="213"/>
      <c r="B69" s="214"/>
      <c r="C69" s="214"/>
      <c r="D69" s="214"/>
      <c r="E69" s="214"/>
      <c r="F69" s="204"/>
      <c r="G69" s="204"/>
      <c r="H69" s="204"/>
      <c r="I69" s="204"/>
      <c r="J69" s="204"/>
      <c r="K69" s="214"/>
      <c r="L69" s="214"/>
      <c r="M69" s="214"/>
      <c r="N69" s="214"/>
      <c r="O69" s="214"/>
      <c r="P69" s="214"/>
      <c r="Q69" s="204"/>
      <c r="R69" s="204"/>
      <c r="S69" s="204"/>
      <c r="T69" s="204"/>
      <c r="U69" s="214"/>
      <c r="V69" s="214"/>
      <c r="W69" s="214"/>
      <c r="X69" s="214"/>
      <c r="Y69" s="214"/>
      <c r="Z69" s="214"/>
      <c r="AA69" s="210"/>
      <c r="AI69" s="12"/>
    </row>
    <row r="70" spans="1:35" x14ac:dyDescent="0.3">
      <c r="A70" s="211" t="str">
        <f>+A60</f>
        <v>JUAN DAVID VILLA ROMERO</v>
      </c>
      <c r="B70" s="204"/>
      <c r="C70" s="204"/>
      <c r="D70" s="204"/>
      <c r="E70" s="204"/>
      <c r="F70" s="204"/>
      <c r="G70" s="204"/>
      <c r="H70" s="204"/>
      <c r="I70" s="204"/>
      <c r="J70" s="204"/>
      <c r="K70" s="204" t="str">
        <f>+I60</f>
        <v>DUPARFAY DE JESUS BUITRAGO TORRES</v>
      </c>
      <c r="L70" s="204"/>
      <c r="M70" s="204"/>
      <c r="N70" s="204"/>
      <c r="O70" s="204"/>
      <c r="P70" s="204"/>
      <c r="Q70" s="204"/>
      <c r="R70" s="204"/>
      <c r="S70" s="204"/>
      <c r="T70" s="204"/>
      <c r="U70" s="204" t="str">
        <f>+F13</f>
        <v>JUAN DAVID VILLA ROMERO</v>
      </c>
      <c r="V70" s="204"/>
      <c r="W70" s="204"/>
      <c r="X70" s="204"/>
      <c r="Y70" s="204"/>
      <c r="Z70" s="204"/>
      <c r="AA70" s="210"/>
    </row>
    <row r="71" spans="1:35" x14ac:dyDescent="0.3">
      <c r="A71" s="213" t="s">
        <v>9</v>
      </c>
      <c r="B71" s="214"/>
      <c r="C71" s="214"/>
      <c r="D71" s="214"/>
      <c r="E71" s="214"/>
      <c r="F71" s="214"/>
      <c r="G71" s="214"/>
      <c r="H71" s="214"/>
      <c r="I71" s="214"/>
      <c r="J71" s="214"/>
      <c r="K71" s="214" t="s">
        <v>8</v>
      </c>
      <c r="L71" s="214"/>
      <c r="M71" s="214"/>
      <c r="N71" s="214"/>
      <c r="O71" s="214"/>
      <c r="P71" s="214"/>
      <c r="Q71" s="214"/>
      <c r="R71" s="214"/>
      <c r="S71" s="214"/>
      <c r="T71" s="214"/>
      <c r="U71" s="214" t="s">
        <v>246</v>
      </c>
      <c r="V71" s="214"/>
      <c r="W71" s="214"/>
      <c r="X71" s="214"/>
      <c r="Y71" s="214"/>
      <c r="Z71" s="214"/>
      <c r="AA71" s="215"/>
    </row>
    <row r="83" spans="1:12" hidden="1" x14ac:dyDescent="0.3">
      <c r="A83" s="57" t="s">
        <v>146</v>
      </c>
      <c r="B83" s="57"/>
      <c r="D83" s="293" t="str">
        <f>+F51</f>
        <v>miércoles, 23 de mayo de 2018</v>
      </c>
      <c r="E83" s="293"/>
      <c r="F83" s="293"/>
      <c r="G83" s="57" t="s">
        <v>147</v>
      </c>
      <c r="H83" s="57"/>
      <c r="I83" s="57"/>
      <c r="J83" s="57"/>
      <c r="K83" s="57"/>
      <c r="L83" s="57"/>
    </row>
    <row r="84" spans="1:12" hidden="1" x14ac:dyDescent="0.3">
      <c r="A84" s="57"/>
      <c r="B84" s="57"/>
      <c r="C84" s="57"/>
      <c r="D84" s="57"/>
      <c r="E84" s="57"/>
      <c r="F84" s="57"/>
      <c r="G84" s="57"/>
      <c r="H84" s="57"/>
      <c r="I84" s="57"/>
      <c r="J84" s="57"/>
      <c r="K84" s="57"/>
      <c r="L84" s="57"/>
    </row>
    <row r="85" spans="1:12" hidden="1" x14ac:dyDescent="0.3">
      <c r="A85" s="57" t="s">
        <v>148</v>
      </c>
      <c r="B85" s="57"/>
      <c r="D85" s="57" t="e">
        <f>TRIM(D107)</f>
        <v>#VALUE!</v>
      </c>
      <c r="E85" s="57"/>
      <c r="F85" s="57"/>
      <c r="G85" s="57"/>
      <c r="H85" s="57"/>
      <c r="I85" s="57"/>
      <c r="J85" s="57"/>
      <c r="K85" s="57"/>
      <c r="L85" s="57"/>
    </row>
    <row r="86" spans="1:12" hidden="1" x14ac:dyDescent="0.3">
      <c r="A86" s="57"/>
      <c r="B86" s="57"/>
      <c r="C86" s="57"/>
      <c r="D86" s="57"/>
      <c r="E86" s="57"/>
      <c r="F86" s="57"/>
      <c r="G86" s="57"/>
      <c r="H86" s="57"/>
      <c r="I86" s="57"/>
      <c r="J86" s="57"/>
      <c r="K86" s="57"/>
      <c r="L86" s="57"/>
    </row>
    <row r="87" spans="1:12" hidden="1" x14ac:dyDescent="0.3">
      <c r="A87" s="57"/>
      <c r="B87" s="57"/>
      <c r="C87" s="57"/>
      <c r="D87" s="57"/>
      <c r="E87" s="57"/>
      <c r="F87" s="57"/>
      <c r="G87" s="57"/>
      <c r="H87" s="57"/>
      <c r="I87" s="57"/>
      <c r="J87" s="57"/>
      <c r="K87" s="57"/>
      <c r="L87" s="57"/>
    </row>
    <row r="88" spans="1:12" hidden="1" x14ac:dyDescent="0.3">
      <c r="A88" s="57">
        <v>1</v>
      </c>
      <c r="B88" s="57" t="s">
        <v>149</v>
      </c>
      <c r="C88" s="57" t="s">
        <v>150</v>
      </c>
      <c r="D88" s="57"/>
      <c r="E88" s="57" t="e">
        <f>INT((D83-(INT(D83/1000000000000000)*1000000000000000))/1000000000000)</f>
        <v>#VALUE!</v>
      </c>
      <c r="F88" s="57" t="s">
        <v>151</v>
      </c>
      <c r="G88" s="57" t="e">
        <f>INT(E88/100)*100</f>
        <v>#VALUE!</v>
      </c>
      <c r="H88" s="57" t="e">
        <f>IF(AND(G88=100,G89=0,G90=0),IF(G88=0," ",LOOKUP(G88,A87:C132,B87:B132)),IF(G88=0," ",LOOKUP(G88,A87:C132,C87:C132)))</f>
        <v>#VALUE!</v>
      </c>
      <c r="I88" s="57"/>
      <c r="J88" s="57" t="s">
        <v>152</v>
      </c>
      <c r="K88" s="57"/>
      <c r="L88" s="57"/>
    </row>
    <row r="89" spans="1:12" hidden="1" x14ac:dyDescent="0.3">
      <c r="A89" s="57">
        <v>2</v>
      </c>
      <c r="B89" s="57" t="s">
        <v>153</v>
      </c>
      <c r="C89" s="57" t="s">
        <v>153</v>
      </c>
      <c r="D89" s="57"/>
      <c r="E89" s="57" t="e">
        <f>+E88-G88</f>
        <v>#VALUE!</v>
      </c>
      <c r="F89" s="57" t="s">
        <v>154</v>
      </c>
      <c r="G89" s="57" t="e">
        <f>INT(E89/10)*10</f>
        <v>#VALUE!</v>
      </c>
      <c r="H89" s="57" t="e">
        <f>IF(OR(G89=10,G89=20),LOOKUP(E89,A87:C132,C87:C132),IF(AND(G89=100,G90=0,G91=0),IF(G89=0," ",LOOKUP(G89,A87:C132,B87:B132)),IF(G89=0," ",LOOKUP(G89,A87:C132,C87:C132))))</f>
        <v>#VALUE!</v>
      </c>
      <c r="I89" s="57" t="e">
        <f>IF(G90=0," ",IF(AND(G89&gt;20,G89&lt;=90),"y"," "))</f>
        <v>#VALUE!</v>
      </c>
      <c r="J89" s="57"/>
      <c r="K89" s="57"/>
      <c r="L89" s="57"/>
    </row>
    <row r="90" spans="1:12" hidden="1" x14ac:dyDescent="0.3">
      <c r="A90" s="57">
        <v>3</v>
      </c>
      <c r="B90" s="57" t="s">
        <v>155</v>
      </c>
      <c r="C90" s="57" t="s">
        <v>155</v>
      </c>
      <c r="D90" s="57"/>
      <c r="E90" s="57" t="e">
        <f>+E89-G89</f>
        <v>#VALUE!</v>
      </c>
      <c r="F90" s="57" t="s">
        <v>156</v>
      </c>
      <c r="G90" s="57" t="e">
        <f>INT(E90)</f>
        <v>#VALUE!</v>
      </c>
      <c r="H90" s="57" t="e">
        <f>IF(OR(G89=10,G89=20)," ",IF(AND(G90=100,G91=0,G92=0),IF(G90=0," ",LOOKUP(G90,A87:C132,B87:B132)),IF(G90=0," ",LOOKUP(G90,A87:C132,B87:B132))))</f>
        <v>#VALUE!</v>
      </c>
      <c r="I90" s="57" t="e">
        <f>IF(AND(G88=0,G89=0,G90=1),"Billón",IF(SUM(G88:G90)=0," ","Billones"))</f>
        <v>#VALUE!</v>
      </c>
      <c r="J90" s="57"/>
      <c r="K90" s="57"/>
      <c r="L90" s="57"/>
    </row>
    <row r="91" spans="1:12" hidden="1" x14ac:dyDescent="0.3">
      <c r="A91" s="57">
        <v>4</v>
      </c>
      <c r="B91" s="57" t="s">
        <v>157</v>
      </c>
      <c r="C91" s="57" t="s">
        <v>157</v>
      </c>
      <c r="D91" s="57"/>
      <c r="E91" s="57" t="e">
        <f>INT((D83-(INT(D83/1000000000000)*1000000000000))/1000000000)</f>
        <v>#VALUE!</v>
      </c>
      <c r="F91" s="57" t="s">
        <v>151</v>
      </c>
      <c r="G91" s="57" t="e">
        <f>INT(E91/100)*100</f>
        <v>#VALUE!</v>
      </c>
      <c r="H91" s="57" t="e">
        <f>IF(AND(G91=100,G92=0,G93=0),IF(G91=0," ",LOOKUP(G91,A87:C132,B87:B132)),IF(G91=0," ",LOOKUP(G91,A87:C132,C87:C132)))</f>
        <v>#VALUE!</v>
      </c>
      <c r="I91" s="57"/>
      <c r="J91" s="57" t="s">
        <v>158</v>
      </c>
      <c r="K91" s="57"/>
      <c r="L91" s="57"/>
    </row>
    <row r="92" spans="1:12" hidden="1" x14ac:dyDescent="0.3">
      <c r="A92" s="57">
        <v>5</v>
      </c>
      <c r="B92" s="57" t="s">
        <v>159</v>
      </c>
      <c r="C92" s="57" t="s">
        <v>159</v>
      </c>
      <c r="D92" s="57"/>
      <c r="E92" s="57" t="e">
        <f>+E91-G91</f>
        <v>#VALUE!</v>
      </c>
      <c r="F92" s="57" t="s">
        <v>154</v>
      </c>
      <c r="G92" s="57" t="e">
        <f>INT(E92/10)*10</f>
        <v>#VALUE!</v>
      </c>
      <c r="H92" s="57" t="e">
        <f>IF(OR(G92=10,G92=20),LOOKUP(E92,A87:C132,C87:C132),IF(AND(G92=100,G93=0,G94=0),IF(G92=0," ",LOOKUP(G92,A87:C132,B87:B132)),IF(G92=0," ",LOOKUP(G92,A87:C132,C87:C132))))</f>
        <v>#VALUE!</v>
      </c>
      <c r="I92" s="57" t="e">
        <f>IF(G93=0," ",IF(AND(G92&gt;20,G92&lt;=90),"y"," "))</f>
        <v>#VALUE!</v>
      </c>
      <c r="J92" s="57"/>
      <c r="K92" s="57"/>
      <c r="L92" s="57"/>
    </row>
    <row r="93" spans="1:12" hidden="1" x14ac:dyDescent="0.3">
      <c r="A93" s="57">
        <v>6</v>
      </c>
      <c r="B93" s="57" t="s">
        <v>160</v>
      </c>
      <c r="C93" s="57" t="s">
        <v>160</v>
      </c>
      <c r="D93" s="57"/>
      <c r="E93" s="57" t="e">
        <f>+E92-G92</f>
        <v>#VALUE!</v>
      </c>
      <c r="F93" s="57" t="s">
        <v>156</v>
      </c>
      <c r="G93" s="57" t="e">
        <f>INT(E93)</f>
        <v>#VALUE!</v>
      </c>
      <c r="H93" s="57" t="e">
        <f>IF(AND(G91=0,G92=0,G93=1)," ",IF(AND(G88=0,G89=0,G90=0,G91=0,G92=0,G93=1)," ",IF(OR(G92=10,G92=20)," ",IF(AND(G93=100,G94=0,G95=0),IF(G93=0," ",LOOKUP(G93,A87:C132,B87:B132)),IF(G93=0," ",LOOKUP(G93,A87:C132,B87:B132))))))</f>
        <v>#VALUE!</v>
      </c>
      <c r="I93" s="57" t="e">
        <f>IF(AND(G91=0,G92=0,G93=1),"Mil",IF(SUM(G91:G93)=0," ","Mil"))</f>
        <v>#VALUE!</v>
      </c>
      <c r="J93" s="57"/>
      <c r="K93" s="57"/>
      <c r="L93" s="57"/>
    </row>
    <row r="94" spans="1:12" hidden="1" x14ac:dyDescent="0.3">
      <c r="A94" s="57">
        <v>7</v>
      </c>
      <c r="B94" s="57" t="s">
        <v>161</v>
      </c>
      <c r="C94" s="57" t="s">
        <v>161</v>
      </c>
      <c r="D94" s="57"/>
      <c r="E94" s="57" t="e">
        <f>INT((D83-(INT(D83/1000000000)*1000000000))/1000000)</f>
        <v>#VALUE!</v>
      </c>
      <c r="F94" s="57" t="s">
        <v>151</v>
      </c>
      <c r="G94" s="57" t="e">
        <f>INT(E94/100)*100</f>
        <v>#VALUE!</v>
      </c>
      <c r="H94" s="57" t="e">
        <f>IF(AND(G94=100,G95=0,G96=0),IF(G94=0," ",LOOKUP(G94,A87:C132,B87:B132)),IF(G94=0," ",LOOKUP(G94,A87:C132,C87:C132)))</f>
        <v>#VALUE!</v>
      </c>
      <c r="I94" s="57"/>
      <c r="J94" s="57" t="s">
        <v>162</v>
      </c>
      <c r="K94" s="57"/>
      <c r="L94" s="57"/>
    </row>
    <row r="95" spans="1:12" hidden="1" x14ac:dyDescent="0.3">
      <c r="A95" s="57">
        <v>8</v>
      </c>
      <c r="B95" s="57" t="s">
        <v>163</v>
      </c>
      <c r="C95" s="57" t="s">
        <v>163</v>
      </c>
      <c r="D95" s="57"/>
      <c r="E95" s="57" t="e">
        <f>+E94-G94</f>
        <v>#VALUE!</v>
      </c>
      <c r="F95" s="57" t="s">
        <v>154</v>
      </c>
      <c r="G95" s="57" t="e">
        <f>INT(E95/10)*10</f>
        <v>#VALUE!</v>
      </c>
      <c r="H95" s="57" t="e">
        <f>IF(OR(G95=10,G95=20),LOOKUP(E95,A87:C132,C87:C132),IF(AND(G95=100,G96=0,G100=0),IF(G95=0," ",LOOKUP(G95,A87:C132,B87:B132)),IF(G95=0," ",LOOKUP(G95,A87:C132,C87:C132))))</f>
        <v>#VALUE!</v>
      </c>
      <c r="I95" s="57" t="e">
        <f>IF(G96=0," ",IF(AND(G95&gt;20,G95&lt;=90),"y"," "))</f>
        <v>#VALUE!</v>
      </c>
      <c r="J95" s="57"/>
      <c r="K95" s="57"/>
      <c r="L95" s="57"/>
    </row>
    <row r="96" spans="1:12" hidden="1" x14ac:dyDescent="0.3">
      <c r="A96" s="57">
        <v>9</v>
      </c>
      <c r="B96" s="57" t="s">
        <v>164</v>
      </c>
      <c r="C96" s="57" t="s">
        <v>164</v>
      </c>
      <c r="D96" s="57"/>
      <c r="E96" s="57" t="e">
        <f>+E95-G95</f>
        <v>#VALUE!</v>
      </c>
      <c r="F96" s="57" t="s">
        <v>156</v>
      </c>
      <c r="G96" s="57" t="e">
        <f>INT(E96)</f>
        <v>#VALUE!</v>
      </c>
      <c r="H96" s="57" t="e">
        <f>IF(AND(G94=0,G95=0,G96=1),"Un",IF(AND(G91=0,G92=0,G93=0,G94=0,G95=0,G96=1)," ",IF(OR(G95=10,G95=20)," ",IF(AND(G96=100,G100=0,G107=0),IF(G96=0," ",LOOKUP(G96,A87:C132,B87:B132)),IF(G96=0," ",LOOKUP(G96,A87:C132,B87:B132))))))</f>
        <v>#VALUE!</v>
      </c>
      <c r="I96" s="57" t="e">
        <f>IF(AND(OR(G91&gt;0,G92&gt;0,G93&gt;0),G94=0,G95=0,G96=0),"Millones",IF(AND(G91=0,G92=0,G93=0,G94=0,G95=0,G96=1),"Millón",IF(SUM(G94:G96)=0," ","Millones")))</f>
        <v>#VALUE!</v>
      </c>
      <c r="J96" s="57"/>
      <c r="K96" s="57"/>
      <c r="L96" s="57"/>
    </row>
    <row r="97" spans="1:12" hidden="1" x14ac:dyDescent="0.3">
      <c r="A97" s="57">
        <v>10</v>
      </c>
      <c r="B97" s="57" t="s">
        <v>165</v>
      </c>
      <c r="C97" s="57" t="s">
        <v>165</v>
      </c>
      <c r="D97" s="57"/>
      <c r="E97" s="57" t="e">
        <f>INT((D83-(INT(D83/1000000)*1000000))/1000)</f>
        <v>#VALUE!</v>
      </c>
      <c r="F97" s="57" t="s">
        <v>151</v>
      </c>
      <c r="G97" s="57" t="e">
        <f>INT(E97/100)*100</f>
        <v>#VALUE!</v>
      </c>
      <c r="H97" s="57" t="e">
        <f>IF(AND(G97=100,G98=0,G99=0),IF(G97=0," ",LOOKUP(G97,A87:C132,B87:B132)),IF(G97=0," ",LOOKUP(G97,A87:C132,C87:C132)))</f>
        <v>#VALUE!</v>
      </c>
      <c r="I97" s="57"/>
      <c r="J97" s="57" t="s">
        <v>166</v>
      </c>
      <c r="K97" s="57"/>
      <c r="L97" s="57"/>
    </row>
    <row r="98" spans="1:12" hidden="1" x14ac:dyDescent="0.3">
      <c r="A98" s="57">
        <v>11</v>
      </c>
      <c r="B98" s="57" t="s">
        <v>167</v>
      </c>
      <c r="C98" s="57" t="s">
        <v>167</v>
      </c>
      <c r="D98" s="57"/>
      <c r="E98" s="57" t="e">
        <f>+E97-G97</f>
        <v>#VALUE!</v>
      </c>
      <c r="F98" s="57" t="s">
        <v>154</v>
      </c>
      <c r="G98" s="57" t="e">
        <f>INT(E98/10)*10</f>
        <v>#VALUE!</v>
      </c>
      <c r="H98" s="57" t="e">
        <f>IF(OR(G98=10,G98=20),LOOKUP(E98,A87:C132,C87:C132),IF(AND(G98=100,G99=0,F105=0),IF(G98=0," ",LOOKUP(G98,A87:C132,B87:B132)),IF(G98=0," ",LOOKUP(G98,A87:C132,C87:C132))))</f>
        <v>#VALUE!</v>
      </c>
      <c r="I98" s="57" t="e">
        <f>IF(G99=0," ",IF(AND(G98&gt;20,G98&lt;=90),"y"," "))</f>
        <v>#VALUE!</v>
      </c>
      <c r="J98" s="57"/>
      <c r="K98" s="57"/>
      <c r="L98" s="57"/>
    </row>
    <row r="99" spans="1:12" hidden="1" x14ac:dyDescent="0.3">
      <c r="A99" s="57">
        <v>12</v>
      </c>
      <c r="B99" s="57" t="s">
        <v>168</v>
      </c>
      <c r="C99" s="57" t="s">
        <v>168</v>
      </c>
      <c r="D99" s="57"/>
      <c r="E99" s="57" t="e">
        <f>+E98-G98</f>
        <v>#VALUE!</v>
      </c>
      <c r="F99" s="57" t="s">
        <v>156</v>
      </c>
      <c r="G99" s="57" t="e">
        <f>INT(E99)</f>
        <v>#VALUE!</v>
      </c>
      <c r="H99" s="57" t="e">
        <f>IF(AND(G97=0,G98=0,G99=1)," ",IF(AND(G94=0,G95=0,G96=0,G97=0,G98=0,G99=1)," ",IF(OR(G98=10,G98=20)," ",IF(AND(G99=100,F105=0,F106=0),IF(G99=0," ",LOOKUP(G99,A87:C132,B87:B132)),IF(G99=0," ",LOOKUP(G99,A87:C132,B87:B132))))))</f>
        <v>#VALUE!</v>
      </c>
      <c r="I99" s="57" t="e">
        <f>IF(AND(G97=0,G98=0,G99=1),"Mil",IF(SUM(G97:G99)=0," ","Mil"))</f>
        <v>#VALUE!</v>
      </c>
      <c r="J99" s="57"/>
      <c r="K99" s="57"/>
      <c r="L99" s="57"/>
    </row>
    <row r="100" spans="1:12" hidden="1" x14ac:dyDescent="0.3">
      <c r="A100" s="57">
        <v>13</v>
      </c>
      <c r="B100" s="57" t="s">
        <v>169</v>
      </c>
      <c r="C100" s="57" t="s">
        <v>169</v>
      </c>
      <c r="D100" s="57"/>
      <c r="E100" s="57" t="e">
        <f>INT((D83-(INT(D83/1000)*1000))/1)</f>
        <v>#VALUE!</v>
      </c>
      <c r="F100" s="57" t="s">
        <v>151</v>
      </c>
      <c r="G100" s="57" t="e">
        <f>INT(E100/100)*100</f>
        <v>#VALUE!</v>
      </c>
      <c r="H100" s="57" t="e">
        <f>IF(AND(G100=100,G101=0,G102=0),IF(G100=0," ",LOOKUP(G100,A87:C132,B87:B132)),IF(G100=0," ",LOOKUP(G100,A87:C132,C87:C132)))</f>
        <v>#VALUE!</v>
      </c>
      <c r="I100" s="57"/>
      <c r="J100" s="57" t="s">
        <v>170</v>
      </c>
      <c r="K100" s="57"/>
      <c r="L100" s="57"/>
    </row>
    <row r="101" spans="1:12" hidden="1" x14ac:dyDescent="0.3">
      <c r="A101" s="57">
        <v>14</v>
      </c>
      <c r="B101" s="57" t="s">
        <v>171</v>
      </c>
      <c r="C101" s="57" t="s">
        <v>171</v>
      </c>
      <c r="D101" s="57"/>
      <c r="E101" s="57" t="e">
        <f>+E100-G100</f>
        <v>#VALUE!</v>
      </c>
      <c r="F101" s="57" t="s">
        <v>154</v>
      </c>
      <c r="G101" s="57" t="e">
        <f>INT(E101/10)*10</f>
        <v>#VALUE!</v>
      </c>
      <c r="H101" s="57" t="e">
        <f>IF(OR(G101=10,G101=20),LOOKUP(E101,A87:C132,C87:C132),IF(AND(G101=100,G102=0,G112=0),IF(G101=0," ",LOOKUP(G101,A87:C132,B87:B132)),IF(G101=0," ",LOOKUP(G101,A87:C132,C87:C132))))</f>
        <v>#VALUE!</v>
      </c>
      <c r="I101" s="57" t="e">
        <f>IF(G102=0," ",IF(AND(G101&gt;20,G101&lt;=90),"y"," "))</f>
        <v>#VALUE!</v>
      </c>
      <c r="J101" s="57"/>
      <c r="K101" s="57"/>
      <c r="L101" s="57"/>
    </row>
    <row r="102" spans="1:12" hidden="1" x14ac:dyDescent="0.3">
      <c r="A102" s="57">
        <v>15</v>
      </c>
      <c r="B102" s="57" t="s">
        <v>172</v>
      </c>
      <c r="C102" s="57" t="s">
        <v>172</v>
      </c>
      <c r="D102" s="57"/>
      <c r="E102" s="57" t="e">
        <f>+E101-G101</f>
        <v>#VALUE!</v>
      </c>
      <c r="F102" s="57" t="s">
        <v>156</v>
      </c>
      <c r="G102" s="57" t="e">
        <f>INT(E102)</f>
        <v>#VALUE!</v>
      </c>
      <c r="H102" s="57" t="e">
        <f>IF(AND(G100=0,G101=0,G102=1),"Un",IF(AND(G97=0,G98=0,G99=0,G100=0,G101=0,G102=1)," ",IF(OR(G101=10,G101=20)," ",IF(AND(G102=100,G112=0,G113=0),IF(G102=0," ",LOOKUP(G102,A87:C132,B87:B132)),IF(G102=0," ",LOOKUP(G102,A87:C132,B87:B132))))))</f>
        <v>#VALUE!</v>
      </c>
      <c r="I102" s="57"/>
      <c r="J102" s="57"/>
      <c r="K102" s="57"/>
      <c r="L102" s="57"/>
    </row>
    <row r="103" spans="1:12" hidden="1" x14ac:dyDescent="0.3">
      <c r="A103" s="57">
        <v>16</v>
      </c>
      <c r="B103" s="57" t="s">
        <v>173</v>
      </c>
      <c r="C103" s="57" t="s">
        <v>173</v>
      </c>
      <c r="D103" s="57"/>
      <c r="E103" s="57"/>
      <c r="F103" s="57"/>
      <c r="G103" s="57"/>
      <c r="H103" s="57"/>
      <c r="I103" s="57"/>
      <c r="J103" s="57"/>
      <c r="K103" s="57"/>
      <c r="L103" s="57"/>
    </row>
    <row r="104" spans="1:12" hidden="1" x14ac:dyDescent="0.3">
      <c r="A104" s="57">
        <v>17</v>
      </c>
      <c r="B104" s="57" t="s">
        <v>174</v>
      </c>
      <c r="C104" s="57" t="s">
        <v>174</v>
      </c>
      <c r="D104" s="57"/>
      <c r="E104" s="57"/>
      <c r="F104" s="57"/>
      <c r="G104" s="57"/>
      <c r="H104" s="57"/>
      <c r="I104" s="57"/>
      <c r="J104" s="57"/>
      <c r="K104" s="57"/>
      <c r="L104" s="57"/>
    </row>
    <row r="105" spans="1:12" hidden="1" x14ac:dyDescent="0.3">
      <c r="A105" s="57">
        <v>18</v>
      </c>
      <c r="B105" s="57" t="s">
        <v>175</v>
      </c>
      <c r="C105" s="57" t="s">
        <v>175</v>
      </c>
      <c r="D105" s="57"/>
      <c r="E105" s="57"/>
      <c r="F105" s="57"/>
      <c r="G105" s="57"/>
      <c r="H105" s="57"/>
      <c r="I105" s="57"/>
      <c r="J105" s="57"/>
      <c r="K105" s="57"/>
      <c r="L105" s="57"/>
    </row>
    <row r="106" spans="1:12" hidden="1" x14ac:dyDescent="0.3">
      <c r="A106" s="57">
        <v>19</v>
      </c>
      <c r="B106" s="57" t="s">
        <v>176</v>
      </c>
      <c r="C106" s="57" t="s">
        <v>176</v>
      </c>
      <c r="D106" s="57"/>
      <c r="E106" s="57"/>
      <c r="F106" s="57"/>
      <c r="G106" s="57"/>
      <c r="H106" s="57"/>
      <c r="I106" s="57"/>
      <c r="J106" s="57"/>
      <c r="K106" s="57"/>
      <c r="L106" s="57"/>
    </row>
    <row r="107" spans="1:12" hidden="1" x14ac:dyDescent="0.3">
      <c r="A107" s="57">
        <v>20</v>
      </c>
      <c r="B107" s="57" t="s">
        <v>177</v>
      </c>
      <c r="C107" s="57" t="s">
        <v>177</v>
      </c>
      <c r="D107" s="57" t="e">
        <f>H88&amp;" "&amp;H89&amp;" "&amp;I89&amp;" "&amp;" "&amp;H90&amp;" "&amp;I90&amp;" "&amp;H91&amp;" "&amp;H92&amp;" "&amp;I92&amp;" "&amp;" "&amp;H93&amp;" "&amp;I93&amp;" "&amp;H94&amp;" "&amp;H95&amp;" "&amp;I95&amp;" "&amp;H96&amp;" "&amp;I96&amp;" "&amp;H97&amp;" "&amp;H98&amp;" "&amp;I98&amp;" "&amp;H99&amp;" "&amp;I99&amp;" "&amp;H100&amp;" "&amp;H101&amp;" "&amp;I101&amp;" "&amp;H102&amp;" "&amp;H109</f>
        <v>#VALUE!</v>
      </c>
      <c r="E107" s="57"/>
      <c r="F107" s="57"/>
      <c r="G107" s="57"/>
      <c r="H107" s="57"/>
      <c r="I107" s="57"/>
      <c r="J107" s="57"/>
      <c r="K107" s="57"/>
      <c r="L107" s="57"/>
    </row>
    <row r="108" spans="1:12" hidden="1" x14ac:dyDescent="0.3">
      <c r="A108" s="57">
        <v>21</v>
      </c>
      <c r="B108" s="57" t="s">
        <v>178</v>
      </c>
      <c r="C108" s="57" t="s">
        <v>179</v>
      </c>
      <c r="D108" s="57"/>
      <c r="E108" s="57"/>
      <c r="F108" s="57"/>
      <c r="G108" s="57"/>
      <c r="H108" s="57"/>
      <c r="I108" s="57"/>
      <c r="J108" s="57"/>
      <c r="K108" s="57"/>
      <c r="L108" s="57"/>
    </row>
    <row r="109" spans="1:12" hidden="1" x14ac:dyDescent="0.3">
      <c r="A109" s="57">
        <v>22</v>
      </c>
      <c r="B109" s="57" t="s">
        <v>180</v>
      </c>
      <c r="C109" s="57" t="s">
        <v>180</v>
      </c>
      <c r="D109" s="57"/>
      <c r="E109" s="57"/>
      <c r="F109" s="57"/>
      <c r="G109" s="57"/>
      <c r="H109" s="57" t="e">
        <f>IF(F110&lt;&gt;0,"de Pesos M/Cte",IF(D83=1,"Peso M/Cte","Pesos M/Cte"))</f>
        <v>#VALUE!</v>
      </c>
      <c r="I109" s="57"/>
      <c r="J109" s="57"/>
      <c r="K109" s="57"/>
      <c r="L109" s="57"/>
    </row>
    <row r="110" spans="1:12" hidden="1" x14ac:dyDescent="0.3">
      <c r="A110" s="57">
        <v>23</v>
      </c>
      <c r="B110" s="57" t="s">
        <v>181</v>
      </c>
      <c r="C110" s="57" t="s">
        <v>181</v>
      </c>
      <c r="D110" s="57"/>
      <c r="E110" s="57" t="e">
        <f>D83/1000000</f>
        <v>#VALUE!</v>
      </c>
      <c r="F110" s="57" t="e">
        <f>IF(E110=INT(E110),"De Pesos M/Cte",0)</f>
        <v>#VALUE!</v>
      </c>
      <c r="G110" s="57"/>
      <c r="H110" s="57"/>
      <c r="I110" s="57"/>
      <c r="J110" s="57"/>
      <c r="K110" s="57"/>
      <c r="L110" s="57"/>
    </row>
    <row r="111" spans="1:12" hidden="1" x14ac:dyDescent="0.3">
      <c r="A111" s="57">
        <v>24</v>
      </c>
      <c r="B111" s="57" t="s">
        <v>182</v>
      </c>
      <c r="C111" s="57" t="s">
        <v>182</v>
      </c>
      <c r="D111" s="57"/>
      <c r="E111" s="57"/>
      <c r="F111" s="57"/>
      <c r="G111" s="57"/>
      <c r="H111" s="57"/>
      <c r="I111" s="57"/>
      <c r="J111" s="57"/>
      <c r="K111" s="57"/>
      <c r="L111" s="57"/>
    </row>
    <row r="112" spans="1:12" hidden="1" x14ac:dyDescent="0.3">
      <c r="A112" s="57">
        <v>25</v>
      </c>
      <c r="B112" s="57" t="s">
        <v>183</v>
      </c>
      <c r="C112" s="57" t="s">
        <v>183</v>
      </c>
      <c r="D112" s="57"/>
      <c r="E112" s="57"/>
      <c r="F112" s="57"/>
      <c r="G112" s="57"/>
      <c r="H112" s="57"/>
      <c r="I112" s="57"/>
      <c r="J112" s="57"/>
      <c r="K112" s="57"/>
      <c r="L112" s="57"/>
    </row>
    <row r="113" spans="1:12" hidden="1" x14ac:dyDescent="0.3">
      <c r="A113" s="57">
        <v>26</v>
      </c>
      <c r="B113" s="57" t="s">
        <v>184</v>
      </c>
      <c r="C113" s="57" t="s">
        <v>184</v>
      </c>
      <c r="D113" s="57"/>
      <c r="E113" s="57"/>
      <c r="F113" s="57"/>
      <c r="G113" s="57"/>
      <c r="H113" s="57"/>
      <c r="I113" s="57"/>
      <c r="J113" s="57"/>
      <c r="K113" s="57"/>
      <c r="L113" s="57"/>
    </row>
    <row r="114" spans="1:12" hidden="1" x14ac:dyDescent="0.3">
      <c r="A114" s="57">
        <v>27</v>
      </c>
      <c r="B114" s="57" t="s">
        <v>185</v>
      </c>
      <c r="C114" s="57" t="s">
        <v>185</v>
      </c>
      <c r="D114" s="57"/>
      <c r="E114" s="57"/>
      <c r="F114" s="57"/>
      <c r="G114" s="57"/>
      <c r="H114" s="57"/>
      <c r="I114" s="57"/>
      <c r="J114" s="57"/>
      <c r="K114" s="57"/>
      <c r="L114" s="57"/>
    </row>
    <row r="115" spans="1:12" hidden="1" x14ac:dyDescent="0.3">
      <c r="A115" s="57">
        <v>28</v>
      </c>
      <c r="B115" s="57" t="s">
        <v>186</v>
      </c>
      <c r="C115" s="57" t="s">
        <v>186</v>
      </c>
      <c r="D115" s="57"/>
      <c r="E115" s="57"/>
      <c r="F115" s="57"/>
      <c r="G115" s="57"/>
      <c r="H115" s="57"/>
      <c r="I115" s="57"/>
      <c r="J115" s="57"/>
      <c r="K115" s="57"/>
      <c r="L115" s="57"/>
    </row>
    <row r="116" spans="1:12" hidden="1" x14ac:dyDescent="0.3">
      <c r="A116" s="57">
        <v>29</v>
      </c>
      <c r="B116" s="57" t="s">
        <v>187</v>
      </c>
      <c r="C116" s="57" t="s">
        <v>187</v>
      </c>
      <c r="D116" s="57"/>
      <c r="E116" s="57"/>
      <c r="F116" s="57"/>
      <c r="G116" s="57"/>
      <c r="H116" s="57"/>
      <c r="I116" s="57"/>
      <c r="J116" s="57"/>
      <c r="K116" s="57"/>
      <c r="L116" s="57"/>
    </row>
    <row r="117" spans="1:12" hidden="1" x14ac:dyDescent="0.3">
      <c r="A117" s="57">
        <v>30</v>
      </c>
      <c r="B117" s="57" t="s">
        <v>188</v>
      </c>
      <c r="C117" s="57" t="s">
        <v>188</v>
      </c>
      <c r="D117" s="57"/>
      <c r="E117" s="57"/>
      <c r="F117" s="57"/>
      <c r="G117" s="57"/>
      <c r="H117" s="57"/>
      <c r="I117" s="57"/>
      <c r="J117" s="57"/>
      <c r="K117" s="57"/>
      <c r="L117" s="57"/>
    </row>
    <row r="118" spans="1:12" hidden="1" x14ac:dyDescent="0.3">
      <c r="A118" s="57">
        <v>40</v>
      </c>
      <c r="B118" s="57" t="s">
        <v>189</v>
      </c>
      <c r="C118" s="57" t="s">
        <v>189</v>
      </c>
      <c r="D118" s="57"/>
      <c r="E118" s="57"/>
      <c r="F118" s="57"/>
      <c r="G118" s="57"/>
      <c r="H118" s="57"/>
      <c r="I118" s="57"/>
      <c r="J118" s="57"/>
      <c r="K118" s="57"/>
      <c r="L118" s="57"/>
    </row>
    <row r="119" spans="1:12" hidden="1" x14ac:dyDescent="0.3">
      <c r="A119" s="57">
        <v>50</v>
      </c>
      <c r="B119" s="57" t="s">
        <v>190</v>
      </c>
      <c r="C119" s="57" t="s">
        <v>190</v>
      </c>
      <c r="D119" s="57"/>
      <c r="E119" s="57"/>
      <c r="F119" s="57"/>
      <c r="G119" s="57"/>
      <c r="H119" s="57"/>
      <c r="I119" s="57"/>
      <c r="J119" s="57"/>
      <c r="K119" s="57"/>
      <c r="L119" s="57"/>
    </row>
    <row r="120" spans="1:12" hidden="1" x14ac:dyDescent="0.3">
      <c r="A120" s="57">
        <v>60</v>
      </c>
      <c r="B120" s="57" t="s">
        <v>191</v>
      </c>
      <c r="C120" s="57" t="s">
        <v>191</v>
      </c>
      <c r="D120" s="57"/>
      <c r="E120" s="57"/>
      <c r="F120" s="57"/>
      <c r="G120" s="57"/>
      <c r="H120" s="57"/>
      <c r="I120" s="57"/>
      <c r="J120" s="57"/>
      <c r="K120" s="57"/>
      <c r="L120" s="57"/>
    </row>
    <row r="121" spans="1:12" hidden="1" x14ac:dyDescent="0.3">
      <c r="A121" s="57">
        <v>70</v>
      </c>
      <c r="B121" s="57" t="s">
        <v>192</v>
      </c>
      <c r="C121" s="57" t="s">
        <v>192</v>
      </c>
      <c r="D121" s="57"/>
      <c r="E121" s="57"/>
      <c r="F121" s="57"/>
      <c r="G121" s="57"/>
      <c r="H121" s="57"/>
      <c r="I121" s="57"/>
      <c r="J121" s="57"/>
      <c r="K121" s="57"/>
      <c r="L121" s="57"/>
    </row>
    <row r="122" spans="1:12" hidden="1" x14ac:dyDescent="0.3">
      <c r="A122" s="57">
        <v>80</v>
      </c>
      <c r="B122" s="57" t="s">
        <v>193</v>
      </c>
      <c r="C122" s="57" t="s">
        <v>193</v>
      </c>
      <c r="D122" s="57"/>
      <c r="E122" s="57"/>
      <c r="F122" s="57"/>
      <c r="G122" s="57"/>
      <c r="H122" s="57"/>
      <c r="I122" s="57"/>
      <c r="J122" s="57"/>
      <c r="K122" s="57"/>
      <c r="L122" s="57"/>
    </row>
    <row r="123" spans="1:12" hidden="1" x14ac:dyDescent="0.3">
      <c r="A123" s="57">
        <v>90</v>
      </c>
      <c r="B123" s="57" t="s">
        <v>194</v>
      </c>
      <c r="C123" s="57" t="s">
        <v>194</v>
      </c>
      <c r="D123" s="57"/>
      <c r="E123" s="57"/>
      <c r="F123" s="57"/>
      <c r="G123" s="57"/>
      <c r="H123" s="57"/>
      <c r="I123" s="57"/>
      <c r="J123" s="57"/>
      <c r="K123" s="57"/>
      <c r="L123" s="57"/>
    </row>
    <row r="124" spans="1:12" hidden="1" x14ac:dyDescent="0.3">
      <c r="A124" s="57">
        <v>100</v>
      </c>
      <c r="B124" s="57" t="s">
        <v>195</v>
      </c>
      <c r="C124" s="57" t="s">
        <v>196</v>
      </c>
      <c r="D124" s="57"/>
      <c r="E124" s="57"/>
      <c r="F124" s="57"/>
      <c r="G124" s="57"/>
      <c r="H124" s="57"/>
      <c r="I124" s="57"/>
      <c r="J124" s="57"/>
      <c r="K124" s="57"/>
      <c r="L124" s="57"/>
    </row>
    <row r="125" spans="1:12" hidden="1" x14ac:dyDescent="0.3">
      <c r="A125" s="57">
        <v>200</v>
      </c>
      <c r="B125" s="57" t="s">
        <v>197</v>
      </c>
      <c r="C125" s="57" t="s">
        <v>197</v>
      </c>
      <c r="D125" s="57"/>
      <c r="E125" s="57"/>
      <c r="F125" s="57"/>
      <c r="G125" s="57"/>
      <c r="H125" s="57"/>
      <c r="I125" s="57"/>
      <c r="J125" s="57"/>
      <c r="K125" s="57"/>
      <c r="L125" s="57"/>
    </row>
    <row r="126" spans="1:12" hidden="1" x14ac:dyDescent="0.3">
      <c r="A126" s="57">
        <v>300</v>
      </c>
      <c r="B126" s="57" t="s">
        <v>198</v>
      </c>
      <c r="C126" s="57" t="s">
        <v>198</v>
      </c>
      <c r="D126" s="57"/>
      <c r="E126" s="57"/>
      <c r="F126" s="57"/>
      <c r="G126" s="57"/>
      <c r="H126" s="57"/>
      <c r="I126" s="57"/>
      <c r="J126" s="57"/>
      <c r="K126" s="57"/>
      <c r="L126" s="57"/>
    </row>
    <row r="127" spans="1:12" hidden="1" x14ac:dyDescent="0.3">
      <c r="A127" s="57">
        <v>400</v>
      </c>
      <c r="B127" s="57" t="s">
        <v>199</v>
      </c>
      <c r="C127" s="57" t="s">
        <v>199</v>
      </c>
      <c r="D127" s="57"/>
      <c r="E127" s="57"/>
      <c r="F127" s="57"/>
      <c r="G127" s="57"/>
      <c r="H127" s="57"/>
      <c r="I127" s="57"/>
      <c r="J127" s="57"/>
      <c r="K127" s="57"/>
      <c r="L127" s="57"/>
    </row>
    <row r="128" spans="1:12" hidden="1" x14ac:dyDescent="0.3">
      <c r="A128" s="57">
        <v>500</v>
      </c>
      <c r="B128" s="57" t="s">
        <v>200</v>
      </c>
      <c r="C128" s="57" t="s">
        <v>200</v>
      </c>
      <c r="D128" s="57"/>
      <c r="E128" s="57"/>
      <c r="F128" s="57"/>
      <c r="G128" s="57"/>
      <c r="H128" s="57"/>
      <c r="I128" s="57"/>
      <c r="J128" s="57"/>
      <c r="K128" s="57"/>
      <c r="L128" s="57"/>
    </row>
    <row r="129" spans="1:12" hidden="1" x14ac:dyDescent="0.3">
      <c r="A129" s="57">
        <v>600</v>
      </c>
      <c r="B129" s="57" t="s">
        <v>201</v>
      </c>
      <c r="C129" s="57" t="s">
        <v>201</v>
      </c>
      <c r="D129" s="57"/>
      <c r="E129" s="57"/>
      <c r="F129" s="57"/>
      <c r="G129" s="57"/>
      <c r="H129" s="57"/>
      <c r="I129" s="57"/>
      <c r="J129" s="57"/>
      <c r="K129" s="57"/>
      <c r="L129" s="57"/>
    </row>
    <row r="130" spans="1:12" hidden="1" x14ac:dyDescent="0.3">
      <c r="A130" s="57">
        <v>700</v>
      </c>
      <c r="B130" s="57" t="s">
        <v>202</v>
      </c>
      <c r="C130" s="57" t="s">
        <v>202</v>
      </c>
      <c r="D130" s="57"/>
      <c r="E130" s="57"/>
      <c r="F130" s="57"/>
      <c r="G130" s="57"/>
      <c r="H130" s="57"/>
      <c r="I130" s="57"/>
      <c r="J130" s="57"/>
      <c r="K130" s="57"/>
      <c r="L130" s="57"/>
    </row>
    <row r="131" spans="1:12" hidden="1" x14ac:dyDescent="0.3">
      <c r="A131" s="57">
        <v>800</v>
      </c>
      <c r="B131" s="57" t="s">
        <v>203</v>
      </c>
      <c r="C131" s="57" t="s">
        <v>203</v>
      </c>
      <c r="D131" s="57"/>
      <c r="E131" s="57"/>
      <c r="F131" s="57"/>
      <c r="G131" s="57"/>
      <c r="H131" s="57"/>
      <c r="I131" s="57"/>
      <c r="J131" s="57"/>
      <c r="K131" s="57"/>
      <c r="L131" s="57"/>
    </row>
    <row r="132" spans="1:12" hidden="1" x14ac:dyDescent="0.3">
      <c r="A132" s="57">
        <v>900</v>
      </c>
      <c r="B132" s="57" t="s">
        <v>204</v>
      </c>
      <c r="C132" s="57" t="s">
        <v>204</v>
      </c>
      <c r="D132" s="57"/>
      <c r="E132" s="57"/>
      <c r="F132" s="57"/>
      <c r="G132" s="57"/>
      <c r="H132" s="57"/>
      <c r="I132" s="57"/>
      <c r="J132" s="57"/>
      <c r="K132" s="57"/>
      <c r="L132" s="57"/>
    </row>
  </sheetData>
  <sheetProtection password="CCE3" sheet="1" objects="1" scenarios="1" formatCells="0" insertRows="0"/>
  <mergeCells count="294">
    <mergeCell ref="A5:AA5"/>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32:O32"/>
    <mergeCell ref="P32:AA32"/>
    <mergeCell ref="B33:I33"/>
    <mergeCell ref="K33:M33"/>
    <mergeCell ref="N33:O33"/>
    <mergeCell ref="P33:R33"/>
    <mergeCell ref="S33:U33"/>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V33:X33"/>
    <mergeCell ref="Y33:AA33"/>
    <mergeCell ref="B34:E34"/>
    <mergeCell ref="F34:I34"/>
    <mergeCell ref="K34:M34"/>
    <mergeCell ref="N34:O34"/>
    <mergeCell ref="P34:R34"/>
    <mergeCell ref="S34:U34"/>
    <mergeCell ref="V34:X34"/>
    <mergeCell ref="Y34:AA34"/>
    <mergeCell ref="V35:X35"/>
    <mergeCell ref="Y35:AA35"/>
    <mergeCell ref="B36:E36"/>
    <mergeCell ref="F36:I36"/>
    <mergeCell ref="K36:M36"/>
    <mergeCell ref="N36:O36"/>
    <mergeCell ref="P36:R36"/>
    <mergeCell ref="S36:U36"/>
    <mergeCell ref="V36:X36"/>
    <mergeCell ref="Y36:AA36"/>
    <mergeCell ref="B35:E35"/>
    <mergeCell ref="F35:I35"/>
    <mergeCell ref="K35:M35"/>
    <mergeCell ref="N35:O35"/>
    <mergeCell ref="P35:R35"/>
    <mergeCell ref="S35:U35"/>
    <mergeCell ref="V37:X37"/>
    <mergeCell ref="Y37:AA37"/>
    <mergeCell ref="B38:E38"/>
    <mergeCell ref="F38:I38"/>
    <mergeCell ref="K38:M38"/>
    <mergeCell ref="N38:O38"/>
    <mergeCell ref="P38:R38"/>
    <mergeCell ref="S38:U38"/>
    <mergeCell ref="V38:X38"/>
    <mergeCell ref="Y38:AA38"/>
    <mergeCell ref="B37:E37"/>
    <mergeCell ref="F37:I37"/>
    <mergeCell ref="K37:M37"/>
    <mergeCell ref="N37:O37"/>
    <mergeCell ref="P37:R37"/>
    <mergeCell ref="S37:U37"/>
    <mergeCell ref="V39:X39"/>
    <mergeCell ref="Y39:AA39"/>
    <mergeCell ref="B40:E40"/>
    <mergeCell ref="F40:I40"/>
    <mergeCell ref="K40:M40"/>
    <mergeCell ref="N40:O40"/>
    <mergeCell ref="P40:R40"/>
    <mergeCell ref="S40:U40"/>
    <mergeCell ref="V40:X40"/>
    <mergeCell ref="Y40:AA40"/>
    <mergeCell ref="B39:E39"/>
    <mergeCell ref="F39:I39"/>
    <mergeCell ref="K39:M39"/>
    <mergeCell ref="N39:O39"/>
    <mergeCell ref="P39:R39"/>
    <mergeCell ref="S39:U39"/>
    <mergeCell ref="V41:X41"/>
    <mergeCell ref="Y41:AA41"/>
    <mergeCell ref="B42:E42"/>
    <mergeCell ref="F42:I42"/>
    <mergeCell ref="K42:M42"/>
    <mergeCell ref="N42:O42"/>
    <mergeCell ref="P42:R42"/>
    <mergeCell ref="S42:U42"/>
    <mergeCell ref="V42:X42"/>
    <mergeCell ref="Y42:AA42"/>
    <mergeCell ref="B41:E41"/>
    <mergeCell ref="F41:I41"/>
    <mergeCell ref="K41:M41"/>
    <mergeCell ref="N41:O41"/>
    <mergeCell ref="P41:R41"/>
    <mergeCell ref="S41:U41"/>
    <mergeCell ref="V43:X43"/>
    <mergeCell ref="Y43:AA43"/>
    <mergeCell ref="B44:E44"/>
    <mergeCell ref="F44:I44"/>
    <mergeCell ref="K44:M44"/>
    <mergeCell ref="N44:O44"/>
    <mergeCell ref="P44:R44"/>
    <mergeCell ref="S44:U44"/>
    <mergeCell ref="V44:X44"/>
    <mergeCell ref="Y44:AA44"/>
    <mergeCell ref="B43:E43"/>
    <mergeCell ref="F43:I43"/>
    <mergeCell ref="K43:M43"/>
    <mergeCell ref="N43:O43"/>
    <mergeCell ref="P43:R43"/>
    <mergeCell ref="S43:U43"/>
    <mergeCell ref="A47:E47"/>
    <mergeCell ref="F47:O47"/>
    <mergeCell ref="P47:R47"/>
    <mergeCell ref="S47:U47"/>
    <mergeCell ref="V47:X47"/>
    <mergeCell ref="Y47:AA47"/>
    <mergeCell ref="V45:X45"/>
    <mergeCell ref="Y45:AA45"/>
    <mergeCell ref="B46:I46"/>
    <mergeCell ref="K46:M46"/>
    <mergeCell ref="N46:O46"/>
    <mergeCell ref="P46:R46"/>
    <mergeCell ref="S46:U46"/>
    <mergeCell ref="V46:X46"/>
    <mergeCell ref="Y46:AA46"/>
    <mergeCell ref="B45:E45"/>
    <mergeCell ref="F45:I45"/>
    <mergeCell ref="K45:M45"/>
    <mergeCell ref="N45:O45"/>
    <mergeCell ref="P45:R45"/>
    <mergeCell ref="S45:U45"/>
    <mergeCell ref="D56:AA57"/>
    <mergeCell ref="A56:C57"/>
    <mergeCell ref="M55:O55"/>
    <mergeCell ref="K55:L55"/>
    <mergeCell ref="F55:J55"/>
    <mergeCell ref="B55:E55"/>
    <mergeCell ref="D83:F83"/>
    <mergeCell ref="A61:I61"/>
    <mergeCell ref="N60:AA60"/>
    <mergeCell ref="I60:M60"/>
    <mergeCell ref="F60:H60"/>
    <mergeCell ref="A60:E60"/>
    <mergeCell ref="C59:F59"/>
    <mergeCell ref="A58:AA58"/>
    <mergeCell ref="A49:J49"/>
    <mergeCell ref="F6:O6"/>
    <mergeCell ref="B52:E52"/>
    <mergeCell ref="K51:O51"/>
    <mergeCell ref="F51:J51"/>
    <mergeCell ref="P50:AA55"/>
    <mergeCell ref="M50:O50"/>
    <mergeCell ref="K50:L50"/>
    <mergeCell ref="F50:J50"/>
    <mergeCell ref="M54:O54"/>
    <mergeCell ref="K54:L54"/>
    <mergeCell ref="F54:J54"/>
    <mergeCell ref="B54:E54"/>
    <mergeCell ref="M53:O53"/>
    <mergeCell ref="K53:L53"/>
    <mergeCell ref="F53:J53"/>
    <mergeCell ref="B53:E53"/>
    <mergeCell ref="B51:E51"/>
    <mergeCell ref="M52:O52"/>
    <mergeCell ref="K52:L52"/>
    <mergeCell ref="F52:J52"/>
    <mergeCell ref="B48:O48"/>
    <mergeCell ref="P48:AA48"/>
    <mergeCell ref="K49:O49"/>
  </mergeCells>
  <phoneticPr fontId="9" type="noConversion"/>
  <conditionalFormatting sqref="L31">
    <cfRule type="containsText" dxfId="41" priority="11" operator="containsText" text="PAGO MENSUAL">
      <formula>NOT(ISERROR(SEARCH("PAGO MENSUAL",L31)))</formula>
    </cfRule>
  </conditionalFormatting>
  <conditionalFormatting sqref="A34:A45">
    <cfRule type="cellIs" dxfId="40" priority="9" operator="greaterThan">
      <formula>$A$48</formula>
    </cfRule>
    <cfRule type="cellIs" dxfId="39" priority="10" operator="equal">
      <formula>$A$48</formula>
    </cfRule>
  </conditionalFormatting>
  <conditionalFormatting sqref="J46">
    <cfRule type="cellIs" dxfId="38" priority="8" operator="notEqual">
      <formula>$T$21</formula>
    </cfRule>
  </conditionalFormatting>
  <conditionalFormatting sqref="K46:M46">
    <cfRule type="cellIs" dxfId="37" priority="5" operator="notEqual">
      <formula>$F$21</formula>
    </cfRule>
  </conditionalFormatting>
  <conditionalFormatting sqref="P34:R34">
    <cfRule type="expression" dxfId="36" priority="4">
      <formula>$P$34=0</formula>
    </cfRule>
  </conditionalFormatting>
  <conditionalFormatting sqref="P35:R45">
    <cfRule type="expression" dxfId="35" priority="3">
      <formula>$J$35=0</formula>
    </cfRule>
  </conditionalFormatting>
  <conditionalFormatting sqref="S34:U34">
    <cfRule type="expression" dxfId="34" priority="2">
      <formula>$P$34=0</formula>
    </cfRule>
  </conditionalFormatting>
  <conditionalFormatting sqref="S35:U45">
    <cfRule type="expression" dxfId="33" priority="1">
      <formula>$J$35=0</formula>
    </cfRule>
  </conditionalFormatting>
  <pageMargins left="0.7" right="0.7" top="0.75" bottom="0.75" header="0.3" footer="0.3"/>
  <pageSetup scale="62" orientation="portrait" horizontalDpi="0" verticalDpi="0"/>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DATOS!$A$99:$A$103</xm:f>
          </x14:formula1>
          <xm:sqref>N34:O46</xm:sqref>
        </x14:dataValidation>
        <x14:dataValidation type="list" allowBlank="1" showInputMessage="1" showErrorMessage="1">
          <x14:formula1>
            <xm:f>BDC!$A$3:$A$258</xm:f>
          </x14:formula1>
          <xm:sqref>F14:O14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AI132"/>
  <sheetViews>
    <sheetView topLeftCell="A15" zoomScale="120" zoomScaleNormal="120" workbookViewId="0">
      <selection activeCell="L28" sqref="L28:M28"/>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1414</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273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285" t="s">
        <v>1414</v>
      </c>
      <c r="G6" s="285"/>
      <c r="H6" s="285"/>
      <c r="I6" s="285"/>
      <c r="J6" s="285"/>
      <c r="K6" s="285"/>
      <c r="L6" s="285"/>
      <c r="M6" s="285"/>
      <c r="N6" s="285"/>
      <c r="O6" s="285"/>
      <c r="P6" s="374" t="s">
        <v>60</v>
      </c>
      <c r="Q6" s="374"/>
      <c r="R6" s="374"/>
      <c r="S6" s="374"/>
      <c r="T6" s="374"/>
      <c r="U6" s="374"/>
      <c r="V6" s="374"/>
      <c r="W6" s="375" t="s">
        <v>61</v>
      </c>
      <c r="X6" s="375"/>
      <c r="Y6" s="375"/>
      <c r="Z6" s="376">
        <v>1</v>
      </c>
      <c r="AA6" s="376"/>
    </row>
    <row r="7" spans="1:28" ht="15.95" customHeight="1" x14ac:dyDescent="0.3">
      <c r="A7" s="374" t="s">
        <v>6</v>
      </c>
      <c r="B7" s="374"/>
      <c r="C7" s="374"/>
      <c r="D7" s="374"/>
      <c r="E7" s="374"/>
      <c r="F7" s="377" t="str">
        <f>VLOOKUP($F$14,CONTRA,58,FALSE)</f>
        <v>PRESTACION DE SERVICIOS</v>
      </c>
      <c r="G7" s="377"/>
      <c r="H7" s="377"/>
      <c r="I7" s="377"/>
      <c r="J7" s="377"/>
      <c r="K7" s="377"/>
      <c r="L7" s="377"/>
      <c r="M7" s="377"/>
      <c r="N7" s="377"/>
      <c r="O7" s="377"/>
      <c r="P7" s="378">
        <f ca="1">NOW()</f>
        <v>43405.671954050929</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20</v>
      </c>
      <c r="AA9" s="369"/>
    </row>
    <row r="10" spans="1:28" ht="14.1" customHeight="1" x14ac:dyDescent="0.3">
      <c r="A10" s="325" t="s">
        <v>13</v>
      </c>
      <c r="B10" s="325"/>
      <c r="C10" s="325"/>
      <c r="D10" s="325"/>
      <c r="E10" s="325"/>
      <c r="F10" s="308" t="str">
        <f>VLOOKUP($F$14,CONTRA,2,FALSE)</f>
        <v>32-408</v>
      </c>
      <c r="G10" s="308"/>
      <c r="H10" s="19" t="s">
        <v>25</v>
      </c>
      <c r="I10" s="308" t="str">
        <f>VLOOKUP($F$14,CONTRA,3,FALSE)</f>
        <v>32-438</v>
      </c>
      <c r="J10" s="308"/>
      <c r="K10" s="19" t="s">
        <v>26</v>
      </c>
      <c r="L10" s="20"/>
      <c r="M10" s="308" t="str">
        <f>VLOOKUP($F$14,CONTRA,4,FALSE)</f>
        <v>2.3.1.1.01</v>
      </c>
      <c r="N10" s="308"/>
      <c r="O10" s="308"/>
      <c r="P10" s="325" t="s">
        <v>12</v>
      </c>
      <c r="Q10" s="325"/>
      <c r="R10" s="325"/>
      <c r="S10" s="325"/>
      <c r="T10" s="333">
        <f>VLOOKUP($F$14,CONTRA,5,FALSE)</f>
        <v>2018</v>
      </c>
      <c r="U10" s="333"/>
      <c r="V10" s="333"/>
      <c r="W10" s="325" t="s">
        <v>138</v>
      </c>
      <c r="X10" s="325"/>
      <c r="Y10" s="325"/>
      <c r="Z10" s="370"/>
      <c r="AA10" s="371"/>
    </row>
    <row r="11" spans="1:28"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14-56</v>
      </c>
      <c r="U11" s="333"/>
      <c r="V11" s="333"/>
      <c r="W11" s="333"/>
      <c r="X11" s="333"/>
      <c r="Y11" s="333"/>
      <c r="Z11" s="333"/>
      <c r="AA11" s="333"/>
    </row>
    <row r="12" spans="1:28"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customHeight="1" x14ac:dyDescent="0.3">
      <c r="A13" s="325" t="s">
        <v>10</v>
      </c>
      <c r="B13" s="325"/>
      <c r="C13" s="325"/>
      <c r="D13" s="325"/>
      <c r="E13" s="325"/>
      <c r="F13" s="333" t="str">
        <f>VLOOKUP($F$14,CONTRA,12,FALSE)</f>
        <v>RIGOBERTO LOPERA MUÑOZ</v>
      </c>
      <c r="G13" s="333"/>
      <c r="H13" s="333"/>
      <c r="I13" s="333"/>
      <c r="J13" s="333"/>
      <c r="K13" s="19" t="s">
        <v>16</v>
      </c>
      <c r="L13" s="20"/>
      <c r="M13" s="333" t="str">
        <f>VLOOKUP($F$14,CONTRA,13,FALSE)</f>
        <v>P.UNIVERSITARIO</v>
      </c>
      <c r="N13" s="333"/>
      <c r="O13" s="333"/>
      <c r="P13" s="325" t="s">
        <v>24</v>
      </c>
      <c r="Q13" s="325"/>
      <c r="R13" s="325"/>
      <c r="S13" s="325"/>
      <c r="T13" s="364" t="str">
        <f>VLOOKUP($F$14,CONTRA,14,FALSE)</f>
        <v>23 DE ENERO DE 2018</v>
      </c>
      <c r="U13" s="364"/>
      <c r="V13" s="364"/>
      <c r="W13" s="364"/>
      <c r="X13" s="364"/>
      <c r="Y13" s="364"/>
      <c r="Z13" s="365" t="str">
        <f>VLOOKUP($F$14,CONTRA,15,FALSE)</f>
        <v>037-18</v>
      </c>
      <c r="AA13" s="366"/>
    </row>
    <row r="14" spans="1:28" ht="15.95" customHeight="1" x14ac:dyDescent="0.3">
      <c r="A14" s="325" t="s">
        <v>8</v>
      </c>
      <c r="B14" s="325"/>
      <c r="C14" s="325"/>
      <c r="D14" s="325"/>
      <c r="E14" s="325"/>
      <c r="F14" s="363" t="s">
        <v>658</v>
      </c>
      <c r="G14" s="363"/>
      <c r="H14" s="363"/>
      <c r="I14" s="363"/>
      <c r="J14" s="363"/>
      <c r="K14" s="363"/>
      <c r="L14" s="363"/>
      <c r="M14" s="363"/>
      <c r="N14" s="363"/>
      <c r="O14" s="363"/>
      <c r="P14" s="325" t="s">
        <v>11</v>
      </c>
      <c r="Q14" s="325"/>
      <c r="R14" s="325"/>
      <c r="S14" s="325"/>
      <c r="T14" s="362">
        <f>VLOOKUP($F$14,CONTRA,16,FALSE)</f>
        <v>1088010135</v>
      </c>
      <c r="U14" s="362"/>
      <c r="V14" s="362"/>
      <c r="W14" s="325" t="s">
        <v>18</v>
      </c>
      <c r="X14" s="325"/>
      <c r="Y14" s="325"/>
      <c r="Z14" s="356">
        <f>VLOOKUP($F$14,CONTRA,17,FALSE)</f>
        <v>33661</v>
      </c>
      <c r="AA14" s="356"/>
    </row>
    <row r="15" spans="1:28" ht="15.95" customHeight="1" x14ac:dyDescent="0.3">
      <c r="A15" s="325" t="s">
        <v>19</v>
      </c>
      <c r="B15" s="325"/>
      <c r="C15" s="325"/>
      <c r="D15" s="325"/>
      <c r="E15" s="325"/>
      <c r="F15" s="312" t="str">
        <f>VLOOKUP($F$14,CONTRA,18,FALSE)</f>
        <v>NATURAL</v>
      </c>
      <c r="G15" s="314"/>
      <c r="H15" s="312" t="str">
        <f>VLOOKUP($F$14,CONTRA,57,FALSE)</f>
        <v>SIMPLIFICADO</v>
      </c>
      <c r="I15" s="313"/>
      <c r="J15" s="314"/>
      <c r="K15" s="19" t="s">
        <v>15</v>
      </c>
      <c r="L15" s="20"/>
      <c r="M15" s="333" t="str">
        <f>VLOOKUP($F$14,CONTRA,19,FALSE)</f>
        <v>TECNICA</v>
      </c>
      <c r="N15" s="333"/>
      <c r="O15" s="333"/>
      <c r="P15" s="325" t="s">
        <v>14</v>
      </c>
      <c r="Q15" s="325"/>
      <c r="R15" s="325"/>
      <c r="S15" s="325"/>
      <c r="T15" s="333" t="str">
        <f>VLOOKUP($F$14,CONTRA,20,FALSE)</f>
        <v>CLL 30 N° 6-49 2 PISO</v>
      </c>
      <c r="U15" s="333"/>
      <c r="V15" s="333"/>
      <c r="W15" s="333"/>
      <c r="X15" s="333"/>
      <c r="Y15" s="333"/>
      <c r="Z15" s="333"/>
      <c r="AA15" s="333"/>
    </row>
    <row r="16" spans="1:28" x14ac:dyDescent="0.3">
      <c r="A16" s="325" t="s">
        <v>21</v>
      </c>
      <c r="B16" s="325"/>
      <c r="C16" s="325"/>
      <c r="D16" s="325"/>
      <c r="E16" s="325"/>
      <c r="F16" s="361">
        <f>VLOOKUP($F$14,CONTRA,21,FALSE)</f>
        <v>3122510820</v>
      </c>
      <c r="G16" s="362"/>
      <c r="H16" s="362"/>
      <c r="I16" s="362"/>
      <c r="J16" s="362"/>
      <c r="K16" s="325" t="s">
        <v>22</v>
      </c>
      <c r="L16" s="325"/>
      <c r="M16" s="333" t="str">
        <f>VLOOKUP($F$14,CONTRA,22,FALSE)</f>
        <v>TECNICA</v>
      </c>
      <c r="N16" s="333"/>
      <c r="O16" s="333"/>
      <c r="P16" s="325" t="s">
        <v>23</v>
      </c>
      <c r="Q16" s="325"/>
      <c r="R16" s="325"/>
      <c r="S16" s="325"/>
      <c r="T16" s="333" t="str">
        <f>VLOOKUP($F$14,CONTRA,23,FALSE)</f>
        <v>yohana27778@gmail.com</v>
      </c>
      <c r="U16" s="333"/>
      <c r="V16" s="333"/>
      <c r="W16" s="333"/>
      <c r="X16" s="333"/>
      <c r="Y16" s="333"/>
      <c r="Z16" s="333"/>
      <c r="AA16" s="333"/>
    </row>
    <row r="17" spans="1:34" ht="3.95"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4" ht="15.95" customHeight="1" x14ac:dyDescent="0.3">
      <c r="A18" s="325" t="s">
        <v>30</v>
      </c>
      <c r="B18" s="325"/>
      <c r="C18" s="325"/>
      <c r="D18" s="325"/>
      <c r="E18" s="325"/>
      <c r="F18" s="358" t="str">
        <f>VLOOKUP($F$14,CONTRA,24,FALSE)</f>
        <v>23 de enero de 2018</v>
      </c>
      <c r="G18" s="359"/>
      <c r="H18" s="359"/>
      <c r="I18" s="359"/>
      <c r="J18" s="360"/>
      <c r="K18" s="308"/>
      <c r="L18" s="308"/>
      <c r="M18" s="308"/>
      <c r="N18" s="308"/>
      <c r="O18" s="308"/>
      <c r="P18" s="325" t="s">
        <v>34</v>
      </c>
      <c r="Q18" s="325"/>
      <c r="R18" s="325"/>
      <c r="S18" s="325"/>
      <c r="T18" s="358" t="str">
        <f>VLOOKUP($F$14,CONTRA,25,FALSE)</f>
        <v>30 de diciembre de 2018</v>
      </c>
      <c r="U18" s="359"/>
      <c r="V18" s="359"/>
      <c r="W18" s="359"/>
      <c r="X18" s="359"/>
      <c r="Y18" s="359"/>
      <c r="Z18" s="359"/>
      <c r="AA18" s="360"/>
    </row>
    <row r="19" spans="1:34" x14ac:dyDescent="0.3">
      <c r="A19" s="325" t="s">
        <v>31</v>
      </c>
      <c r="B19" s="325"/>
      <c r="C19" s="325"/>
      <c r="D19" s="325"/>
      <c r="E19" s="325"/>
      <c r="F19" s="320">
        <f>VLOOKUP($F$14,CONTRA,26,FALSE)</f>
        <v>14400000</v>
      </c>
      <c r="G19" s="320"/>
      <c r="H19" s="320"/>
      <c r="I19" s="320"/>
      <c r="J19" s="320"/>
      <c r="K19" s="308"/>
      <c r="L19" s="308"/>
      <c r="M19" s="308"/>
      <c r="N19" s="308"/>
      <c r="O19" s="308"/>
      <c r="P19" s="325" t="s">
        <v>35</v>
      </c>
      <c r="Q19" s="325"/>
      <c r="R19" s="325"/>
      <c r="S19" s="325"/>
      <c r="T19" s="308">
        <f>VLOOKUP($F$14,CONTRA,27,FALSE)</f>
        <v>240</v>
      </c>
      <c r="U19" s="308"/>
      <c r="V19" s="308"/>
      <c r="W19" s="308"/>
      <c r="X19" s="308"/>
      <c r="Y19" s="308"/>
      <c r="Z19" s="308"/>
      <c r="AA19" s="308"/>
    </row>
    <row r="20" spans="1:34" x14ac:dyDescent="0.3">
      <c r="A20" s="325" t="s">
        <v>32</v>
      </c>
      <c r="B20" s="325"/>
      <c r="C20" s="325"/>
      <c r="D20" s="325"/>
      <c r="E20" s="325"/>
      <c r="F20" s="320">
        <f>+Z21*T20</f>
        <v>5880000</v>
      </c>
      <c r="G20" s="320"/>
      <c r="H20" s="320"/>
      <c r="I20" s="320"/>
      <c r="J20" s="320"/>
      <c r="K20" s="19" t="s">
        <v>0</v>
      </c>
      <c r="L20" s="20"/>
      <c r="M20" s="356">
        <f>VLOOKUP($F$14,CONTRA,29,FALSE)</f>
        <v>43364</v>
      </c>
      <c r="N20" s="356"/>
      <c r="O20" s="356"/>
      <c r="P20" s="325" t="s">
        <v>36</v>
      </c>
      <c r="Q20" s="325"/>
      <c r="R20" s="325"/>
      <c r="S20" s="325"/>
      <c r="T20" s="308">
        <f>VLOOKUP($F$14,CONTRA,28,FALSE)</f>
        <v>98</v>
      </c>
      <c r="U20" s="308"/>
      <c r="V20" s="308"/>
      <c r="W20" s="308"/>
      <c r="X20" s="308"/>
      <c r="Y20" s="308"/>
      <c r="Z20" s="308"/>
      <c r="AA20" s="308"/>
    </row>
    <row r="21" spans="1:34" ht="15.95" customHeight="1" x14ac:dyDescent="0.3">
      <c r="A21" s="325" t="s">
        <v>33</v>
      </c>
      <c r="B21" s="325"/>
      <c r="C21" s="325"/>
      <c r="D21" s="325"/>
      <c r="E21" s="325"/>
      <c r="F21" s="309">
        <f>SUM(F19:J20)</f>
        <v>20280000</v>
      </c>
      <c r="G21" s="353"/>
      <c r="H21" s="353"/>
      <c r="I21" s="353"/>
      <c r="J21" s="354"/>
      <c r="K21" s="308"/>
      <c r="L21" s="308"/>
      <c r="M21" s="308"/>
      <c r="N21" s="308"/>
      <c r="O21" s="308"/>
      <c r="P21" s="325" t="s">
        <v>38</v>
      </c>
      <c r="Q21" s="325"/>
      <c r="R21" s="325"/>
      <c r="S21" s="325"/>
      <c r="T21" s="355">
        <f>+T19+T20</f>
        <v>338</v>
      </c>
      <c r="U21" s="353"/>
      <c r="V21" s="354"/>
      <c r="W21" s="325" t="s">
        <v>37</v>
      </c>
      <c r="X21" s="325"/>
      <c r="Y21" s="325"/>
      <c r="Z21" s="309">
        <f>+F19/T19</f>
        <v>60000</v>
      </c>
      <c r="AA21" s="311"/>
    </row>
    <row r="22" spans="1:34" ht="39.950000000000003" customHeight="1" x14ac:dyDescent="0.3">
      <c r="A22" s="349" t="s">
        <v>27</v>
      </c>
      <c r="B22" s="349"/>
      <c r="C22" s="349"/>
      <c r="D22" s="349"/>
      <c r="E22" s="349"/>
      <c r="F22" s="350" t="str">
        <f>VLOOKUP($F$14,CONTRA,30,FALSE)</f>
        <v>PRESTAR SERVICIOS DE APOYO A LA GESTION A LA SUBDIRECCION TECNICA, EN LOS PROCESOS DE COMERCIALIZACION DE LOS PROYECTOS DE VIVIENDA QUE ADELANTA EL INSTITUTO</v>
      </c>
      <c r="G22" s="351"/>
      <c r="H22" s="351"/>
      <c r="I22" s="351"/>
      <c r="J22" s="351"/>
      <c r="K22" s="351"/>
      <c r="L22" s="351"/>
      <c r="M22" s="351"/>
      <c r="N22" s="351"/>
      <c r="O22" s="351"/>
      <c r="P22" s="351"/>
      <c r="Q22" s="351"/>
      <c r="R22" s="351"/>
      <c r="S22" s="351"/>
      <c r="T22" s="351"/>
      <c r="U22" s="351"/>
      <c r="V22" s="351"/>
      <c r="W22" s="351"/>
      <c r="X22" s="351"/>
      <c r="Y22" s="351"/>
      <c r="Z22" s="351"/>
      <c r="AA22" s="352"/>
    </row>
    <row r="23" spans="1:34" ht="39.950000000000003" customHeight="1" x14ac:dyDescent="0.3">
      <c r="A23" s="349" t="s">
        <v>28</v>
      </c>
      <c r="B23" s="349"/>
      <c r="C23" s="349"/>
      <c r="D23" s="349"/>
      <c r="E23" s="349"/>
      <c r="F23" s="350"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4" ht="39.950000000000003" customHeight="1" x14ac:dyDescent="0.3">
      <c r="A24" s="349" t="s">
        <v>29</v>
      </c>
      <c r="B24" s="349"/>
      <c r="C24" s="349"/>
      <c r="D24" s="349"/>
      <c r="E24" s="349"/>
      <c r="F24" s="350"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4" ht="15.95" customHeight="1" x14ac:dyDescent="0.3">
      <c r="A25" s="18">
        <v>2</v>
      </c>
      <c r="B25" s="323" t="s">
        <v>59</v>
      </c>
      <c r="C25" s="323"/>
      <c r="D25" s="323"/>
      <c r="E25" s="323"/>
      <c r="F25" s="323"/>
      <c r="G25" s="323"/>
      <c r="H25" s="323"/>
      <c r="I25" s="323"/>
      <c r="J25" s="323"/>
      <c r="K25" s="323"/>
      <c r="L25" s="323"/>
      <c r="M25" s="323"/>
      <c r="N25" s="323"/>
      <c r="O25" s="323"/>
      <c r="P25" s="84"/>
      <c r="Q25" s="85"/>
      <c r="R25" s="85"/>
      <c r="S25" s="85"/>
      <c r="T25" s="346" t="s">
        <v>1381</v>
      </c>
      <c r="U25" s="346"/>
      <c r="V25" s="346"/>
      <c r="W25" s="346"/>
      <c r="X25" s="346" t="s">
        <v>270</v>
      </c>
      <c r="Y25" s="346"/>
      <c r="Z25" s="346" t="s">
        <v>283</v>
      </c>
      <c r="AA25" s="347"/>
      <c r="AF25" s="12"/>
    </row>
    <row r="26" spans="1:34" ht="15.95" customHeight="1" x14ac:dyDescent="0.3">
      <c r="A26" s="325" t="s">
        <v>292</v>
      </c>
      <c r="B26" s="325"/>
      <c r="C26" s="325"/>
      <c r="D26" s="325"/>
      <c r="E26" s="325"/>
      <c r="F26" s="308"/>
      <c r="G26" s="308"/>
      <c r="H26" s="308"/>
      <c r="I26" s="308"/>
      <c r="J26" s="308"/>
      <c r="K26" s="308"/>
      <c r="L26" s="308"/>
      <c r="M26" s="308"/>
      <c r="N26" s="308"/>
      <c r="O26" s="308"/>
      <c r="P26" s="348" t="str">
        <f>VLOOKUP($F$14,CONTRA,59,FALSE)</f>
        <v>RIESGO V</v>
      </c>
      <c r="Q26" s="348"/>
      <c r="R26" s="341">
        <v>0.4</v>
      </c>
      <c r="S26" s="341"/>
      <c r="T26" s="320">
        <f>+R26*F21</f>
        <v>8112000</v>
      </c>
      <c r="U26" s="320"/>
      <c r="V26" s="320"/>
      <c r="W26" s="320"/>
      <c r="X26" s="320">
        <f>IF(R26*Z21&lt;DATOS!C32,DATOS!C32,R26*Z21)</f>
        <v>26041.4</v>
      </c>
      <c r="Y26" s="320"/>
      <c r="Z26" s="320">
        <f>+X26*J34</f>
        <v>781242</v>
      </c>
      <c r="AA26" s="320"/>
      <c r="AB26" s="12"/>
      <c r="AD26"/>
      <c r="AE26"/>
      <c r="AF26" s="4"/>
      <c r="AG26" s="4"/>
    </row>
    <row r="27" spans="1:34" ht="15.95" customHeight="1" x14ac:dyDescent="0.3">
      <c r="A27" s="325" t="s">
        <v>39</v>
      </c>
      <c r="B27" s="325"/>
      <c r="C27" s="325"/>
      <c r="D27" s="325"/>
      <c r="E27" s="325"/>
      <c r="F27" s="333" t="str">
        <f>VLOOKUP($F$14,CONTRA,33,FALSE)</f>
        <v xml:space="preserve">SALUD TOTAL </v>
      </c>
      <c r="G27" s="333"/>
      <c r="H27" s="333"/>
      <c r="I27" s="87" t="s">
        <v>133</v>
      </c>
      <c r="J27" s="87"/>
      <c r="K27" s="87"/>
      <c r="L27" s="345" t="str">
        <f>+VLOOKUP(L28,DATOS!A125:D139,3)</f>
        <v>6º</v>
      </c>
      <c r="M27" s="345"/>
      <c r="N27" s="345"/>
      <c r="O27" s="345"/>
      <c r="P27" s="348"/>
      <c r="Q27" s="348"/>
      <c r="R27" s="335">
        <v>0.125</v>
      </c>
      <c r="S27" s="335"/>
      <c r="T27" s="320">
        <f>+T26*R27</f>
        <v>1014000</v>
      </c>
      <c r="U27" s="320"/>
      <c r="V27" s="320"/>
      <c r="W27" s="320"/>
      <c r="X27" s="320">
        <f>+$X$26*R27</f>
        <v>3255.1750000000002</v>
      </c>
      <c r="Y27" s="320"/>
      <c r="Z27" s="320">
        <f>ROUNDUP(X27*J34,-2)</f>
        <v>97700</v>
      </c>
      <c r="AA27" s="320"/>
      <c r="AB27" s="12"/>
      <c r="AD27" s="12"/>
      <c r="AE27" s="4"/>
      <c r="AF27" s="166"/>
      <c r="AG27"/>
      <c r="AH27" s="12"/>
    </row>
    <row r="28" spans="1:34" ht="15.95" customHeight="1" x14ac:dyDescent="0.3">
      <c r="A28" s="325" t="s">
        <v>40</v>
      </c>
      <c r="B28" s="325"/>
      <c r="C28" s="325"/>
      <c r="D28" s="325"/>
      <c r="E28" s="325"/>
      <c r="F28" s="333" t="str">
        <f>VLOOKUP($F$14,CONTRA,34,FALSE)</f>
        <v xml:space="preserve">PORVENIR </v>
      </c>
      <c r="G28" s="333"/>
      <c r="H28" s="333"/>
      <c r="I28" s="19" t="s">
        <v>134</v>
      </c>
      <c r="J28" s="19"/>
      <c r="K28" s="19"/>
      <c r="L28" s="343" t="str">
        <f>RIGHT(T14,2)</f>
        <v>35</v>
      </c>
      <c r="M28" s="343"/>
      <c r="N28" s="344" t="s">
        <v>270</v>
      </c>
      <c r="O28" s="344"/>
      <c r="P28" s="348"/>
      <c r="Q28" s="348"/>
      <c r="R28" s="341">
        <v>0.16</v>
      </c>
      <c r="S28" s="341"/>
      <c r="T28" s="320">
        <f>+T26*R28</f>
        <v>1297920</v>
      </c>
      <c r="U28" s="320"/>
      <c r="V28" s="320"/>
      <c r="W28" s="320"/>
      <c r="X28" s="320">
        <f>+$X$26*R28</f>
        <v>4166.6240000000007</v>
      </c>
      <c r="Y28" s="320"/>
      <c r="Z28" s="320">
        <f>ROUNDUP(X28*J34,-2)</f>
        <v>125000</v>
      </c>
      <c r="AA28" s="320"/>
      <c r="AB28" s="12"/>
      <c r="AD28" s="4"/>
      <c r="AE28" s="4"/>
      <c r="AF28" s="4"/>
      <c r="AG28" s="4"/>
    </row>
    <row r="29" spans="1:34" ht="15.95" customHeight="1" x14ac:dyDescent="0.3">
      <c r="A29" s="325" t="s">
        <v>41</v>
      </c>
      <c r="B29" s="325"/>
      <c r="C29" s="325"/>
      <c r="D29" s="325"/>
      <c r="E29" s="325"/>
      <c r="F29" s="333" t="str">
        <f>VLOOKUP($F$14,CONTRA,36,FALSE)</f>
        <v>SURA</v>
      </c>
      <c r="G29" s="333"/>
      <c r="H29" s="333"/>
      <c r="I29" s="325" t="s">
        <v>135</v>
      </c>
      <c r="J29" s="325"/>
      <c r="K29" s="325"/>
      <c r="L29" s="319" t="str">
        <f>VLOOKUP($F$14,CONTRA,37,FALSE)</f>
        <v>23 de enero de 2018</v>
      </c>
      <c r="M29" s="319"/>
      <c r="N29" s="319"/>
      <c r="O29" s="319"/>
      <c r="P29" s="348"/>
      <c r="Q29" s="348"/>
      <c r="R29" s="342">
        <f>+VLOOKUP(P26,DATOS!A20:B24,2,FALSE)</f>
        <v>6.9599999999999995E-2</v>
      </c>
      <c r="S29" s="342"/>
      <c r="T29" s="320">
        <f>+T26*R29</f>
        <v>564595.19999999995</v>
      </c>
      <c r="U29" s="320"/>
      <c r="V29" s="320"/>
      <c r="W29" s="320"/>
      <c r="X29" s="320">
        <f>+R29*X26</f>
        <v>1812.48144</v>
      </c>
      <c r="Y29" s="320"/>
      <c r="Z29" s="320">
        <f>ROUNDUP(X29*J34,-2)</f>
        <v>54400</v>
      </c>
      <c r="AA29" s="320"/>
      <c r="AD29" s="4"/>
      <c r="AE29" s="4"/>
      <c r="AF29" s="4"/>
      <c r="AG29"/>
    </row>
    <row r="30" spans="1:34" ht="15.95" customHeight="1" x14ac:dyDescent="0.3">
      <c r="A30" s="325" t="s">
        <v>290</v>
      </c>
      <c r="B30" s="325"/>
      <c r="C30" s="325"/>
      <c r="D30" s="325"/>
      <c r="E30" s="325"/>
      <c r="F30" s="336" t="s">
        <v>288</v>
      </c>
      <c r="G30" s="336"/>
      <c r="H30" s="336"/>
      <c r="I30" s="336"/>
      <c r="J30" s="336"/>
      <c r="K30" s="336"/>
      <c r="L30" s="308" t="str">
        <f>+VLOOKUP(P26,DATOS!A157:B161,2,FALSE)</f>
        <v>PATRONAL</v>
      </c>
      <c r="M30" s="308"/>
      <c r="N30" s="308"/>
      <c r="O30" s="308"/>
      <c r="P30" s="337" t="s">
        <v>49</v>
      </c>
      <c r="Q30" s="338"/>
      <c r="R30" s="341"/>
      <c r="S30" s="341"/>
      <c r="T30" s="320">
        <f>SUM(T27:W29)</f>
        <v>2876515.2</v>
      </c>
      <c r="U30" s="341"/>
      <c r="V30" s="341"/>
      <c r="W30" s="341"/>
      <c r="X30" s="320">
        <f>SUM(X27:Y29)</f>
        <v>9234.2804400000005</v>
      </c>
      <c r="Y30" s="320"/>
      <c r="Z30" s="320">
        <f>IF(P26="RIESGO V",Z27+Z28,Z27+Z28+Z29)</f>
        <v>222700</v>
      </c>
      <c r="AA30" s="320"/>
      <c r="AD30" s="4"/>
      <c r="AE30" s="4"/>
      <c r="AF30" s="4"/>
      <c r="AG30"/>
    </row>
    <row r="31" spans="1:34" ht="15.95" customHeight="1" x14ac:dyDescent="0.3">
      <c r="A31" s="325" t="s">
        <v>42</v>
      </c>
      <c r="B31" s="325"/>
      <c r="C31" s="325"/>
      <c r="D31" s="325"/>
      <c r="E31" s="325"/>
      <c r="F31" s="333" t="s">
        <v>142</v>
      </c>
      <c r="G31" s="333"/>
      <c r="H31" s="333"/>
      <c r="I31" s="333"/>
      <c r="J31" s="333"/>
      <c r="K31" s="333"/>
      <c r="L31" s="334" t="str">
        <f>VLOOKUP($F$14,CONTRA,38,FALSE)</f>
        <v>PAGADO</v>
      </c>
      <c r="M31" s="334"/>
      <c r="N31" s="334"/>
      <c r="O31" s="334"/>
      <c r="P31" s="339"/>
      <c r="Q31" s="340"/>
      <c r="R31" s="335">
        <f>VLOOKUP(L31,DATOS!A37:B38,2,FALSE)</f>
        <v>0</v>
      </c>
      <c r="S31" s="335"/>
      <c r="T31" s="320">
        <f>+R31*$F$21</f>
        <v>0</v>
      </c>
      <c r="U31" s="320"/>
      <c r="V31" s="320"/>
      <c r="W31" s="320"/>
      <c r="X31" s="320">
        <f>+T31/T21</f>
        <v>0</v>
      </c>
      <c r="Y31" s="320"/>
      <c r="Z31" s="320">
        <f>+X31*J34</f>
        <v>0</v>
      </c>
      <c r="AA31" s="320"/>
      <c r="AE31" s="13"/>
      <c r="AF31" s="12"/>
    </row>
    <row r="32" spans="1:34" ht="15.95" customHeight="1" x14ac:dyDescent="0.3">
      <c r="A32" s="18">
        <v>3</v>
      </c>
      <c r="B32" s="323" t="s">
        <v>46</v>
      </c>
      <c r="C32" s="323"/>
      <c r="D32" s="323"/>
      <c r="E32" s="323"/>
      <c r="F32" s="323"/>
      <c r="G32" s="323"/>
      <c r="H32" s="323"/>
      <c r="I32" s="323"/>
      <c r="J32" s="323"/>
      <c r="K32" s="323"/>
      <c r="L32" s="323"/>
      <c r="M32" s="323"/>
      <c r="N32" s="323"/>
      <c r="O32" s="323"/>
      <c r="P32" s="324"/>
      <c r="Q32" s="324"/>
      <c r="R32" s="324"/>
      <c r="S32" s="324"/>
      <c r="T32" s="324"/>
      <c r="U32" s="324"/>
      <c r="V32" s="324"/>
      <c r="W32" s="324"/>
      <c r="X32" s="324"/>
      <c r="Y32" s="324"/>
      <c r="Z32" s="324"/>
      <c r="AA32" s="324"/>
    </row>
    <row r="33" spans="1:27" ht="15.95" customHeight="1" x14ac:dyDescent="0.3">
      <c r="A33" s="20"/>
      <c r="B33" s="308" t="s">
        <v>47</v>
      </c>
      <c r="C33" s="308"/>
      <c r="D33" s="308"/>
      <c r="E33" s="308"/>
      <c r="F33" s="308"/>
      <c r="G33" s="308"/>
      <c r="H33" s="308"/>
      <c r="I33" s="308"/>
      <c r="J33" s="170" t="s">
        <v>48</v>
      </c>
      <c r="K33" s="308" t="s">
        <v>49</v>
      </c>
      <c r="L33" s="308"/>
      <c r="M33" s="308"/>
      <c r="N33" s="308" t="s">
        <v>220</v>
      </c>
      <c r="O33" s="308"/>
      <c r="P33" s="308" t="s">
        <v>50</v>
      </c>
      <c r="Q33" s="308"/>
      <c r="R33" s="308"/>
      <c r="S33" s="308" t="s">
        <v>51</v>
      </c>
      <c r="T33" s="308"/>
      <c r="U33" s="308"/>
      <c r="V33" s="308" t="s">
        <v>52</v>
      </c>
      <c r="W33" s="308"/>
      <c r="X33" s="308"/>
      <c r="Y33" s="308" t="s">
        <v>137</v>
      </c>
      <c r="Z33" s="308"/>
      <c r="AA33" s="308"/>
    </row>
    <row r="34" spans="1:27" ht="15.95" customHeight="1" x14ac:dyDescent="0.3">
      <c r="A34" s="64">
        <v>1</v>
      </c>
      <c r="B34" s="331" t="str">
        <f>+F18</f>
        <v>23 de enero de 2018</v>
      </c>
      <c r="C34" s="331"/>
      <c r="D34" s="331"/>
      <c r="E34" s="331"/>
      <c r="F34" s="329">
        <v>43145</v>
      </c>
      <c r="G34" s="329"/>
      <c r="H34" s="329"/>
      <c r="I34" s="329"/>
      <c r="J34" s="14">
        <v>30</v>
      </c>
      <c r="K34" s="320">
        <f>+J34*$Z$21</f>
        <v>1800000</v>
      </c>
      <c r="L34" s="320"/>
      <c r="M34" s="320"/>
      <c r="N34" s="330"/>
      <c r="O34" s="330"/>
      <c r="P34" s="309">
        <f>IF(J34=0," ",K34)</f>
        <v>1800000</v>
      </c>
      <c r="Q34" s="310"/>
      <c r="R34" s="311"/>
      <c r="S34" s="309">
        <f>+IF(J34=0," ",F21-K34)</f>
        <v>18480000</v>
      </c>
      <c r="T34" s="310"/>
      <c r="U34" s="311"/>
      <c r="V34" s="320">
        <f>IF($H$15="COMUN",$Z$30/1.19,$Z$30)</f>
        <v>222700</v>
      </c>
      <c r="W34" s="320"/>
      <c r="X34" s="320"/>
      <c r="Y34" s="327" t="s">
        <v>291</v>
      </c>
      <c r="Z34" s="327"/>
      <c r="AA34" s="327"/>
    </row>
    <row r="35" spans="1:27" x14ac:dyDescent="0.3">
      <c r="A35" s="64">
        <v>2</v>
      </c>
      <c r="B35" s="328">
        <v>43146</v>
      </c>
      <c r="C35" s="328"/>
      <c r="D35" s="328"/>
      <c r="E35" s="328"/>
      <c r="F35" s="329">
        <v>43173</v>
      </c>
      <c r="G35" s="329"/>
      <c r="H35" s="329"/>
      <c r="I35" s="329"/>
      <c r="J35" s="14">
        <v>30</v>
      </c>
      <c r="K35" s="320">
        <f t="shared" ref="K35:K45" si="0">+J35*$Z$21</f>
        <v>1800000</v>
      </c>
      <c r="L35" s="320"/>
      <c r="M35" s="320"/>
      <c r="N35" s="330"/>
      <c r="O35" s="330"/>
      <c r="P35" s="309">
        <f>IF(J35=0," ",K35+P34)</f>
        <v>3600000</v>
      </c>
      <c r="Q35" s="310"/>
      <c r="R35" s="311"/>
      <c r="S35" s="309">
        <f>IF(J35=0," ",$F$21-P35)</f>
        <v>16680000</v>
      </c>
      <c r="T35" s="310"/>
      <c r="U35" s="311"/>
      <c r="V35" s="320">
        <f t="shared" ref="V35:V45" si="1">IF($H$15="COMUN",$Z$30/1.19,$Z$30)</f>
        <v>222700</v>
      </c>
      <c r="W35" s="320"/>
      <c r="X35" s="320"/>
      <c r="Y35" s="327" t="s">
        <v>291</v>
      </c>
      <c r="Z35" s="327"/>
      <c r="AA35" s="327"/>
    </row>
    <row r="36" spans="1:27" x14ac:dyDescent="0.3">
      <c r="A36" s="64">
        <v>3</v>
      </c>
      <c r="B36" s="328">
        <v>43174</v>
      </c>
      <c r="C36" s="328"/>
      <c r="D36" s="328"/>
      <c r="E36" s="328"/>
      <c r="F36" s="329">
        <v>43204</v>
      </c>
      <c r="G36" s="329"/>
      <c r="H36" s="329"/>
      <c r="I36" s="329"/>
      <c r="J36" s="14">
        <v>30</v>
      </c>
      <c r="K36" s="320">
        <f t="shared" si="0"/>
        <v>1800000</v>
      </c>
      <c r="L36" s="320"/>
      <c r="M36" s="320"/>
      <c r="N36" s="330"/>
      <c r="O36" s="330"/>
      <c r="P36" s="309">
        <f t="shared" ref="P36:P45" si="2">IF(J36=0," ",K36+P35)</f>
        <v>5400000</v>
      </c>
      <c r="Q36" s="310"/>
      <c r="R36" s="311"/>
      <c r="S36" s="309">
        <f t="shared" ref="S36:S45" si="3">IF(J36=0," ",$F$21-P36)</f>
        <v>14880000</v>
      </c>
      <c r="T36" s="310"/>
      <c r="U36" s="311"/>
      <c r="V36" s="320">
        <f t="shared" si="1"/>
        <v>222700</v>
      </c>
      <c r="W36" s="320"/>
      <c r="X36" s="320"/>
      <c r="Y36" s="327" t="s">
        <v>291</v>
      </c>
      <c r="Z36" s="327"/>
      <c r="AA36" s="327"/>
    </row>
    <row r="37" spans="1:27" x14ac:dyDescent="0.3">
      <c r="A37" s="64">
        <v>4</v>
      </c>
      <c r="B37" s="328">
        <v>43205</v>
      </c>
      <c r="C37" s="328"/>
      <c r="D37" s="328"/>
      <c r="E37" s="328"/>
      <c r="F37" s="329">
        <v>43234</v>
      </c>
      <c r="G37" s="329"/>
      <c r="H37" s="329"/>
      <c r="I37" s="329"/>
      <c r="J37" s="14">
        <v>30</v>
      </c>
      <c r="K37" s="320">
        <f t="shared" si="0"/>
        <v>1800000</v>
      </c>
      <c r="L37" s="320"/>
      <c r="M37" s="320"/>
      <c r="N37" s="330"/>
      <c r="O37" s="330"/>
      <c r="P37" s="309">
        <f t="shared" si="2"/>
        <v>7200000</v>
      </c>
      <c r="Q37" s="310"/>
      <c r="R37" s="311"/>
      <c r="S37" s="309">
        <f t="shared" si="3"/>
        <v>13080000</v>
      </c>
      <c r="T37" s="310"/>
      <c r="U37" s="311"/>
      <c r="V37" s="320">
        <f t="shared" si="1"/>
        <v>222700</v>
      </c>
      <c r="W37" s="320"/>
      <c r="X37" s="320"/>
      <c r="Y37" s="327" t="s">
        <v>291</v>
      </c>
      <c r="Z37" s="327"/>
      <c r="AA37" s="327"/>
    </row>
    <row r="38" spans="1:27" x14ac:dyDescent="0.3">
      <c r="A38" s="64">
        <v>5</v>
      </c>
      <c r="B38" s="328">
        <v>43235</v>
      </c>
      <c r="C38" s="328"/>
      <c r="D38" s="328"/>
      <c r="E38" s="328"/>
      <c r="F38" s="329">
        <v>43265</v>
      </c>
      <c r="G38" s="329"/>
      <c r="H38" s="329"/>
      <c r="I38" s="329"/>
      <c r="J38" s="14">
        <v>30</v>
      </c>
      <c r="K38" s="320">
        <f t="shared" si="0"/>
        <v>1800000</v>
      </c>
      <c r="L38" s="320"/>
      <c r="M38" s="320"/>
      <c r="N38" s="330"/>
      <c r="O38" s="330"/>
      <c r="P38" s="309">
        <f t="shared" si="2"/>
        <v>9000000</v>
      </c>
      <c r="Q38" s="310"/>
      <c r="R38" s="311"/>
      <c r="S38" s="309">
        <f t="shared" si="3"/>
        <v>11280000</v>
      </c>
      <c r="T38" s="310"/>
      <c r="U38" s="311"/>
      <c r="V38" s="320">
        <f t="shared" si="1"/>
        <v>222700</v>
      </c>
      <c r="W38" s="320"/>
      <c r="X38" s="320"/>
      <c r="Y38" s="327" t="s">
        <v>291</v>
      </c>
      <c r="Z38" s="327"/>
      <c r="AA38" s="327"/>
    </row>
    <row r="39" spans="1:27" x14ac:dyDescent="0.3">
      <c r="A39" s="64">
        <v>6</v>
      </c>
      <c r="B39" s="328">
        <v>43266</v>
      </c>
      <c r="C39" s="328"/>
      <c r="D39" s="328"/>
      <c r="E39" s="328"/>
      <c r="F39" s="329">
        <v>43295</v>
      </c>
      <c r="G39" s="329"/>
      <c r="H39" s="329"/>
      <c r="I39" s="329"/>
      <c r="J39" s="14">
        <v>30</v>
      </c>
      <c r="K39" s="320">
        <f t="shared" si="0"/>
        <v>1800000</v>
      </c>
      <c r="L39" s="320"/>
      <c r="M39" s="320"/>
      <c r="N39" s="330"/>
      <c r="O39" s="330"/>
      <c r="P39" s="309">
        <f t="shared" si="2"/>
        <v>10800000</v>
      </c>
      <c r="Q39" s="310"/>
      <c r="R39" s="311"/>
      <c r="S39" s="309">
        <f t="shared" si="3"/>
        <v>9480000</v>
      </c>
      <c r="T39" s="310"/>
      <c r="U39" s="311"/>
      <c r="V39" s="320">
        <f t="shared" si="1"/>
        <v>222700</v>
      </c>
      <c r="W39" s="320"/>
      <c r="X39" s="320"/>
      <c r="Y39" s="327" t="s">
        <v>291</v>
      </c>
      <c r="Z39" s="327"/>
      <c r="AA39" s="327"/>
    </row>
    <row r="40" spans="1:27" x14ac:dyDescent="0.3">
      <c r="A40" s="64">
        <v>7</v>
      </c>
      <c r="B40" s="328">
        <v>43296</v>
      </c>
      <c r="C40" s="328"/>
      <c r="D40" s="328"/>
      <c r="E40" s="328"/>
      <c r="F40" s="329">
        <v>43326</v>
      </c>
      <c r="G40" s="329"/>
      <c r="H40" s="329"/>
      <c r="I40" s="329"/>
      <c r="J40" s="14">
        <v>30</v>
      </c>
      <c r="K40" s="320">
        <f t="shared" si="0"/>
        <v>1800000</v>
      </c>
      <c r="L40" s="320"/>
      <c r="M40" s="320"/>
      <c r="N40" s="330"/>
      <c r="O40" s="330"/>
      <c r="P40" s="309">
        <f t="shared" si="2"/>
        <v>12600000</v>
      </c>
      <c r="Q40" s="310"/>
      <c r="R40" s="311"/>
      <c r="S40" s="309">
        <f t="shared" si="3"/>
        <v>7680000</v>
      </c>
      <c r="T40" s="310"/>
      <c r="U40" s="311"/>
      <c r="V40" s="320">
        <f t="shared" si="1"/>
        <v>222700</v>
      </c>
      <c r="W40" s="320"/>
      <c r="X40" s="320"/>
      <c r="Y40" s="327" t="s">
        <v>291</v>
      </c>
      <c r="Z40" s="327"/>
      <c r="AA40" s="327"/>
    </row>
    <row r="41" spans="1:27" x14ac:dyDescent="0.3">
      <c r="A41" s="64">
        <v>8</v>
      </c>
      <c r="B41" s="328">
        <v>43327</v>
      </c>
      <c r="C41" s="328"/>
      <c r="D41" s="328"/>
      <c r="E41" s="328"/>
      <c r="F41" s="329">
        <v>43357</v>
      </c>
      <c r="G41" s="329"/>
      <c r="H41" s="329"/>
      <c r="I41" s="329"/>
      <c r="J41" s="14">
        <v>30</v>
      </c>
      <c r="K41" s="320">
        <f t="shared" si="0"/>
        <v>1800000</v>
      </c>
      <c r="L41" s="320"/>
      <c r="M41" s="320"/>
      <c r="N41" s="330"/>
      <c r="O41" s="330"/>
      <c r="P41" s="309">
        <f t="shared" si="2"/>
        <v>14400000</v>
      </c>
      <c r="Q41" s="310"/>
      <c r="R41" s="311"/>
      <c r="S41" s="309">
        <f t="shared" si="3"/>
        <v>5880000</v>
      </c>
      <c r="T41" s="310"/>
      <c r="U41" s="311"/>
      <c r="V41" s="320">
        <f t="shared" si="1"/>
        <v>222700</v>
      </c>
      <c r="W41" s="320"/>
      <c r="X41" s="320"/>
      <c r="Y41" s="327" t="s">
        <v>291</v>
      </c>
      <c r="Z41" s="327"/>
      <c r="AA41" s="327"/>
    </row>
    <row r="42" spans="1:27" x14ac:dyDescent="0.3">
      <c r="A42" s="64">
        <v>9</v>
      </c>
      <c r="B42" s="328">
        <v>43358</v>
      </c>
      <c r="C42" s="328"/>
      <c r="D42" s="328"/>
      <c r="E42" s="328"/>
      <c r="F42" s="329">
        <v>43387</v>
      </c>
      <c r="G42" s="329"/>
      <c r="H42" s="329"/>
      <c r="I42" s="329"/>
      <c r="J42" s="14">
        <v>30</v>
      </c>
      <c r="K42" s="320">
        <f t="shared" si="0"/>
        <v>1800000</v>
      </c>
      <c r="L42" s="320"/>
      <c r="M42" s="320"/>
      <c r="N42" s="330"/>
      <c r="O42" s="330"/>
      <c r="P42" s="309">
        <f t="shared" si="2"/>
        <v>16200000</v>
      </c>
      <c r="Q42" s="310"/>
      <c r="R42" s="311"/>
      <c r="S42" s="309">
        <f t="shared" si="3"/>
        <v>4080000</v>
      </c>
      <c r="T42" s="310"/>
      <c r="U42" s="311"/>
      <c r="V42" s="320">
        <f t="shared" si="1"/>
        <v>222700</v>
      </c>
      <c r="W42" s="320"/>
      <c r="X42" s="320"/>
      <c r="Y42" s="327" t="s">
        <v>291</v>
      </c>
      <c r="Z42" s="327"/>
      <c r="AA42" s="327"/>
    </row>
    <row r="43" spans="1:27" x14ac:dyDescent="0.3">
      <c r="A43" s="64">
        <v>10</v>
      </c>
      <c r="B43" s="328">
        <v>43388</v>
      </c>
      <c r="C43" s="328"/>
      <c r="D43" s="328"/>
      <c r="E43" s="328"/>
      <c r="F43" s="329">
        <v>43418</v>
      </c>
      <c r="G43" s="329"/>
      <c r="H43" s="329"/>
      <c r="I43" s="329"/>
      <c r="J43" s="14">
        <v>30</v>
      </c>
      <c r="K43" s="320">
        <f t="shared" si="0"/>
        <v>1800000</v>
      </c>
      <c r="L43" s="320"/>
      <c r="M43" s="320"/>
      <c r="N43" s="330"/>
      <c r="O43" s="330"/>
      <c r="P43" s="309">
        <f t="shared" si="2"/>
        <v>18000000</v>
      </c>
      <c r="Q43" s="310"/>
      <c r="R43" s="311"/>
      <c r="S43" s="309">
        <f t="shared" si="3"/>
        <v>2280000</v>
      </c>
      <c r="T43" s="310"/>
      <c r="U43" s="311"/>
      <c r="V43" s="320">
        <f t="shared" si="1"/>
        <v>222700</v>
      </c>
      <c r="W43" s="320"/>
      <c r="X43" s="320"/>
      <c r="Y43" s="327" t="s">
        <v>291</v>
      </c>
      <c r="Z43" s="327"/>
      <c r="AA43" s="327"/>
    </row>
    <row r="44" spans="1:27" x14ac:dyDescent="0.3">
      <c r="A44" s="64">
        <v>11</v>
      </c>
      <c r="B44" s="328">
        <v>43419</v>
      </c>
      <c r="C44" s="328"/>
      <c r="D44" s="328"/>
      <c r="E44" s="328"/>
      <c r="F44" s="329">
        <v>43448</v>
      </c>
      <c r="G44" s="329"/>
      <c r="H44" s="329"/>
      <c r="I44" s="329"/>
      <c r="J44" s="14">
        <v>30</v>
      </c>
      <c r="K44" s="320">
        <f t="shared" si="0"/>
        <v>1800000</v>
      </c>
      <c r="L44" s="320"/>
      <c r="M44" s="320"/>
      <c r="N44" s="330"/>
      <c r="O44" s="330"/>
      <c r="P44" s="309">
        <f t="shared" si="2"/>
        <v>19800000</v>
      </c>
      <c r="Q44" s="310"/>
      <c r="R44" s="311"/>
      <c r="S44" s="309">
        <f t="shared" si="3"/>
        <v>480000</v>
      </c>
      <c r="T44" s="310"/>
      <c r="U44" s="311"/>
      <c r="V44" s="320">
        <f t="shared" si="1"/>
        <v>222700</v>
      </c>
      <c r="W44" s="320"/>
      <c r="X44" s="320"/>
      <c r="Y44" s="327" t="s">
        <v>291</v>
      </c>
      <c r="Z44" s="327"/>
      <c r="AA44" s="327"/>
    </row>
    <row r="45" spans="1:27" x14ac:dyDescent="0.3">
      <c r="A45" s="64">
        <v>12</v>
      </c>
      <c r="B45" s="328">
        <v>43449</v>
      </c>
      <c r="C45" s="328"/>
      <c r="D45" s="328"/>
      <c r="E45" s="328"/>
      <c r="F45" s="329">
        <v>43465</v>
      </c>
      <c r="G45" s="329"/>
      <c r="H45" s="329"/>
      <c r="I45" s="329"/>
      <c r="J45" s="14">
        <v>8</v>
      </c>
      <c r="K45" s="320">
        <f t="shared" si="0"/>
        <v>480000</v>
      </c>
      <c r="L45" s="320"/>
      <c r="M45" s="320"/>
      <c r="N45" s="330"/>
      <c r="O45" s="330"/>
      <c r="P45" s="309">
        <f t="shared" si="2"/>
        <v>20280000</v>
      </c>
      <c r="Q45" s="310"/>
      <c r="R45" s="311"/>
      <c r="S45" s="309">
        <f t="shared" si="3"/>
        <v>0</v>
      </c>
      <c r="T45" s="310"/>
      <c r="U45" s="311"/>
      <c r="V45" s="320">
        <f t="shared" si="1"/>
        <v>222700</v>
      </c>
      <c r="W45" s="320"/>
      <c r="X45" s="320"/>
      <c r="Y45" s="327" t="s">
        <v>291</v>
      </c>
      <c r="Z45" s="327"/>
      <c r="AA45" s="327"/>
    </row>
    <row r="46" spans="1:27" x14ac:dyDescent="0.3">
      <c r="A46" s="20"/>
      <c r="B46" s="308" t="s">
        <v>53</v>
      </c>
      <c r="C46" s="308"/>
      <c r="D46" s="308"/>
      <c r="E46" s="308"/>
      <c r="F46" s="308"/>
      <c r="G46" s="308"/>
      <c r="H46" s="308"/>
      <c r="I46" s="308"/>
      <c r="J46" s="171">
        <f>SUM(J34:J45)</f>
        <v>338</v>
      </c>
      <c r="K46" s="320">
        <f>SUM(K34:O45)</f>
        <v>20280000</v>
      </c>
      <c r="L46" s="320"/>
      <c r="M46" s="320"/>
      <c r="N46" s="309"/>
      <c r="O46" s="311"/>
      <c r="P46" s="308"/>
      <c r="Q46" s="308"/>
      <c r="R46" s="308"/>
      <c r="S46" s="308"/>
      <c r="T46" s="308"/>
      <c r="U46" s="308"/>
      <c r="V46" s="308"/>
      <c r="W46" s="308"/>
      <c r="X46" s="308"/>
      <c r="Y46" s="308"/>
      <c r="Z46" s="308"/>
      <c r="AA46" s="308"/>
    </row>
    <row r="47" spans="1:27" x14ac:dyDescent="0.3">
      <c r="A47" s="325" t="s">
        <v>54</v>
      </c>
      <c r="B47" s="325"/>
      <c r="C47" s="325"/>
      <c r="D47" s="325"/>
      <c r="E47" s="325"/>
      <c r="F47" s="326"/>
      <c r="G47" s="326"/>
      <c r="H47" s="326"/>
      <c r="I47" s="326"/>
      <c r="J47" s="326"/>
      <c r="K47" s="326"/>
      <c r="L47" s="326"/>
      <c r="M47" s="326"/>
      <c r="N47" s="326"/>
      <c r="O47" s="326"/>
      <c r="P47" s="326"/>
      <c r="Q47" s="326"/>
      <c r="R47" s="326"/>
      <c r="S47" s="326" t="s">
        <v>136</v>
      </c>
      <c r="T47" s="326"/>
      <c r="U47" s="326"/>
      <c r="V47" s="326" t="s">
        <v>55</v>
      </c>
      <c r="W47" s="326"/>
      <c r="X47" s="326"/>
      <c r="Y47" s="326" t="s">
        <v>56</v>
      </c>
      <c r="Z47" s="326"/>
      <c r="AA47" s="326"/>
    </row>
    <row r="48" spans="1:27" ht="15.95" customHeight="1" x14ac:dyDescent="0.3">
      <c r="A48" s="194">
        <v>4</v>
      </c>
      <c r="B48" s="424" t="s">
        <v>219</v>
      </c>
      <c r="C48" s="425"/>
      <c r="D48" s="425"/>
      <c r="E48" s="425"/>
      <c r="F48" s="425"/>
      <c r="G48" s="425"/>
      <c r="H48" s="425"/>
      <c r="I48" s="425"/>
      <c r="J48" s="425"/>
      <c r="K48" s="425"/>
      <c r="L48" s="425"/>
      <c r="M48" s="425"/>
      <c r="N48" s="425"/>
      <c r="O48" s="426"/>
      <c r="P48" s="427"/>
      <c r="Q48" s="428"/>
      <c r="R48" s="428"/>
      <c r="S48" s="428"/>
      <c r="T48" s="428"/>
      <c r="U48" s="428"/>
      <c r="V48" s="428"/>
      <c r="W48" s="428"/>
      <c r="X48" s="428"/>
      <c r="Y48" s="428"/>
      <c r="Z48" s="428"/>
      <c r="AA48" s="429"/>
    </row>
    <row r="49" spans="1:35" ht="14.1" customHeight="1" x14ac:dyDescent="0.3">
      <c r="A49" s="195"/>
      <c r="B49" s="402"/>
      <c r="C49" s="402"/>
      <c r="D49" s="402"/>
      <c r="E49" s="402"/>
      <c r="F49" s="402"/>
      <c r="G49" s="402"/>
      <c r="H49" s="402"/>
      <c r="I49" s="402"/>
      <c r="J49" s="402"/>
      <c r="K49" s="430" t="s">
        <v>218</v>
      </c>
      <c r="L49" s="430"/>
      <c r="M49" s="430"/>
      <c r="N49" s="430"/>
      <c r="O49" s="431"/>
      <c r="P49" s="196">
        <v>0.05</v>
      </c>
      <c r="Q49" s="196">
        <v>0.1</v>
      </c>
      <c r="R49" s="197">
        <v>0.15</v>
      </c>
      <c r="S49" s="197">
        <v>0.2</v>
      </c>
      <c r="T49" s="197">
        <v>0.3</v>
      </c>
      <c r="U49" s="197">
        <v>0.4</v>
      </c>
      <c r="V49" s="197">
        <v>0.5</v>
      </c>
      <c r="W49" s="197">
        <v>0.6</v>
      </c>
      <c r="X49" s="197">
        <v>0.7</v>
      </c>
      <c r="Y49" s="197">
        <v>0.8</v>
      </c>
      <c r="Z49" s="197">
        <v>0.9</v>
      </c>
      <c r="AA49" s="197">
        <v>1</v>
      </c>
    </row>
    <row r="50" spans="1:35" ht="14.1" customHeight="1" x14ac:dyDescent="0.3">
      <c r="A50" s="216">
        <v>1</v>
      </c>
      <c r="B50" s="199" t="s">
        <v>216</v>
      </c>
      <c r="C50" s="200"/>
      <c r="D50" s="200"/>
      <c r="E50" s="201"/>
      <c r="F50" s="452" t="s">
        <v>1409</v>
      </c>
      <c r="G50" s="453"/>
      <c r="H50" s="453"/>
      <c r="I50" s="453"/>
      <c r="J50" s="458"/>
      <c r="K50" s="456" t="s">
        <v>221</v>
      </c>
      <c r="L50" s="457"/>
      <c r="M50" s="454" t="s">
        <v>224</v>
      </c>
      <c r="N50" s="450"/>
      <c r="O50" s="455"/>
      <c r="P50" s="410"/>
      <c r="Q50" s="410"/>
      <c r="R50" s="410"/>
      <c r="S50" s="410"/>
      <c r="T50" s="410"/>
      <c r="U50" s="410"/>
      <c r="V50" s="410"/>
      <c r="W50" s="410"/>
      <c r="X50" s="410"/>
      <c r="Y50" s="410"/>
      <c r="Z50" s="410"/>
      <c r="AA50" s="411"/>
    </row>
    <row r="51" spans="1:35" ht="14.1" customHeight="1" x14ac:dyDescent="0.3">
      <c r="A51" s="198">
        <v>2</v>
      </c>
      <c r="B51" s="403" t="s">
        <v>217</v>
      </c>
      <c r="C51" s="404"/>
      <c r="D51" s="404"/>
      <c r="E51" s="405"/>
      <c r="F51" s="452" t="s">
        <v>1410</v>
      </c>
      <c r="G51" s="453"/>
      <c r="H51" s="453"/>
      <c r="I51" s="453"/>
      <c r="J51" s="453"/>
      <c r="K51" s="450"/>
      <c r="L51" s="450"/>
      <c r="M51" s="450"/>
      <c r="N51" s="450"/>
      <c r="O51" s="451"/>
      <c r="P51" s="412"/>
      <c r="Q51" s="412"/>
      <c r="R51" s="412"/>
      <c r="S51" s="412"/>
      <c r="T51" s="412"/>
      <c r="U51" s="412"/>
      <c r="V51" s="412"/>
      <c r="W51" s="412"/>
      <c r="X51" s="412"/>
      <c r="Y51" s="412"/>
      <c r="Z51" s="412"/>
      <c r="AA51" s="413"/>
    </row>
    <row r="52" spans="1:35" ht="14.1" customHeight="1" x14ac:dyDescent="0.3">
      <c r="A52" s="198">
        <v>3</v>
      </c>
      <c r="B52" s="403" t="s">
        <v>222</v>
      </c>
      <c r="C52" s="404"/>
      <c r="D52" s="404"/>
      <c r="E52" s="405"/>
      <c r="F52" s="452" t="s">
        <v>1411</v>
      </c>
      <c r="G52" s="453"/>
      <c r="H52" s="453"/>
      <c r="I52" s="453"/>
      <c r="J52" s="458"/>
      <c r="K52" s="456" t="s">
        <v>49</v>
      </c>
      <c r="L52" s="457"/>
      <c r="M52" s="459" t="e">
        <v>#REF!</v>
      </c>
      <c r="N52" s="460"/>
      <c r="O52" s="461"/>
      <c r="P52" s="412"/>
      <c r="Q52" s="412"/>
      <c r="R52" s="412"/>
      <c r="S52" s="412"/>
      <c r="T52" s="412"/>
      <c r="U52" s="412"/>
      <c r="V52" s="412"/>
      <c r="W52" s="412"/>
      <c r="X52" s="412"/>
      <c r="Y52" s="412"/>
      <c r="Z52" s="412"/>
      <c r="AA52" s="413"/>
    </row>
    <row r="53" spans="1:35" ht="15.95" customHeight="1" x14ac:dyDescent="0.3">
      <c r="A53" s="198">
        <v>4</v>
      </c>
      <c r="B53" s="403" t="s">
        <v>223</v>
      </c>
      <c r="C53" s="404"/>
      <c r="D53" s="404"/>
      <c r="E53" s="405"/>
      <c r="F53" s="452" t="s">
        <v>1412</v>
      </c>
      <c r="G53" s="453"/>
      <c r="H53" s="453"/>
      <c r="I53" s="453"/>
      <c r="J53" s="458"/>
      <c r="K53" s="456" t="s">
        <v>49</v>
      </c>
      <c r="L53" s="457"/>
      <c r="M53" s="459" t="e">
        <v>#REF!</v>
      </c>
      <c r="N53" s="460"/>
      <c r="O53" s="461"/>
      <c r="P53" s="412"/>
      <c r="Q53" s="412"/>
      <c r="R53" s="412"/>
      <c r="S53" s="412"/>
      <c r="T53" s="412"/>
      <c r="U53" s="412"/>
      <c r="V53" s="412"/>
      <c r="W53" s="412"/>
      <c r="X53" s="412"/>
      <c r="Y53" s="412"/>
      <c r="Z53" s="412"/>
      <c r="AA53" s="413"/>
    </row>
    <row r="54" spans="1:35" ht="14.1" customHeight="1" x14ac:dyDescent="0.3">
      <c r="A54" s="198">
        <v>5</v>
      </c>
      <c r="B54" s="403" t="s">
        <v>50</v>
      </c>
      <c r="C54" s="404"/>
      <c r="D54" s="404"/>
      <c r="E54" s="405"/>
      <c r="F54" s="452"/>
      <c r="G54" s="453"/>
      <c r="H54" s="453"/>
      <c r="I54" s="453"/>
      <c r="J54" s="458"/>
      <c r="K54" s="456" t="s">
        <v>49</v>
      </c>
      <c r="L54" s="457"/>
      <c r="M54" s="459" t="e">
        <v>#REF!</v>
      </c>
      <c r="N54" s="460"/>
      <c r="O54" s="461"/>
      <c r="P54" s="412"/>
      <c r="Q54" s="412"/>
      <c r="R54" s="412"/>
      <c r="S54" s="412"/>
      <c r="T54" s="412"/>
      <c r="U54" s="412"/>
      <c r="V54" s="412"/>
      <c r="W54" s="412"/>
      <c r="X54" s="412"/>
      <c r="Y54" s="412"/>
      <c r="Z54" s="412"/>
      <c r="AA54" s="413"/>
    </row>
    <row r="55" spans="1:35" x14ac:dyDescent="0.3">
      <c r="A55" s="198">
        <v>6</v>
      </c>
      <c r="B55" s="403" t="s">
        <v>51</v>
      </c>
      <c r="C55" s="404"/>
      <c r="D55" s="404"/>
      <c r="E55" s="405"/>
      <c r="F55" s="452"/>
      <c r="G55" s="453"/>
      <c r="H55" s="453"/>
      <c r="I55" s="453"/>
      <c r="J55" s="458"/>
      <c r="K55" s="456" t="s">
        <v>49</v>
      </c>
      <c r="L55" s="457"/>
      <c r="M55" s="459" t="e">
        <v>#REF!</v>
      </c>
      <c r="N55" s="460"/>
      <c r="O55" s="461"/>
      <c r="P55" s="414"/>
      <c r="Q55" s="414"/>
      <c r="R55" s="414"/>
      <c r="S55" s="414"/>
      <c r="T55" s="414"/>
      <c r="U55" s="414"/>
      <c r="V55" s="414"/>
      <c r="W55" s="414"/>
      <c r="X55" s="414"/>
      <c r="Y55" s="414"/>
      <c r="Z55" s="414"/>
      <c r="AA55" s="415"/>
    </row>
    <row r="56" spans="1:35" x14ac:dyDescent="0.3">
      <c r="A56" s="438" t="s">
        <v>45</v>
      </c>
      <c r="B56" s="439"/>
      <c r="C56" s="440"/>
      <c r="D56" s="462"/>
      <c r="E56" s="410"/>
      <c r="F56" s="410"/>
      <c r="G56" s="410"/>
      <c r="H56" s="410"/>
      <c r="I56" s="410"/>
      <c r="J56" s="410"/>
      <c r="K56" s="410"/>
      <c r="L56" s="410"/>
      <c r="M56" s="410"/>
      <c r="N56" s="410"/>
      <c r="O56" s="410"/>
      <c r="P56" s="410"/>
      <c r="Q56" s="410"/>
      <c r="R56" s="410"/>
      <c r="S56" s="410"/>
      <c r="T56" s="410"/>
      <c r="U56" s="410"/>
      <c r="V56" s="410"/>
      <c r="W56" s="410"/>
      <c r="X56" s="410"/>
      <c r="Y56" s="410"/>
      <c r="Z56" s="410"/>
      <c r="AA56" s="463"/>
    </row>
    <row r="57" spans="1:35" x14ac:dyDescent="0.3">
      <c r="A57" s="441"/>
      <c r="B57" s="442"/>
      <c r="C57" s="443"/>
      <c r="D57" s="464"/>
      <c r="E57" s="414"/>
      <c r="F57" s="414"/>
      <c r="G57" s="414"/>
      <c r="H57" s="414"/>
      <c r="I57" s="414"/>
      <c r="J57" s="414"/>
      <c r="K57" s="414"/>
      <c r="L57" s="414"/>
      <c r="M57" s="414"/>
      <c r="N57" s="414"/>
      <c r="O57" s="414"/>
      <c r="P57" s="414"/>
      <c r="Q57" s="414"/>
      <c r="R57" s="414"/>
      <c r="S57" s="414"/>
      <c r="T57" s="414"/>
      <c r="U57" s="414"/>
      <c r="V57" s="414"/>
      <c r="W57" s="414"/>
      <c r="X57" s="414"/>
      <c r="Y57" s="414"/>
      <c r="Z57" s="414"/>
      <c r="AA57" s="465"/>
    </row>
    <row r="58" spans="1:35" ht="27" x14ac:dyDescent="0.3">
      <c r="A58" s="449"/>
      <c r="B58" s="449"/>
      <c r="C58" s="449"/>
      <c r="D58" s="449"/>
      <c r="E58" s="449"/>
      <c r="F58" s="449"/>
      <c r="G58" s="449"/>
      <c r="H58" s="449"/>
      <c r="I58" s="449"/>
      <c r="J58" s="449"/>
      <c r="K58" s="449"/>
      <c r="L58" s="449"/>
      <c r="M58" s="449"/>
      <c r="N58" s="449"/>
      <c r="O58" s="449"/>
      <c r="P58" s="449"/>
      <c r="Q58" s="449"/>
      <c r="R58" s="449"/>
      <c r="S58" s="449"/>
      <c r="T58" s="449"/>
      <c r="U58" s="449"/>
      <c r="V58" s="449"/>
      <c r="W58" s="449"/>
      <c r="X58" s="449"/>
      <c r="Y58" s="449"/>
      <c r="Z58" s="449"/>
      <c r="AA58" s="449"/>
    </row>
    <row r="59" spans="1:35" x14ac:dyDescent="0.3">
      <c r="A59" s="202"/>
      <c r="B59" s="203" t="s">
        <v>205</v>
      </c>
      <c r="C59" s="466" t="s">
        <v>211</v>
      </c>
      <c r="D59" s="466"/>
      <c r="E59" s="466"/>
      <c r="F59" s="466"/>
      <c r="G59" s="205" t="s">
        <v>212</v>
      </c>
      <c r="H59" s="205"/>
      <c r="I59" s="205"/>
      <c r="J59" s="205"/>
      <c r="K59" s="205"/>
      <c r="L59" s="205"/>
      <c r="M59" s="205"/>
      <c r="N59" s="205"/>
      <c r="O59" s="205"/>
      <c r="P59" s="205"/>
      <c r="Q59" s="205"/>
      <c r="R59" s="205"/>
      <c r="S59" s="205"/>
      <c r="T59" s="205"/>
      <c r="U59" s="205"/>
      <c r="V59" s="205"/>
      <c r="W59" s="205"/>
      <c r="X59" s="205"/>
      <c r="Y59" s="205"/>
      <c r="Z59" s="205"/>
      <c r="AA59" s="206"/>
    </row>
    <row r="60" spans="1:35" ht="14.1" customHeight="1" x14ac:dyDescent="0.3">
      <c r="A60" s="444" t="str">
        <f>+F12</f>
        <v>JUAN DAVID VILLA ROMERO</v>
      </c>
      <c r="B60" s="445"/>
      <c r="C60" s="445"/>
      <c r="D60" s="445"/>
      <c r="E60" s="445"/>
      <c r="F60" s="446" t="s">
        <v>207</v>
      </c>
      <c r="G60" s="446"/>
      <c r="H60" s="446"/>
      <c r="I60" s="446" t="str">
        <f>+F14</f>
        <v>LEIDY YOHANA HERNANDEZ BETANCUR</v>
      </c>
      <c r="J60" s="446"/>
      <c r="K60" s="446"/>
      <c r="L60" s="446"/>
      <c r="M60" s="446"/>
      <c r="N60" s="446" t="s">
        <v>225</v>
      </c>
      <c r="O60" s="446"/>
      <c r="P60" s="446"/>
      <c r="Q60" s="446"/>
      <c r="R60" s="446"/>
      <c r="S60" s="446"/>
      <c r="T60" s="446"/>
      <c r="U60" s="446"/>
      <c r="V60" s="446"/>
      <c r="W60" s="446"/>
      <c r="X60" s="446"/>
      <c r="Y60" s="446"/>
      <c r="Z60" s="446"/>
      <c r="AA60" s="447"/>
    </row>
    <row r="61" spans="1:35" ht="14.1" customHeight="1" x14ac:dyDescent="0.3">
      <c r="A61" s="444" t="s">
        <v>213</v>
      </c>
      <c r="B61" s="445"/>
      <c r="C61" s="445"/>
      <c r="D61" s="445"/>
      <c r="E61" s="445"/>
      <c r="F61" s="445"/>
      <c r="G61" s="445"/>
      <c r="H61" s="445"/>
      <c r="I61" s="445"/>
      <c r="J61" s="207"/>
      <c r="K61" s="207"/>
      <c r="L61" s="207"/>
      <c r="M61" s="207"/>
      <c r="N61" s="207"/>
      <c r="O61" s="207"/>
      <c r="P61" s="207"/>
      <c r="Q61" s="207"/>
      <c r="R61" s="207"/>
      <c r="S61" s="207"/>
      <c r="T61" s="207"/>
      <c r="U61" s="207"/>
      <c r="V61" s="207"/>
      <c r="W61" s="207"/>
      <c r="X61" s="207"/>
      <c r="Y61" s="207"/>
      <c r="Z61" s="207"/>
      <c r="AA61" s="208"/>
    </row>
    <row r="62" spans="1:35" x14ac:dyDescent="0.3">
      <c r="A62" s="209">
        <v>1</v>
      </c>
      <c r="B62" s="204"/>
      <c r="C62" s="204"/>
      <c r="D62" s="204"/>
      <c r="E62" s="204"/>
      <c r="F62" s="204"/>
      <c r="G62" s="204"/>
      <c r="H62" s="204"/>
      <c r="I62" s="204"/>
      <c r="J62" s="204"/>
      <c r="K62" s="204"/>
      <c r="L62" s="204"/>
      <c r="M62" s="204"/>
      <c r="N62" s="204"/>
      <c r="O62" s="204"/>
      <c r="P62" s="204"/>
      <c r="Q62" s="204"/>
      <c r="R62" s="204"/>
      <c r="S62" s="204"/>
      <c r="T62" s="204"/>
      <c r="U62" s="204"/>
      <c r="V62" s="204"/>
      <c r="W62" s="204"/>
      <c r="X62" s="204"/>
      <c r="Y62" s="204"/>
      <c r="Z62" s="204"/>
      <c r="AA62" s="210"/>
    </row>
    <row r="63" spans="1:35" x14ac:dyDescent="0.3">
      <c r="A63" s="209">
        <v>2</v>
      </c>
      <c r="B63" s="204"/>
      <c r="C63" s="204"/>
      <c r="D63" s="204"/>
      <c r="E63" s="204"/>
      <c r="F63" s="204"/>
      <c r="G63" s="204"/>
      <c r="H63" s="204"/>
      <c r="I63" s="204"/>
      <c r="J63" s="204"/>
      <c r="K63" s="204"/>
      <c r="L63" s="204"/>
      <c r="M63" s="204"/>
      <c r="N63" s="204"/>
      <c r="O63" s="204"/>
      <c r="P63" s="204"/>
      <c r="Q63" s="204"/>
      <c r="R63" s="204"/>
      <c r="S63" s="204"/>
      <c r="T63" s="204"/>
      <c r="U63" s="204"/>
      <c r="V63" s="204"/>
      <c r="W63" s="204"/>
      <c r="X63" s="204"/>
      <c r="Y63" s="204"/>
      <c r="Z63" s="204"/>
      <c r="AA63" s="210"/>
      <c r="AF63" s="12"/>
    </row>
    <row r="64" spans="1:35" x14ac:dyDescent="0.3">
      <c r="A64" s="211" t="s">
        <v>215</v>
      </c>
      <c r="B64" s="204"/>
      <c r="C64" s="204"/>
      <c r="D64" s="204"/>
      <c r="E64" s="204"/>
      <c r="F64" s="204"/>
      <c r="G64" s="204"/>
      <c r="H64" s="204"/>
      <c r="I64" s="204"/>
      <c r="J64" s="204"/>
      <c r="K64" s="204"/>
      <c r="L64" s="204"/>
      <c r="M64" s="204"/>
      <c r="N64" s="204"/>
      <c r="O64" s="204"/>
      <c r="P64" s="204"/>
      <c r="Q64" s="204"/>
      <c r="R64" s="204"/>
      <c r="S64" s="204"/>
      <c r="T64" s="204"/>
      <c r="U64" s="204"/>
      <c r="V64" s="204"/>
      <c r="W64" s="204"/>
      <c r="X64" s="204"/>
      <c r="Y64" s="204"/>
      <c r="Z64" s="204"/>
      <c r="AA64" s="212"/>
      <c r="AG64" s="52"/>
      <c r="AH64" s="12"/>
      <c r="AI64" s="12"/>
    </row>
    <row r="65" spans="1:35" x14ac:dyDescent="0.3">
      <c r="A65" s="211" t="s">
        <v>214</v>
      </c>
      <c r="B65" s="204"/>
      <c r="C65" s="204"/>
      <c r="D65" s="204"/>
      <c r="E65" s="204"/>
      <c r="F65" s="204"/>
      <c r="G65" s="204"/>
      <c r="H65" s="204"/>
      <c r="I65" s="204"/>
      <c r="J65" s="204"/>
      <c r="K65" s="204"/>
      <c r="L65" s="204"/>
      <c r="M65" s="204"/>
      <c r="N65" s="204"/>
      <c r="O65" s="204"/>
      <c r="P65" s="204"/>
      <c r="Q65" s="204"/>
      <c r="R65" s="204"/>
      <c r="S65" s="204"/>
      <c r="T65" s="204"/>
      <c r="U65" s="204"/>
      <c r="V65" s="204"/>
      <c r="W65" s="204"/>
      <c r="X65" s="204"/>
      <c r="Y65" s="204"/>
      <c r="Z65" s="204"/>
      <c r="AA65" s="210"/>
      <c r="AH65" s="12"/>
    </row>
    <row r="66" spans="1:35" x14ac:dyDescent="0.3">
      <c r="A66" s="211"/>
      <c r="B66" s="204"/>
      <c r="C66" s="204"/>
      <c r="D66" s="204"/>
      <c r="E66" s="204"/>
      <c r="F66" s="204"/>
      <c r="G66" s="204"/>
      <c r="H66" s="204"/>
      <c r="I66" s="204"/>
      <c r="J66" s="204"/>
      <c r="K66" s="204"/>
      <c r="L66" s="204"/>
      <c r="M66" s="204"/>
      <c r="N66" s="204"/>
      <c r="O66" s="204"/>
      <c r="P66" s="204"/>
      <c r="Q66" s="204"/>
      <c r="R66" s="204"/>
      <c r="S66" s="204"/>
      <c r="T66" s="204"/>
      <c r="U66" s="204"/>
      <c r="V66" s="204"/>
      <c r="W66" s="204"/>
      <c r="X66" s="204"/>
      <c r="Y66" s="204"/>
      <c r="Z66" s="204"/>
      <c r="AA66" s="210"/>
      <c r="AG66" s="52"/>
      <c r="AH66" s="12"/>
      <c r="AI66" s="12"/>
    </row>
    <row r="67" spans="1:35" ht="14.1" customHeight="1" x14ac:dyDescent="0.3">
      <c r="A67" s="211"/>
      <c r="B67" s="204"/>
      <c r="C67" s="204"/>
      <c r="D67" s="204"/>
      <c r="E67" s="204"/>
      <c r="F67" s="204"/>
      <c r="G67" s="204"/>
      <c r="H67" s="204"/>
      <c r="I67" s="204"/>
      <c r="J67" s="204"/>
      <c r="K67" s="204"/>
      <c r="L67" s="204"/>
      <c r="M67" s="204"/>
      <c r="N67" s="204"/>
      <c r="O67" s="204"/>
      <c r="P67" s="204"/>
      <c r="Q67" s="204"/>
      <c r="R67" s="204"/>
      <c r="S67" s="204"/>
      <c r="T67" s="204"/>
      <c r="U67" s="204"/>
      <c r="V67" s="204"/>
      <c r="W67" s="204"/>
      <c r="X67" s="204"/>
      <c r="Y67" s="204"/>
      <c r="Z67" s="204"/>
      <c r="AA67" s="210"/>
      <c r="AG67" s="52"/>
      <c r="AH67" s="12"/>
      <c r="AI67" s="12"/>
    </row>
    <row r="68" spans="1:35" x14ac:dyDescent="0.3">
      <c r="A68" s="211"/>
      <c r="B68" s="204"/>
      <c r="C68" s="204"/>
      <c r="D68" s="204"/>
      <c r="E68" s="204"/>
      <c r="F68" s="204"/>
      <c r="G68" s="204"/>
      <c r="H68" s="204"/>
      <c r="I68" s="204"/>
      <c r="J68" s="204"/>
      <c r="K68" s="204"/>
      <c r="L68" s="204"/>
      <c r="M68" s="204"/>
      <c r="N68" s="204"/>
      <c r="O68" s="204"/>
      <c r="P68" s="204"/>
      <c r="Q68" s="204"/>
      <c r="R68" s="204"/>
      <c r="S68" s="204"/>
      <c r="T68" s="204"/>
      <c r="U68" s="204"/>
      <c r="V68" s="204"/>
      <c r="W68" s="204"/>
      <c r="X68" s="204"/>
      <c r="Y68" s="204"/>
      <c r="Z68" s="204"/>
      <c r="AA68" s="210"/>
      <c r="AH68" s="12"/>
      <c r="AI68" s="12"/>
    </row>
    <row r="69" spans="1:35" x14ac:dyDescent="0.3">
      <c r="A69" s="213"/>
      <c r="B69" s="214"/>
      <c r="C69" s="214"/>
      <c r="D69" s="214"/>
      <c r="E69" s="214"/>
      <c r="F69" s="204"/>
      <c r="G69" s="204"/>
      <c r="H69" s="204"/>
      <c r="I69" s="204"/>
      <c r="J69" s="204"/>
      <c r="K69" s="214"/>
      <c r="L69" s="214"/>
      <c r="M69" s="214"/>
      <c r="N69" s="214"/>
      <c r="O69" s="214"/>
      <c r="P69" s="204"/>
      <c r="Q69" s="204"/>
      <c r="R69" s="204"/>
      <c r="S69" s="204"/>
      <c r="T69" s="204"/>
      <c r="U69" s="204"/>
      <c r="V69" s="204"/>
      <c r="W69" s="204"/>
      <c r="X69" s="204"/>
      <c r="Y69" s="204"/>
      <c r="Z69" s="204"/>
      <c r="AA69" s="210"/>
      <c r="AI69" s="12"/>
    </row>
    <row r="70" spans="1:35" x14ac:dyDescent="0.3">
      <c r="A70" s="211" t="str">
        <f>+A60</f>
        <v>JUAN DAVID VILLA ROMERO</v>
      </c>
      <c r="B70" s="204"/>
      <c r="C70" s="204"/>
      <c r="D70" s="204"/>
      <c r="E70" s="204"/>
      <c r="F70" s="204"/>
      <c r="G70" s="204"/>
      <c r="H70" s="204"/>
      <c r="I70" s="204"/>
      <c r="J70" s="204"/>
      <c r="K70" s="204" t="str">
        <f>+I60</f>
        <v>LEIDY YOHANA HERNANDEZ BETANCUR</v>
      </c>
      <c r="L70" s="204"/>
      <c r="M70" s="204"/>
      <c r="N70" s="204"/>
      <c r="O70" s="204"/>
      <c r="P70" s="204"/>
      <c r="Q70" s="204"/>
      <c r="R70" s="204"/>
      <c r="S70" s="204"/>
      <c r="T70" s="204"/>
      <c r="U70" s="204" t="str">
        <f>+F13</f>
        <v>RIGOBERTO LOPERA MUÑOZ</v>
      </c>
      <c r="V70" s="204"/>
      <c r="W70" s="204"/>
      <c r="X70" s="204"/>
      <c r="Y70" s="204"/>
      <c r="Z70" s="204"/>
      <c r="AA70" s="210"/>
    </row>
    <row r="71" spans="1:35" x14ac:dyDescent="0.3">
      <c r="A71" s="213" t="s">
        <v>9</v>
      </c>
      <c r="B71" s="214"/>
      <c r="C71" s="214"/>
      <c r="D71" s="214"/>
      <c r="E71" s="214"/>
      <c r="F71" s="214"/>
      <c r="G71" s="214"/>
      <c r="H71" s="214"/>
      <c r="I71" s="214"/>
      <c r="J71" s="214"/>
      <c r="K71" s="214" t="s">
        <v>8</v>
      </c>
      <c r="L71" s="214"/>
      <c r="M71" s="214"/>
      <c r="N71" s="214"/>
      <c r="O71" s="214"/>
      <c r="P71" s="214"/>
      <c r="Q71" s="214"/>
      <c r="R71" s="214"/>
      <c r="S71" s="214"/>
      <c r="T71" s="214"/>
      <c r="U71" s="214" t="s">
        <v>246</v>
      </c>
      <c r="V71" s="214"/>
      <c r="W71" s="214"/>
      <c r="X71" s="214"/>
      <c r="Y71" s="214"/>
      <c r="Z71" s="214"/>
      <c r="AA71" s="215"/>
    </row>
    <row r="83" spans="1:12" hidden="1" x14ac:dyDescent="0.3">
      <c r="A83" s="57" t="s">
        <v>146</v>
      </c>
      <c r="B83" s="57"/>
      <c r="D83" s="293" t="str">
        <f>+F51</f>
        <v>miércoles, 23 de mayo de 2018</v>
      </c>
      <c r="E83" s="293"/>
      <c r="F83" s="293"/>
      <c r="G83" s="57" t="s">
        <v>147</v>
      </c>
      <c r="H83" s="57"/>
      <c r="I83" s="57"/>
      <c r="J83" s="57"/>
      <c r="K83" s="57"/>
      <c r="L83" s="57"/>
    </row>
    <row r="84" spans="1:12" hidden="1" x14ac:dyDescent="0.3">
      <c r="A84" s="57"/>
      <c r="B84" s="57"/>
      <c r="C84" s="57"/>
      <c r="D84" s="57"/>
      <c r="E84" s="57"/>
      <c r="F84" s="57"/>
      <c r="G84" s="57"/>
      <c r="H84" s="57"/>
      <c r="I84" s="57"/>
      <c r="J84" s="57"/>
      <c r="K84" s="57"/>
      <c r="L84" s="57"/>
    </row>
    <row r="85" spans="1:12" hidden="1" x14ac:dyDescent="0.3">
      <c r="A85" s="57" t="s">
        <v>148</v>
      </c>
      <c r="B85" s="57"/>
      <c r="D85" s="57" t="e">
        <f>TRIM(D107)</f>
        <v>#VALUE!</v>
      </c>
      <c r="E85" s="57"/>
      <c r="F85" s="57"/>
      <c r="G85" s="57"/>
      <c r="H85" s="57"/>
      <c r="I85" s="57"/>
      <c r="J85" s="57"/>
      <c r="K85" s="57"/>
      <c r="L85" s="57"/>
    </row>
    <row r="86" spans="1:12" hidden="1" x14ac:dyDescent="0.3">
      <c r="A86" s="57"/>
      <c r="B86" s="57"/>
      <c r="C86" s="57"/>
      <c r="D86" s="57"/>
      <c r="E86" s="57"/>
      <c r="F86" s="57"/>
      <c r="G86" s="57"/>
      <c r="H86" s="57"/>
      <c r="I86" s="57"/>
      <c r="J86" s="57"/>
      <c r="K86" s="57"/>
      <c r="L86" s="57"/>
    </row>
    <row r="87" spans="1:12" hidden="1" x14ac:dyDescent="0.3">
      <c r="A87" s="57"/>
      <c r="B87" s="57"/>
      <c r="C87" s="57"/>
      <c r="D87" s="57"/>
      <c r="E87" s="57"/>
      <c r="F87" s="57"/>
      <c r="G87" s="57"/>
      <c r="H87" s="57"/>
      <c r="I87" s="57"/>
      <c r="J87" s="57"/>
      <c r="K87" s="57"/>
      <c r="L87" s="57"/>
    </row>
    <row r="88" spans="1:12" hidden="1" x14ac:dyDescent="0.3">
      <c r="A88" s="57">
        <v>1</v>
      </c>
      <c r="B88" s="57" t="s">
        <v>149</v>
      </c>
      <c r="C88" s="57" t="s">
        <v>150</v>
      </c>
      <c r="D88" s="57"/>
      <c r="E88" s="57" t="e">
        <f>INT((D83-(INT(D83/1000000000000000)*1000000000000000))/1000000000000)</f>
        <v>#VALUE!</v>
      </c>
      <c r="F88" s="57" t="s">
        <v>151</v>
      </c>
      <c r="G88" s="57" t="e">
        <f>INT(E88/100)*100</f>
        <v>#VALUE!</v>
      </c>
      <c r="H88" s="57" t="e">
        <f>IF(AND(G88=100,G89=0,G90=0),IF(G88=0," ",LOOKUP(G88,A87:C132,B87:B132)),IF(G88=0," ",LOOKUP(G88,A87:C132,C87:C132)))</f>
        <v>#VALUE!</v>
      </c>
      <c r="I88" s="57"/>
      <c r="J88" s="57" t="s">
        <v>152</v>
      </c>
      <c r="K88" s="57"/>
      <c r="L88" s="57"/>
    </row>
    <row r="89" spans="1:12" hidden="1" x14ac:dyDescent="0.3">
      <c r="A89" s="57">
        <v>2</v>
      </c>
      <c r="B89" s="57" t="s">
        <v>153</v>
      </c>
      <c r="C89" s="57" t="s">
        <v>153</v>
      </c>
      <c r="D89" s="57"/>
      <c r="E89" s="57" t="e">
        <f>+E88-G88</f>
        <v>#VALUE!</v>
      </c>
      <c r="F89" s="57" t="s">
        <v>154</v>
      </c>
      <c r="G89" s="57" t="e">
        <f>INT(E89/10)*10</f>
        <v>#VALUE!</v>
      </c>
      <c r="H89" s="57" t="e">
        <f>IF(OR(G89=10,G89=20),LOOKUP(E89,A87:C132,C87:C132),IF(AND(G89=100,G90=0,G91=0),IF(G89=0," ",LOOKUP(G89,A87:C132,B87:B132)),IF(G89=0," ",LOOKUP(G89,A87:C132,C87:C132))))</f>
        <v>#VALUE!</v>
      </c>
      <c r="I89" s="57" t="e">
        <f>IF(G90=0," ",IF(AND(G89&gt;20,G89&lt;=90),"y"," "))</f>
        <v>#VALUE!</v>
      </c>
      <c r="J89" s="57"/>
      <c r="K89" s="57"/>
      <c r="L89" s="57"/>
    </row>
    <row r="90" spans="1:12" hidden="1" x14ac:dyDescent="0.3">
      <c r="A90" s="57">
        <v>3</v>
      </c>
      <c r="B90" s="57" t="s">
        <v>155</v>
      </c>
      <c r="C90" s="57" t="s">
        <v>155</v>
      </c>
      <c r="D90" s="57"/>
      <c r="E90" s="57" t="e">
        <f>+E89-G89</f>
        <v>#VALUE!</v>
      </c>
      <c r="F90" s="57" t="s">
        <v>156</v>
      </c>
      <c r="G90" s="57" t="e">
        <f>INT(E90)</f>
        <v>#VALUE!</v>
      </c>
      <c r="H90" s="57" t="e">
        <f>IF(OR(G89=10,G89=20)," ",IF(AND(G90=100,G91=0,G92=0),IF(G90=0," ",LOOKUP(G90,A87:C132,B87:B132)),IF(G90=0," ",LOOKUP(G90,A87:C132,B87:B132))))</f>
        <v>#VALUE!</v>
      </c>
      <c r="I90" s="57" t="e">
        <f>IF(AND(G88=0,G89=0,G90=1),"Billón",IF(SUM(G88:G90)=0," ","Billones"))</f>
        <v>#VALUE!</v>
      </c>
      <c r="J90" s="57"/>
      <c r="K90" s="57"/>
      <c r="L90" s="57"/>
    </row>
    <row r="91" spans="1:12" hidden="1" x14ac:dyDescent="0.3">
      <c r="A91" s="57">
        <v>4</v>
      </c>
      <c r="B91" s="57" t="s">
        <v>157</v>
      </c>
      <c r="C91" s="57" t="s">
        <v>157</v>
      </c>
      <c r="D91" s="57"/>
      <c r="E91" s="57" t="e">
        <f>INT((D83-(INT(D83/1000000000000)*1000000000000))/1000000000)</f>
        <v>#VALUE!</v>
      </c>
      <c r="F91" s="57" t="s">
        <v>151</v>
      </c>
      <c r="G91" s="57" t="e">
        <f>INT(E91/100)*100</f>
        <v>#VALUE!</v>
      </c>
      <c r="H91" s="57" t="e">
        <f>IF(AND(G91=100,G92=0,G93=0),IF(G91=0," ",LOOKUP(G91,A87:C132,B87:B132)),IF(G91=0," ",LOOKUP(G91,A87:C132,C87:C132)))</f>
        <v>#VALUE!</v>
      </c>
      <c r="I91" s="57"/>
      <c r="J91" s="57" t="s">
        <v>158</v>
      </c>
      <c r="K91" s="57"/>
      <c r="L91" s="57"/>
    </row>
    <row r="92" spans="1:12" hidden="1" x14ac:dyDescent="0.3">
      <c r="A92" s="57">
        <v>5</v>
      </c>
      <c r="B92" s="57" t="s">
        <v>159</v>
      </c>
      <c r="C92" s="57" t="s">
        <v>159</v>
      </c>
      <c r="D92" s="57"/>
      <c r="E92" s="57" t="e">
        <f>+E91-G91</f>
        <v>#VALUE!</v>
      </c>
      <c r="F92" s="57" t="s">
        <v>154</v>
      </c>
      <c r="G92" s="57" t="e">
        <f>INT(E92/10)*10</f>
        <v>#VALUE!</v>
      </c>
      <c r="H92" s="57" t="e">
        <f>IF(OR(G92=10,G92=20),LOOKUP(E92,A87:C132,C87:C132),IF(AND(G92=100,G93=0,G94=0),IF(G92=0," ",LOOKUP(G92,A87:C132,B87:B132)),IF(G92=0," ",LOOKUP(G92,A87:C132,C87:C132))))</f>
        <v>#VALUE!</v>
      </c>
      <c r="I92" s="57" t="e">
        <f>IF(G93=0," ",IF(AND(G92&gt;20,G92&lt;=90),"y"," "))</f>
        <v>#VALUE!</v>
      </c>
      <c r="J92" s="57"/>
      <c r="K92" s="57"/>
      <c r="L92" s="57"/>
    </row>
    <row r="93" spans="1:12" hidden="1" x14ac:dyDescent="0.3">
      <c r="A93" s="57">
        <v>6</v>
      </c>
      <c r="B93" s="57" t="s">
        <v>160</v>
      </c>
      <c r="C93" s="57" t="s">
        <v>160</v>
      </c>
      <c r="D93" s="57"/>
      <c r="E93" s="57" t="e">
        <f>+E92-G92</f>
        <v>#VALUE!</v>
      </c>
      <c r="F93" s="57" t="s">
        <v>156</v>
      </c>
      <c r="G93" s="57" t="e">
        <f>INT(E93)</f>
        <v>#VALUE!</v>
      </c>
      <c r="H93" s="57" t="e">
        <f>IF(AND(G91=0,G92=0,G93=1)," ",IF(AND(G88=0,G89=0,G90=0,G91=0,G92=0,G93=1)," ",IF(OR(G92=10,G92=20)," ",IF(AND(G93=100,G94=0,G95=0),IF(G93=0," ",LOOKUP(G93,A87:C132,B87:B132)),IF(G93=0," ",LOOKUP(G93,A87:C132,B87:B132))))))</f>
        <v>#VALUE!</v>
      </c>
      <c r="I93" s="57" t="e">
        <f>IF(AND(G91=0,G92=0,G93=1),"Mil",IF(SUM(G91:G93)=0," ","Mil"))</f>
        <v>#VALUE!</v>
      </c>
      <c r="J93" s="57"/>
      <c r="K93" s="57"/>
      <c r="L93" s="57"/>
    </row>
    <row r="94" spans="1:12" hidden="1" x14ac:dyDescent="0.3">
      <c r="A94" s="57">
        <v>7</v>
      </c>
      <c r="B94" s="57" t="s">
        <v>161</v>
      </c>
      <c r="C94" s="57" t="s">
        <v>161</v>
      </c>
      <c r="D94" s="57"/>
      <c r="E94" s="57" t="e">
        <f>INT((D83-(INT(D83/1000000000)*1000000000))/1000000)</f>
        <v>#VALUE!</v>
      </c>
      <c r="F94" s="57" t="s">
        <v>151</v>
      </c>
      <c r="G94" s="57" t="e">
        <f>INT(E94/100)*100</f>
        <v>#VALUE!</v>
      </c>
      <c r="H94" s="57" t="e">
        <f>IF(AND(G94=100,G95=0,G96=0),IF(G94=0," ",LOOKUP(G94,A87:C132,B87:B132)),IF(G94=0," ",LOOKUP(G94,A87:C132,C87:C132)))</f>
        <v>#VALUE!</v>
      </c>
      <c r="I94" s="57"/>
      <c r="J94" s="57" t="s">
        <v>162</v>
      </c>
      <c r="K94" s="57"/>
      <c r="L94" s="57"/>
    </row>
    <row r="95" spans="1:12" hidden="1" x14ac:dyDescent="0.3">
      <c r="A95" s="57">
        <v>8</v>
      </c>
      <c r="B95" s="57" t="s">
        <v>163</v>
      </c>
      <c r="C95" s="57" t="s">
        <v>163</v>
      </c>
      <c r="D95" s="57"/>
      <c r="E95" s="57" t="e">
        <f>+E94-G94</f>
        <v>#VALUE!</v>
      </c>
      <c r="F95" s="57" t="s">
        <v>154</v>
      </c>
      <c r="G95" s="57" t="e">
        <f>INT(E95/10)*10</f>
        <v>#VALUE!</v>
      </c>
      <c r="H95" s="57" t="e">
        <f>IF(OR(G95=10,G95=20),LOOKUP(E95,A87:C132,C87:C132),IF(AND(G95=100,G96=0,G100=0),IF(G95=0," ",LOOKUP(G95,A87:C132,B87:B132)),IF(G95=0," ",LOOKUP(G95,A87:C132,C87:C132))))</f>
        <v>#VALUE!</v>
      </c>
      <c r="I95" s="57" t="e">
        <f>IF(G96=0," ",IF(AND(G95&gt;20,G95&lt;=90),"y"," "))</f>
        <v>#VALUE!</v>
      </c>
      <c r="J95" s="57"/>
      <c r="K95" s="57"/>
      <c r="L95" s="57"/>
    </row>
    <row r="96" spans="1:12" hidden="1" x14ac:dyDescent="0.3">
      <c r="A96" s="57">
        <v>9</v>
      </c>
      <c r="B96" s="57" t="s">
        <v>164</v>
      </c>
      <c r="C96" s="57" t="s">
        <v>164</v>
      </c>
      <c r="D96" s="57"/>
      <c r="E96" s="57" t="e">
        <f>+E95-G95</f>
        <v>#VALUE!</v>
      </c>
      <c r="F96" s="57" t="s">
        <v>156</v>
      </c>
      <c r="G96" s="57" t="e">
        <f>INT(E96)</f>
        <v>#VALUE!</v>
      </c>
      <c r="H96" s="57" t="e">
        <f>IF(AND(G94=0,G95=0,G96=1),"Un",IF(AND(G91=0,G92=0,G93=0,G94=0,G95=0,G96=1)," ",IF(OR(G95=10,G95=20)," ",IF(AND(G96=100,G100=0,G107=0),IF(G96=0," ",LOOKUP(G96,A87:C132,B87:B132)),IF(G96=0," ",LOOKUP(G96,A87:C132,B87:B132))))))</f>
        <v>#VALUE!</v>
      </c>
      <c r="I96" s="57" t="e">
        <f>IF(AND(OR(G91&gt;0,G92&gt;0,G93&gt;0),G94=0,G95=0,G96=0),"Millones",IF(AND(G91=0,G92=0,G93=0,G94=0,G95=0,G96=1),"Millón",IF(SUM(G94:G96)=0," ","Millones")))</f>
        <v>#VALUE!</v>
      </c>
      <c r="J96" s="57"/>
      <c r="K96" s="57"/>
      <c r="L96" s="57"/>
    </row>
    <row r="97" spans="1:12" hidden="1" x14ac:dyDescent="0.3">
      <c r="A97" s="57">
        <v>10</v>
      </c>
      <c r="B97" s="57" t="s">
        <v>165</v>
      </c>
      <c r="C97" s="57" t="s">
        <v>165</v>
      </c>
      <c r="D97" s="57"/>
      <c r="E97" s="57" t="e">
        <f>INT((D83-(INT(D83/1000000)*1000000))/1000)</f>
        <v>#VALUE!</v>
      </c>
      <c r="F97" s="57" t="s">
        <v>151</v>
      </c>
      <c r="G97" s="57" t="e">
        <f>INT(E97/100)*100</f>
        <v>#VALUE!</v>
      </c>
      <c r="H97" s="57" t="e">
        <f>IF(AND(G97=100,G98=0,G99=0),IF(G97=0," ",LOOKUP(G97,A87:C132,B87:B132)),IF(G97=0," ",LOOKUP(G97,A87:C132,C87:C132)))</f>
        <v>#VALUE!</v>
      </c>
      <c r="I97" s="57"/>
      <c r="J97" s="57" t="s">
        <v>166</v>
      </c>
      <c r="K97" s="57"/>
      <c r="L97" s="57"/>
    </row>
    <row r="98" spans="1:12" hidden="1" x14ac:dyDescent="0.3">
      <c r="A98" s="57">
        <v>11</v>
      </c>
      <c r="B98" s="57" t="s">
        <v>167</v>
      </c>
      <c r="C98" s="57" t="s">
        <v>167</v>
      </c>
      <c r="D98" s="57"/>
      <c r="E98" s="57" t="e">
        <f>+E97-G97</f>
        <v>#VALUE!</v>
      </c>
      <c r="F98" s="57" t="s">
        <v>154</v>
      </c>
      <c r="G98" s="57" t="e">
        <f>INT(E98/10)*10</f>
        <v>#VALUE!</v>
      </c>
      <c r="H98" s="57" t="e">
        <f>IF(OR(G98=10,G98=20),LOOKUP(E98,A87:C132,C87:C132),IF(AND(G98=100,G99=0,F105=0),IF(G98=0," ",LOOKUP(G98,A87:C132,B87:B132)),IF(G98=0," ",LOOKUP(G98,A87:C132,C87:C132))))</f>
        <v>#VALUE!</v>
      </c>
      <c r="I98" s="57" t="e">
        <f>IF(G99=0," ",IF(AND(G98&gt;20,G98&lt;=90),"y"," "))</f>
        <v>#VALUE!</v>
      </c>
      <c r="J98" s="57"/>
      <c r="K98" s="57"/>
      <c r="L98" s="57"/>
    </row>
    <row r="99" spans="1:12" hidden="1" x14ac:dyDescent="0.3">
      <c r="A99" s="57">
        <v>12</v>
      </c>
      <c r="B99" s="57" t="s">
        <v>168</v>
      </c>
      <c r="C99" s="57" t="s">
        <v>168</v>
      </c>
      <c r="D99" s="57"/>
      <c r="E99" s="57" t="e">
        <f>+E98-G98</f>
        <v>#VALUE!</v>
      </c>
      <c r="F99" s="57" t="s">
        <v>156</v>
      </c>
      <c r="G99" s="57" t="e">
        <f>INT(E99)</f>
        <v>#VALUE!</v>
      </c>
      <c r="H99" s="57" t="e">
        <f>IF(AND(G97=0,G98=0,G99=1)," ",IF(AND(G94=0,G95=0,G96=0,G97=0,G98=0,G99=1)," ",IF(OR(G98=10,G98=20)," ",IF(AND(G99=100,F105=0,F106=0),IF(G99=0," ",LOOKUP(G99,A87:C132,B87:B132)),IF(G99=0," ",LOOKUP(G99,A87:C132,B87:B132))))))</f>
        <v>#VALUE!</v>
      </c>
      <c r="I99" s="57" t="e">
        <f>IF(AND(G97=0,G98=0,G99=1),"Mil",IF(SUM(G97:G99)=0," ","Mil"))</f>
        <v>#VALUE!</v>
      </c>
      <c r="J99" s="57"/>
      <c r="K99" s="57"/>
      <c r="L99" s="57"/>
    </row>
    <row r="100" spans="1:12" hidden="1" x14ac:dyDescent="0.3">
      <c r="A100" s="57">
        <v>13</v>
      </c>
      <c r="B100" s="57" t="s">
        <v>169</v>
      </c>
      <c r="C100" s="57" t="s">
        <v>169</v>
      </c>
      <c r="D100" s="57"/>
      <c r="E100" s="57" t="e">
        <f>INT((D83-(INT(D83/1000)*1000))/1)</f>
        <v>#VALUE!</v>
      </c>
      <c r="F100" s="57" t="s">
        <v>151</v>
      </c>
      <c r="G100" s="57" t="e">
        <f>INT(E100/100)*100</f>
        <v>#VALUE!</v>
      </c>
      <c r="H100" s="57" t="e">
        <f>IF(AND(G100=100,G101=0,G102=0),IF(G100=0," ",LOOKUP(G100,A87:C132,B87:B132)),IF(G100=0," ",LOOKUP(G100,A87:C132,C87:C132)))</f>
        <v>#VALUE!</v>
      </c>
      <c r="I100" s="57"/>
      <c r="J100" s="57" t="s">
        <v>170</v>
      </c>
      <c r="K100" s="57"/>
      <c r="L100" s="57"/>
    </row>
    <row r="101" spans="1:12" hidden="1" x14ac:dyDescent="0.3">
      <c r="A101" s="57">
        <v>14</v>
      </c>
      <c r="B101" s="57" t="s">
        <v>171</v>
      </c>
      <c r="C101" s="57" t="s">
        <v>171</v>
      </c>
      <c r="D101" s="57"/>
      <c r="E101" s="57" t="e">
        <f>+E100-G100</f>
        <v>#VALUE!</v>
      </c>
      <c r="F101" s="57" t="s">
        <v>154</v>
      </c>
      <c r="G101" s="57" t="e">
        <f>INT(E101/10)*10</f>
        <v>#VALUE!</v>
      </c>
      <c r="H101" s="57" t="e">
        <f>IF(OR(G101=10,G101=20),LOOKUP(E101,A87:C132,C87:C132),IF(AND(G101=100,G102=0,G112=0),IF(G101=0," ",LOOKUP(G101,A87:C132,B87:B132)),IF(G101=0," ",LOOKUP(G101,A87:C132,C87:C132))))</f>
        <v>#VALUE!</v>
      </c>
      <c r="I101" s="57" t="e">
        <f>IF(G102=0," ",IF(AND(G101&gt;20,G101&lt;=90),"y"," "))</f>
        <v>#VALUE!</v>
      </c>
      <c r="J101" s="57"/>
      <c r="K101" s="57"/>
      <c r="L101" s="57"/>
    </row>
    <row r="102" spans="1:12" hidden="1" x14ac:dyDescent="0.3">
      <c r="A102" s="57">
        <v>15</v>
      </c>
      <c r="B102" s="57" t="s">
        <v>172</v>
      </c>
      <c r="C102" s="57" t="s">
        <v>172</v>
      </c>
      <c r="D102" s="57"/>
      <c r="E102" s="57" t="e">
        <f>+E101-G101</f>
        <v>#VALUE!</v>
      </c>
      <c r="F102" s="57" t="s">
        <v>156</v>
      </c>
      <c r="G102" s="57" t="e">
        <f>INT(E102)</f>
        <v>#VALUE!</v>
      </c>
      <c r="H102" s="57" t="e">
        <f>IF(AND(G100=0,G101=0,G102=1),"Un",IF(AND(G97=0,G98=0,G99=0,G100=0,G101=0,G102=1)," ",IF(OR(G101=10,G101=20)," ",IF(AND(G102=100,G112=0,G113=0),IF(G102=0," ",LOOKUP(G102,A87:C132,B87:B132)),IF(G102=0," ",LOOKUP(G102,A87:C132,B87:B132))))))</f>
        <v>#VALUE!</v>
      </c>
      <c r="I102" s="57"/>
      <c r="J102" s="57"/>
      <c r="K102" s="57"/>
      <c r="L102" s="57"/>
    </row>
    <row r="103" spans="1:12" hidden="1" x14ac:dyDescent="0.3">
      <c r="A103" s="57">
        <v>16</v>
      </c>
      <c r="B103" s="57" t="s">
        <v>173</v>
      </c>
      <c r="C103" s="57" t="s">
        <v>173</v>
      </c>
      <c r="D103" s="57"/>
      <c r="E103" s="57"/>
      <c r="F103" s="57"/>
      <c r="G103" s="57"/>
      <c r="H103" s="57"/>
      <c r="I103" s="57"/>
      <c r="J103" s="57"/>
      <c r="K103" s="57"/>
      <c r="L103" s="57"/>
    </row>
    <row r="104" spans="1:12" hidden="1" x14ac:dyDescent="0.3">
      <c r="A104" s="57">
        <v>17</v>
      </c>
      <c r="B104" s="57" t="s">
        <v>174</v>
      </c>
      <c r="C104" s="57" t="s">
        <v>174</v>
      </c>
      <c r="D104" s="57"/>
      <c r="E104" s="57"/>
      <c r="F104" s="57"/>
      <c r="G104" s="57"/>
      <c r="H104" s="57"/>
      <c r="I104" s="57"/>
      <c r="J104" s="57"/>
      <c r="K104" s="57"/>
      <c r="L104" s="57"/>
    </row>
    <row r="105" spans="1:12" hidden="1" x14ac:dyDescent="0.3">
      <c r="A105" s="57">
        <v>18</v>
      </c>
      <c r="B105" s="57" t="s">
        <v>175</v>
      </c>
      <c r="C105" s="57" t="s">
        <v>175</v>
      </c>
      <c r="D105" s="57"/>
      <c r="E105" s="57"/>
      <c r="F105" s="57"/>
      <c r="G105" s="57"/>
      <c r="H105" s="57"/>
      <c r="I105" s="57"/>
      <c r="J105" s="57"/>
      <c r="K105" s="57"/>
      <c r="L105" s="57"/>
    </row>
    <row r="106" spans="1:12" hidden="1" x14ac:dyDescent="0.3">
      <c r="A106" s="57">
        <v>19</v>
      </c>
      <c r="B106" s="57" t="s">
        <v>176</v>
      </c>
      <c r="C106" s="57" t="s">
        <v>176</v>
      </c>
      <c r="D106" s="57"/>
      <c r="E106" s="57"/>
      <c r="F106" s="57"/>
      <c r="G106" s="57"/>
      <c r="H106" s="57"/>
      <c r="I106" s="57"/>
      <c r="J106" s="57"/>
      <c r="K106" s="57"/>
      <c r="L106" s="57"/>
    </row>
    <row r="107" spans="1:12" hidden="1" x14ac:dyDescent="0.3">
      <c r="A107" s="57">
        <v>20</v>
      </c>
      <c r="B107" s="57" t="s">
        <v>177</v>
      </c>
      <c r="C107" s="57" t="s">
        <v>177</v>
      </c>
      <c r="D107" s="57" t="e">
        <f>H88&amp;" "&amp;H89&amp;" "&amp;I89&amp;" "&amp;" "&amp;H90&amp;" "&amp;I90&amp;" "&amp;H91&amp;" "&amp;H92&amp;" "&amp;I92&amp;" "&amp;" "&amp;H93&amp;" "&amp;I93&amp;" "&amp;H94&amp;" "&amp;H95&amp;" "&amp;I95&amp;" "&amp;H96&amp;" "&amp;I96&amp;" "&amp;H97&amp;" "&amp;H98&amp;" "&amp;I98&amp;" "&amp;H99&amp;" "&amp;I99&amp;" "&amp;H100&amp;" "&amp;H101&amp;" "&amp;I101&amp;" "&amp;H102&amp;" "&amp;H109</f>
        <v>#VALUE!</v>
      </c>
      <c r="E107" s="57"/>
      <c r="F107" s="57"/>
      <c r="G107" s="57"/>
      <c r="H107" s="57"/>
      <c r="I107" s="57"/>
      <c r="J107" s="57"/>
      <c r="K107" s="57"/>
      <c r="L107" s="57"/>
    </row>
    <row r="108" spans="1:12" hidden="1" x14ac:dyDescent="0.3">
      <c r="A108" s="57">
        <v>21</v>
      </c>
      <c r="B108" s="57" t="s">
        <v>178</v>
      </c>
      <c r="C108" s="57" t="s">
        <v>179</v>
      </c>
      <c r="D108" s="57"/>
      <c r="E108" s="57"/>
      <c r="F108" s="57"/>
      <c r="G108" s="57"/>
      <c r="H108" s="57"/>
      <c r="I108" s="57"/>
      <c r="J108" s="57"/>
      <c r="K108" s="57"/>
      <c r="L108" s="57"/>
    </row>
    <row r="109" spans="1:12" hidden="1" x14ac:dyDescent="0.3">
      <c r="A109" s="57">
        <v>22</v>
      </c>
      <c r="B109" s="57" t="s">
        <v>180</v>
      </c>
      <c r="C109" s="57" t="s">
        <v>180</v>
      </c>
      <c r="D109" s="57"/>
      <c r="E109" s="57"/>
      <c r="F109" s="57"/>
      <c r="G109" s="57"/>
      <c r="H109" s="57" t="e">
        <f>IF(F110&lt;&gt;0,"de Pesos M/Cte",IF(D83=1,"Peso M/Cte","Pesos M/Cte"))</f>
        <v>#VALUE!</v>
      </c>
      <c r="I109" s="57"/>
      <c r="J109" s="57"/>
      <c r="K109" s="57"/>
      <c r="L109" s="57"/>
    </row>
    <row r="110" spans="1:12" hidden="1" x14ac:dyDescent="0.3">
      <c r="A110" s="57">
        <v>23</v>
      </c>
      <c r="B110" s="57" t="s">
        <v>181</v>
      </c>
      <c r="C110" s="57" t="s">
        <v>181</v>
      </c>
      <c r="D110" s="57"/>
      <c r="E110" s="57" t="e">
        <f>D83/1000000</f>
        <v>#VALUE!</v>
      </c>
      <c r="F110" s="57" t="e">
        <f>IF(E110=INT(E110),"De Pesos M/Cte",0)</f>
        <v>#VALUE!</v>
      </c>
      <c r="G110" s="57"/>
      <c r="H110" s="57"/>
      <c r="I110" s="57"/>
      <c r="J110" s="57"/>
      <c r="K110" s="57"/>
      <c r="L110" s="57"/>
    </row>
    <row r="111" spans="1:12" hidden="1" x14ac:dyDescent="0.3">
      <c r="A111" s="57">
        <v>24</v>
      </c>
      <c r="B111" s="57" t="s">
        <v>182</v>
      </c>
      <c r="C111" s="57" t="s">
        <v>182</v>
      </c>
      <c r="D111" s="57"/>
      <c r="E111" s="57"/>
      <c r="F111" s="57"/>
      <c r="G111" s="57"/>
      <c r="H111" s="57"/>
      <c r="I111" s="57"/>
      <c r="J111" s="57"/>
      <c r="K111" s="57"/>
      <c r="L111" s="57"/>
    </row>
    <row r="112" spans="1:12" hidden="1" x14ac:dyDescent="0.3">
      <c r="A112" s="57">
        <v>25</v>
      </c>
      <c r="B112" s="57" t="s">
        <v>183</v>
      </c>
      <c r="C112" s="57" t="s">
        <v>183</v>
      </c>
      <c r="D112" s="57"/>
      <c r="E112" s="57"/>
      <c r="F112" s="57"/>
      <c r="G112" s="57"/>
      <c r="H112" s="57"/>
      <c r="I112" s="57"/>
      <c r="J112" s="57"/>
      <c r="K112" s="57"/>
      <c r="L112" s="57"/>
    </row>
    <row r="113" spans="1:12" hidden="1" x14ac:dyDescent="0.3">
      <c r="A113" s="57">
        <v>26</v>
      </c>
      <c r="B113" s="57" t="s">
        <v>184</v>
      </c>
      <c r="C113" s="57" t="s">
        <v>184</v>
      </c>
      <c r="D113" s="57"/>
      <c r="E113" s="57"/>
      <c r="F113" s="57"/>
      <c r="G113" s="57"/>
      <c r="H113" s="57"/>
      <c r="I113" s="57"/>
      <c r="J113" s="57"/>
      <c r="K113" s="57"/>
      <c r="L113" s="57"/>
    </row>
    <row r="114" spans="1:12" hidden="1" x14ac:dyDescent="0.3">
      <c r="A114" s="57">
        <v>27</v>
      </c>
      <c r="B114" s="57" t="s">
        <v>185</v>
      </c>
      <c r="C114" s="57" t="s">
        <v>185</v>
      </c>
      <c r="D114" s="57"/>
      <c r="E114" s="57"/>
      <c r="F114" s="57"/>
      <c r="G114" s="57"/>
      <c r="H114" s="57"/>
      <c r="I114" s="57"/>
      <c r="J114" s="57"/>
      <c r="K114" s="57"/>
      <c r="L114" s="57"/>
    </row>
    <row r="115" spans="1:12" hidden="1" x14ac:dyDescent="0.3">
      <c r="A115" s="57">
        <v>28</v>
      </c>
      <c r="B115" s="57" t="s">
        <v>186</v>
      </c>
      <c r="C115" s="57" t="s">
        <v>186</v>
      </c>
      <c r="D115" s="57"/>
      <c r="E115" s="57"/>
      <c r="F115" s="57"/>
      <c r="G115" s="57"/>
      <c r="H115" s="57"/>
      <c r="I115" s="57"/>
      <c r="J115" s="57"/>
      <c r="K115" s="57"/>
      <c r="L115" s="57"/>
    </row>
    <row r="116" spans="1:12" hidden="1" x14ac:dyDescent="0.3">
      <c r="A116" s="57">
        <v>29</v>
      </c>
      <c r="B116" s="57" t="s">
        <v>187</v>
      </c>
      <c r="C116" s="57" t="s">
        <v>187</v>
      </c>
      <c r="D116" s="57"/>
      <c r="E116" s="57"/>
      <c r="F116" s="57"/>
      <c r="G116" s="57"/>
      <c r="H116" s="57"/>
      <c r="I116" s="57"/>
      <c r="J116" s="57"/>
      <c r="K116" s="57"/>
      <c r="L116" s="57"/>
    </row>
    <row r="117" spans="1:12" hidden="1" x14ac:dyDescent="0.3">
      <c r="A117" s="57">
        <v>30</v>
      </c>
      <c r="B117" s="57" t="s">
        <v>188</v>
      </c>
      <c r="C117" s="57" t="s">
        <v>188</v>
      </c>
      <c r="D117" s="57"/>
      <c r="E117" s="57"/>
      <c r="F117" s="57"/>
      <c r="G117" s="57"/>
      <c r="H117" s="57"/>
      <c r="I117" s="57"/>
      <c r="J117" s="57"/>
      <c r="K117" s="57"/>
      <c r="L117" s="57"/>
    </row>
    <row r="118" spans="1:12" hidden="1" x14ac:dyDescent="0.3">
      <c r="A118" s="57">
        <v>40</v>
      </c>
      <c r="B118" s="57" t="s">
        <v>189</v>
      </c>
      <c r="C118" s="57" t="s">
        <v>189</v>
      </c>
      <c r="D118" s="57"/>
      <c r="E118" s="57"/>
      <c r="F118" s="57"/>
      <c r="G118" s="57"/>
      <c r="H118" s="57"/>
      <c r="I118" s="57"/>
      <c r="J118" s="57"/>
      <c r="K118" s="57"/>
      <c r="L118" s="57"/>
    </row>
    <row r="119" spans="1:12" hidden="1" x14ac:dyDescent="0.3">
      <c r="A119" s="57">
        <v>50</v>
      </c>
      <c r="B119" s="57" t="s">
        <v>190</v>
      </c>
      <c r="C119" s="57" t="s">
        <v>190</v>
      </c>
      <c r="D119" s="57"/>
      <c r="E119" s="57"/>
      <c r="F119" s="57"/>
      <c r="G119" s="57"/>
      <c r="H119" s="57"/>
      <c r="I119" s="57"/>
      <c r="J119" s="57"/>
      <c r="K119" s="57"/>
      <c r="L119" s="57"/>
    </row>
    <row r="120" spans="1:12" hidden="1" x14ac:dyDescent="0.3">
      <c r="A120" s="57">
        <v>60</v>
      </c>
      <c r="B120" s="57" t="s">
        <v>191</v>
      </c>
      <c r="C120" s="57" t="s">
        <v>191</v>
      </c>
      <c r="D120" s="57"/>
      <c r="E120" s="57"/>
      <c r="F120" s="57"/>
      <c r="G120" s="57"/>
      <c r="H120" s="57"/>
      <c r="I120" s="57"/>
      <c r="J120" s="57"/>
      <c r="K120" s="57"/>
      <c r="L120" s="57"/>
    </row>
    <row r="121" spans="1:12" hidden="1" x14ac:dyDescent="0.3">
      <c r="A121" s="57">
        <v>70</v>
      </c>
      <c r="B121" s="57" t="s">
        <v>192</v>
      </c>
      <c r="C121" s="57" t="s">
        <v>192</v>
      </c>
      <c r="D121" s="57"/>
      <c r="E121" s="57"/>
      <c r="F121" s="57"/>
      <c r="G121" s="57"/>
      <c r="H121" s="57"/>
      <c r="I121" s="57"/>
      <c r="J121" s="57"/>
      <c r="K121" s="57"/>
      <c r="L121" s="57"/>
    </row>
    <row r="122" spans="1:12" hidden="1" x14ac:dyDescent="0.3">
      <c r="A122" s="57">
        <v>80</v>
      </c>
      <c r="B122" s="57" t="s">
        <v>193</v>
      </c>
      <c r="C122" s="57" t="s">
        <v>193</v>
      </c>
      <c r="D122" s="57"/>
      <c r="E122" s="57"/>
      <c r="F122" s="57"/>
      <c r="G122" s="57"/>
      <c r="H122" s="57"/>
      <c r="I122" s="57"/>
      <c r="J122" s="57"/>
      <c r="K122" s="57"/>
      <c r="L122" s="57"/>
    </row>
    <row r="123" spans="1:12" hidden="1" x14ac:dyDescent="0.3">
      <c r="A123" s="57">
        <v>90</v>
      </c>
      <c r="B123" s="57" t="s">
        <v>194</v>
      </c>
      <c r="C123" s="57" t="s">
        <v>194</v>
      </c>
      <c r="D123" s="57"/>
      <c r="E123" s="57"/>
      <c r="F123" s="57"/>
      <c r="G123" s="57"/>
      <c r="H123" s="57"/>
      <c r="I123" s="57"/>
      <c r="J123" s="57"/>
      <c r="K123" s="57"/>
      <c r="L123" s="57"/>
    </row>
    <row r="124" spans="1:12" hidden="1" x14ac:dyDescent="0.3">
      <c r="A124" s="57">
        <v>100</v>
      </c>
      <c r="B124" s="57" t="s">
        <v>195</v>
      </c>
      <c r="C124" s="57" t="s">
        <v>196</v>
      </c>
      <c r="D124" s="57"/>
      <c r="E124" s="57"/>
      <c r="F124" s="57"/>
      <c r="G124" s="57"/>
      <c r="H124" s="57"/>
      <c r="I124" s="57"/>
      <c r="J124" s="57"/>
      <c r="K124" s="57"/>
      <c r="L124" s="57"/>
    </row>
    <row r="125" spans="1:12" hidden="1" x14ac:dyDescent="0.3">
      <c r="A125" s="57">
        <v>200</v>
      </c>
      <c r="B125" s="57" t="s">
        <v>197</v>
      </c>
      <c r="C125" s="57" t="s">
        <v>197</v>
      </c>
      <c r="D125" s="57"/>
      <c r="E125" s="57"/>
      <c r="F125" s="57"/>
      <c r="G125" s="57"/>
      <c r="H125" s="57"/>
      <c r="I125" s="57"/>
      <c r="J125" s="57"/>
      <c r="K125" s="57"/>
      <c r="L125" s="57"/>
    </row>
    <row r="126" spans="1:12" hidden="1" x14ac:dyDescent="0.3">
      <c r="A126" s="57">
        <v>300</v>
      </c>
      <c r="B126" s="57" t="s">
        <v>198</v>
      </c>
      <c r="C126" s="57" t="s">
        <v>198</v>
      </c>
      <c r="D126" s="57"/>
      <c r="E126" s="57"/>
      <c r="F126" s="57"/>
      <c r="G126" s="57"/>
      <c r="H126" s="57"/>
      <c r="I126" s="57"/>
      <c r="J126" s="57"/>
      <c r="K126" s="57"/>
      <c r="L126" s="57"/>
    </row>
    <row r="127" spans="1:12" hidden="1" x14ac:dyDescent="0.3">
      <c r="A127" s="57">
        <v>400</v>
      </c>
      <c r="B127" s="57" t="s">
        <v>199</v>
      </c>
      <c r="C127" s="57" t="s">
        <v>199</v>
      </c>
      <c r="D127" s="57"/>
      <c r="E127" s="57"/>
      <c r="F127" s="57"/>
      <c r="G127" s="57"/>
      <c r="H127" s="57"/>
      <c r="I127" s="57"/>
      <c r="J127" s="57"/>
      <c r="K127" s="57"/>
      <c r="L127" s="57"/>
    </row>
    <row r="128" spans="1:12" hidden="1" x14ac:dyDescent="0.3">
      <c r="A128" s="57">
        <v>500</v>
      </c>
      <c r="B128" s="57" t="s">
        <v>200</v>
      </c>
      <c r="C128" s="57" t="s">
        <v>200</v>
      </c>
      <c r="D128" s="57"/>
      <c r="E128" s="57"/>
      <c r="F128" s="57"/>
      <c r="G128" s="57"/>
      <c r="H128" s="57"/>
      <c r="I128" s="57"/>
      <c r="J128" s="57"/>
      <c r="K128" s="57"/>
      <c r="L128" s="57"/>
    </row>
    <row r="129" spans="1:12" hidden="1" x14ac:dyDescent="0.3">
      <c r="A129" s="57">
        <v>600</v>
      </c>
      <c r="B129" s="57" t="s">
        <v>201</v>
      </c>
      <c r="C129" s="57" t="s">
        <v>201</v>
      </c>
      <c r="D129" s="57"/>
      <c r="E129" s="57"/>
      <c r="F129" s="57"/>
      <c r="G129" s="57"/>
      <c r="H129" s="57"/>
      <c r="I129" s="57"/>
      <c r="J129" s="57"/>
      <c r="K129" s="57"/>
      <c r="L129" s="57"/>
    </row>
    <row r="130" spans="1:12" hidden="1" x14ac:dyDescent="0.3">
      <c r="A130" s="57">
        <v>700</v>
      </c>
      <c r="B130" s="57" t="s">
        <v>202</v>
      </c>
      <c r="C130" s="57" t="s">
        <v>202</v>
      </c>
      <c r="D130" s="57"/>
      <c r="E130" s="57"/>
      <c r="F130" s="57"/>
      <c r="G130" s="57"/>
      <c r="H130" s="57"/>
      <c r="I130" s="57"/>
      <c r="J130" s="57"/>
      <c r="K130" s="57"/>
      <c r="L130" s="57"/>
    </row>
    <row r="131" spans="1:12" hidden="1" x14ac:dyDescent="0.3">
      <c r="A131" s="57">
        <v>800</v>
      </c>
      <c r="B131" s="57" t="s">
        <v>203</v>
      </c>
      <c r="C131" s="57" t="s">
        <v>203</v>
      </c>
      <c r="D131" s="57"/>
      <c r="E131" s="57"/>
      <c r="F131" s="57"/>
      <c r="G131" s="57"/>
      <c r="H131" s="57"/>
      <c r="I131" s="57"/>
      <c r="J131" s="57"/>
      <c r="K131" s="57"/>
      <c r="L131" s="57"/>
    </row>
    <row r="132" spans="1:12" hidden="1" x14ac:dyDescent="0.3">
      <c r="A132" s="57">
        <v>900</v>
      </c>
      <c r="B132" s="57" t="s">
        <v>204</v>
      </c>
      <c r="C132" s="57" t="s">
        <v>204</v>
      </c>
      <c r="D132" s="57"/>
      <c r="E132" s="57"/>
      <c r="F132" s="57"/>
      <c r="G132" s="57"/>
      <c r="H132" s="57"/>
      <c r="I132" s="57"/>
      <c r="J132" s="57"/>
      <c r="K132" s="57"/>
      <c r="L132" s="57"/>
    </row>
  </sheetData>
  <sheetProtection password="CCE3" sheet="1" objects="1" scenarios="1" formatCells="0" insertRows="0"/>
  <mergeCells count="294">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32:O32"/>
    <mergeCell ref="P32:AA32"/>
    <mergeCell ref="B33:I33"/>
    <mergeCell ref="K33:M33"/>
    <mergeCell ref="N33:O33"/>
    <mergeCell ref="P33:R33"/>
    <mergeCell ref="S33:U33"/>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V33:X33"/>
    <mergeCell ref="Y33:AA33"/>
    <mergeCell ref="B34:E34"/>
    <mergeCell ref="F34:I34"/>
    <mergeCell ref="K34:M34"/>
    <mergeCell ref="N34:O34"/>
    <mergeCell ref="P34:R34"/>
    <mergeCell ref="S34:U34"/>
    <mergeCell ref="V34:X34"/>
    <mergeCell ref="Y34:AA34"/>
    <mergeCell ref="V35:X35"/>
    <mergeCell ref="Y35:AA35"/>
    <mergeCell ref="B36:E36"/>
    <mergeCell ref="F36:I36"/>
    <mergeCell ref="K36:M36"/>
    <mergeCell ref="N36:O36"/>
    <mergeCell ref="P36:R36"/>
    <mergeCell ref="S36:U36"/>
    <mergeCell ref="V36:X36"/>
    <mergeCell ref="Y36:AA36"/>
    <mergeCell ref="B35:E35"/>
    <mergeCell ref="F35:I35"/>
    <mergeCell ref="K35:M35"/>
    <mergeCell ref="N35:O35"/>
    <mergeCell ref="P35:R35"/>
    <mergeCell ref="S35:U35"/>
    <mergeCell ref="V37:X37"/>
    <mergeCell ref="Y37:AA37"/>
    <mergeCell ref="B38:E38"/>
    <mergeCell ref="F38:I38"/>
    <mergeCell ref="K38:M38"/>
    <mergeCell ref="N38:O38"/>
    <mergeCell ref="P38:R38"/>
    <mergeCell ref="S38:U38"/>
    <mergeCell ref="V38:X38"/>
    <mergeCell ref="Y38:AA38"/>
    <mergeCell ref="B37:E37"/>
    <mergeCell ref="F37:I37"/>
    <mergeCell ref="K37:M37"/>
    <mergeCell ref="N37:O37"/>
    <mergeCell ref="P37:R37"/>
    <mergeCell ref="S37:U37"/>
    <mergeCell ref="V39:X39"/>
    <mergeCell ref="Y39:AA39"/>
    <mergeCell ref="B40:E40"/>
    <mergeCell ref="F40:I40"/>
    <mergeCell ref="K40:M40"/>
    <mergeCell ref="N40:O40"/>
    <mergeCell ref="P40:R40"/>
    <mergeCell ref="S40:U40"/>
    <mergeCell ref="V40:X40"/>
    <mergeCell ref="Y40:AA40"/>
    <mergeCell ref="B39:E39"/>
    <mergeCell ref="F39:I39"/>
    <mergeCell ref="K39:M39"/>
    <mergeCell ref="N39:O39"/>
    <mergeCell ref="P39:R39"/>
    <mergeCell ref="S39:U39"/>
    <mergeCell ref="V41:X41"/>
    <mergeCell ref="Y41:AA41"/>
    <mergeCell ref="B42:E42"/>
    <mergeCell ref="F42:I42"/>
    <mergeCell ref="K42:M42"/>
    <mergeCell ref="N42:O42"/>
    <mergeCell ref="P42:R42"/>
    <mergeCell ref="S42:U42"/>
    <mergeCell ref="V42:X42"/>
    <mergeCell ref="Y42:AA42"/>
    <mergeCell ref="B41:E41"/>
    <mergeCell ref="F41:I41"/>
    <mergeCell ref="K41:M41"/>
    <mergeCell ref="N41:O41"/>
    <mergeCell ref="P41:R41"/>
    <mergeCell ref="S41:U41"/>
    <mergeCell ref="V43:X43"/>
    <mergeCell ref="Y43:AA43"/>
    <mergeCell ref="B44:E44"/>
    <mergeCell ref="F44:I44"/>
    <mergeCell ref="K44:M44"/>
    <mergeCell ref="N44:O44"/>
    <mergeCell ref="P44:R44"/>
    <mergeCell ref="S44:U44"/>
    <mergeCell ref="V44:X44"/>
    <mergeCell ref="Y44:AA44"/>
    <mergeCell ref="B43:E43"/>
    <mergeCell ref="F43:I43"/>
    <mergeCell ref="K43:M43"/>
    <mergeCell ref="N43:O43"/>
    <mergeCell ref="P43:R43"/>
    <mergeCell ref="S43:U43"/>
    <mergeCell ref="V45:X45"/>
    <mergeCell ref="Y45:AA45"/>
    <mergeCell ref="B46:I46"/>
    <mergeCell ref="K46:M46"/>
    <mergeCell ref="N46:O46"/>
    <mergeCell ref="P46:R46"/>
    <mergeCell ref="S46:U46"/>
    <mergeCell ref="V46:X46"/>
    <mergeCell ref="Y46:AA46"/>
    <mergeCell ref="B45:E45"/>
    <mergeCell ref="F45:I45"/>
    <mergeCell ref="K45:M45"/>
    <mergeCell ref="N45:O45"/>
    <mergeCell ref="P45:R45"/>
    <mergeCell ref="S45:U45"/>
    <mergeCell ref="B48:O48"/>
    <mergeCell ref="P48:AA48"/>
    <mergeCell ref="K49:O49"/>
    <mergeCell ref="A47:E47"/>
    <mergeCell ref="F47:O47"/>
    <mergeCell ref="P47:R47"/>
    <mergeCell ref="S47:U47"/>
    <mergeCell ref="V47:X47"/>
    <mergeCell ref="Y47:AA47"/>
    <mergeCell ref="B49:J49"/>
    <mergeCell ref="D56:AA57"/>
    <mergeCell ref="A56:C57"/>
    <mergeCell ref="M55:O55"/>
    <mergeCell ref="K55:L55"/>
    <mergeCell ref="F55:J55"/>
    <mergeCell ref="B55:E55"/>
    <mergeCell ref="D83:F83"/>
    <mergeCell ref="A61:I61"/>
    <mergeCell ref="N60:AA60"/>
    <mergeCell ref="I60:M60"/>
    <mergeCell ref="F60:H60"/>
    <mergeCell ref="A60:E60"/>
    <mergeCell ref="C59:F59"/>
    <mergeCell ref="A58:AA58"/>
    <mergeCell ref="B52:E52"/>
    <mergeCell ref="K51:O51"/>
    <mergeCell ref="F51:J51"/>
    <mergeCell ref="P50:AA55"/>
    <mergeCell ref="M50:O50"/>
    <mergeCell ref="K50:L50"/>
    <mergeCell ref="F50:J50"/>
    <mergeCell ref="M54:O54"/>
    <mergeCell ref="K54:L54"/>
    <mergeCell ref="F54:J54"/>
    <mergeCell ref="B54:E54"/>
    <mergeCell ref="M53:O53"/>
    <mergeCell ref="K53:L53"/>
    <mergeCell ref="F53:J53"/>
    <mergeCell ref="B53:E53"/>
    <mergeCell ref="B51:E51"/>
    <mergeCell ref="M52:O52"/>
    <mergeCell ref="K52:L52"/>
    <mergeCell ref="F52:J52"/>
  </mergeCells>
  <phoneticPr fontId="9" type="noConversion"/>
  <conditionalFormatting sqref="L31">
    <cfRule type="containsText" dxfId="32" priority="11" operator="containsText" text="PAGO MENSUAL">
      <formula>NOT(ISERROR(SEARCH("PAGO MENSUAL",L31)))</formula>
    </cfRule>
  </conditionalFormatting>
  <conditionalFormatting sqref="A34:A45">
    <cfRule type="cellIs" dxfId="31" priority="9" operator="greaterThan">
      <formula>$A$48</formula>
    </cfRule>
    <cfRule type="cellIs" dxfId="30" priority="10" operator="equal">
      <formula>$A$48</formula>
    </cfRule>
  </conditionalFormatting>
  <conditionalFormatting sqref="J46">
    <cfRule type="cellIs" dxfId="29" priority="8" operator="notEqual">
      <formula>$T$21</formula>
    </cfRule>
  </conditionalFormatting>
  <conditionalFormatting sqref="K46:M46">
    <cfRule type="cellIs" dxfId="28" priority="5" operator="notEqual">
      <formula>$F$21</formula>
    </cfRule>
  </conditionalFormatting>
  <conditionalFormatting sqref="P34:R34">
    <cfRule type="expression" dxfId="27" priority="4">
      <formula>$P$34=0</formula>
    </cfRule>
  </conditionalFormatting>
  <conditionalFormatting sqref="P35:R45">
    <cfRule type="expression" dxfId="26" priority="3">
      <formula>$J$35=0</formula>
    </cfRule>
  </conditionalFormatting>
  <conditionalFormatting sqref="S34:U34">
    <cfRule type="expression" dxfId="25" priority="2">
      <formula>$P$34=0</formula>
    </cfRule>
  </conditionalFormatting>
  <conditionalFormatting sqref="S35:U45">
    <cfRule type="expression" dxfId="24" priority="1">
      <formula>$J$35=0</formula>
    </cfRule>
  </conditionalFormatting>
  <pageMargins left="0.7" right="0.7" top="0.75" bottom="0.75" header="0.3" footer="0.3"/>
  <pageSetup scale="62" orientation="portrait" horizontalDpi="0" verticalDpi="0"/>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DATOS!$A$99:$A$103</xm:f>
          </x14:formula1>
          <xm:sqref>N34:O46</xm:sqref>
        </x14:dataValidation>
        <x14:dataValidation type="list" allowBlank="1" showInputMessage="1" showErrorMessage="1">
          <x14:formula1>
            <xm:f>BDC!$A$3:$A$258</xm:f>
          </x14:formula1>
          <xm:sqref>F14:O14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AJ147"/>
  <sheetViews>
    <sheetView topLeftCell="A15" zoomScale="120" zoomScaleNormal="120" workbookViewId="0">
      <selection activeCell="L28" sqref="L28:M28"/>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8" x14ac:dyDescent="0.3">
      <c r="A1" s="379" t="s">
        <v>4</v>
      </c>
      <c r="B1" s="380"/>
      <c r="C1" s="380"/>
      <c r="D1" s="380"/>
      <c r="E1" s="380"/>
      <c r="F1" s="380" t="s">
        <v>62</v>
      </c>
      <c r="G1" s="380"/>
      <c r="H1" s="380"/>
      <c r="I1" s="380"/>
      <c r="J1" s="380"/>
      <c r="K1" s="380"/>
      <c r="L1" s="380"/>
      <c r="M1" s="380"/>
      <c r="N1" s="380"/>
      <c r="O1" s="381"/>
      <c r="P1" s="354"/>
      <c r="Q1" s="308"/>
      <c r="R1" s="308"/>
      <c r="S1" s="308"/>
      <c r="T1" s="308"/>
      <c r="U1" s="308"/>
      <c r="V1" s="308"/>
      <c r="W1" s="308"/>
      <c r="X1" s="308"/>
      <c r="Y1" s="308"/>
      <c r="Z1" s="308"/>
      <c r="AA1" s="308"/>
    </row>
    <row r="2" spans="1:28" x14ac:dyDescent="0.3">
      <c r="A2" s="382" t="s">
        <v>3</v>
      </c>
      <c r="B2" s="383"/>
      <c r="C2" s="383"/>
      <c r="D2" s="383"/>
      <c r="E2" s="383"/>
      <c r="F2" s="383" t="s">
        <v>1415</v>
      </c>
      <c r="G2" s="383"/>
      <c r="H2" s="383"/>
      <c r="I2" s="383"/>
      <c r="J2" s="383"/>
      <c r="K2" s="383"/>
      <c r="L2" s="383"/>
      <c r="M2" s="383"/>
      <c r="N2" s="383"/>
      <c r="O2" s="384"/>
      <c r="P2" s="354"/>
      <c r="Q2" s="308"/>
      <c r="R2" s="308"/>
      <c r="S2" s="308"/>
      <c r="T2" s="308"/>
      <c r="U2" s="308"/>
      <c r="V2" s="308"/>
      <c r="W2" s="308"/>
      <c r="X2" s="308"/>
      <c r="Y2" s="308"/>
      <c r="Z2" s="308"/>
      <c r="AA2" s="308"/>
    </row>
    <row r="3" spans="1:28" x14ac:dyDescent="0.3">
      <c r="A3" s="382" t="s">
        <v>2</v>
      </c>
      <c r="B3" s="383"/>
      <c r="C3" s="383"/>
      <c r="D3" s="383"/>
      <c r="E3" s="383"/>
      <c r="F3" s="385">
        <v>43367</v>
      </c>
      <c r="G3" s="385"/>
      <c r="H3" s="385"/>
      <c r="I3" s="385"/>
      <c r="J3" s="385"/>
      <c r="K3" s="385"/>
      <c r="L3" s="385"/>
      <c r="M3" s="385"/>
      <c r="N3" s="385"/>
      <c r="O3" s="386"/>
      <c r="P3" s="354"/>
      <c r="Q3" s="308"/>
      <c r="R3" s="308"/>
      <c r="S3" s="308"/>
      <c r="T3" s="308"/>
      <c r="U3" s="308"/>
      <c r="V3" s="308"/>
      <c r="W3" s="308"/>
      <c r="X3" s="308"/>
      <c r="Y3" s="308"/>
      <c r="Z3" s="308"/>
      <c r="AA3" s="308"/>
    </row>
    <row r="4" spans="1:28" x14ac:dyDescent="0.3">
      <c r="A4" s="387" t="s">
        <v>1</v>
      </c>
      <c r="B4" s="388"/>
      <c r="C4" s="388"/>
      <c r="D4" s="388"/>
      <c r="E4" s="388"/>
      <c r="F4" s="388" t="s">
        <v>273</v>
      </c>
      <c r="G4" s="388"/>
      <c r="H4" s="388"/>
      <c r="I4" s="388"/>
      <c r="J4" s="388"/>
      <c r="K4" s="388"/>
      <c r="L4" s="388"/>
      <c r="M4" s="388"/>
      <c r="N4" s="388"/>
      <c r="O4" s="389"/>
      <c r="P4" s="354"/>
      <c r="Q4" s="308"/>
      <c r="R4" s="308"/>
      <c r="S4" s="308"/>
      <c r="T4" s="308"/>
      <c r="U4" s="308"/>
      <c r="V4" s="308"/>
      <c r="W4" s="308"/>
      <c r="X4" s="308"/>
      <c r="Y4" s="308"/>
      <c r="Z4" s="308"/>
      <c r="AA4" s="308"/>
    </row>
    <row r="5" spans="1:28" x14ac:dyDescent="0.3">
      <c r="A5" s="372"/>
      <c r="B5" s="372"/>
      <c r="C5" s="372"/>
      <c r="D5" s="372"/>
      <c r="E5" s="372"/>
      <c r="F5" s="372"/>
      <c r="G5" s="372"/>
      <c r="H5" s="372"/>
      <c r="I5" s="372"/>
      <c r="J5" s="372"/>
      <c r="K5" s="372"/>
      <c r="L5" s="372"/>
      <c r="M5" s="372"/>
      <c r="N5" s="372"/>
      <c r="O5" s="372"/>
      <c r="P5" s="373"/>
      <c r="Q5" s="373"/>
      <c r="R5" s="373"/>
      <c r="S5" s="373"/>
      <c r="T5" s="373"/>
      <c r="U5" s="373"/>
      <c r="V5" s="373"/>
      <c r="W5" s="373"/>
      <c r="X5" s="373"/>
      <c r="Y5" s="373"/>
      <c r="Z5" s="373"/>
      <c r="AA5" s="373"/>
    </row>
    <row r="6" spans="1:28" ht="18" customHeight="1" x14ac:dyDescent="0.3">
      <c r="A6" s="58"/>
      <c r="B6" s="168"/>
      <c r="C6" s="167"/>
      <c r="D6" s="167"/>
      <c r="E6" s="167"/>
      <c r="F6" s="285" t="s">
        <v>1415</v>
      </c>
      <c r="G6" s="285"/>
      <c r="H6" s="285"/>
      <c r="I6" s="285"/>
      <c r="J6" s="285"/>
      <c r="K6" s="285"/>
      <c r="L6" s="285"/>
      <c r="M6" s="285"/>
      <c r="N6" s="285"/>
      <c r="O6" s="285"/>
      <c r="P6" s="374" t="s">
        <v>60</v>
      </c>
      <c r="Q6" s="374"/>
      <c r="R6" s="374"/>
      <c r="S6" s="374"/>
      <c r="T6" s="374"/>
      <c r="U6" s="374"/>
      <c r="V6" s="374"/>
      <c r="W6" s="375" t="s">
        <v>61</v>
      </c>
      <c r="X6" s="375"/>
      <c r="Y6" s="375"/>
      <c r="Z6" s="376">
        <v>1</v>
      </c>
      <c r="AA6" s="376"/>
    </row>
    <row r="7" spans="1:28" ht="15.95" customHeight="1" x14ac:dyDescent="0.3">
      <c r="A7" s="374" t="s">
        <v>6</v>
      </c>
      <c r="B7" s="374"/>
      <c r="C7" s="374"/>
      <c r="D7" s="374"/>
      <c r="E7" s="374"/>
      <c r="F7" s="377" t="str">
        <f>VLOOKUP($F$14,CONTRA,58,FALSE)</f>
        <v>PRESTACION DE SERVICIOS</v>
      </c>
      <c r="G7" s="377"/>
      <c r="H7" s="377"/>
      <c r="I7" s="377"/>
      <c r="J7" s="377"/>
      <c r="K7" s="377"/>
      <c r="L7" s="377"/>
      <c r="M7" s="377"/>
      <c r="N7" s="377"/>
      <c r="O7" s="377"/>
      <c r="P7" s="378">
        <f ca="1">NOW()</f>
        <v>43405.671953935183</v>
      </c>
      <c r="Q7" s="378"/>
      <c r="R7" s="378"/>
      <c r="S7" s="378"/>
      <c r="T7" s="378"/>
      <c r="U7" s="378"/>
      <c r="V7" s="378"/>
      <c r="W7" s="375"/>
      <c r="X7" s="375"/>
      <c r="Y7" s="375"/>
      <c r="Z7" s="376"/>
      <c r="AA7" s="376"/>
    </row>
    <row r="8" spans="1:28" ht="3.95" customHeight="1" x14ac:dyDescent="0.3">
      <c r="A8" s="367"/>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11"/>
    </row>
    <row r="9" spans="1:28" ht="15.95" customHeight="1" x14ac:dyDescent="0.3">
      <c r="A9" s="18">
        <v>1</v>
      </c>
      <c r="B9" s="323" t="s">
        <v>58</v>
      </c>
      <c r="C9" s="323"/>
      <c r="D9" s="323"/>
      <c r="E9" s="323"/>
      <c r="F9" s="323"/>
      <c r="G9" s="323"/>
      <c r="H9" s="323"/>
      <c r="I9" s="323"/>
      <c r="J9" s="323"/>
      <c r="K9" s="323"/>
      <c r="L9" s="323"/>
      <c r="M9" s="323"/>
      <c r="N9" s="323"/>
      <c r="O9" s="323"/>
      <c r="P9" s="324"/>
      <c r="Q9" s="324"/>
      <c r="R9" s="324"/>
      <c r="S9" s="324"/>
      <c r="T9" s="324"/>
      <c r="U9" s="324"/>
      <c r="V9" s="324"/>
      <c r="W9" s="324"/>
      <c r="X9" s="324"/>
      <c r="Y9" s="324"/>
      <c r="Z9" s="368">
        <f>VLOOKUP($F$14,CONTRA,6,FALSE)</f>
        <v>20</v>
      </c>
      <c r="AA9" s="369"/>
    </row>
    <row r="10" spans="1:28" ht="14.1" customHeight="1" x14ac:dyDescent="0.3">
      <c r="A10" s="325" t="s">
        <v>13</v>
      </c>
      <c r="B10" s="325"/>
      <c r="C10" s="325"/>
      <c r="D10" s="325"/>
      <c r="E10" s="325"/>
      <c r="F10" s="308" t="str">
        <f>VLOOKUP($F$14,CONTRA,2,FALSE)</f>
        <v>32-408</v>
      </c>
      <c r="G10" s="308"/>
      <c r="H10" s="19" t="s">
        <v>25</v>
      </c>
      <c r="I10" s="308" t="str">
        <f>VLOOKUP($F$14,CONTRA,3,FALSE)</f>
        <v>32-438</v>
      </c>
      <c r="J10" s="308"/>
      <c r="K10" s="19" t="s">
        <v>26</v>
      </c>
      <c r="L10" s="20"/>
      <c r="M10" s="308" t="str">
        <f>VLOOKUP($F$14,CONTRA,4,FALSE)</f>
        <v>2.3.1.1.01</v>
      </c>
      <c r="N10" s="308"/>
      <c r="O10" s="308"/>
      <c r="P10" s="325" t="s">
        <v>12</v>
      </c>
      <c r="Q10" s="325"/>
      <c r="R10" s="325"/>
      <c r="S10" s="325"/>
      <c r="T10" s="333">
        <f>VLOOKUP($F$14,CONTRA,5,FALSE)</f>
        <v>2018</v>
      </c>
      <c r="U10" s="333"/>
      <c r="V10" s="333"/>
      <c r="W10" s="325" t="s">
        <v>138</v>
      </c>
      <c r="X10" s="325"/>
      <c r="Y10" s="325"/>
      <c r="Z10" s="370"/>
      <c r="AA10" s="371"/>
    </row>
    <row r="11" spans="1:28" x14ac:dyDescent="0.3">
      <c r="A11" s="325" t="s">
        <v>7</v>
      </c>
      <c r="B11" s="325"/>
      <c r="C11" s="325"/>
      <c r="D11" s="325"/>
      <c r="E11" s="325"/>
      <c r="F11" s="333" t="str">
        <f>VLOOKUP($F$14,CONTRA,7,FALSE)</f>
        <v>INSTITUTO DE DESARROLLO MUNICIPAL - IDM</v>
      </c>
      <c r="G11" s="333"/>
      <c r="H11" s="333"/>
      <c r="I11" s="333"/>
      <c r="J11" s="333"/>
      <c r="K11" s="333"/>
      <c r="L11" s="333"/>
      <c r="M11" s="333"/>
      <c r="N11" s="333"/>
      <c r="O11" s="333"/>
      <c r="P11" s="325" t="s">
        <v>14</v>
      </c>
      <c r="Q11" s="325"/>
      <c r="R11" s="325"/>
      <c r="S11" s="325"/>
      <c r="T11" s="333" t="str">
        <f>VLOOKUP($F$14,CONTRA,8,FALSE)</f>
        <v>BARRIO LOS NARANJOS CALLE 50 N° 14-56</v>
      </c>
      <c r="U11" s="333"/>
      <c r="V11" s="333"/>
      <c r="W11" s="333"/>
      <c r="X11" s="333"/>
      <c r="Y11" s="333"/>
      <c r="Z11" s="333"/>
      <c r="AA11" s="333"/>
    </row>
    <row r="12" spans="1:28" x14ac:dyDescent="0.3">
      <c r="A12" s="325" t="s">
        <v>9</v>
      </c>
      <c r="B12" s="325"/>
      <c r="C12" s="325"/>
      <c r="D12" s="325"/>
      <c r="E12" s="325"/>
      <c r="F12" s="333" t="str">
        <f>VLOOKUP($F$14,CONTRA,9,FALSE)</f>
        <v>JUAN DAVID VILLA ROMERO</v>
      </c>
      <c r="G12" s="333"/>
      <c r="H12" s="333"/>
      <c r="I12" s="333"/>
      <c r="J12" s="333"/>
      <c r="K12" s="19" t="s">
        <v>16</v>
      </c>
      <c r="L12" s="20"/>
      <c r="M12" s="333" t="str">
        <f>VLOOKUP($F$14,CONTRA,10,FALSE)</f>
        <v>DIRECTOR</v>
      </c>
      <c r="N12" s="333"/>
      <c r="O12" s="333"/>
      <c r="P12" s="325" t="s">
        <v>11</v>
      </c>
      <c r="Q12" s="325"/>
      <c r="R12" s="325"/>
      <c r="S12" s="325"/>
      <c r="T12" s="362">
        <f>VLOOKUP($F$14,CONTRA,11,FALSE)</f>
        <v>1087996780</v>
      </c>
      <c r="U12" s="362"/>
      <c r="V12" s="362"/>
      <c r="W12" s="362"/>
      <c r="X12" s="362"/>
      <c r="Y12" s="362"/>
      <c r="Z12" s="362"/>
      <c r="AA12" s="362"/>
    </row>
    <row r="13" spans="1:28" ht="15.95" customHeight="1" x14ac:dyDescent="0.3">
      <c r="A13" s="325" t="s">
        <v>10</v>
      </c>
      <c r="B13" s="325"/>
      <c r="C13" s="325"/>
      <c r="D13" s="325"/>
      <c r="E13" s="325"/>
      <c r="F13" s="333" t="str">
        <f>VLOOKUP($F$14,CONTRA,12,FALSE)</f>
        <v>RIGOBERTO LOPERA MUÑOZ</v>
      </c>
      <c r="G13" s="333"/>
      <c r="H13" s="333"/>
      <c r="I13" s="333"/>
      <c r="J13" s="333"/>
      <c r="K13" s="19" t="s">
        <v>16</v>
      </c>
      <c r="L13" s="20"/>
      <c r="M13" s="333" t="str">
        <f>VLOOKUP($F$14,CONTRA,13,FALSE)</f>
        <v>P.UNIVERSITARIO</v>
      </c>
      <c r="N13" s="333"/>
      <c r="O13" s="333"/>
      <c r="P13" s="325" t="s">
        <v>24</v>
      </c>
      <c r="Q13" s="325"/>
      <c r="R13" s="325"/>
      <c r="S13" s="325"/>
      <c r="T13" s="364" t="str">
        <f>VLOOKUP($F$14,CONTRA,14,FALSE)</f>
        <v>23 DE ENERO DE 2018</v>
      </c>
      <c r="U13" s="364"/>
      <c r="V13" s="364"/>
      <c r="W13" s="364"/>
      <c r="X13" s="364"/>
      <c r="Y13" s="364"/>
      <c r="Z13" s="365" t="str">
        <f>VLOOKUP($F$14,CONTRA,15,FALSE)</f>
        <v>037-18</v>
      </c>
      <c r="AA13" s="366"/>
    </row>
    <row r="14" spans="1:28" ht="15.95" customHeight="1" x14ac:dyDescent="0.3">
      <c r="A14" s="325" t="s">
        <v>8</v>
      </c>
      <c r="B14" s="325"/>
      <c r="C14" s="325"/>
      <c r="D14" s="325"/>
      <c r="E14" s="325"/>
      <c r="F14" s="363" t="s">
        <v>658</v>
      </c>
      <c r="G14" s="363"/>
      <c r="H14" s="363"/>
      <c r="I14" s="363"/>
      <c r="J14" s="363"/>
      <c r="K14" s="363"/>
      <c r="L14" s="363"/>
      <c r="M14" s="363"/>
      <c r="N14" s="363"/>
      <c r="O14" s="363"/>
      <c r="P14" s="325" t="s">
        <v>11</v>
      </c>
      <c r="Q14" s="325"/>
      <c r="R14" s="325"/>
      <c r="S14" s="325"/>
      <c r="T14" s="362">
        <f>VLOOKUP($F$14,CONTRA,16,FALSE)</f>
        <v>1088010135</v>
      </c>
      <c r="U14" s="362"/>
      <c r="V14" s="362"/>
      <c r="W14" s="325" t="s">
        <v>18</v>
      </c>
      <c r="X14" s="325"/>
      <c r="Y14" s="325"/>
      <c r="Z14" s="356">
        <f>VLOOKUP($F$14,CONTRA,17,FALSE)</f>
        <v>33661</v>
      </c>
      <c r="AA14" s="356"/>
    </row>
    <row r="15" spans="1:28" ht="15.95" customHeight="1" x14ac:dyDescent="0.3">
      <c r="A15" s="325" t="s">
        <v>19</v>
      </c>
      <c r="B15" s="325"/>
      <c r="C15" s="325"/>
      <c r="D15" s="325"/>
      <c r="E15" s="325"/>
      <c r="F15" s="312" t="str">
        <f>VLOOKUP($F$14,CONTRA,18,FALSE)</f>
        <v>NATURAL</v>
      </c>
      <c r="G15" s="314"/>
      <c r="H15" s="312" t="str">
        <f>VLOOKUP($F$14,CONTRA,57,FALSE)</f>
        <v>SIMPLIFICADO</v>
      </c>
      <c r="I15" s="313"/>
      <c r="J15" s="314"/>
      <c r="K15" s="19" t="s">
        <v>15</v>
      </c>
      <c r="L15" s="20"/>
      <c r="M15" s="333" t="str">
        <f>VLOOKUP($F$14,CONTRA,19,FALSE)</f>
        <v>TECNICA</v>
      </c>
      <c r="N15" s="333"/>
      <c r="O15" s="333"/>
      <c r="P15" s="325" t="s">
        <v>14</v>
      </c>
      <c r="Q15" s="325"/>
      <c r="R15" s="325"/>
      <c r="S15" s="325"/>
      <c r="T15" s="333" t="str">
        <f>VLOOKUP($F$14,CONTRA,20,FALSE)</f>
        <v>CLL 30 N° 6-49 2 PISO</v>
      </c>
      <c r="U15" s="333"/>
      <c r="V15" s="333"/>
      <c r="W15" s="333"/>
      <c r="X15" s="333"/>
      <c r="Y15" s="333"/>
      <c r="Z15" s="333"/>
      <c r="AA15" s="333"/>
    </row>
    <row r="16" spans="1:28" x14ac:dyDescent="0.3">
      <c r="A16" s="325" t="s">
        <v>21</v>
      </c>
      <c r="B16" s="325"/>
      <c r="C16" s="325"/>
      <c r="D16" s="325"/>
      <c r="E16" s="325"/>
      <c r="F16" s="361">
        <f>VLOOKUP($F$14,CONTRA,21,FALSE)</f>
        <v>3122510820</v>
      </c>
      <c r="G16" s="362"/>
      <c r="H16" s="362"/>
      <c r="I16" s="362"/>
      <c r="J16" s="362"/>
      <c r="K16" s="325" t="s">
        <v>22</v>
      </c>
      <c r="L16" s="325"/>
      <c r="M16" s="333" t="str">
        <f>VLOOKUP($F$14,CONTRA,22,FALSE)</f>
        <v>TECNICA</v>
      </c>
      <c r="N16" s="333"/>
      <c r="O16" s="333"/>
      <c r="P16" s="325" t="s">
        <v>23</v>
      </c>
      <c r="Q16" s="325"/>
      <c r="R16" s="325"/>
      <c r="S16" s="325"/>
      <c r="T16" s="333" t="str">
        <f>VLOOKUP($F$14,CONTRA,23,FALSE)</f>
        <v>yohana27778@gmail.com</v>
      </c>
      <c r="U16" s="333"/>
      <c r="V16" s="333"/>
      <c r="W16" s="333"/>
      <c r="X16" s="333"/>
      <c r="Y16" s="333"/>
      <c r="Z16" s="333"/>
      <c r="AA16" s="333"/>
    </row>
    <row r="17" spans="1:34" ht="3.95" customHeight="1" x14ac:dyDescent="0.3">
      <c r="A17" s="357"/>
      <c r="B17" s="357"/>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row>
    <row r="18" spans="1:34" ht="15.95" customHeight="1" x14ac:dyDescent="0.3">
      <c r="A18" s="325" t="s">
        <v>30</v>
      </c>
      <c r="B18" s="325"/>
      <c r="C18" s="325"/>
      <c r="D18" s="325"/>
      <c r="E18" s="325"/>
      <c r="F18" s="358" t="str">
        <f>VLOOKUP($F$14,CONTRA,24,FALSE)</f>
        <v>23 de enero de 2018</v>
      </c>
      <c r="G18" s="359"/>
      <c r="H18" s="359"/>
      <c r="I18" s="359"/>
      <c r="J18" s="360"/>
      <c r="K18" s="308"/>
      <c r="L18" s="308"/>
      <c r="M18" s="308"/>
      <c r="N18" s="308"/>
      <c r="O18" s="308"/>
      <c r="P18" s="325" t="s">
        <v>34</v>
      </c>
      <c r="Q18" s="325"/>
      <c r="R18" s="325"/>
      <c r="S18" s="325"/>
      <c r="T18" s="358" t="str">
        <f>VLOOKUP($F$14,CONTRA,25,FALSE)</f>
        <v>30 de diciembre de 2018</v>
      </c>
      <c r="U18" s="359"/>
      <c r="V18" s="359"/>
      <c r="W18" s="359"/>
      <c r="X18" s="359"/>
      <c r="Y18" s="359"/>
      <c r="Z18" s="359"/>
      <c r="AA18" s="360"/>
    </row>
    <row r="19" spans="1:34" x14ac:dyDescent="0.3">
      <c r="A19" s="325" t="s">
        <v>31</v>
      </c>
      <c r="B19" s="325"/>
      <c r="C19" s="325"/>
      <c r="D19" s="325"/>
      <c r="E19" s="325"/>
      <c r="F19" s="320">
        <f>VLOOKUP($F$14,CONTRA,26,FALSE)</f>
        <v>14400000</v>
      </c>
      <c r="G19" s="320"/>
      <c r="H19" s="320"/>
      <c r="I19" s="320"/>
      <c r="J19" s="320"/>
      <c r="K19" s="308"/>
      <c r="L19" s="308"/>
      <c r="M19" s="308"/>
      <c r="N19" s="308"/>
      <c r="O19" s="308"/>
      <c r="P19" s="325" t="s">
        <v>35</v>
      </c>
      <c r="Q19" s="325"/>
      <c r="R19" s="325"/>
      <c r="S19" s="325"/>
      <c r="T19" s="308">
        <f>VLOOKUP($F$14,CONTRA,27,FALSE)</f>
        <v>240</v>
      </c>
      <c r="U19" s="308"/>
      <c r="V19" s="308"/>
      <c r="W19" s="308"/>
      <c r="X19" s="308"/>
      <c r="Y19" s="308"/>
      <c r="Z19" s="308"/>
      <c r="AA19" s="308"/>
    </row>
    <row r="20" spans="1:34" x14ac:dyDescent="0.3">
      <c r="A20" s="325" t="s">
        <v>32</v>
      </c>
      <c r="B20" s="325"/>
      <c r="C20" s="325"/>
      <c r="D20" s="325"/>
      <c r="E20" s="325"/>
      <c r="F20" s="320">
        <f>+Z21*T20</f>
        <v>5880000</v>
      </c>
      <c r="G20" s="320"/>
      <c r="H20" s="320"/>
      <c r="I20" s="320"/>
      <c r="J20" s="320"/>
      <c r="K20" s="19" t="s">
        <v>0</v>
      </c>
      <c r="L20" s="20"/>
      <c r="M20" s="356">
        <f>VLOOKUP($F$14,CONTRA,29,FALSE)</f>
        <v>43364</v>
      </c>
      <c r="N20" s="356"/>
      <c r="O20" s="356"/>
      <c r="P20" s="325" t="s">
        <v>36</v>
      </c>
      <c r="Q20" s="325"/>
      <c r="R20" s="325"/>
      <c r="S20" s="325"/>
      <c r="T20" s="308">
        <f>VLOOKUP($F$14,CONTRA,28,FALSE)</f>
        <v>98</v>
      </c>
      <c r="U20" s="308"/>
      <c r="V20" s="308"/>
      <c r="W20" s="308"/>
      <c r="X20" s="308"/>
      <c r="Y20" s="308"/>
      <c r="Z20" s="308"/>
      <c r="AA20" s="308"/>
    </row>
    <row r="21" spans="1:34" ht="15.95" customHeight="1" x14ac:dyDescent="0.3">
      <c r="A21" s="325" t="s">
        <v>33</v>
      </c>
      <c r="B21" s="325"/>
      <c r="C21" s="325"/>
      <c r="D21" s="325"/>
      <c r="E21" s="325"/>
      <c r="F21" s="309">
        <f>SUM(F19:J20)</f>
        <v>20280000</v>
      </c>
      <c r="G21" s="353"/>
      <c r="H21" s="353"/>
      <c r="I21" s="353"/>
      <c r="J21" s="354"/>
      <c r="K21" s="308"/>
      <c r="L21" s="308"/>
      <c r="M21" s="308"/>
      <c r="N21" s="308"/>
      <c r="O21" s="308"/>
      <c r="P21" s="325" t="s">
        <v>38</v>
      </c>
      <c r="Q21" s="325"/>
      <c r="R21" s="325"/>
      <c r="S21" s="325"/>
      <c r="T21" s="355">
        <f>+T19+T20</f>
        <v>338</v>
      </c>
      <c r="U21" s="353"/>
      <c r="V21" s="354"/>
      <c r="W21" s="325" t="s">
        <v>37</v>
      </c>
      <c r="X21" s="325"/>
      <c r="Y21" s="325"/>
      <c r="Z21" s="309">
        <f>+F19/T19</f>
        <v>60000</v>
      </c>
      <c r="AA21" s="311"/>
    </row>
    <row r="22" spans="1:34" ht="39.950000000000003" customHeight="1" x14ac:dyDescent="0.3">
      <c r="A22" s="349" t="s">
        <v>27</v>
      </c>
      <c r="B22" s="349"/>
      <c r="C22" s="349"/>
      <c r="D22" s="349"/>
      <c r="E22" s="349"/>
      <c r="F22" s="350" t="str">
        <f>VLOOKUP($F$14,CONTRA,30,FALSE)</f>
        <v>PRESTAR SERVICIOS DE APOYO A LA GESTION A LA SUBDIRECCION TECNICA, EN LOS PROCESOS DE COMERCIALIZACION DE LOS PROYECTOS DE VIVIENDA QUE ADELANTA EL INSTITUTO</v>
      </c>
      <c r="G22" s="351"/>
      <c r="H22" s="351"/>
      <c r="I22" s="351"/>
      <c r="J22" s="351"/>
      <c r="K22" s="351"/>
      <c r="L22" s="351"/>
      <c r="M22" s="351"/>
      <c r="N22" s="351"/>
      <c r="O22" s="351"/>
      <c r="P22" s="351"/>
      <c r="Q22" s="351"/>
      <c r="R22" s="351"/>
      <c r="S22" s="351"/>
      <c r="T22" s="351"/>
      <c r="U22" s="351"/>
      <c r="V22" s="351"/>
      <c r="W22" s="351"/>
      <c r="X22" s="351"/>
      <c r="Y22" s="351"/>
      <c r="Z22" s="351"/>
      <c r="AA22" s="352"/>
    </row>
    <row r="23" spans="1:34" ht="39.950000000000003" customHeight="1" x14ac:dyDescent="0.3">
      <c r="A23" s="349" t="s">
        <v>28</v>
      </c>
      <c r="B23" s="349"/>
      <c r="C23" s="349"/>
      <c r="D23" s="349"/>
      <c r="E23" s="349"/>
      <c r="F23" s="350"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351"/>
      <c r="H23" s="351"/>
      <c r="I23" s="351"/>
      <c r="J23" s="351"/>
      <c r="K23" s="351"/>
      <c r="L23" s="351"/>
      <c r="M23" s="351"/>
      <c r="N23" s="351"/>
      <c r="O23" s="351"/>
      <c r="P23" s="351"/>
      <c r="Q23" s="351"/>
      <c r="R23" s="351"/>
      <c r="S23" s="351"/>
      <c r="T23" s="351"/>
      <c r="U23" s="351"/>
      <c r="V23" s="351"/>
      <c r="W23" s="351"/>
      <c r="X23" s="351"/>
      <c r="Y23" s="351"/>
      <c r="Z23" s="351"/>
      <c r="AA23" s="352"/>
      <c r="AF23" s="12"/>
    </row>
    <row r="24" spans="1:34" ht="39.950000000000003" customHeight="1" x14ac:dyDescent="0.3">
      <c r="A24" s="349" t="s">
        <v>29</v>
      </c>
      <c r="B24" s="349"/>
      <c r="C24" s="349"/>
      <c r="D24" s="349"/>
      <c r="E24" s="349"/>
      <c r="F24" s="350"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351"/>
      <c r="H24" s="351"/>
      <c r="I24" s="351"/>
      <c r="J24" s="351"/>
      <c r="K24" s="351"/>
      <c r="L24" s="351"/>
      <c r="M24" s="351"/>
      <c r="N24" s="351"/>
      <c r="O24" s="351"/>
      <c r="P24" s="351"/>
      <c r="Q24" s="351"/>
      <c r="R24" s="351"/>
      <c r="S24" s="351"/>
      <c r="T24" s="351"/>
      <c r="U24" s="351"/>
      <c r="V24" s="351"/>
      <c r="W24" s="351"/>
      <c r="X24" s="351"/>
      <c r="Y24" s="351"/>
      <c r="Z24" s="351"/>
      <c r="AA24" s="352"/>
      <c r="AF24" s="12"/>
    </row>
    <row r="25" spans="1:34" ht="15.95" customHeight="1" x14ac:dyDescent="0.3">
      <c r="A25" s="18">
        <v>2</v>
      </c>
      <c r="B25" s="323" t="s">
        <v>59</v>
      </c>
      <c r="C25" s="323"/>
      <c r="D25" s="323"/>
      <c r="E25" s="323"/>
      <c r="F25" s="323"/>
      <c r="G25" s="323"/>
      <c r="H25" s="323"/>
      <c r="I25" s="323"/>
      <c r="J25" s="323"/>
      <c r="K25" s="323"/>
      <c r="L25" s="323"/>
      <c r="M25" s="323"/>
      <c r="N25" s="323"/>
      <c r="O25" s="323"/>
      <c r="P25" s="84"/>
      <c r="Q25" s="85"/>
      <c r="R25" s="85"/>
      <c r="S25" s="85"/>
      <c r="T25" s="346" t="s">
        <v>1381</v>
      </c>
      <c r="U25" s="346"/>
      <c r="V25" s="346"/>
      <c r="W25" s="346"/>
      <c r="X25" s="346" t="s">
        <v>270</v>
      </c>
      <c r="Y25" s="346"/>
      <c r="Z25" s="346" t="s">
        <v>283</v>
      </c>
      <c r="AA25" s="347"/>
      <c r="AF25" s="12"/>
    </row>
    <row r="26" spans="1:34" ht="15.95" customHeight="1" x14ac:dyDescent="0.3">
      <c r="A26" s="325" t="s">
        <v>292</v>
      </c>
      <c r="B26" s="325"/>
      <c r="C26" s="325"/>
      <c r="D26" s="325"/>
      <c r="E26" s="325"/>
      <c r="F26" s="308"/>
      <c r="G26" s="308"/>
      <c r="H26" s="308"/>
      <c r="I26" s="308"/>
      <c r="J26" s="308"/>
      <c r="K26" s="308"/>
      <c r="L26" s="308"/>
      <c r="M26" s="308"/>
      <c r="N26" s="308"/>
      <c r="O26" s="308"/>
      <c r="P26" s="348" t="str">
        <f>VLOOKUP($F$14,CONTRA,59,FALSE)</f>
        <v>RIESGO V</v>
      </c>
      <c r="Q26" s="348"/>
      <c r="R26" s="341">
        <v>0.4</v>
      </c>
      <c r="S26" s="341"/>
      <c r="T26" s="320">
        <f>+R26*F21</f>
        <v>8112000</v>
      </c>
      <c r="U26" s="320"/>
      <c r="V26" s="320"/>
      <c r="W26" s="320"/>
      <c r="X26" s="320">
        <f>IF(R26*Z21&lt;DATOS!C32,DATOS!C32,R26*Z21)</f>
        <v>26041.4</v>
      </c>
      <c r="Y26" s="320"/>
      <c r="Z26" s="320">
        <f>+X26*J49</f>
        <v>781242</v>
      </c>
      <c r="AA26" s="320"/>
      <c r="AB26" s="12"/>
      <c r="AD26"/>
      <c r="AE26"/>
      <c r="AF26" s="4"/>
      <c r="AG26" s="4"/>
    </row>
    <row r="27" spans="1:34" ht="15.95" customHeight="1" x14ac:dyDescent="0.3">
      <c r="A27" s="325" t="s">
        <v>39</v>
      </c>
      <c r="B27" s="325"/>
      <c r="C27" s="325"/>
      <c r="D27" s="325"/>
      <c r="E27" s="325"/>
      <c r="F27" s="333" t="str">
        <f>VLOOKUP($F$14,CONTRA,33,FALSE)</f>
        <v xml:space="preserve">SALUD TOTAL </v>
      </c>
      <c r="G27" s="333"/>
      <c r="H27" s="333"/>
      <c r="I27" s="87" t="s">
        <v>133</v>
      </c>
      <c r="J27" s="87"/>
      <c r="K27" s="87"/>
      <c r="L27" s="345" t="str">
        <f>+VLOOKUP(L28,DATOS!A125:D139,3)</f>
        <v>6º</v>
      </c>
      <c r="M27" s="345"/>
      <c r="N27" s="345"/>
      <c r="O27" s="345"/>
      <c r="P27" s="348"/>
      <c r="Q27" s="348"/>
      <c r="R27" s="335">
        <v>0.125</v>
      </c>
      <c r="S27" s="335"/>
      <c r="T27" s="320">
        <f>+T26*R27</f>
        <v>1014000</v>
      </c>
      <c r="U27" s="320"/>
      <c r="V27" s="320"/>
      <c r="W27" s="320"/>
      <c r="X27" s="320">
        <f>+$X$26*R27</f>
        <v>3255.1750000000002</v>
      </c>
      <c r="Y27" s="320"/>
      <c r="Z27" s="320">
        <f>ROUNDUP(X27*J49,-2)</f>
        <v>97700</v>
      </c>
      <c r="AA27" s="320"/>
      <c r="AB27" s="12"/>
      <c r="AD27" s="12"/>
      <c r="AE27" s="4"/>
      <c r="AF27" s="166"/>
      <c r="AG27"/>
      <c r="AH27" s="12"/>
    </row>
    <row r="28" spans="1:34" ht="15.95" customHeight="1" x14ac:dyDescent="0.3">
      <c r="A28" s="325" t="s">
        <v>40</v>
      </c>
      <c r="B28" s="325"/>
      <c r="C28" s="325"/>
      <c r="D28" s="325"/>
      <c r="E28" s="325"/>
      <c r="F28" s="333" t="str">
        <f>VLOOKUP($F$14,CONTRA,34,FALSE)</f>
        <v xml:space="preserve">PORVENIR </v>
      </c>
      <c r="G28" s="333"/>
      <c r="H28" s="333"/>
      <c r="I28" s="19" t="s">
        <v>134</v>
      </c>
      <c r="J28" s="19"/>
      <c r="K28" s="19"/>
      <c r="L28" s="343" t="str">
        <f>RIGHT(T14,2)</f>
        <v>35</v>
      </c>
      <c r="M28" s="343"/>
      <c r="N28" s="344" t="s">
        <v>270</v>
      </c>
      <c r="O28" s="344"/>
      <c r="P28" s="348"/>
      <c r="Q28" s="348"/>
      <c r="R28" s="341">
        <v>0.16</v>
      </c>
      <c r="S28" s="341"/>
      <c r="T28" s="320">
        <f>+T26*R28</f>
        <v>1297920</v>
      </c>
      <c r="U28" s="320"/>
      <c r="V28" s="320"/>
      <c r="W28" s="320"/>
      <c r="X28" s="320">
        <f>+$X$26*R28</f>
        <v>4166.6240000000007</v>
      </c>
      <c r="Y28" s="320"/>
      <c r="Z28" s="320">
        <f>ROUNDUP(X28*J49,-2)</f>
        <v>125000</v>
      </c>
      <c r="AA28" s="320"/>
      <c r="AB28" s="12"/>
      <c r="AD28" s="4"/>
      <c r="AE28" s="4"/>
      <c r="AF28" s="4"/>
      <c r="AG28" s="4"/>
    </row>
    <row r="29" spans="1:34" ht="15.95" customHeight="1" x14ac:dyDescent="0.3">
      <c r="A29" s="325" t="s">
        <v>41</v>
      </c>
      <c r="B29" s="325"/>
      <c r="C29" s="325"/>
      <c r="D29" s="325"/>
      <c r="E29" s="325"/>
      <c r="F29" s="333" t="str">
        <f>VLOOKUP($F$14,CONTRA,36,FALSE)</f>
        <v>SURA</v>
      </c>
      <c r="G29" s="333"/>
      <c r="H29" s="333"/>
      <c r="I29" s="325" t="s">
        <v>135</v>
      </c>
      <c r="J29" s="325"/>
      <c r="K29" s="325"/>
      <c r="L29" s="319" t="str">
        <f>VLOOKUP($F$14,CONTRA,37,FALSE)</f>
        <v>23 de enero de 2018</v>
      </c>
      <c r="M29" s="319"/>
      <c r="N29" s="319"/>
      <c r="O29" s="319"/>
      <c r="P29" s="348"/>
      <c r="Q29" s="348"/>
      <c r="R29" s="342">
        <f>+VLOOKUP(P26,DATOS!A20:B24,2,FALSE)</f>
        <v>6.9599999999999995E-2</v>
      </c>
      <c r="S29" s="342"/>
      <c r="T29" s="320">
        <f>+T26*R29</f>
        <v>564595.19999999995</v>
      </c>
      <c r="U29" s="320"/>
      <c r="V29" s="320"/>
      <c r="W29" s="320"/>
      <c r="X29" s="320">
        <f>+R29*X26</f>
        <v>1812.48144</v>
      </c>
      <c r="Y29" s="320"/>
      <c r="Z29" s="320">
        <f>ROUNDUP(X29*J49,-2)</f>
        <v>54400</v>
      </c>
      <c r="AA29" s="320"/>
      <c r="AD29" s="4"/>
      <c r="AE29" s="4"/>
      <c r="AF29" s="4"/>
      <c r="AG29"/>
    </row>
    <row r="30" spans="1:34" ht="15.95" customHeight="1" x14ac:dyDescent="0.3">
      <c r="A30" s="325" t="s">
        <v>290</v>
      </c>
      <c r="B30" s="325"/>
      <c r="C30" s="325"/>
      <c r="D30" s="325"/>
      <c r="E30" s="325"/>
      <c r="F30" s="336" t="s">
        <v>288</v>
      </c>
      <c r="G30" s="336"/>
      <c r="H30" s="336"/>
      <c r="I30" s="336"/>
      <c r="J30" s="336"/>
      <c r="K30" s="336"/>
      <c r="L30" s="308" t="str">
        <f>+VLOOKUP(P26,DATOS!A157:B161,2,FALSE)</f>
        <v>PATRONAL</v>
      </c>
      <c r="M30" s="308"/>
      <c r="N30" s="308"/>
      <c r="O30" s="308"/>
      <c r="P30" s="337" t="s">
        <v>49</v>
      </c>
      <c r="Q30" s="338"/>
      <c r="R30" s="341"/>
      <c r="S30" s="341"/>
      <c r="T30" s="320">
        <f>SUM(T27:W29)</f>
        <v>2876515.2</v>
      </c>
      <c r="U30" s="341"/>
      <c r="V30" s="341"/>
      <c r="W30" s="341"/>
      <c r="X30" s="320">
        <f>SUM(X27:Y29)</f>
        <v>9234.2804400000005</v>
      </c>
      <c r="Y30" s="320"/>
      <c r="Z30" s="320">
        <f>IF(P26="RIESGO V",Z27+Z28,Z27+Z28+Z29)</f>
        <v>222700</v>
      </c>
      <c r="AA30" s="320"/>
      <c r="AD30" s="4"/>
      <c r="AE30" s="4"/>
      <c r="AF30" s="4"/>
      <c r="AG30"/>
    </row>
    <row r="31" spans="1:34" ht="15.95" customHeight="1" x14ac:dyDescent="0.3">
      <c r="A31" s="325" t="s">
        <v>42</v>
      </c>
      <c r="B31" s="325"/>
      <c r="C31" s="325"/>
      <c r="D31" s="325"/>
      <c r="E31" s="325"/>
      <c r="F31" s="333" t="s">
        <v>142</v>
      </c>
      <c r="G31" s="333"/>
      <c r="H31" s="333"/>
      <c r="I31" s="333"/>
      <c r="J31" s="333"/>
      <c r="K31" s="333"/>
      <c r="L31" s="334" t="str">
        <f>VLOOKUP($F$14,CONTRA,38,FALSE)</f>
        <v>PAGADO</v>
      </c>
      <c r="M31" s="334"/>
      <c r="N31" s="334"/>
      <c r="O31" s="334"/>
      <c r="P31" s="339"/>
      <c r="Q31" s="340"/>
      <c r="R31" s="335">
        <f>VLOOKUP(L31,DATOS!A37:B38,2,FALSE)</f>
        <v>0</v>
      </c>
      <c r="S31" s="335"/>
      <c r="T31" s="320">
        <f>+R31*$F$21</f>
        <v>0</v>
      </c>
      <c r="U31" s="320"/>
      <c r="V31" s="320"/>
      <c r="W31" s="320"/>
      <c r="X31" s="320">
        <f>+T31/T21</f>
        <v>0</v>
      </c>
      <c r="Y31" s="320"/>
      <c r="Z31" s="320">
        <f>+X31*J49</f>
        <v>0</v>
      </c>
      <c r="AA31" s="320"/>
      <c r="AE31" s="13"/>
      <c r="AF31" s="12"/>
    </row>
    <row r="32" spans="1:34" ht="15.95" customHeight="1" x14ac:dyDescent="0.3">
      <c r="A32" s="218">
        <v>3</v>
      </c>
      <c r="B32" s="390" t="s">
        <v>44</v>
      </c>
      <c r="C32" s="391"/>
      <c r="D32" s="391"/>
      <c r="E32" s="391"/>
      <c r="F32" s="391"/>
      <c r="G32" s="391"/>
      <c r="H32" s="391"/>
      <c r="I32" s="391"/>
      <c r="J32" s="391"/>
      <c r="K32" s="391"/>
      <c r="L32" s="391"/>
      <c r="M32" s="391"/>
      <c r="N32" s="391"/>
      <c r="O32" s="392"/>
      <c r="P32" s="59">
        <v>1</v>
      </c>
      <c r="Q32" s="59">
        <v>2</v>
      </c>
      <c r="R32" s="59">
        <v>3</v>
      </c>
      <c r="S32" s="59">
        <v>4</v>
      </c>
      <c r="T32" s="59">
        <v>5</v>
      </c>
      <c r="U32" s="59">
        <v>6</v>
      </c>
      <c r="V32" s="59">
        <v>7</v>
      </c>
      <c r="W32" s="59">
        <v>8</v>
      </c>
      <c r="X32" s="59">
        <v>9</v>
      </c>
      <c r="Y32" s="59">
        <v>10</v>
      </c>
      <c r="Z32" s="59">
        <v>11</v>
      </c>
      <c r="AA32" s="59">
        <v>12</v>
      </c>
      <c r="AF32" s="4"/>
    </row>
    <row r="33" spans="1:36" ht="24.95" customHeight="1" x14ac:dyDescent="0.3">
      <c r="A33" s="222">
        <v>1</v>
      </c>
      <c r="B33" s="286" t="str">
        <f>VLOOKUP($F$14,CONTRA,39,FALSE)</f>
        <v xml:space="preserve">Apoyar en la gestión las solicitudes de renuncias o aplicación de subsidios de vivienda MI CASA YA y demás que se requieran. </v>
      </c>
      <c r="C33" s="287"/>
      <c r="D33" s="287"/>
      <c r="E33" s="287"/>
      <c r="F33" s="287"/>
      <c r="G33" s="287"/>
      <c r="H33" s="287"/>
      <c r="I33" s="287"/>
      <c r="J33" s="287"/>
      <c r="K33" s="287"/>
      <c r="L33" s="287"/>
      <c r="M33" s="287"/>
      <c r="N33" s="287"/>
      <c r="O33" s="288"/>
      <c r="P33" s="51"/>
      <c r="Q33" s="51"/>
      <c r="R33" s="51"/>
      <c r="S33" s="51"/>
      <c r="T33" s="51"/>
      <c r="U33" s="51"/>
      <c r="V33" s="51"/>
      <c r="W33" s="51"/>
      <c r="X33" s="51"/>
      <c r="Y33" s="51"/>
      <c r="Z33" s="51"/>
      <c r="AA33" s="51"/>
    </row>
    <row r="34" spans="1:36" ht="24.95" customHeight="1" x14ac:dyDescent="0.3">
      <c r="A34" s="222">
        <v>2</v>
      </c>
      <c r="B34" s="286" t="str">
        <f>VLOOKUP($F$14,CONTRA,40,FALSE)</f>
        <v>Apoyar en los cierres financieros de los proyectos MI CASA YA que tenga a cargo el instituto</v>
      </c>
      <c r="C34" s="287"/>
      <c r="D34" s="287"/>
      <c r="E34" s="287"/>
      <c r="F34" s="287"/>
      <c r="G34" s="287"/>
      <c r="H34" s="287"/>
      <c r="I34" s="287"/>
      <c r="J34" s="287"/>
      <c r="K34" s="287"/>
      <c r="L34" s="287"/>
      <c r="M34" s="287"/>
      <c r="N34" s="287"/>
      <c r="O34" s="288"/>
      <c r="P34" s="51"/>
      <c r="Q34" s="51"/>
      <c r="R34" s="51"/>
      <c r="S34" s="51"/>
      <c r="T34" s="51"/>
      <c r="U34" s="51"/>
      <c r="V34" s="51"/>
      <c r="W34" s="51"/>
      <c r="X34" s="51"/>
      <c r="Y34" s="51"/>
      <c r="Z34" s="51"/>
      <c r="AA34" s="51"/>
    </row>
    <row r="35" spans="1:36" ht="24.95" customHeight="1" x14ac:dyDescent="0.3">
      <c r="A35" s="222">
        <v>3</v>
      </c>
      <c r="B35" s="286" t="str">
        <f>VLOOKUP($F$14,CONTRA,41,FALSE)</f>
        <v>Apoyar el seguimiento a las promesas de compraventa de los proyectos MI CASA YA a cargo del instituto</v>
      </c>
      <c r="C35" s="287"/>
      <c r="D35" s="287"/>
      <c r="E35" s="287"/>
      <c r="F35" s="287"/>
      <c r="G35" s="287"/>
      <c r="H35" s="287"/>
      <c r="I35" s="287"/>
      <c r="J35" s="287"/>
      <c r="K35" s="287"/>
      <c r="L35" s="287"/>
      <c r="M35" s="287"/>
      <c r="N35" s="287"/>
      <c r="O35" s="288"/>
      <c r="P35" s="51"/>
      <c r="Q35" s="51"/>
      <c r="R35" s="51"/>
      <c r="S35" s="51"/>
      <c r="T35" s="51"/>
      <c r="U35" s="51"/>
      <c r="V35" s="51"/>
      <c r="W35" s="51"/>
      <c r="X35" s="51"/>
      <c r="Y35" s="51"/>
      <c r="Z35" s="51"/>
      <c r="AA35" s="51"/>
      <c r="AE35" s="12"/>
    </row>
    <row r="36" spans="1:36" ht="24.95" customHeight="1" x14ac:dyDescent="0.3">
      <c r="A36" s="222">
        <v>4</v>
      </c>
      <c r="B36" s="286" t="str">
        <f>VLOOKUP($F$14,CONTRA,42,FALSE)</f>
        <v>Acompañamiento en la postulación de sustitutos de los proyectos MI CASA YA  a cargo del instituto</v>
      </c>
      <c r="C36" s="287"/>
      <c r="D36" s="287"/>
      <c r="E36" s="287"/>
      <c r="F36" s="287"/>
      <c r="G36" s="287"/>
      <c r="H36" s="287"/>
      <c r="I36" s="287"/>
      <c r="J36" s="287"/>
      <c r="K36" s="287"/>
      <c r="L36" s="287"/>
      <c r="M36" s="287"/>
      <c r="N36" s="287"/>
      <c r="O36" s="288"/>
      <c r="P36" s="51"/>
      <c r="Q36" s="51"/>
      <c r="R36" s="51"/>
      <c r="S36" s="51"/>
      <c r="T36" s="51"/>
      <c r="U36" s="51"/>
      <c r="V36" s="51"/>
      <c r="W36" s="51"/>
      <c r="X36" s="51"/>
      <c r="Y36" s="51"/>
      <c r="Z36" s="51"/>
      <c r="AA36" s="51"/>
    </row>
    <row r="37" spans="1:36" ht="24.95" customHeight="1" x14ac:dyDescent="0.3">
      <c r="A37" s="222">
        <v>5</v>
      </c>
      <c r="B37" s="286" t="str">
        <f>VLOOKUP($F$14,CONTRA,43,FALSE)</f>
        <v>Apoyo en las remisiones y solicitudes a fiduciaria Bogotá, CAVIS, Comfamiliar y entre otras instituciones que tengan injerencia con subsidios de vivienda a nivel Nacional</v>
      </c>
      <c r="C37" s="287"/>
      <c r="D37" s="287"/>
      <c r="E37" s="287"/>
      <c r="F37" s="287"/>
      <c r="G37" s="287"/>
      <c r="H37" s="287"/>
      <c r="I37" s="287"/>
      <c r="J37" s="287"/>
      <c r="K37" s="287"/>
      <c r="L37" s="287"/>
      <c r="M37" s="287"/>
      <c r="N37" s="287"/>
      <c r="O37" s="288"/>
      <c r="P37" s="51"/>
      <c r="Q37" s="51"/>
      <c r="R37" s="51"/>
      <c r="S37" s="51"/>
      <c r="T37" s="51"/>
      <c r="U37" s="51"/>
      <c r="V37" s="51"/>
      <c r="W37" s="51"/>
      <c r="X37" s="51"/>
      <c r="Y37" s="51"/>
      <c r="Z37" s="51"/>
      <c r="AA37" s="51"/>
      <c r="AE37" s="12"/>
      <c r="AH37" s="12"/>
      <c r="AI37" s="86"/>
    </row>
    <row r="38" spans="1:36" ht="24.95" customHeight="1" x14ac:dyDescent="0.3">
      <c r="A38" s="222">
        <v>6</v>
      </c>
      <c r="B38" s="286" t="str">
        <f>VLOOKUP($F$14,CONTRA,44,FALSE)</f>
        <v>Acompañamiento en el desarrollo de las actividades necesarias y compartidas con las constructoras de los proyectos MI CASA YA</v>
      </c>
      <c r="C38" s="287"/>
      <c r="D38" s="287"/>
      <c r="E38" s="287"/>
      <c r="F38" s="287"/>
      <c r="G38" s="287"/>
      <c r="H38" s="287"/>
      <c r="I38" s="287"/>
      <c r="J38" s="287"/>
      <c r="K38" s="287"/>
      <c r="L38" s="287"/>
      <c r="M38" s="287"/>
      <c r="N38" s="287"/>
      <c r="O38" s="288"/>
      <c r="P38" s="51"/>
      <c r="Q38" s="51"/>
      <c r="R38" s="51"/>
      <c r="S38" s="51"/>
      <c r="T38" s="51"/>
      <c r="U38" s="51"/>
      <c r="V38" s="51"/>
      <c r="W38" s="51"/>
      <c r="X38" s="51"/>
      <c r="Y38" s="51"/>
      <c r="Z38" s="51"/>
      <c r="AA38" s="51"/>
      <c r="AD38" s="52"/>
      <c r="AE38" s="12"/>
      <c r="AF38" s="12"/>
      <c r="AG38" s="12"/>
      <c r="AH38" s="12"/>
      <c r="AI38" s="12"/>
      <c r="AJ38" s="12"/>
    </row>
    <row r="39" spans="1:36" ht="24.95" customHeight="1" x14ac:dyDescent="0.3">
      <c r="A39" s="222">
        <v>7</v>
      </c>
      <c r="B39" s="286" t="str">
        <f>VLOOKUP($F$14,CONTRA,45,FALSE)</f>
        <v xml:space="preserve"> Apoyo en la gestión en las actividades notariales y de oficina de registro de instrumentos públicos de los proyectos MI CASA YA a cargo del instituto.</v>
      </c>
      <c r="C39" s="287"/>
      <c r="D39" s="287"/>
      <c r="E39" s="287"/>
      <c r="F39" s="287"/>
      <c r="G39" s="287"/>
      <c r="H39" s="287"/>
      <c r="I39" s="287"/>
      <c r="J39" s="287"/>
      <c r="K39" s="287"/>
      <c r="L39" s="287"/>
      <c r="M39" s="287"/>
      <c r="N39" s="287"/>
      <c r="O39" s="288"/>
      <c r="P39" s="51"/>
      <c r="Q39" s="51"/>
      <c r="R39" s="51"/>
      <c r="S39" s="51"/>
      <c r="T39" s="51"/>
      <c r="U39" s="51"/>
      <c r="V39" s="51"/>
      <c r="W39" s="51"/>
      <c r="X39" s="51"/>
      <c r="Y39" s="51"/>
      <c r="Z39" s="51"/>
      <c r="AA39" s="51"/>
      <c r="AD39" s="52"/>
      <c r="AE39" s="12"/>
      <c r="AF39" s="12"/>
      <c r="AG39" s="12"/>
      <c r="AH39" s="12"/>
      <c r="AI39" s="12"/>
      <c r="AJ39" s="12"/>
    </row>
    <row r="40" spans="1:36" ht="24.95" customHeight="1" x14ac:dyDescent="0.3">
      <c r="A40" s="222">
        <v>8</v>
      </c>
      <c r="B40" s="286">
        <f>VLOOKUP($F$14,CONTRA,46,FALSE)</f>
        <v>0</v>
      </c>
      <c r="C40" s="287"/>
      <c r="D40" s="287"/>
      <c r="E40" s="287"/>
      <c r="F40" s="287"/>
      <c r="G40" s="287"/>
      <c r="H40" s="287"/>
      <c r="I40" s="287"/>
      <c r="J40" s="287"/>
      <c r="K40" s="287"/>
      <c r="L40" s="287"/>
      <c r="M40" s="287"/>
      <c r="N40" s="287"/>
      <c r="O40" s="288"/>
      <c r="P40" s="51"/>
      <c r="Q40" s="51"/>
      <c r="R40" s="51"/>
      <c r="S40" s="51"/>
      <c r="T40" s="51"/>
      <c r="U40" s="51"/>
      <c r="V40" s="51"/>
      <c r="W40" s="51"/>
      <c r="X40" s="51"/>
      <c r="Y40" s="51"/>
      <c r="Z40" s="51"/>
      <c r="AA40" s="51"/>
      <c r="AE40" s="12"/>
      <c r="AG40" s="12"/>
    </row>
    <row r="41" spans="1:36" ht="24.95" customHeight="1" x14ac:dyDescent="0.3">
      <c r="A41" s="222">
        <v>9</v>
      </c>
      <c r="B41" s="286">
        <f>VLOOKUP($F$14,CONTRA,47,FALSE)</f>
        <v>0</v>
      </c>
      <c r="C41" s="287"/>
      <c r="D41" s="287"/>
      <c r="E41" s="287"/>
      <c r="F41" s="287"/>
      <c r="G41" s="287"/>
      <c r="H41" s="287"/>
      <c r="I41" s="287"/>
      <c r="J41" s="287"/>
      <c r="K41" s="287"/>
      <c r="L41" s="287"/>
      <c r="M41" s="287"/>
      <c r="N41" s="287"/>
      <c r="O41" s="288"/>
      <c r="P41" s="51"/>
      <c r="Q41" s="51"/>
      <c r="R41" s="51"/>
      <c r="S41" s="51"/>
      <c r="T41" s="51"/>
      <c r="U41" s="51"/>
      <c r="V41" s="51"/>
      <c r="W41" s="51"/>
      <c r="X41" s="51"/>
      <c r="Y41" s="51"/>
      <c r="Z41" s="51"/>
      <c r="AA41" s="51"/>
    </row>
    <row r="42" spans="1:36" ht="24.95" customHeight="1" x14ac:dyDescent="0.3">
      <c r="A42" s="222">
        <v>10</v>
      </c>
      <c r="B42" s="286">
        <f>VLOOKUP($F$14,CONTRA,48,FALSE)</f>
        <v>0</v>
      </c>
      <c r="C42" s="287"/>
      <c r="D42" s="287"/>
      <c r="E42" s="287"/>
      <c r="F42" s="287"/>
      <c r="G42" s="287"/>
      <c r="H42" s="287"/>
      <c r="I42" s="287"/>
      <c r="J42" s="287"/>
      <c r="K42" s="287"/>
      <c r="L42" s="287"/>
      <c r="M42" s="287"/>
      <c r="N42" s="287"/>
      <c r="O42" s="288"/>
      <c r="P42" s="51"/>
      <c r="Q42" s="51"/>
      <c r="R42" s="51"/>
      <c r="S42" s="51"/>
      <c r="T42" s="51"/>
      <c r="U42" s="51"/>
      <c r="V42" s="51"/>
      <c r="W42" s="51"/>
      <c r="X42" s="51"/>
      <c r="Y42" s="51"/>
      <c r="Z42" s="51"/>
      <c r="AA42" s="51"/>
      <c r="AE42" s="12"/>
    </row>
    <row r="43" spans="1:36" ht="24.95" customHeight="1" x14ac:dyDescent="0.3">
      <c r="A43" s="222">
        <v>11</v>
      </c>
      <c r="B43" s="286">
        <f>VLOOKUP($F$14,CONTRA,49,FALSE)</f>
        <v>0</v>
      </c>
      <c r="C43" s="287"/>
      <c r="D43" s="287"/>
      <c r="E43" s="287"/>
      <c r="F43" s="287"/>
      <c r="G43" s="287"/>
      <c r="H43" s="287"/>
      <c r="I43" s="287"/>
      <c r="J43" s="287"/>
      <c r="K43" s="287"/>
      <c r="L43" s="287"/>
      <c r="M43" s="287"/>
      <c r="N43" s="287"/>
      <c r="O43" s="288"/>
      <c r="P43" s="51"/>
      <c r="Q43" s="51"/>
      <c r="R43" s="51"/>
      <c r="S43" s="51"/>
      <c r="T43" s="51"/>
      <c r="U43" s="51"/>
      <c r="V43" s="51"/>
      <c r="W43" s="51"/>
      <c r="X43" s="51"/>
      <c r="Y43" s="51"/>
      <c r="Z43" s="51"/>
      <c r="AA43" s="51"/>
    </row>
    <row r="44" spans="1:36" ht="24.95" customHeight="1" x14ac:dyDescent="0.3">
      <c r="A44" s="222">
        <v>12</v>
      </c>
      <c r="B44" s="286">
        <f>VLOOKUP($F$14,CONTRA,50,FALSE)</f>
        <v>0</v>
      </c>
      <c r="C44" s="287"/>
      <c r="D44" s="287"/>
      <c r="E44" s="287"/>
      <c r="F44" s="287"/>
      <c r="G44" s="287"/>
      <c r="H44" s="287"/>
      <c r="I44" s="287"/>
      <c r="J44" s="287"/>
      <c r="K44" s="287"/>
      <c r="L44" s="287"/>
      <c r="M44" s="287"/>
      <c r="N44" s="287"/>
      <c r="O44" s="288"/>
      <c r="P44" s="51"/>
      <c r="Q44" s="51"/>
      <c r="R44" s="51"/>
      <c r="S44" s="51"/>
      <c r="T44" s="51"/>
      <c r="U44" s="51"/>
      <c r="V44" s="51"/>
      <c r="W44" s="51"/>
      <c r="X44" s="51"/>
      <c r="Y44" s="51"/>
      <c r="Z44" s="51"/>
      <c r="AA44" s="51"/>
    </row>
    <row r="45" spans="1:36" x14ac:dyDescent="0.3">
      <c r="A45" s="332" t="s">
        <v>45</v>
      </c>
      <c r="B45" s="332"/>
      <c r="C45" s="332"/>
      <c r="D45" s="326"/>
      <c r="E45" s="326"/>
      <c r="F45" s="326"/>
      <c r="G45" s="326"/>
      <c r="H45" s="326"/>
      <c r="I45" s="326"/>
      <c r="J45" s="326"/>
      <c r="K45" s="326"/>
      <c r="L45" s="326"/>
      <c r="M45" s="326"/>
      <c r="N45" s="326"/>
      <c r="O45" s="326"/>
      <c r="P45" s="326"/>
      <c r="Q45" s="326"/>
      <c r="R45" s="326"/>
      <c r="S45" s="326"/>
      <c r="T45" s="326"/>
      <c r="U45" s="326"/>
      <c r="V45" s="326"/>
      <c r="W45" s="326"/>
      <c r="X45" s="326"/>
      <c r="Y45" s="326"/>
      <c r="Z45" s="326"/>
      <c r="AA45" s="326"/>
    </row>
    <row r="46" spans="1:36" x14ac:dyDescent="0.3">
      <c r="A46" s="332"/>
      <c r="B46" s="332"/>
      <c r="C46" s="332"/>
      <c r="D46" s="326"/>
      <c r="E46" s="326"/>
      <c r="F46" s="326"/>
      <c r="G46" s="326"/>
      <c r="H46" s="326"/>
      <c r="I46" s="326"/>
      <c r="J46" s="326"/>
      <c r="K46" s="326"/>
      <c r="L46" s="326"/>
      <c r="M46" s="326"/>
      <c r="N46" s="326"/>
      <c r="O46" s="326"/>
      <c r="P46" s="326"/>
      <c r="Q46" s="326"/>
      <c r="R46" s="326"/>
      <c r="S46" s="326"/>
      <c r="T46" s="326"/>
      <c r="U46" s="326"/>
      <c r="V46" s="326"/>
      <c r="W46" s="326"/>
      <c r="X46" s="326"/>
      <c r="Y46" s="326"/>
      <c r="Z46" s="326"/>
      <c r="AA46" s="326"/>
    </row>
    <row r="47" spans="1:36" ht="15.95" customHeight="1" x14ac:dyDescent="0.3">
      <c r="A47" s="18">
        <v>4</v>
      </c>
      <c r="B47" s="323" t="s">
        <v>46</v>
      </c>
      <c r="C47" s="323"/>
      <c r="D47" s="323"/>
      <c r="E47" s="323"/>
      <c r="F47" s="323"/>
      <c r="G47" s="323"/>
      <c r="H47" s="323"/>
      <c r="I47" s="323"/>
      <c r="J47" s="323"/>
      <c r="K47" s="323"/>
      <c r="L47" s="323"/>
      <c r="M47" s="323"/>
      <c r="N47" s="323"/>
      <c r="O47" s="323"/>
      <c r="P47" s="324"/>
      <c r="Q47" s="324"/>
      <c r="R47" s="324"/>
      <c r="S47" s="324"/>
      <c r="T47" s="324"/>
      <c r="U47" s="324"/>
      <c r="V47" s="324"/>
      <c r="W47" s="324"/>
      <c r="X47" s="324"/>
      <c r="Y47" s="324"/>
      <c r="Z47" s="324"/>
      <c r="AA47" s="324"/>
    </row>
    <row r="48" spans="1:36" ht="15.95" customHeight="1" x14ac:dyDescent="0.3">
      <c r="A48" s="20"/>
      <c r="B48" s="308" t="s">
        <v>47</v>
      </c>
      <c r="C48" s="308"/>
      <c r="D48" s="308"/>
      <c r="E48" s="308"/>
      <c r="F48" s="308"/>
      <c r="G48" s="308"/>
      <c r="H48" s="308"/>
      <c r="I48" s="308"/>
      <c r="J48" s="219" t="s">
        <v>48</v>
      </c>
      <c r="K48" s="308" t="s">
        <v>49</v>
      </c>
      <c r="L48" s="308"/>
      <c r="M48" s="308"/>
      <c r="N48" s="308" t="s">
        <v>220</v>
      </c>
      <c r="O48" s="308"/>
      <c r="P48" s="308" t="s">
        <v>50</v>
      </c>
      <c r="Q48" s="308"/>
      <c r="R48" s="308"/>
      <c r="S48" s="308" t="s">
        <v>51</v>
      </c>
      <c r="T48" s="308"/>
      <c r="U48" s="308"/>
      <c r="V48" s="308" t="s">
        <v>52</v>
      </c>
      <c r="W48" s="308"/>
      <c r="X48" s="308"/>
      <c r="Y48" s="308" t="s">
        <v>137</v>
      </c>
      <c r="Z48" s="308"/>
      <c r="AA48" s="308"/>
    </row>
    <row r="49" spans="1:27" ht="15.95" customHeight="1" x14ac:dyDescent="0.3">
      <c r="A49" s="64">
        <v>1</v>
      </c>
      <c r="B49" s="331" t="str">
        <f>+F18</f>
        <v>23 de enero de 2018</v>
      </c>
      <c r="C49" s="331"/>
      <c r="D49" s="331"/>
      <c r="E49" s="331"/>
      <c r="F49" s="329">
        <v>43145</v>
      </c>
      <c r="G49" s="329"/>
      <c r="H49" s="329"/>
      <c r="I49" s="329"/>
      <c r="J49" s="279">
        <v>30</v>
      </c>
      <c r="K49" s="320">
        <f>+J49*$Z$21</f>
        <v>1800000</v>
      </c>
      <c r="L49" s="320"/>
      <c r="M49" s="320"/>
      <c r="N49" s="330"/>
      <c r="O49" s="330"/>
      <c r="P49" s="309">
        <f>IF(J49=0," ",K49)</f>
        <v>1800000</v>
      </c>
      <c r="Q49" s="310"/>
      <c r="R49" s="311"/>
      <c r="S49" s="309">
        <f>+IF(J49=0," ",F21-K49)</f>
        <v>18480000</v>
      </c>
      <c r="T49" s="310"/>
      <c r="U49" s="311"/>
      <c r="V49" s="320">
        <f>IF($H$15="COMUN",$Z$30/1.19,$Z$30)</f>
        <v>222700</v>
      </c>
      <c r="W49" s="320"/>
      <c r="X49" s="320"/>
      <c r="Y49" s="327" t="s">
        <v>291</v>
      </c>
      <c r="Z49" s="327"/>
      <c r="AA49" s="327"/>
    </row>
    <row r="50" spans="1:27" x14ac:dyDescent="0.3">
      <c r="A50" s="64">
        <v>2</v>
      </c>
      <c r="B50" s="328">
        <v>43146</v>
      </c>
      <c r="C50" s="328"/>
      <c r="D50" s="328"/>
      <c r="E50" s="328"/>
      <c r="F50" s="329">
        <v>43173</v>
      </c>
      <c r="G50" s="329"/>
      <c r="H50" s="329"/>
      <c r="I50" s="329"/>
      <c r="J50" s="279">
        <v>30</v>
      </c>
      <c r="K50" s="320">
        <f t="shared" ref="K50:K60" si="0">+J50*$Z$21</f>
        <v>1800000</v>
      </c>
      <c r="L50" s="320"/>
      <c r="M50" s="320"/>
      <c r="N50" s="330"/>
      <c r="O50" s="330"/>
      <c r="P50" s="309">
        <f>IF(J50=0," ",K50+P49)</f>
        <v>3600000</v>
      </c>
      <c r="Q50" s="310"/>
      <c r="R50" s="311"/>
      <c r="S50" s="309">
        <f>IF(J50=0," ",$F$21-P50)</f>
        <v>16680000</v>
      </c>
      <c r="T50" s="310"/>
      <c r="U50" s="311"/>
      <c r="V50" s="320">
        <f t="shared" ref="V50:V60" si="1">IF($H$15="COMUN",$Z$30/1.19,$Z$30)</f>
        <v>222700</v>
      </c>
      <c r="W50" s="320"/>
      <c r="X50" s="320"/>
      <c r="Y50" s="327" t="s">
        <v>291</v>
      </c>
      <c r="Z50" s="327"/>
      <c r="AA50" s="327"/>
    </row>
    <row r="51" spans="1:27" x14ac:dyDescent="0.3">
      <c r="A51" s="64">
        <v>3</v>
      </c>
      <c r="B51" s="328">
        <v>43174</v>
      </c>
      <c r="C51" s="328"/>
      <c r="D51" s="328"/>
      <c r="E51" s="328"/>
      <c r="F51" s="329">
        <v>43204</v>
      </c>
      <c r="G51" s="329"/>
      <c r="H51" s="329"/>
      <c r="I51" s="329"/>
      <c r="J51" s="279">
        <v>30</v>
      </c>
      <c r="K51" s="320">
        <f t="shared" si="0"/>
        <v>1800000</v>
      </c>
      <c r="L51" s="320"/>
      <c r="M51" s="320"/>
      <c r="N51" s="330"/>
      <c r="O51" s="330"/>
      <c r="P51" s="309">
        <f t="shared" ref="P51:P60" si="2">IF(J51=0," ",K51+P50)</f>
        <v>5400000</v>
      </c>
      <c r="Q51" s="310"/>
      <c r="R51" s="311"/>
      <c r="S51" s="309">
        <f t="shared" ref="S51:S60" si="3">IF(J51=0," ",$F$21-P51)</f>
        <v>14880000</v>
      </c>
      <c r="T51" s="310"/>
      <c r="U51" s="311"/>
      <c r="V51" s="320">
        <f t="shared" si="1"/>
        <v>222700</v>
      </c>
      <c r="W51" s="320"/>
      <c r="X51" s="320"/>
      <c r="Y51" s="327" t="s">
        <v>291</v>
      </c>
      <c r="Z51" s="327"/>
      <c r="AA51" s="327"/>
    </row>
    <row r="52" spans="1:27" x14ac:dyDescent="0.3">
      <c r="A52" s="64">
        <v>4</v>
      </c>
      <c r="B52" s="328">
        <v>43205</v>
      </c>
      <c r="C52" s="328"/>
      <c r="D52" s="328"/>
      <c r="E52" s="328"/>
      <c r="F52" s="329">
        <v>43234</v>
      </c>
      <c r="G52" s="329"/>
      <c r="H52" s="329"/>
      <c r="I52" s="329"/>
      <c r="J52" s="279">
        <v>30</v>
      </c>
      <c r="K52" s="320">
        <f t="shared" si="0"/>
        <v>1800000</v>
      </c>
      <c r="L52" s="320"/>
      <c r="M52" s="320"/>
      <c r="N52" s="330"/>
      <c r="O52" s="330"/>
      <c r="P52" s="309">
        <f t="shared" si="2"/>
        <v>7200000</v>
      </c>
      <c r="Q52" s="310"/>
      <c r="R52" s="311"/>
      <c r="S52" s="309">
        <f t="shared" si="3"/>
        <v>13080000</v>
      </c>
      <c r="T52" s="310"/>
      <c r="U52" s="311"/>
      <c r="V52" s="320">
        <f t="shared" si="1"/>
        <v>222700</v>
      </c>
      <c r="W52" s="320"/>
      <c r="X52" s="320"/>
      <c r="Y52" s="327" t="s">
        <v>291</v>
      </c>
      <c r="Z52" s="327"/>
      <c r="AA52" s="327"/>
    </row>
    <row r="53" spans="1:27" x14ac:dyDescent="0.3">
      <c r="A53" s="64">
        <v>5</v>
      </c>
      <c r="B53" s="328">
        <v>43235</v>
      </c>
      <c r="C53" s="328"/>
      <c r="D53" s="328"/>
      <c r="E53" s="328"/>
      <c r="F53" s="329">
        <v>43265</v>
      </c>
      <c r="G53" s="329"/>
      <c r="H53" s="329"/>
      <c r="I53" s="329"/>
      <c r="J53" s="279">
        <v>30</v>
      </c>
      <c r="K53" s="320">
        <f t="shared" si="0"/>
        <v>1800000</v>
      </c>
      <c r="L53" s="320"/>
      <c r="M53" s="320"/>
      <c r="N53" s="330"/>
      <c r="O53" s="330"/>
      <c r="P53" s="309">
        <f t="shared" si="2"/>
        <v>9000000</v>
      </c>
      <c r="Q53" s="310"/>
      <c r="R53" s="311"/>
      <c r="S53" s="309">
        <f t="shared" si="3"/>
        <v>11280000</v>
      </c>
      <c r="T53" s="310"/>
      <c r="U53" s="311"/>
      <c r="V53" s="320">
        <f t="shared" si="1"/>
        <v>222700</v>
      </c>
      <c r="W53" s="320"/>
      <c r="X53" s="320"/>
      <c r="Y53" s="327" t="s">
        <v>291</v>
      </c>
      <c r="Z53" s="327"/>
      <c r="AA53" s="327"/>
    </row>
    <row r="54" spans="1:27" x14ac:dyDescent="0.3">
      <c r="A54" s="64">
        <v>6</v>
      </c>
      <c r="B54" s="328">
        <v>43266</v>
      </c>
      <c r="C54" s="328"/>
      <c r="D54" s="328"/>
      <c r="E54" s="328"/>
      <c r="F54" s="329">
        <v>43295</v>
      </c>
      <c r="G54" s="329"/>
      <c r="H54" s="329"/>
      <c r="I54" s="329"/>
      <c r="J54" s="279">
        <v>30</v>
      </c>
      <c r="K54" s="320">
        <f t="shared" si="0"/>
        <v>1800000</v>
      </c>
      <c r="L54" s="320"/>
      <c r="M54" s="320"/>
      <c r="N54" s="330"/>
      <c r="O54" s="330"/>
      <c r="P54" s="309">
        <f t="shared" si="2"/>
        <v>10800000</v>
      </c>
      <c r="Q54" s="310"/>
      <c r="R54" s="311"/>
      <c r="S54" s="309">
        <f t="shared" si="3"/>
        <v>9480000</v>
      </c>
      <c r="T54" s="310"/>
      <c r="U54" s="311"/>
      <c r="V54" s="320">
        <f t="shared" si="1"/>
        <v>222700</v>
      </c>
      <c r="W54" s="320"/>
      <c r="X54" s="320"/>
      <c r="Y54" s="327" t="s">
        <v>291</v>
      </c>
      <c r="Z54" s="327"/>
      <c r="AA54" s="327"/>
    </row>
    <row r="55" spans="1:27" x14ac:dyDescent="0.3">
      <c r="A55" s="64">
        <v>7</v>
      </c>
      <c r="B55" s="328">
        <v>43296</v>
      </c>
      <c r="C55" s="328"/>
      <c r="D55" s="328"/>
      <c r="E55" s="328"/>
      <c r="F55" s="329">
        <v>43326</v>
      </c>
      <c r="G55" s="329"/>
      <c r="H55" s="329"/>
      <c r="I55" s="329"/>
      <c r="J55" s="279">
        <v>30</v>
      </c>
      <c r="K55" s="320">
        <f t="shared" si="0"/>
        <v>1800000</v>
      </c>
      <c r="L55" s="320"/>
      <c r="M55" s="320"/>
      <c r="N55" s="330"/>
      <c r="O55" s="330"/>
      <c r="P55" s="309">
        <f t="shared" si="2"/>
        <v>12600000</v>
      </c>
      <c r="Q55" s="310"/>
      <c r="R55" s="311"/>
      <c r="S55" s="309">
        <f t="shared" si="3"/>
        <v>7680000</v>
      </c>
      <c r="T55" s="310"/>
      <c r="U55" s="311"/>
      <c r="V55" s="320">
        <f t="shared" si="1"/>
        <v>222700</v>
      </c>
      <c r="W55" s="320"/>
      <c r="X55" s="320"/>
      <c r="Y55" s="327" t="s">
        <v>291</v>
      </c>
      <c r="Z55" s="327"/>
      <c r="AA55" s="327"/>
    </row>
    <row r="56" spans="1:27" x14ac:dyDescent="0.3">
      <c r="A56" s="64">
        <v>8</v>
      </c>
      <c r="B56" s="328">
        <v>43327</v>
      </c>
      <c r="C56" s="328"/>
      <c r="D56" s="328"/>
      <c r="E56" s="328"/>
      <c r="F56" s="329">
        <v>43357</v>
      </c>
      <c r="G56" s="329"/>
      <c r="H56" s="329"/>
      <c r="I56" s="329"/>
      <c r="J56" s="279">
        <v>30</v>
      </c>
      <c r="K56" s="320">
        <f t="shared" si="0"/>
        <v>1800000</v>
      </c>
      <c r="L56" s="320"/>
      <c r="M56" s="320"/>
      <c r="N56" s="330"/>
      <c r="O56" s="330"/>
      <c r="P56" s="309">
        <f t="shared" si="2"/>
        <v>14400000</v>
      </c>
      <c r="Q56" s="310"/>
      <c r="R56" s="311"/>
      <c r="S56" s="309">
        <f t="shared" si="3"/>
        <v>5880000</v>
      </c>
      <c r="T56" s="310"/>
      <c r="U56" s="311"/>
      <c r="V56" s="320">
        <f t="shared" si="1"/>
        <v>222700</v>
      </c>
      <c r="W56" s="320"/>
      <c r="X56" s="320"/>
      <c r="Y56" s="327" t="s">
        <v>291</v>
      </c>
      <c r="Z56" s="327"/>
      <c r="AA56" s="327"/>
    </row>
    <row r="57" spans="1:27" x14ac:dyDescent="0.3">
      <c r="A57" s="64">
        <v>9</v>
      </c>
      <c r="B57" s="328">
        <v>43358</v>
      </c>
      <c r="C57" s="328"/>
      <c r="D57" s="328"/>
      <c r="E57" s="328"/>
      <c r="F57" s="329">
        <v>43387</v>
      </c>
      <c r="G57" s="329"/>
      <c r="H57" s="329"/>
      <c r="I57" s="329"/>
      <c r="J57" s="279">
        <v>30</v>
      </c>
      <c r="K57" s="320">
        <f t="shared" si="0"/>
        <v>1800000</v>
      </c>
      <c r="L57" s="320"/>
      <c r="M57" s="320"/>
      <c r="N57" s="330"/>
      <c r="O57" s="330"/>
      <c r="P57" s="309">
        <f t="shared" si="2"/>
        <v>16200000</v>
      </c>
      <c r="Q57" s="310"/>
      <c r="R57" s="311"/>
      <c r="S57" s="309">
        <f t="shared" si="3"/>
        <v>4080000</v>
      </c>
      <c r="T57" s="310"/>
      <c r="U57" s="311"/>
      <c r="V57" s="320">
        <f t="shared" si="1"/>
        <v>222700</v>
      </c>
      <c r="W57" s="320"/>
      <c r="X57" s="320"/>
      <c r="Y57" s="327" t="s">
        <v>291</v>
      </c>
      <c r="Z57" s="327"/>
      <c r="AA57" s="327"/>
    </row>
    <row r="58" spans="1:27" x14ac:dyDescent="0.3">
      <c r="A58" s="64">
        <v>10</v>
      </c>
      <c r="B58" s="328">
        <v>43388</v>
      </c>
      <c r="C58" s="328"/>
      <c r="D58" s="328"/>
      <c r="E58" s="328"/>
      <c r="F58" s="329">
        <v>43418</v>
      </c>
      <c r="G58" s="329"/>
      <c r="H58" s="329"/>
      <c r="I58" s="329"/>
      <c r="J58" s="279">
        <v>30</v>
      </c>
      <c r="K58" s="320">
        <f t="shared" si="0"/>
        <v>1800000</v>
      </c>
      <c r="L58" s="320"/>
      <c r="M58" s="320"/>
      <c r="N58" s="330"/>
      <c r="O58" s="330"/>
      <c r="P58" s="309">
        <f t="shared" si="2"/>
        <v>18000000</v>
      </c>
      <c r="Q58" s="310"/>
      <c r="R58" s="311"/>
      <c r="S58" s="309">
        <f t="shared" si="3"/>
        <v>2280000</v>
      </c>
      <c r="T58" s="310"/>
      <c r="U58" s="311"/>
      <c r="V58" s="320">
        <f t="shared" si="1"/>
        <v>222700</v>
      </c>
      <c r="W58" s="320"/>
      <c r="X58" s="320"/>
      <c r="Y58" s="327" t="s">
        <v>291</v>
      </c>
      <c r="Z58" s="327"/>
      <c r="AA58" s="327"/>
    </row>
    <row r="59" spans="1:27" x14ac:dyDescent="0.3">
      <c r="A59" s="64">
        <v>11</v>
      </c>
      <c r="B59" s="328">
        <v>43419</v>
      </c>
      <c r="C59" s="328"/>
      <c r="D59" s="328"/>
      <c r="E59" s="328"/>
      <c r="F59" s="329">
        <v>43448</v>
      </c>
      <c r="G59" s="329"/>
      <c r="H59" s="329"/>
      <c r="I59" s="329"/>
      <c r="J59" s="279">
        <v>30</v>
      </c>
      <c r="K59" s="320">
        <f t="shared" si="0"/>
        <v>1800000</v>
      </c>
      <c r="L59" s="320"/>
      <c r="M59" s="320"/>
      <c r="N59" s="330"/>
      <c r="O59" s="330"/>
      <c r="P59" s="309">
        <f t="shared" si="2"/>
        <v>19800000</v>
      </c>
      <c r="Q59" s="310"/>
      <c r="R59" s="311"/>
      <c r="S59" s="309">
        <f t="shared" si="3"/>
        <v>480000</v>
      </c>
      <c r="T59" s="310"/>
      <c r="U59" s="311"/>
      <c r="V59" s="320">
        <f t="shared" si="1"/>
        <v>222700</v>
      </c>
      <c r="W59" s="320"/>
      <c r="X59" s="320"/>
      <c r="Y59" s="327" t="s">
        <v>291</v>
      </c>
      <c r="Z59" s="327"/>
      <c r="AA59" s="327"/>
    </row>
    <row r="60" spans="1:27" x14ac:dyDescent="0.3">
      <c r="A60" s="64">
        <v>12</v>
      </c>
      <c r="B60" s="328">
        <v>43449</v>
      </c>
      <c r="C60" s="328"/>
      <c r="D60" s="328"/>
      <c r="E60" s="328"/>
      <c r="F60" s="329">
        <v>43465</v>
      </c>
      <c r="G60" s="329"/>
      <c r="H60" s="329"/>
      <c r="I60" s="329"/>
      <c r="J60" s="279">
        <v>8</v>
      </c>
      <c r="K60" s="320">
        <f t="shared" si="0"/>
        <v>480000</v>
      </c>
      <c r="L60" s="320"/>
      <c r="M60" s="320"/>
      <c r="N60" s="330"/>
      <c r="O60" s="330"/>
      <c r="P60" s="309">
        <f t="shared" si="2"/>
        <v>20280000</v>
      </c>
      <c r="Q60" s="310"/>
      <c r="R60" s="311"/>
      <c r="S60" s="309">
        <f t="shared" si="3"/>
        <v>0</v>
      </c>
      <c r="T60" s="310"/>
      <c r="U60" s="311"/>
      <c r="V60" s="320">
        <f t="shared" si="1"/>
        <v>222700</v>
      </c>
      <c r="W60" s="320"/>
      <c r="X60" s="320"/>
      <c r="Y60" s="327" t="s">
        <v>291</v>
      </c>
      <c r="Z60" s="327"/>
      <c r="AA60" s="327"/>
    </row>
    <row r="61" spans="1:27" x14ac:dyDescent="0.3">
      <c r="A61" s="20"/>
      <c r="B61" s="308" t="s">
        <v>53</v>
      </c>
      <c r="C61" s="308"/>
      <c r="D61" s="308"/>
      <c r="E61" s="308"/>
      <c r="F61" s="308"/>
      <c r="G61" s="308"/>
      <c r="H61" s="308"/>
      <c r="I61" s="308"/>
      <c r="J61" s="221">
        <f>SUM(J49:J60)</f>
        <v>338</v>
      </c>
      <c r="K61" s="320">
        <f>SUM(K49:O60)</f>
        <v>20280000</v>
      </c>
      <c r="L61" s="320"/>
      <c r="M61" s="320"/>
      <c r="N61" s="309"/>
      <c r="O61" s="311"/>
      <c r="P61" s="308"/>
      <c r="Q61" s="308"/>
      <c r="R61" s="308"/>
      <c r="S61" s="308"/>
      <c r="T61" s="308"/>
      <c r="U61" s="308"/>
      <c r="V61" s="308"/>
      <c r="W61" s="308"/>
      <c r="X61" s="308"/>
      <c r="Y61" s="308"/>
      <c r="Z61" s="308"/>
      <c r="AA61" s="308"/>
    </row>
    <row r="62" spans="1:27" x14ac:dyDescent="0.3">
      <c r="A62" s="325" t="s">
        <v>54</v>
      </c>
      <c r="B62" s="325"/>
      <c r="C62" s="325"/>
      <c r="D62" s="325"/>
      <c r="E62" s="325"/>
      <c r="F62" s="326"/>
      <c r="G62" s="326"/>
      <c r="H62" s="326"/>
      <c r="I62" s="326"/>
      <c r="J62" s="326"/>
      <c r="K62" s="326"/>
      <c r="L62" s="326"/>
      <c r="M62" s="326"/>
      <c r="N62" s="326"/>
      <c r="O62" s="326"/>
      <c r="P62" s="326"/>
      <c r="Q62" s="326"/>
      <c r="R62" s="326"/>
      <c r="S62" s="326" t="s">
        <v>136</v>
      </c>
      <c r="T62" s="326"/>
      <c r="U62" s="326"/>
      <c r="V62" s="326" t="s">
        <v>55</v>
      </c>
      <c r="W62" s="326"/>
      <c r="X62" s="326"/>
      <c r="Y62" s="326" t="s">
        <v>56</v>
      </c>
      <c r="Z62" s="326"/>
      <c r="AA62" s="326"/>
    </row>
    <row r="63" spans="1:27" ht="15.95" customHeight="1" x14ac:dyDescent="0.3">
      <c r="A63" s="322">
        <f>+Z6</f>
        <v>1</v>
      </c>
      <c r="B63" s="323" t="s">
        <v>57</v>
      </c>
      <c r="C63" s="323"/>
      <c r="D63" s="323"/>
      <c r="E63" s="323"/>
      <c r="F63" s="323"/>
      <c r="G63" s="323"/>
      <c r="H63" s="323"/>
      <c r="I63" s="323"/>
      <c r="J63" s="323"/>
      <c r="K63" s="323"/>
      <c r="L63" s="323"/>
      <c r="M63" s="323"/>
      <c r="N63" s="323"/>
      <c r="O63" s="323"/>
      <c r="P63" s="324"/>
      <c r="Q63" s="324"/>
      <c r="R63" s="324"/>
      <c r="S63" s="324"/>
      <c r="T63" s="324"/>
      <c r="U63" s="324"/>
      <c r="V63" s="324"/>
      <c r="W63" s="324"/>
      <c r="X63" s="324"/>
      <c r="Y63" s="324"/>
      <c r="Z63" s="324"/>
      <c r="AA63" s="324"/>
    </row>
    <row r="64" spans="1:27" ht="14.1" customHeight="1" x14ac:dyDescent="0.3">
      <c r="A64" s="322"/>
      <c r="B64" s="308" t="s">
        <v>47</v>
      </c>
      <c r="C64" s="308"/>
      <c r="D64" s="308"/>
      <c r="E64" s="308"/>
      <c r="F64" s="308"/>
      <c r="G64" s="308"/>
      <c r="H64" s="308"/>
      <c r="I64" s="308"/>
      <c r="J64" s="219" t="s">
        <v>48</v>
      </c>
      <c r="K64" s="308" t="s">
        <v>49</v>
      </c>
      <c r="L64" s="308"/>
      <c r="M64" s="308"/>
      <c r="N64" s="308"/>
      <c r="O64" s="308"/>
      <c r="P64" s="308" t="s">
        <v>50</v>
      </c>
      <c r="Q64" s="308"/>
      <c r="R64" s="308"/>
      <c r="S64" s="308" t="s">
        <v>51</v>
      </c>
      <c r="T64" s="308"/>
      <c r="U64" s="308"/>
      <c r="V64" s="308" t="s">
        <v>52</v>
      </c>
      <c r="W64" s="308"/>
      <c r="X64" s="308"/>
      <c r="Y64" s="308" t="s">
        <v>137</v>
      </c>
      <c r="Z64" s="308"/>
      <c r="AA64" s="308"/>
    </row>
    <row r="65" spans="1:35" ht="14.1" customHeight="1" x14ac:dyDescent="0.3">
      <c r="A65" s="322"/>
      <c r="B65" s="319" t="str">
        <f>VLOOKUP(A63,A49:AA60,2)</f>
        <v>23 de enero de 2018</v>
      </c>
      <c r="C65" s="319"/>
      <c r="D65" s="319"/>
      <c r="E65" s="319"/>
      <c r="F65" s="319">
        <f>VLOOKUP(A63,A49:AA60,6)</f>
        <v>43145</v>
      </c>
      <c r="G65" s="319"/>
      <c r="H65" s="319"/>
      <c r="I65" s="319"/>
      <c r="J65" s="221">
        <f>VLOOKUP(A63,A49:AA60,10)</f>
        <v>30</v>
      </c>
      <c r="K65" s="320">
        <f>VLOOKUP(A63,A49:AA60,11)</f>
        <v>1800000</v>
      </c>
      <c r="L65" s="320"/>
      <c r="M65" s="320"/>
      <c r="N65" s="320"/>
      <c r="O65" s="320"/>
      <c r="P65" s="320">
        <f>VLOOKUP(A63,A49:AA60,16)</f>
        <v>1800000</v>
      </c>
      <c r="Q65" s="320"/>
      <c r="R65" s="320"/>
      <c r="S65" s="320">
        <f>VLOOKUP(A63,A49:AA60,19)</f>
        <v>18480000</v>
      </c>
      <c r="T65" s="320"/>
      <c r="U65" s="320"/>
      <c r="V65" s="320">
        <f>VLOOKUP(A63,A49:AA60,22)</f>
        <v>222700</v>
      </c>
      <c r="W65" s="320"/>
      <c r="X65" s="320"/>
      <c r="Y65" s="321" t="str">
        <f>VLOOKUP(A63,A49:AA60,25)</f>
        <v># Planilla Seg. Soc.</v>
      </c>
      <c r="Z65" s="321"/>
      <c r="AA65" s="321"/>
    </row>
    <row r="66" spans="1:35" ht="14.1" customHeight="1" x14ac:dyDescent="0.3">
      <c r="A66" s="322"/>
      <c r="B66" s="308" t="s">
        <v>284</v>
      </c>
      <c r="C66" s="308"/>
      <c r="D66" s="308"/>
      <c r="E66" s="308"/>
      <c r="F66" s="309">
        <f>+K65</f>
        <v>1800000</v>
      </c>
      <c r="G66" s="310"/>
      <c r="H66" s="310"/>
      <c r="I66" s="311"/>
      <c r="J66" s="312" t="str">
        <f>+D100</f>
        <v>Un Millón Ochocientos Mil Pesos M/Cte</v>
      </c>
      <c r="K66" s="313"/>
      <c r="L66" s="313"/>
      <c r="M66" s="313"/>
      <c r="N66" s="313"/>
      <c r="O66" s="313"/>
      <c r="P66" s="313"/>
      <c r="Q66" s="313"/>
      <c r="R66" s="313"/>
      <c r="S66" s="313"/>
      <c r="T66" s="313"/>
      <c r="U66" s="313"/>
      <c r="V66" s="313"/>
      <c r="W66" s="313"/>
      <c r="X66" s="313"/>
      <c r="Y66" s="313"/>
      <c r="Z66" s="313"/>
      <c r="AA66" s="314"/>
    </row>
    <row r="67" spans="1:35" ht="3.95" customHeight="1" x14ac:dyDescent="0.3">
      <c r="A67" s="315"/>
      <c r="B67" s="315"/>
      <c r="C67" s="315"/>
      <c r="D67" s="315"/>
      <c r="E67" s="315"/>
      <c r="F67" s="315"/>
      <c r="G67" s="315"/>
      <c r="H67" s="315"/>
      <c r="I67" s="315"/>
      <c r="J67" s="315"/>
      <c r="K67" s="315"/>
      <c r="L67" s="315"/>
      <c r="M67" s="315"/>
      <c r="N67" s="315"/>
      <c r="O67" s="315"/>
      <c r="P67" s="315"/>
      <c r="Q67" s="315"/>
      <c r="R67" s="315"/>
      <c r="S67" s="315"/>
      <c r="T67" s="315"/>
      <c r="U67" s="315"/>
      <c r="V67" s="315"/>
      <c r="W67" s="315"/>
      <c r="X67" s="315"/>
      <c r="Y67" s="315"/>
      <c r="Z67" s="315"/>
      <c r="AA67" s="315"/>
    </row>
    <row r="68" spans="1:35" ht="15.95" customHeight="1" x14ac:dyDescent="0.3">
      <c r="A68" s="467"/>
      <c r="B68" s="467"/>
      <c r="C68" s="467"/>
      <c r="D68" s="467"/>
      <c r="E68" s="467"/>
      <c r="F68" s="467"/>
      <c r="G68" s="467"/>
      <c r="H68" s="467"/>
      <c r="I68" s="467"/>
      <c r="J68" s="467"/>
      <c r="K68" s="467"/>
      <c r="L68" s="467"/>
      <c r="M68" s="467"/>
      <c r="N68" s="467"/>
      <c r="O68" s="467"/>
      <c r="P68" s="467"/>
      <c r="Q68" s="467"/>
      <c r="R68" s="467"/>
      <c r="S68" s="467"/>
      <c r="T68" s="467"/>
      <c r="U68" s="467"/>
      <c r="V68" s="467"/>
      <c r="W68" s="467"/>
      <c r="X68" s="467"/>
      <c r="Y68" s="467"/>
      <c r="Z68" s="467"/>
      <c r="AA68" s="467"/>
    </row>
    <row r="69" spans="1:35" ht="14.1" customHeight="1" x14ac:dyDescent="0.3">
      <c r="A69" s="35" t="s">
        <v>227</v>
      </c>
      <c r="B69" s="24"/>
      <c r="C69" s="24"/>
      <c r="D69" s="24"/>
      <c r="E69" s="24"/>
      <c r="F69" s="24"/>
      <c r="G69" s="24"/>
      <c r="H69" s="24"/>
      <c r="I69" s="27"/>
      <c r="J69" s="27"/>
      <c r="K69" s="27"/>
      <c r="L69" s="27"/>
      <c r="M69" s="220"/>
      <c r="N69" s="27"/>
      <c r="O69" s="27"/>
      <c r="P69" s="27"/>
      <c r="Q69" s="27"/>
      <c r="R69" s="28"/>
      <c r="S69" s="28"/>
      <c r="T69" s="28"/>
      <c r="U69" s="28"/>
      <c r="V69" s="28"/>
      <c r="W69" s="28"/>
      <c r="X69" s="28"/>
      <c r="Y69" s="28"/>
      <c r="Z69" s="28"/>
      <c r="AA69" s="29"/>
    </row>
    <row r="70" spans="1:35" x14ac:dyDescent="0.3">
      <c r="A70" s="36" t="s">
        <v>228</v>
      </c>
      <c r="B70" s="30"/>
      <c r="C70" s="30"/>
      <c r="D70" s="30"/>
      <c r="E70" s="30"/>
      <c r="F70" s="30"/>
      <c r="G70" s="30"/>
      <c r="H70" s="468" t="str">
        <f>+F18</f>
        <v>23 de enero de 2018</v>
      </c>
      <c r="I70" s="468"/>
      <c r="J70" s="468"/>
      <c r="K70" s="223" t="s">
        <v>229</v>
      </c>
      <c r="L70" s="468" t="str">
        <f>+T18</f>
        <v>30 de diciembre de 2018</v>
      </c>
      <c r="M70" s="468"/>
      <c r="N70" s="468"/>
      <c r="O70" s="468"/>
      <c r="P70" s="37" t="s">
        <v>230</v>
      </c>
      <c r="Q70" s="30"/>
      <c r="R70" s="30"/>
      <c r="S70" s="30"/>
      <c r="T70" s="30"/>
      <c r="U70" s="30"/>
      <c r="V70" s="30"/>
      <c r="W70" s="30"/>
      <c r="X70" s="30"/>
      <c r="Y70" s="30"/>
      <c r="Z70" s="30"/>
      <c r="AA70" s="31"/>
    </row>
    <row r="71" spans="1:35" x14ac:dyDescent="0.3">
      <c r="A71" s="34" t="s">
        <v>231</v>
      </c>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1"/>
    </row>
    <row r="72" spans="1:35" x14ac:dyDescent="0.3">
      <c r="A72" s="60"/>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3"/>
    </row>
    <row r="73" spans="1:35" x14ac:dyDescent="0.3">
      <c r="A73" s="6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3"/>
    </row>
    <row r="74" spans="1:35" x14ac:dyDescent="0.3">
      <c r="A74" s="61"/>
      <c r="B74" s="62"/>
      <c r="C74" s="62"/>
      <c r="D74" s="62"/>
      <c r="E74" s="62"/>
      <c r="F74" s="32"/>
      <c r="G74" s="32"/>
      <c r="H74" s="32"/>
      <c r="I74" s="32"/>
      <c r="J74" s="32"/>
      <c r="K74" s="62"/>
      <c r="L74" s="62"/>
      <c r="M74" s="62"/>
      <c r="N74" s="62"/>
      <c r="O74" s="62"/>
      <c r="P74" s="62"/>
      <c r="Q74" s="32"/>
      <c r="R74" s="32"/>
      <c r="S74" s="32"/>
      <c r="T74" s="32"/>
      <c r="U74" s="32"/>
      <c r="V74" s="32"/>
      <c r="W74" s="32"/>
      <c r="X74" s="32"/>
      <c r="Y74" s="32"/>
      <c r="Z74" s="32"/>
      <c r="AA74" s="33"/>
    </row>
    <row r="75" spans="1:35" x14ac:dyDescent="0.3">
      <c r="A75" s="60" t="str">
        <f>F13</f>
        <v>RIGOBERTO LOPERA MUÑOZ</v>
      </c>
      <c r="B75" s="32"/>
      <c r="C75" s="32"/>
      <c r="D75" s="32"/>
      <c r="E75" s="32"/>
      <c r="F75" s="32"/>
      <c r="G75" s="32"/>
      <c r="H75" s="32"/>
      <c r="I75" s="32"/>
      <c r="J75" s="32"/>
      <c r="K75" s="32" t="str">
        <f>+F14</f>
        <v>LEIDY YOHANA HERNANDEZ BETANCUR</v>
      </c>
      <c r="L75" s="32"/>
      <c r="M75" s="32"/>
      <c r="N75" s="32"/>
      <c r="O75" s="32"/>
      <c r="P75" s="32"/>
      <c r="Q75" s="32"/>
      <c r="R75" s="32"/>
      <c r="S75" s="32"/>
      <c r="T75" s="32"/>
      <c r="U75" s="32"/>
      <c r="V75" s="32"/>
      <c r="W75" s="32"/>
      <c r="X75" s="32"/>
      <c r="Y75" s="32"/>
      <c r="Z75" s="32"/>
      <c r="AA75" s="33"/>
    </row>
    <row r="76" spans="1:35" x14ac:dyDescent="0.3">
      <c r="A76" s="61" t="str">
        <f>A13</f>
        <v>SUPERVISOR</v>
      </c>
      <c r="B76" s="62"/>
      <c r="C76" s="62"/>
      <c r="D76" s="62"/>
      <c r="E76" s="62"/>
      <c r="F76" s="62"/>
      <c r="G76" s="62"/>
      <c r="H76" s="62"/>
      <c r="I76" s="62"/>
      <c r="J76" s="62"/>
      <c r="K76" s="62" t="str">
        <f>+A14</f>
        <v>CONTRATISTA</v>
      </c>
      <c r="L76" s="62"/>
      <c r="M76" s="62"/>
      <c r="N76" s="62"/>
      <c r="O76" s="62"/>
      <c r="P76" s="62"/>
      <c r="Q76" s="62"/>
      <c r="R76" s="62"/>
      <c r="S76" s="62"/>
      <c r="T76" s="62"/>
      <c r="U76" s="62"/>
      <c r="V76" s="62"/>
      <c r="W76" s="62"/>
      <c r="X76" s="62"/>
      <c r="Y76" s="62"/>
      <c r="Z76" s="62"/>
      <c r="AA76" s="63"/>
    </row>
    <row r="78" spans="1:35" x14ac:dyDescent="0.3">
      <c r="AF78" s="12"/>
    </row>
    <row r="79" spans="1:35" x14ac:dyDescent="0.3">
      <c r="AG79" s="52"/>
      <c r="AH79" s="12"/>
      <c r="AI79" s="12"/>
    </row>
    <row r="80" spans="1:35" x14ac:dyDescent="0.3">
      <c r="AH80" s="12"/>
    </row>
    <row r="81" spans="1:35" x14ac:dyDescent="0.3">
      <c r="A81" s="217"/>
      <c r="B81" s="217"/>
      <c r="C81" s="217"/>
      <c r="D81" s="217"/>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G81" s="52"/>
      <c r="AH81" s="12"/>
      <c r="AI81" s="12"/>
    </row>
    <row r="82" spans="1:35" x14ac:dyDescent="0.3">
      <c r="A82" s="217"/>
      <c r="B82" s="217"/>
      <c r="C82" s="217"/>
      <c r="D82" s="217"/>
      <c r="E82" s="217"/>
      <c r="F82" s="217"/>
      <c r="G82" s="217"/>
      <c r="H82" s="217"/>
      <c r="I82" s="217"/>
      <c r="J82" s="217"/>
      <c r="K82" s="217"/>
      <c r="L82" s="217"/>
      <c r="M82" s="217"/>
      <c r="N82" s="217"/>
      <c r="O82" s="217"/>
      <c r="P82" s="217"/>
      <c r="Q82" s="217"/>
      <c r="R82" s="217"/>
      <c r="S82" s="217"/>
      <c r="T82" s="217"/>
      <c r="U82" s="217"/>
      <c r="V82" s="217"/>
      <c r="W82" s="217"/>
      <c r="X82" s="217"/>
      <c r="Y82" s="217"/>
      <c r="Z82" s="217"/>
      <c r="AA82" s="217"/>
      <c r="AB82" s="217"/>
      <c r="AG82" s="52"/>
      <c r="AH82" s="12"/>
      <c r="AI82" s="12"/>
    </row>
    <row r="83" spans="1:35" x14ac:dyDescent="0.3">
      <c r="A83" s="217"/>
      <c r="B83" s="217"/>
      <c r="C83" s="217"/>
      <c r="D83" s="217"/>
      <c r="E83" s="217"/>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H83" s="12"/>
      <c r="AI83" s="12"/>
    </row>
    <row r="84" spans="1:35" x14ac:dyDescent="0.3">
      <c r="A84" s="217"/>
      <c r="B84" s="217"/>
      <c r="C84" s="217"/>
      <c r="D84" s="217"/>
      <c r="E84" s="217"/>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I84" s="12"/>
    </row>
    <row r="85" spans="1:35" x14ac:dyDescent="0.3">
      <c r="A85" s="217"/>
      <c r="B85" s="217"/>
      <c r="C85" s="217"/>
      <c r="D85" s="217"/>
      <c r="E85" s="217"/>
      <c r="F85" s="217"/>
      <c r="G85" s="217"/>
      <c r="H85" s="217"/>
      <c r="I85" s="217"/>
      <c r="J85" s="217"/>
      <c r="K85" s="217"/>
      <c r="L85" s="217"/>
      <c r="M85" s="217"/>
      <c r="N85" s="217"/>
      <c r="O85" s="217"/>
      <c r="P85" s="217"/>
      <c r="Q85" s="217"/>
      <c r="R85" s="217"/>
      <c r="S85" s="217"/>
      <c r="T85" s="217"/>
      <c r="U85" s="217"/>
      <c r="V85" s="217"/>
      <c r="W85" s="217"/>
      <c r="X85" s="217"/>
      <c r="Y85" s="217"/>
      <c r="Z85" s="217"/>
      <c r="AA85" s="217"/>
      <c r="AB85" s="217"/>
    </row>
    <row r="86" spans="1:35" x14ac:dyDescent="0.3">
      <c r="A86" s="217"/>
      <c r="B86" s="217"/>
      <c r="C86" s="217"/>
      <c r="D86" s="217"/>
      <c r="E86" s="217"/>
      <c r="F86" s="217"/>
      <c r="G86" s="217"/>
      <c r="H86" s="217"/>
      <c r="I86" s="217"/>
      <c r="J86" s="217"/>
      <c r="K86" s="217"/>
      <c r="L86" s="217"/>
      <c r="M86" s="217"/>
      <c r="N86" s="217"/>
      <c r="O86" s="217"/>
      <c r="P86" s="217"/>
      <c r="Q86" s="217"/>
      <c r="R86" s="217"/>
      <c r="S86" s="217"/>
      <c r="T86" s="217"/>
      <c r="U86" s="217"/>
      <c r="V86" s="217"/>
      <c r="W86" s="217"/>
      <c r="X86" s="217"/>
      <c r="Y86" s="217"/>
      <c r="Z86" s="217"/>
      <c r="AA86" s="217"/>
      <c r="AB86" s="217"/>
    </row>
    <row r="87" spans="1:35" x14ac:dyDescent="0.3">
      <c r="A87" s="217"/>
      <c r="B87" s="217"/>
      <c r="C87" s="217"/>
      <c r="D87" s="217"/>
      <c r="E87" s="217"/>
      <c r="F87" s="217"/>
      <c r="G87" s="217"/>
      <c r="H87" s="217"/>
      <c r="I87" s="217"/>
      <c r="J87" s="217"/>
      <c r="K87" s="217"/>
      <c r="L87" s="217"/>
      <c r="M87" s="217"/>
      <c r="N87" s="217"/>
      <c r="O87" s="217"/>
      <c r="P87" s="217"/>
      <c r="Q87" s="217"/>
      <c r="R87" s="217"/>
      <c r="S87" s="217"/>
      <c r="T87" s="217"/>
      <c r="U87" s="217"/>
      <c r="V87" s="217"/>
      <c r="W87" s="217"/>
      <c r="X87" s="217"/>
      <c r="Y87" s="217"/>
      <c r="Z87" s="217"/>
      <c r="AA87" s="217"/>
      <c r="AB87" s="217"/>
    </row>
    <row r="88" spans="1:35" x14ac:dyDescent="0.3">
      <c r="A88" s="217"/>
      <c r="B88" s="217"/>
      <c r="C88" s="217"/>
      <c r="D88" s="217"/>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row>
    <row r="89" spans="1:35" x14ac:dyDescent="0.3">
      <c r="A89" s="217"/>
      <c r="B89" s="217"/>
      <c r="C89" s="217"/>
      <c r="D89" s="217"/>
      <c r="E89" s="217"/>
      <c r="F89" s="217"/>
      <c r="G89" s="217"/>
      <c r="H89" s="217"/>
      <c r="I89" s="217"/>
      <c r="J89" s="217"/>
      <c r="K89" s="217"/>
      <c r="L89" s="217"/>
      <c r="M89" s="217"/>
      <c r="N89" s="217"/>
      <c r="O89" s="217"/>
      <c r="P89" s="217"/>
      <c r="Q89" s="217"/>
      <c r="R89" s="217"/>
      <c r="S89" s="217"/>
      <c r="T89" s="217"/>
      <c r="U89" s="217"/>
      <c r="V89" s="217"/>
      <c r="W89" s="217"/>
      <c r="X89" s="217"/>
      <c r="Y89" s="217"/>
      <c r="Z89" s="217"/>
      <c r="AA89" s="217"/>
      <c r="AB89" s="217"/>
    </row>
    <row r="98" spans="1:12" hidden="1" x14ac:dyDescent="0.3">
      <c r="A98" s="57" t="s">
        <v>146</v>
      </c>
      <c r="B98" s="57"/>
      <c r="D98" s="293">
        <f>+F66</f>
        <v>1800000</v>
      </c>
      <c r="E98" s="293"/>
      <c r="F98" s="293"/>
      <c r="G98" s="57" t="s">
        <v>147</v>
      </c>
      <c r="H98" s="57"/>
      <c r="I98" s="57"/>
      <c r="J98" s="57"/>
      <c r="K98" s="57"/>
      <c r="L98" s="57"/>
    </row>
    <row r="99" spans="1:12" hidden="1" x14ac:dyDescent="0.3">
      <c r="A99" s="57"/>
      <c r="B99" s="57"/>
      <c r="C99" s="57"/>
      <c r="D99" s="57"/>
      <c r="E99" s="57"/>
      <c r="F99" s="57"/>
      <c r="G99" s="57"/>
      <c r="H99" s="57"/>
      <c r="I99" s="57"/>
      <c r="J99" s="57"/>
      <c r="K99" s="57"/>
      <c r="L99" s="57"/>
    </row>
    <row r="100" spans="1:12" hidden="1" x14ac:dyDescent="0.3">
      <c r="A100" s="57" t="s">
        <v>148</v>
      </c>
      <c r="B100" s="57"/>
      <c r="D100" s="57" t="str">
        <f>TRIM(D122)</f>
        <v>Un Millón Ochocientos Mil Pesos M/Cte</v>
      </c>
      <c r="E100" s="57"/>
      <c r="F100" s="57"/>
      <c r="G100" s="57"/>
      <c r="H100" s="57"/>
      <c r="I100" s="57"/>
      <c r="J100" s="57"/>
      <c r="K100" s="57"/>
      <c r="L100" s="57"/>
    </row>
    <row r="101" spans="1:12" hidden="1" x14ac:dyDescent="0.3">
      <c r="A101" s="57"/>
      <c r="B101" s="57"/>
      <c r="C101" s="57"/>
      <c r="D101" s="57"/>
      <c r="E101" s="57"/>
      <c r="F101" s="57"/>
      <c r="G101" s="57"/>
      <c r="H101" s="57"/>
      <c r="I101" s="57"/>
      <c r="J101" s="57"/>
      <c r="K101" s="57"/>
      <c r="L101" s="57"/>
    </row>
    <row r="102" spans="1:12" hidden="1" x14ac:dyDescent="0.3">
      <c r="A102" s="57"/>
      <c r="B102" s="57"/>
      <c r="C102" s="57"/>
      <c r="D102" s="57"/>
      <c r="E102" s="57"/>
      <c r="F102" s="57"/>
      <c r="G102" s="57"/>
      <c r="H102" s="57"/>
      <c r="I102" s="57"/>
      <c r="J102" s="57"/>
      <c r="K102" s="57"/>
      <c r="L102" s="57"/>
    </row>
    <row r="103" spans="1:12" hidden="1" x14ac:dyDescent="0.3">
      <c r="A103" s="57">
        <v>1</v>
      </c>
      <c r="B103" s="57" t="s">
        <v>149</v>
      </c>
      <c r="C103" s="57" t="s">
        <v>150</v>
      </c>
      <c r="D103" s="57"/>
      <c r="E103" s="57">
        <f>INT((D98-(INT(D98/1000000000000000)*1000000000000000))/1000000000000)</f>
        <v>0</v>
      </c>
      <c r="F103" s="57" t="s">
        <v>151</v>
      </c>
      <c r="G103" s="57">
        <f>INT(E103/100)*100</f>
        <v>0</v>
      </c>
      <c r="H103" s="57" t="str">
        <f>IF(AND(G103=100,G104=0,G105=0),IF(G103=0," ",LOOKUP(G103,A102:C147,B102:B147)),IF(G103=0," ",LOOKUP(G103,A102:C147,C102:C147)))</f>
        <v xml:space="preserve"> </v>
      </c>
      <c r="I103" s="57"/>
      <c r="J103" s="57" t="s">
        <v>152</v>
      </c>
      <c r="K103" s="57"/>
      <c r="L103" s="57"/>
    </row>
    <row r="104" spans="1:12" hidden="1" x14ac:dyDescent="0.3">
      <c r="A104" s="57">
        <v>2</v>
      </c>
      <c r="B104" s="57" t="s">
        <v>153</v>
      </c>
      <c r="C104" s="57" t="s">
        <v>153</v>
      </c>
      <c r="D104" s="57"/>
      <c r="E104" s="57">
        <f>+E103-G103</f>
        <v>0</v>
      </c>
      <c r="F104" s="57" t="s">
        <v>154</v>
      </c>
      <c r="G104" s="57">
        <f>INT(E104/10)*10</f>
        <v>0</v>
      </c>
      <c r="H104" s="57" t="str">
        <f>IF(OR(G104=10,G104=20),LOOKUP(E104,A102:C147,C102:C147),IF(AND(G104=100,G105=0,G106=0),IF(G104=0," ",LOOKUP(G104,A102:C147,B102:B147)),IF(G104=0," ",LOOKUP(G104,A102:C147,C102:C147))))</f>
        <v xml:space="preserve"> </v>
      </c>
      <c r="I104" s="57" t="str">
        <f>IF(G105=0," ",IF(AND(G104&gt;20,G104&lt;=90),"y"," "))</f>
        <v xml:space="preserve"> </v>
      </c>
      <c r="J104" s="57"/>
      <c r="K104" s="57"/>
      <c r="L104" s="57"/>
    </row>
    <row r="105" spans="1:12" hidden="1" x14ac:dyDescent="0.3">
      <c r="A105" s="57">
        <v>3</v>
      </c>
      <c r="B105" s="57" t="s">
        <v>155</v>
      </c>
      <c r="C105" s="57" t="s">
        <v>155</v>
      </c>
      <c r="D105" s="57"/>
      <c r="E105" s="57">
        <f>+E104-G104</f>
        <v>0</v>
      </c>
      <c r="F105" s="57" t="s">
        <v>156</v>
      </c>
      <c r="G105" s="57">
        <f>INT(E105)</f>
        <v>0</v>
      </c>
      <c r="H105" s="57" t="str">
        <f>IF(OR(G104=10,G104=20)," ",IF(AND(G105=100,G106=0,G107=0),IF(G105=0," ",LOOKUP(G105,A102:C147,B102:B147)),IF(G105=0," ",LOOKUP(G105,A102:C147,B102:B147))))</f>
        <v xml:space="preserve"> </v>
      </c>
      <c r="I105" s="57" t="str">
        <f>IF(AND(G103=0,G104=0,G105=1),"Billón",IF(SUM(G103:G105)=0," ","Billones"))</f>
        <v xml:space="preserve"> </v>
      </c>
      <c r="J105" s="57"/>
      <c r="K105" s="57"/>
      <c r="L105" s="57"/>
    </row>
    <row r="106" spans="1:12" hidden="1" x14ac:dyDescent="0.3">
      <c r="A106" s="57">
        <v>4</v>
      </c>
      <c r="B106" s="57" t="s">
        <v>157</v>
      </c>
      <c r="C106" s="57" t="s">
        <v>157</v>
      </c>
      <c r="D106" s="57"/>
      <c r="E106" s="57">
        <f>INT((D98-(INT(D98/1000000000000)*1000000000000))/1000000000)</f>
        <v>0</v>
      </c>
      <c r="F106" s="57" t="s">
        <v>151</v>
      </c>
      <c r="G106" s="57">
        <f>INT(E106/100)*100</f>
        <v>0</v>
      </c>
      <c r="H106" s="57" t="str">
        <f>IF(AND(G106=100,G107=0,G108=0),IF(G106=0," ",LOOKUP(G106,A102:C147,B102:B147)),IF(G106=0," ",LOOKUP(G106,A102:C147,C102:C147)))</f>
        <v xml:space="preserve"> </v>
      </c>
      <c r="I106" s="57"/>
      <c r="J106" s="57" t="s">
        <v>158</v>
      </c>
      <c r="K106" s="57"/>
      <c r="L106" s="57"/>
    </row>
    <row r="107" spans="1:12" hidden="1" x14ac:dyDescent="0.3">
      <c r="A107" s="57">
        <v>5</v>
      </c>
      <c r="B107" s="57" t="s">
        <v>159</v>
      </c>
      <c r="C107" s="57" t="s">
        <v>159</v>
      </c>
      <c r="D107" s="57"/>
      <c r="E107" s="57">
        <f>+E106-G106</f>
        <v>0</v>
      </c>
      <c r="F107" s="57" t="s">
        <v>154</v>
      </c>
      <c r="G107" s="57">
        <f>INT(E107/10)*10</f>
        <v>0</v>
      </c>
      <c r="H107" s="57" t="str">
        <f>IF(OR(G107=10,G107=20),LOOKUP(E107,A102:C147,C102:C147),IF(AND(G107=100,G108=0,G109=0),IF(G107=0," ",LOOKUP(G107,A102:C147,B102:B147)),IF(G107=0," ",LOOKUP(G107,A102:C147,C102:C147))))</f>
        <v xml:space="preserve"> </v>
      </c>
      <c r="I107" s="57" t="str">
        <f>IF(G108=0," ",IF(AND(G107&gt;20,G107&lt;=90),"y"," "))</f>
        <v xml:space="preserve"> </v>
      </c>
      <c r="J107" s="57"/>
      <c r="K107" s="57"/>
      <c r="L107" s="57"/>
    </row>
    <row r="108" spans="1:12" hidden="1" x14ac:dyDescent="0.3">
      <c r="A108" s="57">
        <v>6</v>
      </c>
      <c r="B108" s="57" t="s">
        <v>160</v>
      </c>
      <c r="C108" s="57" t="s">
        <v>160</v>
      </c>
      <c r="D108" s="57"/>
      <c r="E108" s="57">
        <f>+E107-G107</f>
        <v>0</v>
      </c>
      <c r="F108" s="57" t="s">
        <v>156</v>
      </c>
      <c r="G108" s="57">
        <f>INT(E108)</f>
        <v>0</v>
      </c>
      <c r="H108" s="57" t="str">
        <f>IF(AND(G106=0,G107=0,G108=1)," ",IF(AND(G103=0,G104=0,G105=0,G106=0,G107=0,G108=1)," ",IF(OR(G107=10,G107=20)," ",IF(AND(G108=100,G109=0,G110=0),IF(G108=0," ",LOOKUP(G108,A102:C147,B102:B147)),IF(G108=0," ",LOOKUP(G108,A102:C147,B102:B147))))))</f>
        <v xml:space="preserve"> </v>
      </c>
      <c r="I108" s="57" t="str">
        <f>IF(AND(G106=0,G107=0,G108=1),"Mil",IF(SUM(G106:G108)=0," ","Mil"))</f>
        <v xml:space="preserve"> </v>
      </c>
      <c r="J108" s="57"/>
      <c r="K108" s="57"/>
      <c r="L108" s="57"/>
    </row>
    <row r="109" spans="1:12" hidden="1" x14ac:dyDescent="0.3">
      <c r="A109" s="57">
        <v>7</v>
      </c>
      <c r="B109" s="57" t="s">
        <v>161</v>
      </c>
      <c r="C109" s="57" t="s">
        <v>161</v>
      </c>
      <c r="D109" s="57"/>
      <c r="E109" s="57">
        <f>INT((D98-(INT(D98/1000000000)*1000000000))/1000000)</f>
        <v>1</v>
      </c>
      <c r="F109" s="57" t="s">
        <v>151</v>
      </c>
      <c r="G109" s="57">
        <f>INT(E109/100)*100</f>
        <v>0</v>
      </c>
      <c r="H109" s="57" t="str">
        <f>IF(AND(G109=100,G110=0,G111=0),IF(G109=0," ",LOOKUP(G109,A102:C147,B102:B147)),IF(G109=0," ",LOOKUP(G109,A102:C147,C102:C147)))</f>
        <v xml:space="preserve"> </v>
      </c>
      <c r="I109" s="57"/>
      <c r="J109" s="57" t="s">
        <v>162</v>
      </c>
      <c r="K109" s="57"/>
      <c r="L109" s="57"/>
    </row>
    <row r="110" spans="1:12" hidden="1" x14ac:dyDescent="0.3">
      <c r="A110" s="57">
        <v>8</v>
      </c>
      <c r="B110" s="57" t="s">
        <v>163</v>
      </c>
      <c r="C110" s="57" t="s">
        <v>163</v>
      </c>
      <c r="D110" s="57"/>
      <c r="E110" s="57">
        <f>+E109-G109</f>
        <v>1</v>
      </c>
      <c r="F110" s="57" t="s">
        <v>154</v>
      </c>
      <c r="G110" s="57">
        <f>INT(E110/10)*10</f>
        <v>0</v>
      </c>
      <c r="H110" s="57" t="str">
        <f>IF(OR(G110=10,G110=20),LOOKUP(E110,A102:C147,C102:C147),IF(AND(G110=100,G111=0,G115=0),IF(G110=0," ",LOOKUP(G110,A102:C147,B102:B147)),IF(G110=0," ",LOOKUP(G110,A102:C147,C102:C147))))</f>
        <v xml:space="preserve"> </v>
      </c>
      <c r="I110" s="57" t="str">
        <f>IF(G111=0," ",IF(AND(G110&gt;20,G110&lt;=90),"y"," "))</f>
        <v xml:space="preserve"> </v>
      </c>
      <c r="J110" s="57"/>
      <c r="K110" s="57"/>
      <c r="L110" s="57"/>
    </row>
    <row r="111" spans="1:12" hidden="1" x14ac:dyDescent="0.3">
      <c r="A111" s="57">
        <v>9</v>
      </c>
      <c r="B111" s="57" t="s">
        <v>164</v>
      </c>
      <c r="C111" s="57" t="s">
        <v>164</v>
      </c>
      <c r="D111" s="57"/>
      <c r="E111" s="57">
        <f>+E110-G110</f>
        <v>1</v>
      </c>
      <c r="F111" s="57" t="s">
        <v>156</v>
      </c>
      <c r="G111" s="57">
        <f>INT(E111)</f>
        <v>1</v>
      </c>
      <c r="H111" s="57" t="str">
        <f>IF(AND(G109=0,G110=0,G111=1),"Un",IF(AND(G106=0,G107=0,G108=0,G109=0,G110=0,G111=1)," ",IF(OR(G110=10,G110=20)," ",IF(AND(G111=100,G115=0,G122=0),IF(G111=0," ",LOOKUP(G111,A102:C147,B102:B147)),IF(G111=0," ",LOOKUP(G111,A102:C147,B102:B147))))))</f>
        <v>Un</v>
      </c>
      <c r="I111" s="57" t="str">
        <f>IF(AND(OR(G106&gt;0,G107&gt;0,G108&gt;0),G109=0,G110=0,G111=0),"Millones",IF(AND(G106=0,G107=0,G108=0,G109=0,G110=0,G111=1),"Millón",IF(SUM(G109:G111)=0," ","Millones")))</f>
        <v>Millón</v>
      </c>
      <c r="J111" s="57"/>
      <c r="K111" s="57"/>
      <c r="L111" s="57"/>
    </row>
    <row r="112" spans="1:12" hidden="1" x14ac:dyDescent="0.3">
      <c r="A112" s="57">
        <v>10</v>
      </c>
      <c r="B112" s="57" t="s">
        <v>165</v>
      </c>
      <c r="C112" s="57" t="s">
        <v>165</v>
      </c>
      <c r="D112" s="57"/>
      <c r="E112" s="57">
        <f>INT((D98-(INT(D98/1000000)*1000000))/1000)</f>
        <v>800</v>
      </c>
      <c r="F112" s="57" t="s">
        <v>151</v>
      </c>
      <c r="G112" s="57">
        <f>INT(E112/100)*100</f>
        <v>800</v>
      </c>
      <c r="H112" s="57" t="str">
        <f>IF(AND(G112=100,G113=0,G114=0),IF(G112=0," ",LOOKUP(G112,A102:C147,B102:B147)),IF(G112=0," ",LOOKUP(G112,A102:C147,C102:C147)))</f>
        <v>Ochocientos</v>
      </c>
      <c r="I112" s="57"/>
      <c r="J112" s="57" t="s">
        <v>166</v>
      </c>
      <c r="K112" s="57"/>
      <c r="L112" s="57"/>
    </row>
    <row r="113" spans="1:12" hidden="1" x14ac:dyDescent="0.3">
      <c r="A113" s="57">
        <v>11</v>
      </c>
      <c r="B113" s="57" t="s">
        <v>167</v>
      </c>
      <c r="C113" s="57" t="s">
        <v>167</v>
      </c>
      <c r="D113" s="57"/>
      <c r="E113" s="57">
        <f>+E112-G112</f>
        <v>0</v>
      </c>
      <c r="F113" s="57" t="s">
        <v>154</v>
      </c>
      <c r="G113" s="57">
        <f>INT(E113/10)*10</f>
        <v>0</v>
      </c>
      <c r="H113" s="57" t="str">
        <f>IF(OR(G113=10,G113=20),LOOKUP(E113,A102:C147,C102:C147),IF(AND(G113=100,G114=0,F120=0),IF(G113=0," ",LOOKUP(G113,A102:C147,B102:B147)),IF(G113=0," ",LOOKUP(G113,A102:C147,C102:C147))))</f>
        <v xml:space="preserve"> </v>
      </c>
      <c r="I113" s="57" t="str">
        <f>IF(G114=0," ",IF(AND(G113&gt;20,G113&lt;=90),"y"," "))</f>
        <v xml:space="preserve"> </v>
      </c>
      <c r="J113" s="57"/>
      <c r="K113" s="57"/>
      <c r="L113" s="57"/>
    </row>
    <row r="114" spans="1:12" hidden="1" x14ac:dyDescent="0.3">
      <c r="A114" s="57">
        <v>12</v>
      </c>
      <c r="B114" s="57" t="s">
        <v>168</v>
      </c>
      <c r="C114" s="57" t="s">
        <v>168</v>
      </c>
      <c r="D114" s="57"/>
      <c r="E114" s="57">
        <f>+E113-G113</f>
        <v>0</v>
      </c>
      <c r="F114" s="57" t="s">
        <v>156</v>
      </c>
      <c r="G114" s="57">
        <f>INT(E114)</f>
        <v>0</v>
      </c>
      <c r="H114" s="57" t="str">
        <f>IF(AND(G112=0,G113=0,G114=1)," ",IF(AND(G109=0,G110=0,G111=0,G112=0,G113=0,G114=1)," ",IF(OR(G113=10,G113=20)," ",IF(AND(G114=100,F120=0,F121=0),IF(G114=0," ",LOOKUP(G114,A102:C147,B102:B147)),IF(G114=0," ",LOOKUP(G114,A102:C147,B102:B147))))))</f>
        <v xml:space="preserve"> </v>
      </c>
      <c r="I114" s="57" t="str">
        <f>IF(AND(G112=0,G113=0,G114=1),"Mil",IF(SUM(G112:G114)=0," ","Mil"))</f>
        <v>Mil</v>
      </c>
      <c r="J114" s="57"/>
      <c r="K114" s="57"/>
      <c r="L114" s="57"/>
    </row>
    <row r="115" spans="1:12" hidden="1" x14ac:dyDescent="0.3">
      <c r="A115" s="57">
        <v>13</v>
      </c>
      <c r="B115" s="57" t="s">
        <v>169</v>
      </c>
      <c r="C115" s="57" t="s">
        <v>169</v>
      </c>
      <c r="D115" s="57"/>
      <c r="E115" s="57">
        <f>INT((D98-(INT(D98/1000)*1000))/1)</f>
        <v>0</v>
      </c>
      <c r="F115" s="57" t="s">
        <v>151</v>
      </c>
      <c r="G115" s="57">
        <f>INT(E115/100)*100</f>
        <v>0</v>
      </c>
      <c r="H115" s="57" t="str">
        <f>IF(AND(G115=100,G116=0,G117=0),IF(G115=0," ",LOOKUP(G115,A102:C147,B102:B147)),IF(G115=0," ",LOOKUP(G115,A102:C147,C102:C147)))</f>
        <v xml:space="preserve"> </v>
      </c>
      <c r="I115" s="57"/>
      <c r="J115" s="57" t="s">
        <v>170</v>
      </c>
      <c r="K115" s="57"/>
      <c r="L115" s="57"/>
    </row>
    <row r="116" spans="1:12" hidden="1" x14ac:dyDescent="0.3">
      <c r="A116" s="57">
        <v>14</v>
      </c>
      <c r="B116" s="57" t="s">
        <v>171</v>
      </c>
      <c r="C116" s="57" t="s">
        <v>171</v>
      </c>
      <c r="D116" s="57"/>
      <c r="E116" s="57">
        <f>+E115-G115</f>
        <v>0</v>
      </c>
      <c r="F116" s="57" t="s">
        <v>154</v>
      </c>
      <c r="G116" s="57">
        <f>INT(E116/10)*10</f>
        <v>0</v>
      </c>
      <c r="H116" s="57" t="str">
        <f>IF(OR(G116=10,G116=20),LOOKUP(E116,A102:C147,C102:C147),IF(AND(G116=100,G117=0,G127=0),IF(G116=0," ",LOOKUP(G116,A102:C147,B102:B147)),IF(G116=0," ",LOOKUP(G116,A102:C147,C102:C147))))</f>
        <v xml:space="preserve"> </v>
      </c>
      <c r="I116" s="57" t="str">
        <f>IF(G117=0," ",IF(AND(G116&gt;20,G116&lt;=90),"y"," "))</f>
        <v xml:space="preserve"> </v>
      </c>
      <c r="J116" s="57"/>
      <c r="K116" s="57"/>
      <c r="L116" s="57"/>
    </row>
    <row r="117" spans="1:12" hidden="1" x14ac:dyDescent="0.3">
      <c r="A117" s="57">
        <v>15</v>
      </c>
      <c r="B117" s="57" t="s">
        <v>172</v>
      </c>
      <c r="C117" s="57" t="s">
        <v>172</v>
      </c>
      <c r="D117" s="57"/>
      <c r="E117" s="57">
        <f>+E116-G116</f>
        <v>0</v>
      </c>
      <c r="F117" s="57" t="s">
        <v>156</v>
      </c>
      <c r="G117" s="57">
        <f>INT(E117)</f>
        <v>0</v>
      </c>
      <c r="H117" s="57" t="str">
        <f>IF(AND(G115=0,G116=0,G117=1),"Un",IF(AND(G112=0,G113=0,G114=0,G115=0,G116=0,G117=1)," ",IF(OR(G116=10,G116=20)," ",IF(AND(G117=100,G127=0,G128=0),IF(G117=0," ",LOOKUP(G117,A102:C147,B102:B147)),IF(G117=0," ",LOOKUP(G117,A102:C147,B102:B147))))))</f>
        <v xml:space="preserve"> </v>
      </c>
      <c r="I117" s="57"/>
      <c r="J117" s="57"/>
      <c r="K117" s="57"/>
      <c r="L117" s="57"/>
    </row>
    <row r="118" spans="1:12" hidden="1" x14ac:dyDescent="0.3">
      <c r="A118" s="57">
        <v>16</v>
      </c>
      <c r="B118" s="57" t="s">
        <v>173</v>
      </c>
      <c r="C118" s="57" t="s">
        <v>173</v>
      </c>
      <c r="D118" s="57"/>
      <c r="E118" s="57"/>
      <c r="F118" s="57"/>
      <c r="G118" s="57"/>
      <c r="H118" s="57"/>
      <c r="I118" s="57"/>
      <c r="J118" s="57"/>
      <c r="K118" s="57"/>
      <c r="L118" s="57"/>
    </row>
    <row r="119" spans="1:12" hidden="1" x14ac:dyDescent="0.3">
      <c r="A119" s="57">
        <v>17</v>
      </c>
      <c r="B119" s="57" t="s">
        <v>174</v>
      </c>
      <c r="C119" s="57" t="s">
        <v>174</v>
      </c>
      <c r="D119" s="57"/>
      <c r="E119" s="57"/>
      <c r="F119" s="57"/>
      <c r="G119" s="57"/>
      <c r="H119" s="57"/>
      <c r="I119" s="57"/>
      <c r="J119" s="57"/>
      <c r="K119" s="57"/>
      <c r="L119" s="57"/>
    </row>
    <row r="120" spans="1:12" hidden="1" x14ac:dyDescent="0.3">
      <c r="A120" s="57">
        <v>18</v>
      </c>
      <c r="B120" s="57" t="s">
        <v>175</v>
      </c>
      <c r="C120" s="57" t="s">
        <v>175</v>
      </c>
      <c r="D120" s="57"/>
      <c r="E120" s="57"/>
      <c r="F120" s="57"/>
      <c r="G120" s="57"/>
      <c r="H120" s="57"/>
      <c r="I120" s="57"/>
      <c r="J120" s="57"/>
      <c r="K120" s="57"/>
      <c r="L120" s="57"/>
    </row>
    <row r="121" spans="1:12" hidden="1" x14ac:dyDescent="0.3">
      <c r="A121" s="57">
        <v>19</v>
      </c>
      <c r="B121" s="57" t="s">
        <v>176</v>
      </c>
      <c r="C121" s="57" t="s">
        <v>176</v>
      </c>
      <c r="D121" s="57"/>
      <c r="E121" s="57"/>
      <c r="F121" s="57"/>
      <c r="G121" s="57"/>
      <c r="H121" s="57"/>
      <c r="I121" s="57"/>
      <c r="J121" s="57"/>
      <c r="K121" s="57"/>
      <c r="L121" s="57"/>
    </row>
    <row r="122" spans="1:12" hidden="1" x14ac:dyDescent="0.3">
      <c r="A122" s="57">
        <v>20</v>
      </c>
      <c r="B122" s="57" t="s">
        <v>177</v>
      </c>
      <c r="C122" s="57" t="s">
        <v>177</v>
      </c>
      <c r="D122" s="57" t="str">
        <f>H103&amp;" "&amp;H104&amp;" "&amp;I104&amp;" "&amp;" "&amp;H105&amp;" "&amp;I105&amp;" "&amp;H106&amp;" "&amp;H107&amp;" "&amp;I107&amp;" "&amp;" "&amp;H108&amp;" "&amp;I108&amp;" "&amp;H109&amp;" "&amp;H110&amp;" "&amp;I110&amp;" "&amp;H111&amp;" "&amp;I111&amp;" "&amp;H112&amp;" "&amp;H113&amp;" "&amp;I113&amp;" "&amp;H114&amp;" "&amp;I114&amp;" "&amp;H115&amp;" "&amp;H116&amp;" "&amp;I116&amp;" "&amp;H117&amp;" "&amp;H124</f>
        <v xml:space="preserve">                            Un Millón Ochocientos       Mil         Pesos M/Cte</v>
      </c>
      <c r="E122" s="57"/>
      <c r="F122" s="57"/>
      <c r="G122" s="57"/>
      <c r="H122" s="57"/>
      <c r="I122" s="57"/>
      <c r="J122" s="57"/>
      <c r="K122" s="57"/>
      <c r="L122" s="57"/>
    </row>
    <row r="123" spans="1:12" hidden="1" x14ac:dyDescent="0.3">
      <c r="A123" s="57">
        <v>21</v>
      </c>
      <c r="B123" s="57" t="s">
        <v>178</v>
      </c>
      <c r="C123" s="57" t="s">
        <v>179</v>
      </c>
      <c r="D123" s="57"/>
      <c r="E123" s="57"/>
      <c r="F123" s="57"/>
      <c r="G123" s="57"/>
      <c r="H123" s="57"/>
      <c r="I123" s="57"/>
      <c r="J123" s="57"/>
      <c r="K123" s="57"/>
      <c r="L123" s="57"/>
    </row>
    <row r="124" spans="1:12" hidden="1" x14ac:dyDescent="0.3">
      <c r="A124" s="57">
        <v>22</v>
      </c>
      <c r="B124" s="57" t="s">
        <v>180</v>
      </c>
      <c r="C124" s="57" t="s">
        <v>180</v>
      </c>
      <c r="D124" s="57"/>
      <c r="E124" s="57"/>
      <c r="F124" s="57"/>
      <c r="G124" s="57"/>
      <c r="H124" s="57" t="str">
        <f>IF(F125&lt;&gt;0,"de Pesos M/Cte",IF(D98=1,"Peso M/Cte","Pesos M/Cte"))</f>
        <v>Pesos M/Cte</v>
      </c>
      <c r="I124" s="57"/>
      <c r="J124" s="57"/>
      <c r="K124" s="57"/>
      <c r="L124" s="57"/>
    </row>
    <row r="125" spans="1:12" hidden="1" x14ac:dyDescent="0.3">
      <c r="A125" s="57">
        <v>23</v>
      </c>
      <c r="B125" s="57" t="s">
        <v>181</v>
      </c>
      <c r="C125" s="57" t="s">
        <v>181</v>
      </c>
      <c r="D125" s="57"/>
      <c r="E125" s="57">
        <f>D98/1000000</f>
        <v>1.8</v>
      </c>
      <c r="F125" s="57">
        <f>IF(E125=INT(E125),"De Pesos M/Cte",0)</f>
        <v>0</v>
      </c>
      <c r="G125" s="57"/>
      <c r="H125" s="57"/>
      <c r="I125" s="57"/>
      <c r="J125" s="57"/>
      <c r="K125" s="57"/>
      <c r="L125" s="57"/>
    </row>
    <row r="126" spans="1:12" hidden="1" x14ac:dyDescent="0.3">
      <c r="A126" s="57">
        <v>24</v>
      </c>
      <c r="B126" s="57" t="s">
        <v>182</v>
      </c>
      <c r="C126" s="57" t="s">
        <v>182</v>
      </c>
      <c r="D126" s="57"/>
      <c r="E126" s="57"/>
      <c r="F126" s="57"/>
      <c r="G126" s="57"/>
      <c r="H126" s="57"/>
      <c r="I126" s="57"/>
      <c r="J126" s="57"/>
      <c r="K126" s="57"/>
      <c r="L126" s="57"/>
    </row>
    <row r="127" spans="1:12" hidden="1" x14ac:dyDescent="0.3">
      <c r="A127" s="57">
        <v>25</v>
      </c>
      <c r="B127" s="57" t="s">
        <v>183</v>
      </c>
      <c r="C127" s="57" t="s">
        <v>183</v>
      </c>
      <c r="D127" s="57"/>
      <c r="E127" s="57"/>
      <c r="F127" s="57"/>
      <c r="G127" s="57"/>
      <c r="H127" s="57"/>
      <c r="I127" s="57"/>
      <c r="J127" s="57"/>
      <c r="K127" s="57"/>
      <c r="L127" s="57"/>
    </row>
    <row r="128" spans="1:12" hidden="1" x14ac:dyDescent="0.3">
      <c r="A128" s="57">
        <v>26</v>
      </c>
      <c r="B128" s="57" t="s">
        <v>184</v>
      </c>
      <c r="C128" s="57" t="s">
        <v>184</v>
      </c>
      <c r="D128" s="57"/>
      <c r="E128" s="57"/>
      <c r="F128" s="57"/>
      <c r="G128" s="57"/>
      <c r="H128" s="57"/>
      <c r="I128" s="57"/>
      <c r="J128" s="57"/>
      <c r="K128" s="57"/>
      <c r="L128" s="57"/>
    </row>
    <row r="129" spans="1:12" hidden="1" x14ac:dyDescent="0.3">
      <c r="A129" s="57">
        <v>27</v>
      </c>
      <c r="B129" s="57" t="s">
        <v>185</v>
      </c>
      <c r="C129" s="57" t="s">
        <v>185</v>
      </c>
      <c r="D129" s="57"/>
      <c r="E129" s="57"/>
      <c r="F129" s="57"/>
      <c r="G129" s="57"/>
      <c r="H129" s="57"/>
      <c r="I129" s="57"/>
      <c r="J129" s="57"/>
      <c r="K129" s="57"/>
      <c r="L129" s="57"/>
    </row>
    <row r="130" spans="1:12" hidden="1" x14ac:dyDescent="0.3">
      <c r="A130" s="57">
        <v>28</v>
      </c>
      <c r="B130" s="57" t="s">
        <v>186</v>
      </c>
      <c r="C130" s="57" t="s">
        <v>186</v>
      </c>
      <c r="D130" s="57"/>
      <c r="E130" s="57"/>
      <c r="F130" s="57"/>
      <c r="G130" s="57"/>
      <c r="H130" s="57"/>
      <c r="I130" s="57"/>
      <c r="J130" s="57"/>
      <c r="K130" s="57"/>
      <c r="L130" s="57"/>
    </row>
    <row r="131" spans="1:12" hidden="1" x14ac:dyDescent="0.3">
      <c r="A131" s="57">
        <v>29</v>
      </c>
      <c r="B131" s="57" t="s">
        <v>187</v>
      </c>
      <c r="C131" s="57" t="s">
        <v>187</v>
      </c>
      <c r="D131" s="57"/>
      <c r="E131" s="57"/>
      <c r="F131" s="57"/>
      <c r="G131" s="57"/>
      <c r="H131" s="57"/>
      <c r="I131" s="57"/>
      <c r="J131" s="57"/>
      <c r="K131" s="57"/>
      <c r="L131" s="57"/>
    </row>
    <row r="132" spans="1:12" hidden="1" x14ac:dyDescent="0.3">
      <c r="A132" s="57">
        <v>30</v>
      </c>
      <c r="B132" s="57" t="s">
        <v>188</v>
      </c>
      <c r="C132" s="57" t="s">
        <v>188</v>
      </c>
      <c r="D132" s="57"/>
      <c r="E132" s="57"/>
      <c r="F132" s="57"/>
      <c r="G132" s="57"/>
      <c r="H132" s="57"/>
      <c r="I132" s="57"/>
      <c r="J132" s="57"/>
      <c r="K132" s="57"/>
      <c r="L132" s="57"/>
    </row>
    <row r="133" spans="1:12" hidden="1" x14ac:dyDescent="0.3">
      <c r="A133" s="57">
        <v>40</v>
      </c>
      <c r="B133" s="57" t="s">
        <v>189</v>
      </c>
      <c r="C133" s="57" t="s">
        <v>189</v>
      </c>
      <c r="D133" s="57"/>
      <c r="E133" s="57"/>
      <c r="F133" s="57"/>
      <c r="G133" s="57"/>
      <c r="H133" s="57"/>
      <c r="I133" s="57"/>
      <c r="J133" s="57"/>
      <c r="K133" s="57"/>
      <c r="L133" s="57"/>
    </row>
    <row r="134" spans="1:12" hidden="1" x14ac:dyDescent="0.3">
      <c r="A134" s="57">
        <v>50</v>
      </c>
      <c r="B134" s="57" t="s">
        <v>190</v>
      </c>
      <c r="C134" s="57" t="s">
        <v>190</v>
      </c>
      <c r="D134" s="57"/>
      <c r="E134" s="57"/>
      <c r="F134" s="57"/>
      <c r="G134" s="57"/>
      <c r="H134" s="57"/>
      <c r="I134" s="57"/>
      <c r="J134" s="57"/>
      <c r="K134" s="57"/>
      <c r="L134" s="57"/>
    </row>
    <row r="135" spans="1:12" hidden="1" x14ac:dyDescent="0.3">
      <c r="A135" s="57">
        <v>60</v>
      </c>
      <c r="B135" s="57" t="s">
        <v>191</v>
      </c>
      <c r="C135" s="57" t="s">
        <v>191</v>
      </c>
      <c r="D135" s="57"/>
      <c r="E135" s="57"/>
      <c r="F135" s="57"/>
      <c r="G135" s="57"/>
      <c r="H135" s="57"/>
      <c r="I135" s="57"/>
      <c r="J135" s="57"/>
      <c r="K135" s="57"/>
      <c r="L135" s="57"/>
    </row>
    <row r="136" spans="1:12" hidden="1" x14ac:dyDescent="0.3">
      <c r="A136" s="57">
        <v>70</v>
      </c>
      <c r="B136" s="57" t="s">
        <v>192</v>
      </c>
      <c r="C136" s="57" t="s">
        <v>192</v>
      </c>
      <c r="D136" s="57"/>
      <c r="E136" s="57"/>
      <c r="F136" s="57"/>
      <c r="G136" s="57"/>
      <c r="H136" s="57"/>
      <c r="I136" s="57"/>
      <c r="J136" s="57"/>
      <c r="K136" s="57"/>
      <c r="L136" s="57"/>
    </row>
    <row r="137" spans="1:12" hidden="1" x14ac:dyDescent="0.3">
      <c r="A137" s="57">
        <v>80</v>
      </c>
      <c r="B137" s="57" t="s">
        <v>193</v>
      </c>
      <c r="C137" s="57" t="s">
        <v>193</v>
      </c>
      <c r="D137" s="57"/>
      <c r="E137" s="57"/>
      <c r="F137" s="57"/>
      <c r="G137" s="57"/>
      <c r="H137" s="57"/>
      <c r="I137" s="57"/>
      <c r="J137" s="57"/>
      <c r="K137" s="57"/>
      <c r="L137" s="57"/>
    </row>
    <row r="138" spans="1:12" hidden="1" x14ac:dyDescent="0.3">
      <c r="A138" s="57">
        <v>90</v>
      </c>
      <c r="B138" s="57" t="s">
        <v>194</v>
      </c>
      <c r="C138" s="57" t="s">
        <v>194</v>
      </c>
      <c r="D138" s="57"/>
      <c r="E138" s="57"/>
      <c r="F138" s="57"/>
      <c r="G138" s="57"/>
      <c r="H138" s="57"/>
      <c r="I138" s="57"/>
      <c r="J138" s="57"/>
      <c r="K138" s="57"/>
      <c r="L138" s="57"/>
    </row>
    <row r="139" spans="1:12" hidden="1" x14ac:dyDescent="0.3">
      <c r="A139" s="57">
        <v>100</v>
      </c>
      <c r="B139" s="57" t="s">
        <v>195</v>
      </c>
      <c r="C139" s="57" t="s">
        <v>196</v>
      </c>
      <c r="D139" s="57"/>
      <c r="E139" s="57"/>
      <c r="F139" s="57"/>
      <c r="G139" s="57"/>
      <c r="H139" s="57"/>
      <c r="I139" s="57"/>
      <c r="J139" s="57"/>
      <c r="K139" s="57"/>
      <c r="L139" s="57"/>
    </row>
    <row r="140" spans="1:12" hidden="1" x14ac:dyDescent="0.3">
      <c r="A140" s="57">
        <v>200</v>
      </c>
      <c r="B140" s="57" t="s">
        <v>197</v>
      </c>
      <c r="C140" s="57" t="s">
        <v>197</v>
      </c>
      <c r="D140" s="57"/>
      <c r="E140" s="57"/>
      <c r="F140" s="57"/>
      <c r="G140" s="57"/>
      <c r="H140" s="57"/>
      <c r="I140" s="57"/>
      <c r="J140" s="57"/>
      <c r="K140" s="57"/>
      <c r="L140" s="57"/>
    </row>
    <row r="141" spans="1:12" hidden="1" x14ac:dyDescent="0.3">
      <c r="A141" s="57">
        <v>300</v>
      </c>
      <c r="B141" s="57" t="s">
        <v>198</v>
      </c>
      <c r="C141" s="57" t="s">
        <v>198</v>
      </c>
      <c r="D141" s="57"/>
      <c r="E141" s="57"/>
      <c r="F141" s="57"/>
      <c r="G141" s="57"/>
      <c r="H141" s="57"/>
      <c r="I141" s="57"/>
      <c r="J141" s="57"/>
      <c r="K141" s="57"/>
      <c r="L141" s="57"/>
    </row>
    <row r="142" spans="1:12" hidden="1" x14ac:dyDescent="0.3">
      <c r="A142" s="57">
        <v>400</v>
      </c>
      <c r="B142" s="57" t="s">
        <v>199</v>
      </c>
      <c r="C142" s="57" t="s">
        <v>199</v>
      </c>
      <c r="D142" s="57"/>
      <c r="E142" s="57"/>
      <c r="F142" s="57"/>
      <c r="G142" s="57"/>
      <c r="H142" s="57"/>
      <c r="I142" s="57"/>
      <c r="J142" s="57"/>
      <c r="K142" s="57"/>
      <c r="L142" s="57"/>
    </row>
    <row r="143" spans="1:12" hidden="1" x14ac:dyDescent="0.3">
      <c r="A143" s="57">
        <v>500</v>
      </c>
      <c r="B143" s="57" t="s">
        <v>200</v>
      </c>
      <c r="C143" s="57" t="s">
        <v>200</v>
      </c>
      <c r="D143" s="57"/>
      <c r="E143" s="57"/>
      <c r="F143" s="57"/>
      <c r="G143" s="57"/>
      <c r="H143" s="57"/>
      <c r="I143" s="57"/>
      <c r="J143" s="57"/>
      <c r="K143" s="57"/>
      <c r="L143" s="57"/>
    </row>
    <row r="144" spans="1:12" hidden="1" x14ac:dyDescent="0.3">
      <c r="A144" s="57">
        <v>600</v>
      </c>
      <c r="B144" s="57" t="s">
        <v>201</v>
      </c>
      <c r="C144" s="57" t="s">
        <v>201</v>
      </c>
      <c r="D144" s="57"/>
      <c r="E144" s="57"/>
      <c r="F144" s="57"/>
      <c r="G144" s="57"/>
      <c r="H144" s="57"/>
      <c r="I144" s="57"/>
      <c r="J144" s="57"/>
      <c r="K144" s="57"/>
      <c r="L144" s="57"/>
    </row>
    <row r="145" spans="1:12" hidden="1" x14ac:dyDescent="0.3">
      <c r="A145" s="57">
        <v>700</v>
      </c>
      <c r="B145" s="57" t="s">
        <v>202</v>
      </c>
      <c r="C145" s="57" t="s">
        <v>202</v>
      </c>
      <c r="D145" s="57"/>
      <c r="E145" s="57"/>
      <c r="F145" s="57"/>
      <c r="G145" s="57"/>
      <c r="H145" s="57"/>
      <c r="I145" s="57"/>
      <c r="J145" s="57"/>
      <c r="K145" s="57"/>
      <c r="L145" s="57"/>
    </row>
    <row r="146" spans="1:12" hidden="1" x14ac:dyDescent="0.3">
      <c r="A146" s="57">
        <v>800</v>
      </c>
      <c r="B146" s="57" t="s">
        <v>203</v>
      </c>
      <c r="C146" s="57" t="s">
        <v>203</v>
      </c>
      <c r="D146" s="57"/>
      <c r="E146" s="57"/>
      <c r="F146" s="57"/>
      <c r="G146" s="57"/>
      <c r="H146" s="57"/>
      <c r="I146" s="57"/>
      <c r="J146" s="57"/>
      <c r="K146" s="57"/>
      <c r="L146" s="57"/>
    </row>
    <row r="147" spans="1:12" hidden="1" x14ac:dyDescent="0.3">
      <c r="A147" s="57">
        <v>900</v>
      </c>
      <c r="B147" s="57" t="s">
        <v>204</v>
      </c>
      <c r="C147" s="57" t="s">
        <v>204</v>
      </c>
      <c r="D147" s="57"/>
      <c r="E147" s="57"/>
      <c r="F147" s="57"/>
      <c r="G147" s="57"/>
      <c r="H147" s="57"/>
      <c r="I147" s="57"/>
      <c r="J147" s="57"/>
      <c r="K147" s="57"/>
      <c r="L147" s="57"/>
    </row>
  </sheetData>
  <sheetProtection password="CCE3" sheet="1" objects="1" scenarios="1" formatCells="0" insertRows="0"/>
  <mergeCells count="296">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B38:O38"/>
    <mergeCell ref="B39:O39"/>
    <mergeCell ref="B40:O40"/>
    <mergeCell ref="B41:O41"/>
    <mergeCell ref="B42:O42"/>
    <mergeCell ref="B43:O43"/>
    <mergeCell ref="B32:O32"/>
    <mergeCell ref="B33:O33"/>
    <mergeCell ref="B34:O34"/>
    <mergeCell ref="B35:O35"/>
    <mergeCell ref="B36:O36"/>
    <mergeCell ref="B37:O37"/>
    <mergeCell ref="B44:O44"/>
    <mergeCell ref="A45:C46"/>
    <mergeCell ref="D45:AA46"/>
    <mergeCell ref="B47:O47"/>
    <mergeCell ref="P47:AA47"/>
    <mergeCell ref="B48:I48"/>
    <mergeCell ref="K48:M48"/>
    <mergeCell ref="N48:O48"/>
    <mergeCell ref="P48:R48"/>
    <mergeCell ref="S48:U48"/>
    <mergeCell ref="V48:X48"/>
    <mergeCell ref="Y48:AA48"/>
    <mergeCell ref="B49:E49"/>
    <mergeCell ref="F49:I49"/>
    <mergeCell ref="K49:M49"/>
    <mergeCell ref="N49:O49"/>
    <mergeCell ref="P49:R49"/>
    <mergeCell ref="S49:U49"/>
    <mergeCell ref="V49:X49"/>
    <mergeCell ref="Y49:AA49"/>
    <mergeCell ref="V50:X50"/>
    <mergeCell ref="Y50:AA50"/>
    <mergeCell ref="B51:E51"/>
    <mergeCell ref="F51:I51"/>
    <mergeCell ref="K51:M51"/>
    <mergeCell ref="N51:O51"/>
    <mergeCell ref="P51:R51"/>
    <mergeCell ref="S51:U51"/>
    <mergeCell ref="V51:X51"/>
    <mergeCell ref="Y51:AA51"/>
    <mergeCell ref="B50:E50"/>
    <mergeCell ref="F50:I50"/>
    <mergeCell ref="K50:M50"/>
    <mergeCell ref="N50:O50"/>
    <mergeCell ref="P50:R50"/>
    <mergeCell ref="S50:U50"/>
    <mergeCell ref="V52:X52"/>
    <mergeCell ref="Y52:AA52"/>
    <mergeCell ref="B53:E53"/>
    <mergeCell ref="F53:I53"/>
    <mergeCell ref="K53:M53"/>
    <mergeCell ref="N53:O53"/>
    <mergeCell ref="P53:R53"/>
    <mergeCell ref="S53:U53"/>
    <mergeCell ref="V53:X53"/>
    <mergeCell ref="Y53:AA53"/>
    <mergeCell ref="B52:E52"/>
    <mergeCell ref="F52:I52"/>
    <mergeCell ref="K52:M52"/>
    <mergeCell ref="N52:O52"/>
    <mergeCell ref="P52:R52"/>
    <mergeCell ref="S52:U52"/>
    <mergeCell ref="V54:X54"/>
    <mergeCell ref="Y54:AA54"/>
    <mergeCell ref="B55:E55"/>
    <mergeCell ref="F55:I55"/>
    <mergeCell ref="K55:M55"/>
    <mergeCell ref="N55:O55"/>
    <mergeCell ref="P55:R55"/>
    <mergeCell ref="S55:U55"/>
    <mergeCell ref="V55:X55"/>
    <mergeCell ref="Y55:AA55"/>
    <mergeCell ref="B54:E54"/>
    <mergeCell ref="F54:I54"/>
    <mergeCell ref="K54:M54"/>
    <mergeCell ref="N54:O54"/>
    <mergeCell ref="P54:R54"/>
    <mergeCell ref="S54:U54"/>
    <mergeCell ref="V56:X56"/>
    <mergeCell ref="Y56:AA56"/>
    <mergeCell ref="B57:E57"/>
    <mergeCell ref="F57:I57"/>
    <mergeCell ref="K57:M57"/>
    <mergeCell ref="N57:O57"/>
    <mergeCell ref="P57:R57"/>
    <mergeCell ref="S57:U57"/>
    <mergeCell ref="V57:X57"/>
    <mergeCell ref="Y57:AA57"/>
    <mergeCell ref="B56:E56"/>
    <mergeCell ref="F56:I56"/>
    <mergeCell ref="K56:M56"/>
    <mergeCell ref="N56:O56"/>
    <mergeCell ref="P56:R56"/>
    <mergeCell ref="S56:U56"/>
    <mergeCell ref="V58:X58"/>
    <mergeCell ref="Y58:AA58"/>
    <mergeCell ref="B59:E59"/>
    <mergeCell ref="F59:I59"/>
    <mergeCell ref="K59:M59"/>
    <mergeCell ref="N59:O59"/>
    <mergeCell ref="P59:R59"/>
    <mergeCell ref="S59:U59"/>
    <mergeCell ref="V59:X59"/>
    <mergeCell ref="Y59:AA59"/>
    <mergeCell ref="B58:E58"/>
    <mergeCell ref="F58:I58"/>
    <mergeCell ref="K58:M58"/>
    <mergeCell ref="N58:O58"/>
    <mergeCell ref="P58:R58"/>
    <mergeCell ref="S58:U58"/>
    <mergeCell ref="A62:E62"/>
    <mergeCell ref="F62:O62"/>
    <mergeCell ref="P62:R62"/>
    <mergeCell ref="S62:U62"/>
    <mergeCell ref="V62:X62"/>
    <mergeCell ref="Y62:AA62"/>
    <mergeCell ref="V60:X60"/>
    <mergeCell ref="Y60:AA60"/>
    <mergeCell ref="B61:I61"/>
    <mergeCell ref="K61:M61"/>
    <mergeCell ref="N61:O61"/>
    <mergeCell ref="P61:R61"/>
    <mergeCell ref="S61:U61"/>
    <mergeCell ref="V61:X61"/>
    <mergeCell ref="Y61:AA61"/>
    <mergeCell ref="B60:E60"/>
    <mergeCell ref="F60:I60"/>
    <mergeCell ref="K60:M60"/>
    <mergeCell ref="N60:O60"/>
    <mergeCell ref="P60:R60"/>
    <mergeCell ref="S60:U60"/>
    <mergeCell ref="D98:F98"/>
    <mergeCell ref="B66:E66"/>
    <mergeCell ref="F66:I66"/>
    <mergeCell ref="J66:AA66"/>
    <mergeCell ref="A67:AA67"/>
    <mergeCell ref="A68:AA68"/>
    <mergeCell ref="H70:J70"/>
    <mergeCell ref="L70:O70"/>
    <mergeCell ref="F65:I65"/>
    <mergeCell ref="K65:O65"/>
    <mergeCell ref="P65:R65"/>
    <mergeCell ref="S65:U65"/>
    <mergeCell ref="V65:X65"/>
    <mergeCell ref="Y65:AA65"/>
    <mergeCell ref="A63:A66"/>
    <mergeCell ref="B63:O63"/>
    <mergeCell ref="P63:AA63"/>
    <mergeCell ref="B64:I64"/>
    <mergeCell ref="K64:O64"/>
    <mergeCell ref="P64:R64"/>
    <mergeCell ref="S64:U64"/>
    <mergeCell ref="V64:X64"/>
    <mergeCell ref="Y64:AA64"/>
    <mergeCell ref="B65:E65"/>
  </mergeCells>
  <conditionalFormatting sqref="L31">
    <cfRule type="containsText" dxfId="23" priority="11" operator="containsText" text="PAGO MENSUAL">
      <formula>NOT(ISERROR(SEARCH("PAGO MENSUAL",L31)))</formula>
    </cfRule>
  </conditionalFormatting>
  <conditionalFormatting sqref="A49:A60">
    <cfRule type="cellIs" dxfId="22" priority="9" operator="greaterThan">
      <formula>$A$63</formula>
    </cfRule>
    <cfRule type="cellIs" dxfId="21" priority="10" operator="equal">
      <formula>$A$63</formula>
    </cfRule>
  </conditionalFormatting>
  <conditionalFormatting sqref="J61">
    <cfRule type="cellIs" dxfId="20" priority="8" operator="notEqual">
      <formula>$T$21</formula>
    </cfRule>
  </conditionalFormatting>
  <conditionalFormatting sqref="P32:AA32">
    <cfRule type="cellIs" dxfId="19" priority="6" operator="equal">
      <formula>$A$63</formula>
    </cfRule>
    <cfRule type="cellIs" dxfId="18" priority="7" operator="equal">
      <formula>$A$63</formula>
    </cfRule>
  </conditionalFormatting>
  <conditionalFormatting sqref="K61:M61">
    <cfRule type="cellIs" dxfId="17" priority="5" operator="notEqual">
      <formula>$F$21</formula>
    </cfRule>
  </conditionalFormatting>
  <conditionalFormatting sqref="P49:R49">
    <cfRule type="expression" dxfId="16" priority="4">
      <formula>$P$49=0</formula>
    </cfRule>
  </conditionalFormatting>
  <conditionalFormatting sqref="P50:R60">
    <cfRule type="expression" dxfId="15" priority="3">
      <formula>$J$50=0</formula>
    </cfRule>
  </conditionalFormatting>
  <conditionalFormatting sqref="S49:U49">
    <cfRule type="expression" dxfId="14" priority="2">
      <formula>$P$49=0</formula>
    </cfRule>
  </conditionalFormatting>
  <conditionalFormatting sqref="S50:U60">
    <cfRule type="expression" dxfId="13" priority="1">
      <formula>$J$50=0</formula>
    </cfRule>
  </conditionalFormatting>
  <pageMargins left="0.7" right="0.7" top="0.75" bottom="0.75" header="0.3" footer="0.3"/>
  <pageSetup scale="53" orientation="portrait" horizontalDpi="0" verticalDpi="0"/>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BDC!$A$3:$A$258</xm:f>
          </x14:formula1>
          <xm:sqref>F14:O14</xm:sqref>
        </x14:dataValidation>
        <x14:dataValidation type="list" allowBlank="1" showInputMessage="1" showErrorMessage="1">
          <x14:formula1>
            <xm:f>DATOS!$A$99:$A$103</xm:f>
          </x14:formula1>
          <xm:sqref>N49:O61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11</vt:i4>
      </vt:variant>
    </vt:vector>
  </HeadingPairs>
  <TitlesOfParts>
    <vt:vector size="23" baseType="lpstr">
      <vt:lpstr>DATOS</vt:lpstr>
      <vt:lpstr>BDC</vt:lpstr>
      <vt:lpstr>INFORME CONTRATISTAS</vt:lpstr>
      <vt:lpstr>ANEXO INFORME</vt:lpstr>
      <vt:lpstr>ACTA PARCIAL </vt:lpstr>
      <vt:lpstr>ACTA DE INICIO</vt:lpstr>
      <vt:lpstr>ACTA DE SUSPENSION</vt:lpstr>
      <vt:lpstr>ACTA DE REINICIO</vt:lpstr>
      <vt:lpstr>ACTA FINAL PRESTACION</vt:lpstr>
      <vt:lpstr>ACTA FINAL OBRA</vt:lpstr>
      <vt:lpstr>ACTA DE LIQUIDACION</vt:lpstr>
      <vt:lpstr>ACTA DE PACTACION DE PRECIOS</vt:lpstr>
      <vt:lpstr>'ACTA DE INICIO'!Área_de_impresión</vt:lpstr>
      <vt:lpstr>'ACTA DE LIQUIDACION'!Área_de_impresión</vt:lpstr>
      <vt:lpstr>'ACTA DE PACTACION DE PRECIOS'!Área_de_impresión</vt:lpstr>
      <vt:lpstr>'ACTA DE REINICIO'!Área_de_impresión</vt:lpstr>
      <vt:lpstr>'ACTA DE SUSPENSION'!Área_de_impresión</vt:lpstr>
      <vt:lpstr>'ACTA FINAL OBRA'!Área_de_impresión</vt:lpstr>
      <vt:lpstr>'ACTA FINAL PRESTACION'!Área_de_impresión</vt:lpstr>
      <vt:lpstr>'ACTA PARCIAL '!Área_de_impresión</vt:lpstr>
      <vt:lpstr>'ANEXO INFORME'!Área_de_impresión</vt:lpstr>
      <vt:lpstr>'INFORME CONTRATISTAS'!Área_de_impresión</vt:lpstr>
      <vt:lpstr>CONTRA</vt:lpstr>
    </vt:vector>
  </TitlesOfParts>
  <Company>IDM</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ACTAS IDM</dc:title>
  <dc:subject>VERSION 2018-3</dc:subject>
  <dc:creator>RIGOBERTO LOPERA M</dc:creator>
  <cp:lastModifiedBy>PC</cp:lastModifiedBy>
  <cp:lastPrinted>2018-10-25T19:41:49Z</cp:lastPrinted>
  <dcterms:created xsi:type="dcterms:W3CDTF">2018-09-14T15:29:36Z</dcterms:created>
  <dcterms:modified xsi:type="dcterms:W3CDTF">2018-11-01T21:08:00Z</dcterms:modified>
  <cp:category>FORMATOS</cp:category>
</cp:coreProperties>
</file>