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go/Dropbox/hugo_documents_folder/SMF_RISK/dashboard/temp_data/"/>
    </mc:Choice>
  </mc:AlternateContent>
  <xr:revisionPtr revIDLastSave="0" documentId="13_ncr:1_{0EB9F00E-2195-874C-82D2-F1BEA1477DE4}" xr6:coauthVersionLast="45" xr6:coauthVersionMax="45" xr10:uidLastSave="{00000000-0000-0000-0000-000000000000}"/>
  <bookViews>
    <workbookView xWindow="560" yWindow="700" windowWidth="28240" windowHeight="16960" activeTab="5" xr2:uid="{6D41851E-BEF2-3B47-B81D-6EB935B614CF}"/>
  </bookViews>
  <sheets>
    <sheet name="Region Benchmarks" sheetId="3" r:id="rId1"/>
    <sheet name="Sector Benchmarks EU" sheetId="5" r:id="rId2"/>
    <sheet name="Sector Benchmarks US" sheetId="4" r:id="rId3"/>
    <sheet name="Equities" sheetId="2" r:id="rId4"/>
    <sheet name="Equity Definitions" sheetId="1" r:id="rId5"/>
    <sheet name="Risk Model" sheetId="6" r:id="rId6"/>
  </sheets>
  <definedNames>
    <definedName name="benchmarks" localSheetId="0">'Region Benchmarks'!$A$1:$D$15</definedName>
    <definedName name="equities" localSheetId="3">Equities!$A$1:$P$15</definedName>
    <definedName name="sector_benchmarks_EU" localSheetId="1">'Sector Benchmarks EU'!$A$1:$L$15</definedName>
    <definedName name="sector_benchmarks_US" localSheetId="2">'Sector Benchmarks US'!$A$1:$L$15</definedName>
    <definedName name="solver_adj" localSheetId="5" hidden="1">'Risk Model'!$G$12:$G$21</definedName>
    <definedName name="solver_cvg" localSheetId="5" hidden="1">0.0001</definedName>
    <definedName name="solver_drv" localSheetId="5" hidden="1">1</definedName>
    <definedName name="solver_eng" localSheetId="5" hidden="1">1</definedName>
    <definedName name="solver_itr" localSheetId="5" hidden="1">2147483647</definedName>
    <definedName name="solver_lhs1" localSheetId="5" hidden="1">'Risk Model'!#REF!</definedName>
    <definedName name="solver_lhs2" localSheetId="5" hidden="1">'Risk Model'!#REF!</definedName>
    <definedName name="solver_lin" localSheetId="5" hidden="1">2</definedName>
    <definedName name="solver_mip" localSheetId="5" hidden="1">2147483647</definedName>
    <definedName name="solver_mni" localSheetId="5" hidden="1">30</definedName>
    <definedName name="solver_mrt" localSheetId="5" hidden="1">0.075</definedName>
    <definedName name="solver_msl" localSheetId="5" hidden="1">2</definedName>
    <definedName name="solver_neg" localSheetId="5" hidden="1">1</definedName>
    <definedName name="solver_nod" localSheetId="5" hidden="1">2147483647</definedName>
    <definedName name="solver_num" localSheetId="5" hidden="1">1</definedName>
    <definedName name="solver_opt" localSheetId="5" hidden="1">'Risk Model'!$F$37</definedName>
    <definedName name="solver_pre" localSheetId="5" hidden="1">0.000001</definedName>
    <definedName name="solver_rbv" localSheetId="5" hidden="1">1</definedName>
    <definedName name="solver_rel1" localSheetId="5" hidden="1">1</definedName>
    <definedName name="solver_rel2" localSheetId="5" hidden="1">2</definedName>
    <definedName name="solver_rhs1" localSheetId="5" hidden="1">1</definedName>
    <definedName name="solver_rhs2" localSheetId="5" hidden="1">1</definedName>
    <definedName name="solver_rlx" localSheetId="5" hidden="1">2</definedName>
    <definedName name="solver_rsd" localSheetId="5" hidden="1">0</definedName>
    <definedName name="solver_scl" localSheetId="5" hidden="1">1</definedName>
    <definedName name="solver_sho" localSheetId="5" hidden="1">2</definedName>
    <definedName name="solver_ssz" localSheetId="5" hidden="1">100</definedName>
    <definedName name="solver_tim" localSheetId="5" hidden="1">2147483647</definedName>
    <definedName name="solver_tol" localSheetId="5" hidden="1">0.01</definedName>
    <definedName name="solver_typ" localSheetId="5" hidden="1">2</definedName>
    <definedName name="solver_val" localSheetId="5" hidden="1">0</definedName>
    <definedName name="solver_ver" localSheetId="5" hidden="1">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N33" i="6" l="1"/>
  <c r="K33" i="6"/>
  <c r="K32" i="6"/>
  <c r="K43" i="6"/>
  <c r="E33" i="6"/>
  <c r="E32" i="6"/>
  <c r="N22" i="6"/>
  <c r="M32" i="6"/>
  <c r="J33" i="6"/>
  <c r="D40" i="6"/>
  <c r="L39" i="6"/>
  <c r="I38" i="6"/>
  <c r="O33" i="6"/>
  <c r="L33" i="6"/>
  <c r="I33" i="6"/>
  <c r="I32" i="6"/>
  <c r="F33" i="6"/>
  <c r="F32" i="6"/>
  <c r="D33" i="6"/>
  <c r="D32" i="6"/>
  <c r="M38" i="6"/>
  <c r="L38" i="6"/>
  <c r="J38" i="6"/>
  <c r="H38" i="6"/>
  <c r="E38" i="6"/>
  <c r="F38" i="6" s="1"/>
  <c r="D38" i="6"/>
  <c r="G38" i="6"/>
  <c r="K23" i="6"/>
  <c r="K24" i="6"/>
  <c r="K25" i="6"/>
  <c r="K26" i="6"/>
  <c r="K27" i="6"/>
  <c r="K28" i="6"/>
  <c r="K29" i="6"/>
  <c r="K30" i="6"/>
  <c r="K31" i="6"/>
  <c r="K22" i="6"/>
  <c r="I23" i="6"/>
  <c r="I24" i="6"/>
  <c r="I25" i="6"/>
  <c r="I26" i="6"/>
  <c r="I27" i="6"/>
  <c r="I28" i="6"/>
  <c r="I29" i="6"/>
  <c r="I30" i="6"/>
  <c r="I31" i="6"/>
  <c r="I22" i="6"/>
  <c r="G23" i="6"/>
  <c r="G24" i="6"/>
  <c r="G25" i="6"/>
  <c r="G26" i="6"/>
  <c r="G27" i="6"/>
  <c r="G28" i="6"/>
  <c r="G29" i="6"/>
  <c r="G30" i="6"/>
  <c r="G31" i="6"/>
  <c r="G22" i="6"/>
  <c r="F23" i="6"/>
  <c r="F24" i="6"/>
  <c r="F25" i="6"/>
  <c r="F26" i="6"/>
  <c r="F27" i="6"/>
  <c r="F28" i="6"/>
  <c r="F29" i="6"/>
  <c r="F30" i="6"/>
  <c r="F31" i="6"/>
  <c r="F22" i="6"/>
  <c r="E23" i="6"/>
  <c r="E24" i="6"/>
  <c r="E25" i="6"/>
  <c r="E26" i="6"/>
  <c r="E27" i="6"/>
  <c r="E28" i="6"/>
  <c r="E29" i="6"/>
  <c r="E30" i="6"/>
  <c r="E31" i="6"/>
  <c r="E22" i="6"/>
  <c r="D23" i="6"/>
  <c r="D24" i="6"/>
  <c r="D25" i="6"/>
  <c r="D26" i="6"/>
  <c r="D27" i="6"/>
  <c r="D28" i="6"/>
  <c r="D29" i="6"/>
  <c r="D30" i="6"/>
  <c r="D31" i="6"/>
  <c r="D22" i="6"/>
  <c r="L26" i="6"/>
  <c r="H3" i="6"/>
  <c r="H4" i="6"/>
  <c r="H5" i="6"/>
  <c r="H6" i="6"/>
  <c r="H7" i="6"/>
  <c r="H8" i="6"/>
  <c r="H9" i="6"/>
  <c r="H10" i="6"/>
  <c r="H11" i="6"/>
  <c r="H2" i="6"/>
  <c r="H13" i="6"/>
  <c r="H14" i="6"/>
  <c r="H15" i="6"/>
  <c r="H16" i="6"/>
  <c r="H17" i="6"/>
  <c r="H18" i="6"/>
  <c r="H19" i="6"/>
  <c r="H20" i="6"/>
  <c r="H21" i="6"/>
  <c r="H12" i="6"/>
  <c r="H3" i="1"/>
  <c r="H4" i="1"/>
  <c r="H5" i="1"/>
  <c r="H6" i="1"/>
  <c r="H7" i="1"/>
  <c r="H8" i="1"/>
  <c r="H9" i="1"/>
  <c r="H10" i="1"/>
  <c r="H11" i="1"/>
  <c r="H12" i="1"/>
  <c r="H13" i="1"/>
  <c r="H14" i="1"/>
  <c r="H15" i="1"/>
  <c r="H2" i="1"/>
  <c r="H36" i="6"/>
  <c r="H37" i="6"/>
  <c r="D2" i="6"/>
  <c r="C36" i="6"/>
  <c r="D36" i="6" a="1"/>
  <c r="D36" i="6" s="1"/>
  <c r="C37" i="6"/>
  <c r="D37" i="6" a="1"/>
  <c r="D37" i="6" s="1"/>
  <c r="I13" i="6" a="1"/>
  <c r="I13" i="6" s="1"/>
  <c r="J13" i="6" s="1"/>
  <c r="I14" i="6" a="1"/>
  <c r="I14" i="6" s="1"/>
  <c r="J14" i="6" s="1"/>
  <c r="I15" i="6" a="1"/>
  <c r="I15" i="6" s="1"/>
  <c r="J15" i="6" s="1"/>
  <c r="I16" i="6" a="1"/>
  <c r="I16" i="6" s="1"/>
  <c r="J16" i="6" s="1"/>
  <c r="I17" i="6" a="1"/>
  <c r="I17" i="6" s="1"/>
  <c r="J17" i="6" s="1"/>
  <c r="I18" i="6" a="1"/>
  <c r="I18" i="6" s="1"/>
  <c r="J18" i="6" s="1"/>
  <c r="I19" i="6" a="1"/>
  <c r="I19" i="6" s="1"/>
  <c r="J19" i="6" s="1"/>
  <c r="I20" i="6" a="1"/>
  <c r="I20" i="6" s="1"/>
  <c r="J20" i="6" s="1"/>
  <c r="I21" i="6" a="1"/>
  <c r="I21" i="6" s="1"/>
  <c r="J21" i="6" s="1"/>
  <c r="I12" i="6" a="1"/>
  <c r="I12" i="6" s="1"/>
  <c r="J12" i="6" s="1"/>
  <c r="I3" i="6" a="1"/>
  <c r="I3" i="6" s="1"/>
  <c r="J3" i="6" s="1"/>
  <c r="I4" i="6" a="1"/>
  <c r="I4" i="6" s="1"/>
  <c r="J4" i="6" s="1"/>
  <c r="I5" i="6" a="1"/>
  <c r="I5" i="6" s="1"/>
  <c r="J5" i="6" s="1"/>
  <c r="I6" i="6" a="1"/>
  <c r="I6" i="6" s="1"/>
  <c r="J6" i="6" s="1"/>
  <c r="I7" i="6" a="1"/>
  <c r="I7" i="6" s="1"/>
  <c r="J7" i="6" s="1"/>
  <c r="I8" i="6" a="1"/>
  <c r="I8" i="6" s="1"/>
  <c r="J8" i="6" s="1"/>
  <c r="I9" i="6" a="1"/>
  <c r="I9" i="6" s="1"/>
  <c r="J9" i="6" s="1"/>
  <c r="I10" i="6" a="1"/>
  <c r="I10" i="6" s="1"/>
  <c r="J10" i="6" s="1"/>
  <c r="I11" i="6" a="1"/>
  <c r="I11" i="6" s="1"/>
  <c r="J11" i="6" s="1"/>
  <c r="I2" i="6" a="1"/>
  <c r="I2" i="6" s="1"/>
  <c r="J2" i="6" s="1"/>
  <c r="D3" i="6"/>
  <c r="E3" i="6" s="1"/>
  <c r="D4" i="6"/>
  <c r="E4" i="6" s="1"/>
  <c r="D5" i="6"/>
  <c r="E5" i="6" s="1"/>
  <c r="D6" i="6"/>
  <c r="E6" i="6" s="1"/>
  <c r="D7" i="6"/>
  <c r="E7" i="6" s="1"/>
  <c r="D8" i="6"/>
  <c r="E8" i="6" s="1"/>
  <c r="D9" i="6"/>
  <c r="E9" i="6" s="1"/>
  <c r="D10" i="6"/>
  <c r="E10" i="6" s="1"/>
  <c r="D11" i="6"/>
  <c r="E11" i="6" s="1"/>
  <c r="D12" i="6"/>
  <c r="E12" i="6" s="1"/>
  <c r="D13" i="6"/>
  <c r="E13" i="6" s="1"/>
  <c r="D14" i="6"/>
  <c r="E14" i="6" s="1"/>
  <c r="D15" i="6"/>
  <c r="E15" i="6" s="1"/>
  <c r="D16" i="6"/>
  <c r="E16" i="6" s="1"/>
  <c r="D17" i="6"/>
  <c r="E17" i="6" s="1"/>
  <c r="D18" i="6"/>
  <c r="E18" i="6" s="1"/>
  <c r="D19" i="6"/>
  <c r="E19" i="6" s="1"/>
  <c r="D20" i="6"/>
  <c r="E20" i="6" s="1"/>
  <c r="D21" i="6"/>
  <c r="E21" i="6" s="1"/>
  <c r="C2" i="6"/>
  <c r="C3" i="6"/>
  <c r="C4" i="6"/>
  <c r="C5" i="6"/>
  <c r="C6" i="6"/>
  <c r="C7" i="6"/>
  <c r="C8" i="6"/>
  <c r="C9" i="6"/>
  <c r="C10" i="6"/>
  <c r="C11" i="6"/>
  <c r="C13" i="6"/>
  <c r="C14" i="6"/>
  <c r="C15" i="6"/>
  <c r="C16" i="6"/>
  <c r="C17" i="6"/>
  <c r="C18" i="6"/>
  <c r="C19" i="6"/>
  <c r="C20" i="6"/>
  <c r="C21" i="6"/>
  <c r="C12" i="6"/>
  <c r="G3" i="1" a="1"/>
  <c r="G3" i="1" s="1"/>
  <c r="G4" i="1" a="1"/>
  <c r="G4" i="1" s="1"/>
  <c r="G5" i="1" a="1"/>
  <c r="G5" i="1" s="1"/>
  <c r="G6" i="1" a="1"/>
  <c r="G6" i="1" s="1"/>
  <c r="G7" i="1" a="1"/>
  <c r="G7" i="1" s="1"/>
  <c r="G8" i="1" a="1"/>
  <c r="G8" i="1" s="1"/>
  <c r="G9" i="1" a="1"/>
  <c r="G9" i="1" s="1"/>
  <c r="G10" i="1" a="1"/>
  <c r="G10" i="1" s="1"/>
  <c r="G11" i="1" a="1"/>
  <c r="G11" i="1" s="1"/>
  <c r="G12" i="1" a="1"/>
  <c r="G12" i="1" s="1"/>
  <c r="G13" i="1" a="1"/>
  <c r="G13" i="1" s="1"/>
  <c r="G14" i="1" a="1"/>
  <c r="G14" i="1" s="1"/>
  <c r="G15" i="1" a="1"/>
  <c r="G15" i="1" s="1"/>
  <c r="G2" i="1" a="1"/>
  <c r="G2" i="1" s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2" i="1"/>
  <c r="P33" i="6" l="1"/>
  <c r="P32" i="6"/>
  <c r="M39" i="6" s="1"/>
  <c r="L32" i="6"/>
  <c r="O32" i="6" s="1"/>
  <c r="J39" i="6" s="1"/>
  <c r="N32" i="6"/>
  <c r="J32" i="6"/>
  <c r="D39" i="6"/>
  <c r="M33" i="6"/>
  <c r="K38" i="6"/>
  <c r="N38" i="6"/>
  <c r="L30" i="6"/>
  <c r="O30" i="6" s="1"/>
  <c r="M26" i="6"/>
  <c r="L22" i="6"/>
  <c r="M30" i="6"/>
  <c r="M22" i="6"/>
  <c r="J29" i="6"/>
  <c r="M28" i="6"/>
  <c r="J22" i="6"/>
  <c r="J24" i="6"/>
  <c r="N26" i="6"/>
  <c r="J26" i="6"/>
  <c r="J28" i="6"/>
  <c r="M23" i="6"/>
  <c r="M25" i="6"/>
  <c r="J30" i="6"/>
  <c r="M27" i="6"/>
  <c r="M29" i="6"/>
  <c r="J23" i="6"/>
  <c r="J25" i="6"/>
  <c r="M31" i="6"/>
  <c r="J27" i="6"/>
  <c r="M24" i="6"/>
  <c r="J31" i="6"/>
  <c r="L25" i="6"/>
  <c r="O25" i="6" s="1"/>
  <c r="O26" i="6"/>
  <c r="L29" i="6"/>
  <c r="O29" i="6" s="1"/>
  <c r="P26" i="6"/>
  <c r="L24" i="6"/>
  <c r="O24" i="6" s="1"/>
  <c r="L28" i="6"/>
  <c r="O28" i="6" s="1"/>
  <c r="L23" i="6"/>
  <c r="O23" i="6" s="1"/>
  <c r="L27" i="6"/>
  <c r="O27" i="6" s="1"/>
  <c r="L31" i="6"/>
  <c r="O31" i="6" s="1"/>
  <c r="L37" i="6"/>
  <c r="L36" i="6"/>
  <c r="E2" i="6"/>
  <c r="L2" i="6" s="1"/>
  <c r="L3" i="6"/>
  <c r="L11" i="6"/>
  <c r="L9" i="6"/>
  <c r="L10" i="6"/>
  <c r="L8" i="6"/>
  <c r="L7" i="6"/>
  <c r="L4" i="6"/>
  <c r="L20" i="6"/>
  <c r="L18" i="6"/>
  <c r="L17" i="6"/>
  <c r="L15" i="6"/>
  <c r="L16" i="6"/>
  <c r="L14" i="6"/>
  <c r="L19" i="6"/>
  <c r="L12" i="6"/>
  <c r="F2" i="6"/>
  <c r="P2" i="6" s="1"/>
  <c r="L6" i="6"/>
  <c r="L21" i="6"/>
  <c r="L13" i="6"/>
  <c r="L5" i="6"/>
  <c r="E37" i="6"/>
  <c r="F20" i="6"/>
  <c r="F12" i="6"/>
  <c r="F4" i="6"/>
  <c r="F18" i="6"/>
  <c r="F10" i="6"/>
  <c r="F17" i="6"/>
  <c r="F9" i="6"/>
  <c r="F15" i="6"/>
  <c r="F7" i="6"/>
  <c r="E36" i="6"/>
  <c r="F36" i="6" s="1"/>
  <c r="F16" i="6"/>
  <c r="F8" i="6"/>
  <c r="F14" i="6"/>
  <c r="F6" i="6"/>
  <c r="F19" i="6"/>
  <c r="F11" i="6"/>
  <c r="F3" i="6"/>
  <c r="F21" i="6"/>
  <c r="F13" i="6"/>
  <c r="F5" i="6"/>
  <c r="I39" i="6" l="1"/>
  <c r="K39" i="6" s="1"/>
  <c r="N39" i="6"/>
  <c r="O38" i="6"/>
  <c r="Q38" i="6"/>
  <c r="P38" i="6"/>
  <c r="N31" i="6"/>
  <c r="N30" i="6"/>
  <c r="N24" i="6"/>
  <c r="P30" i="6"/>
  <c r="O22" i="6"/>
  <c r="P22" i="6"/>
  <c r="N28" i="6"/>
  <c r="N25" i="6"/>
  <c r="P28" i="6"/>
  <c r="N29" i="6"/>
  <c r="P29" i="6"/>
  <c r="P25" i="6"/>
  <c r="P24" i="6"/>
  <c r="P31" i="6"/>
  <c r="P27" i="6"/>
  <c r="P23" i="6"/>
  <c r="N27" i="6"/>
  <c r="N23" i="6"/>
  <c r="O8" i="6"/>
  <c r="O13" i="6"/>
  <c r="O2" i="6"/>
  <c r="O14" i="6"/>
  <c r="M2" i="6"/>
  <c r="O21" i="6"/>
  <c r="O16" i="6"/>
  <c r="O10" i="6"/>
  <c r="O6" i="6"/>
  <c r="O15" i="6"/>
  <c r="O9" i="6"/>
  <c r="O17" i="6"/>
  <c r="O11" i="6"/>
  <c r="O18" i="6"/>
  <c r="O3" i="6"/>
  <c r="O12" i="6"/>
  <c r="O4" i="6"/>
  <c r="O20" i="6"/>
  <c r="O5" i="6"/>
  <c r="O19" i="6"/>
  <c r="O7" i="6"/>
  <c r="M16" i="6"/>
  <c r="P16" i="6"/>
  <c r="M18" i="6"/>
  <c r="P18" i="6"/>
  <c r="M3" i="6"/>
  <c r="P3" i="6"/>
  <c r="M12" i="6"/>
  <c r="P12" i="6"/>
  <c r="M11" i="6"/>
  <c r="P11" i="6"/>
  <c r="M7" i="6"/>
  <c r="P7" i="6"/>
  <c r="M20" i="6"/>
  <c r="P20" i="6"/>
  <c r="M8" i="6"/>
  <c r="P8" i="6"/>
  <c r="M4" i="6"/>
  <c r="P4" i="6"/>
  <c r="M9" i="6"/>
  <c r="P9" i="6"/>
  <c r="M17" i="6"/>
  <c r="P17" i="6"/>
  <c r="M13" i="6"/>
  <c r="P13" i="6"/>
  <c r="M21" i="6"/>
  <c r="P21" i="6"/>
  <c r="M19" i="6"/>
  <c r="P19" i="6"/>
  <c r="M15" i="6"/>
  <c r="P15" i="6"/>
  <c r="M6" i="6"/>
  <c r="P6" i="6"/>
  <c r="M14" i="6"/>
  <c r="P14" i="6"/>
  <c r="M5" i="6"/>
  <c r="P5" i="6"/>
  <c r="M10" i="6"/>
  <c r="P10" i="6"/>
  <c r="F37" i="6"/>
  <c r="G37" i="6" s="1"/>
  <c r="K17" i="6"/>
  <c r="K20" i="6"/>
  <c r="K18" i="6"/>
  <c r="K7" i="6"/>
  <c r="K19" i="6"/>
  <c r="K21" i="6"/>
  <c r="K8" i="6"/>
  <c r="K9" i="6"/>
  <c r="K4" i="6"/>
  <c r="K15" i="6"/>
  <c r="K10" i="6"/>
  <c r="K12" i="6"/>
  <c r="K16" i="6"/>
  <c r="K6" i="6"/>
  <c r="K3" i="6"/>
  <c r="K5" i="6"/>
  <c r="K2" i="6"/>
  <c r="N2" i="6" s="1"/>
  <c r="K11" i="6"/>
  <c r="N11" i="6" s="1"/>
  <c r="K13" i="6"/>
  <c r="K14" i="6"/>
  <c r="O39" i="6" l="1"/>
  <c r="Q39" i="6"/>
  <c r="P39" i="6"/>
  <c r="R38" i="6"/>
  <c r="J36" i="6"/>
  <c r="N8" i="6"/>
  <c r="N21" i="6"/>
  <c r="N16" i="6"/>
  <c r="J37" i="6"/>
  <c r="N19" i="6"/>
  <c r="N18" i="6"/>
  <c r="N4" i="6"/>
  <c r="M36" i="6"/>
  <c r="N36" i="6" s="1"/>
  <c r="N14" i="6"/>
  <c r="N5" i="6"/>
  <c r="N9" i="6"/>
  <c r="M37" i="6"/>
  <c r="N37" i="6" s="1"/>
  <c r="N3" i="6"/>
  <c r="N6" i="6"/>
  <c r="G36" i="6"/>
  <c r="N12" i="6"/>
  <c r="N7" i="6"/>
  <c r="N15" i="6"/>
  <c r="N20" i="6"/>
  <c r="N13" i="6"/>
  <c r="N10" i="6"/>
  <c r="N17" i="6"/>
  <c r="R39" i="6" l="1"/>
  <c r="I37" i="6"/>
  <c r="K37" i="6" s="1"/>
  <c r="O37" i="6" s="1"/>
  <c r="Q37" i="6" s="1"/>
  <c r="I36" i="6"/>
  <c r="K36" i="6" s="1"/>
  <c r="O36" i="6" s="1"/>
  <c r="P36" i="6" s="1"/>
  <c r="P37" i="6" l="1"/>
  <c r="R37" i="6"/>
  <c r="Q36" i="6"/>
  <c r="R36" i="6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0ECF973-E5E4-9947-8035-AE1EE340B546}" name="benchmarks" type="6" refreshedVersion="6" background="1" saveData="1">
    <textPr codePage="10000" sourceFile="/Users/hugo/Dropbox/hugo_documents_folder/SMF_RISK/dashboard/temp_data/benchmarks.csv" tab="0" comma="1">
      <textFields count="4">
        <textField type="YMD"/>
        <textField/>
        <textField/>
        <textField/>
      </textFields>
    </textPr>
  </connection>
  <connection id="2" xr16:uid="{9CEC5EE1-7AB3-724F-BC51-09155A68F827}" name="equities" type="6" refreshedVersion="6" background="1" saveData="1">
    <textPr codePage="10000" sourceFile="/Users/hugo/Dropbox/hugo_documents_folder/SMF_RISK/dashboard/temp_data/equities.csv" tab="0" comma="1">
      <textFields count="16">
        <textField type="YMD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xr16:uid="{B3213809-CA25-684D-9CFA-478ED474D380}" name="sector_benchmarks_EU" type="6" refreshedVersion="6" background="1" saveData="1">
    <textPr codePage="10000" sourceFile="/Users/hugo/Dropbox/hugo_documents_folder/SMF_RISK/dashboard/temp_data/sector_benchmarks_EU.csv" comma="1">
      <textFields count="12">
        <textField type="YMD"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xr16:uid="{0E30EFEC-8A12-3A47-9DEC-C0BBE3D1802A}" name="sector_benchmarks_US" type="6" refreshedVersion="6" background="1" saveData="1">
    <textPr codePage="10000" sourceFile="/Users/hugo/Dropbox/hugo_documents_folder/SMF_RISK/dashboard/temp_data/sector_benchmarks_US.csv" comma="1">
      <textFields count="12">
        <textField type="YMD"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<sst xmlns="http://schemas.openxmlformats.org/spreadsheetml/2006/main" count="225" uniqueCount="85">
  <si>
    <t>timestamp</t>
  </si>
  <si>
    <t>BLK</t>
  </si>
  <si>
    <t>DIS</t>
  </si>
  <si>
    <t>GOOG</t>
  </si>
  <si>
    <t>WMT</t>
  </si>
  <si>
    <t>PG</t>
  </si>
  <si>
    <t>JNJ</t>
  </si>
  <si>
    <t>MSFT</t>
  </si>
  <si>
    <t>DG</t>
  </si>
  <si>
    <t>WM</t>
  </si>
  <si>
    <t>NSRGY</t>
  </si>
  <si>
    <t>VWDRY</t>
  </si>
  <si>
    <t>NVS</t>
  </si>
  <si>
    <t>SBGSY</t>
  </si>
  <si>
    <t>IBDSF</t>
  </si>
  <si>
    <t>PORT</t>
  </si>
  <si>
    <t>SPY</t>
  </si>
  <si>
    <t>BENCHMARK</t>
  </si>
  <si>
    <t>SYMBOL</t>
  </si>
  <si>
    <t>NAME</t>
  </si>
  <si>
    <t>REGION</t>
  </si>
  <si>
    <t>SECTOR</t>
  </si>
  <si>
    <t>Blackrock</t>
  </si>
  <si>
    <t>Disney</t>
  </si>
  <si>
    <t>Google</t>
  </si>
  <si>
    <t>Walmart</t>
  </si>
  <si>
    <t>J&amp;J</t>
  </si>
  <si>
    <t>Microsoft</t>
  </si>
  <si>
    <t>Dollar General</t>
  </si>
  <si>
    <t>Wase Management</t>
  </si>
  <si>
    <t>Nestle</t>
  </si>
  <si>
    <t>Vestas</t>
  </si>
  <si>
    <t>Novartis</t>
  </si>
  <si>
    <t>Schneider Electric</t>
  </si>
  <si>
    <t>Iberdrola</t>
  </si>
  <si>
    <t>US</t>
  </si>
  <si>
    <t>EU</t>
  </si>
  <si>
    <t>Communications</t>
  </si>
  <si>
    <t>Consumer_Disrectionary</t>
  </si>
  <si>
    <t>Consumer_Staples</t>
  </si>
  <si>
    <t>Energy_Renewables</t>
  </si>
  <si>
    <t>Financials</t>
  </si>
  <si>
    <t>Health_Care</t>
  </si>
  <si>
    <t>Information_Technology</t>
  </si>
  <si>
    <t>Industrials</t>
  </si>
  <si>
    <t>Utilities</t>
  </si>
  <si>
    <t>Other</t>
  </si>
  <si>
    <t>Proctor &amp; Gamble</t>
  </si>
  <si>
    <t>Equity Return</t>
  </si>
  <si>
    <t>EQUITY WEIGHT</t>
  </si>
  <si>
    <t>EQUITY DATA REF COL</t>
  </si>
  <si>
    <t>REGION SYMBOL</t>
  </si>
  <si>
    <t>SECTOR WEIGHT</t>
  </si>
  <si>
    <t>PORTFOLIO REGION WEIGHT</t>
  </si>
  <si>
    <t>INDEX REGION WEIGHT</t>
  </si>
  <si>
    <t>BENCHMARKDS DATA REF</t>
  </si>
  <si>
    <t>BENCMARK SECTOR RETURN</t>
  </si>
  <si>
    <t>WEIGHTED BENCH RETURN</t>
  </si>
  <si>
    <t>REGION RETURN</t>
  </si>
  <si>
    <t>REGION IDX</t>
  </si>
  <si>
    <t>ESTIMATED RETURN</t>
  </si>
  <si>
    <t>DEVIATION</t>
  </si>
  <si>
    <t>TOTAL DEVIATION</t>
  </si>
  <si>
    <t>ESTIMATED WEIGHTS TOTAL</t>
  </si>
  <si>
    <t>SECTOR - BENCH PERF ESTIMATE</t>
  </si>
  <si>
    <t>PORT WEIGHT DEVIATION</t>
  </si>
  <si>
    <t>ALLOCATION</t>
  </si>
  <si>
    <t>SELECTION</t>
  </si>
  <si>
    <t>PORT - SECTOR PERF</t>
  </si>
  <si>
    <t>PORT RETURN</t>
  </si>
  <si>
    <t>BENCH</t>
  </si>
  <si>
    <t>OVERALL</t>
  </si>
  <si>
    <t>REGION WEIGHT</t>
  </si>
  <si>
    <t>PORT WEIGHTED RETURN 200%</t>
  </si>
  <si>
    <t>Weighted Return</t>
  </si>
  <si>
    <t>TOTAL EFFECT</t>
  </si>
  <si>
    <t>CORRECTION</t>
  </si>
  <si>
    <t>OUTPERFORMANCE</t>
  </si>
  <si>
    <t>CORR ALLOC</t>
  </si>
  <si>
    <t>CORR SELEC</t>
  </si>
  <si>
    <t>CORR TOTAL</t>
  </si>
  <si>
    <t>OVERALL 2</t>
  </si>
  <si>
    <t>BENCH2</t>
  </si>
  <si>
    <t>OVERALL2</t>
  </si>
  <si>
    <t>*OVERALL 2 Is more reliable than OVERALL 1 as we know the weightings of the regions in our benchmark exactly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</si>
</sst>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6" formatCode="0.0%"/>
    <numFmt numFmtId="175" formatCode="0.0000000%"/>
    <numFmt numFmtId="176" formatCode="0.000000%"/>
    <numFmt numFmtId="177" formatCode="0.00000%"/>
    <numFmt numFmtId="178" formatCode="0.0000%"/>
    <numFmt numFmtId="179" formatCode="0.000%"/>
  </numFmts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Helvetica"/>
      <family val="2"/>
    </font>
    <font>
      <b/>
      <sz val="12"/>
      <color rgb="FFFF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B3BF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9">
    <xf numFmtId="0" fontId="0" fillId="0" borderId="0" xfId="0"/>
    <xf numFmtId="14" fontId="0" fillId="0" borderId="0" xfId="0" applyNumberFormat="1"/>
    <xf numFmtId="9" fontId="0" fillId="0" borderId="0" xfId="1" applyFont="1"/>
    <xf numFmtId="10" fontId="0" fillId="0" borderId="0" xfId="1" applyNumberFormat="1" applyFont="1"/>
    <xf numFmtId="0" fontId="5" fillId="0" borderId="0" xfId="0" applyFont="1"/>
    <xf numFmtId="175" fontId="0" fillId="0" borderId="0" xfId="0" applyNumberFormat="1"/>
    <xf numFmtId="0" fontId="2" fillId="2" borderId="0" xfId="0" applyFont="1" applyFill="1"/>
    <xf numFmtId="0" fontId="2" fillId="2" borderId="1" xfId="0" applyFont="1" applyFill="1" applyBorder="1"/>
    <xf numFmtId="0" fontId="2" fillId="3" borderId="0" xfId="0" applyFont="1" applyFill="1"/>
    <xf numFmtId="0" fontId="2" fillId="4" borderId="0" xfId="0" applyFont="1" applyFill="1"/>
    <xf numFmtId="0" fontId="0" fillId="5" borderId="0" xfId="0" applyFill="1"/>
    <xf numFmtId="9" fontId="0" fillId="5" borderId="0" xfId="1" applyFont="1" applyFill="1"/>
    <xf numFmtId="10" fontId="0" fillId="5" borderId="0" xfId="1" applyNumberFormat="1" applyFont="1" applyFill="1"/>
    <xf numFmtId="9" fontId="0" fillId="5" borderId="0" xfId="0" applyNumberFormat="1" applyFill="1"/>
    <xf numFmtId="166" fontId="6" fillId="5" borderId="0" xfId="1" applyNumberFormat="1" applyFont="1" applyFill="1"/>
    <xf numFmtId="10" fontId="0" fillId="5" borderId="0" xfId="0" applyNumberFormat="1" applyFill="1"/>
    <xf numFmtId="179" fontId="0" fillId="5" borderId="0" xfId="1" applyNumberFormat="1" applyFont="1" applyFill="1"/>
    <xf numFmtId="166" fontId="0" fillId="5" borderId="0" xfId="1" applyNumberFormat="1" applyFont="1" applyFill="1"/>
    <xf numFmtId="0" fontId="0" fillId="5" borderId="1" xfId="0" applyFill="1" applyBorder="1"/>
    <xf numFmtId="9" fontId="0" fillId="5" borderId="1" xfId="1" applyFont="1" applyFill="1" applyBorder="1"/>
    <xf numFmtId="10" fontId="0" fillId="5" borderId="1" xfId="1" applyNumberFormat="1" applyFont="1" applyFill="1" applyBorder="1"/>
    <xf numFmtId="9" fontId="0" fillId="5" borderId="1" xfId="0" applyNumberFormat="1" applyFill="1" applyBorder="1"/>
    <xf numFmtId="166" fontId="0" fillId="5" borderId="1" xfId="1" applyNumberFormat="1" applyFont="1" applyFill="1" applyBorder="1"/>
    <xf numFmtId="10" fontId="0" fillId="5" borderId="1" xfId="0" applyNumberFormat="1" applyFill="1" applyBorder="1"/>
    <xf numFmtId="179" fontId="0" fillId="5" borderId="1" xfId="1" applyNumberFormat="1" applyFont="1" applyFill="1" applyBorder="1"/>
    <xf numFmtId="0" fontId="0" fillId="6" borderId="0" xfId="0" applyFill="1"/>
    <xf numFmtId="9" fontId="0" fillId="6" borderId="0" xfId="1" applyFont="1" applyFill="1"/>
    <xf numFmtId="10" fontId="0" fillId="6" borderId="0" xfId="1" applyNumberFormat="1" applyFont="1" applyFill="1"/>
    <xf numFmtId="9" fontId="0" fillId="6" borderId="0" xfId="0" applyNumberFormat="1" applyFill="1"/>
    <xf numFmtId="10" fontId="0" fillId="6" borderId="0" xfId="0" applyNumberFormat="1" applyFill="1"/>
    <xf numFmtId="179" fontId="0" fillId="6" borderId="0" xfId="1" applyNumberFormat="1" applyFont="1" applyFill="1"/>
    <xf numFmtId="0" fontId="4" fillId="7" borderId="0" xfId="0" applyFont="1" applyFill="1"/>
    <xf numFmtId="10" fontId="3" fillId="6" borderId="0" xfId="1" applyNumberFormat="1" applyFont="1" applyFill="1"/>
    <xf numFmtId="10" fontId="3" fillId="6" borderId="0" xfId="0" applyNumberFormat="1" applyFont="1" applyFill="1"/>
    <xf numFmtId="2" fontId="0" fillId="6" borderId="0" xfId="0" applyNumberFormat="1" applyFill="1"/>
    <xf numFmtId="10" fontId="7" fillId="6" borderId="0" xfId="1" applyNumberFormat="1" applyFont="1" applyFill="1"/>
    <xf numFmtId="10" fontId="3" fillId="5" borderId="0" xfId="1" applyNumberFormat="1" applyFont="1" applyFill="1"/>
    <xf numFmtId="166" fontId="0" fillId="5" borderId="0" xfId="0" applyNumberFormat="1" applyFill="1"/>
    <xf numFmtId="10" fontId="3" fillId="5" borderId="0" xfId="0" applyNumberFormat="1" applyFont="1" applyFill="1"/>
    <xf numFmtId="2" fontId="0" fillId="5" borderId="0" xfId="0" applyNumberFormat="1" applyFill="1"/>
    <xf numFmtId="10" fontId="7" fillId="5" borderId="0" xfId="1" applyNumberFormat="1" applyFont="1" applyFill="1"/>
    <xf numFmtId="179" fontId="0" fillId="6" borderId="0" xfId="0" applyNumberFormat="1" applyFill="1"/>
    <xf numFmtId="0" fontId="2" fillId="8" borderId="0" xfId="0" applyFont="1" applyFill="1"/>
    <xf numFmtId="166" fontId="0" fillId="6" borderId="0" xfId="1" applyNumberFormat="1" applyFont="1" applyFill="1"/>
    <xf numFmtId="0" fontId="0" fillId="9" borderId="0" xfId="0" applyFill="1"/>
    <xf numFmtId="9" fontId="0" fillId="9" borderId="0" xfId="1" applyFont="1" applyFill="1"/>
    <xf numFmtId="10" fontId="0" fillId="9" borderId="0" xfId="1" applyNumberFormat="1" applyFont="1" applyFill="1"/>
    <xf numFmtId="166" fontId="0" fillId="9" borderId="0" xfId="1" applyNumberFormat="1" applyFont="1" applyFill="1"/>
    <xf numFmtId="10" fontId="0" fillId="9" borderId="0" xfId="0" applyNumberFormat="1" applyFill="1"/>
    <xf numFmtId="179" fontId="0" fillId="9" borderId="0" xfId="1" applyNumberFormat="1" applyFont="1" applyFill="1"/>
    <xf numFmtId="0" fontId="2" fillId="3" borderId="1" xfId="0" applyFont="1" applyFill="1" applyBorder="1"/>
    <xf numFmtId="0" fontId="0" fillId="6" borderId="1" xfId="0" applyFill="1" applyBorder="1"/>
    <xf numFmtId="9" fontId="0" fillId="6" borderId="1" xfId="1" applyFont="1" applyFill="1" applyBorder="1"/>
    <xf numFmtId="10" fontId="0" fillId="6" borderId="1" xfId="1" applyNumberFormat="1" applyFont="1" applyFill="1" applyBorder="1"/>
    <xf numFmtId="9" fontId="0" fillId="6" borderId="1" xfId="0" applyNumberFormat="1" applyFill="1" applyBorder="1"/>
    <xf numFmtId="10" fontId="0" fillId="6" borderId="1" xfId="0" applyNumberFormat="1" applyFill="1" applyBorder="1"/>
    <xf numFmtId="179" fontId="0" fillId="6" borderId="1" xfId="1" applyNumberFormat="1" applyFont="1" applyFill="1" applyBorder="1"/>
    <xf numFmtId="10" fontId="0" fillId="0" borderId="0" xfId="1" applyNumberFormat="1" applyFont="1" applyBorder="1"/>
    <xf numFmtId="0" fontId="0" fillId="0" borderId="0" xfId="0" applyBorder="1"/>
    <xf numFmtId="0" fontId="2" fillId="8" borderId="1" xfId="0" applyFont="1" applyFill="1" applyBorder="1"/>
    <xf numFmtId="0" fontId="0" fillId="9" borderId="1" xfId="0" applyFill="1" applyBorder="1"/>
    <xf numFmtId="9" fontId="0" fillId="9" borderId="1" xfId="1" applyFont="1" applyFill="1" applyBorder="1"/>
    <xf numFmtId="10" fontId="0" fillId="9" borderId="1" xfId="1" applyNumberFormat="1" applyFont="1" applyFill="1" applyBorder="1"/>
    <xf numFmtId="166" fontId="0" fillId="9" borderId="1" xfId="1" applyNumberFormat="1" applyFont="1" applyFill="1" applyBorder="1"/>
    <xf numFmtId="10" fontId="0" fillId="9" borderId="1" xfId="0" applyNumberFormat="1" applyFill="1" applyBorder="1"/>
    <xf numFmtId="179" fontId="0" fillId="9" borderId="1" xfId="1" applyNumberFormat="1" applyFont="1" applyFill="1" applyBorder="1"/>
    <xf numFmtId="0" fontId="0" fillId="10" borderId="0" xfId="0" applyFill="1"/>
    <xf numFmtId="9" fontId="0" fillId="10" borderId="0" xfId="0" applyNumberFormat="1" applyFill="1"/>
    <xf numFmtId="10" fontId="0" fillId="10" borderId="0" xfId="0" applyNumberFormat="1" applyFill="1"/>
    <xf numFmtId="9" fontId="0" fillId="10" borderId="0" xfId="1" applyFont="1" applyFill="1"/>
    <xf numFmtId="10" fontId="0" fillId="10" borderId="0" xfId="1" applyNumberFormat="1" applyFont="1" applyFill="1"/>
    <xf numFmtId="179" fontId="0" fillId="10" borderId="0" xfId="1" applyNumberFormat="1" applyFont="1" applyFill="1"/>
    <xf numFmtId="0" fontId="0" fillId="11" borderId="0" xfId="0" applyFill="1"/>
    <xf numFmtId="175" fontId="0" fillId="11" borderId="0" xfId="0" applyNumberFormat="1" applyFill="1"/>
    <xf numFmtId="178" fontId="0" fillId="10" borderId="0" xfId="1" applyNumberFormat="1" applyFont="1" applyFill="1"/>
    <xf numFmtId="178" fontId="0" fillId="10" borderId="0" xfId="0" applyNumberFormat="1" applyFill="1"/>
    <xf numFmtId="176" fontId="0" fillId="10" borderId="0" xfId="0" applyNumberFormat="1" applyFill="1"/>
    <xf numFmtId="177" fontId="3" fillId="6" borderId="0" xfId="1" applyNumberFormat="1" applyFont="1" applyFill="1"/>
    <xf numFmtId="175" fontId="0" fillId="10" borderId="0" xfId="0" applyNumberFormat="1" applyFill="1"/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colors>
    <mruColors>
      <color rgb="FFFFB3B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enchmarks" connectionId="1" xr16:uid="{B5BD5782-961A-B947-A9C9-744D33EA3763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ector_benchmarks_EU" connectionId="3" xr16:uid="{5A38C8E3-6A4C-E649-BF35-BEBC607F3501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ector_benchmarks_US" connectionId="4" xr16:uid="{5B1D19EA-78C5-3240-AB99-2CCEB53C0ACE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quities" connectionId="2" xr16:uid="{10D97A5E-DB5B-664C-84FE-06D2D7B56506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19D82-AC38-1A48-8D5A-6C51E2A376FF}">
  <dimension ref="A1:D15"/>
  <sheetViews>
    <sheetView workbookViewId="0"/>
  </sheetViews>
  <sheetFormatPr baseColWidth="10" defaultRowHeight="16" x14ac:dyDescent="0.2"/>
  <cols>
    <col min="2" max="4" width="12.1640625" bestFit="1" customWidth="1"/>
  </cols>
  <sheetData>
    <row r="1" spans="1:4" x14ac:dyDescent="0.2">
      <c r="A1" t="s">
        <v>0</v>
      </c>
      <c r="B1" t="s">
        <v>16</v>
      </c>
      <c r="C1">
        <v>46323</v>
      </c>
      <c r="D1" t="s">
        <v>17</v>
      </c>
    </row>
    <row r="2" spans="1:4" x14ac:dyDescent="0.2">
      <c r="A2" s="1">
        <v>44176</v>
      </c>
      <c r="B2">
        <v>301.62314191228802</v>
      </c>
      <c r="C2">
        <v>79.599998474120994</v>
      </c>
      <c r="D2">
        <v>100</v>
      </c>
    </row>
    <row r="3" spans="1:4" x14ac:dyDescent="0.2">
      <c r="A3" s="1">
        <v>44179</v>
      </c>
      <c r="B3">
        <v>300.542202313963</v>
      </c>
      <c r="C3">
        <v>79.98999786377</v>
      </c>
      <c r="D3">
        <v>99.969078536297005</v>
      </c>
    </row>
    <row r="4" spans="1:4" x14ac:dyDescent="0.2">
      <c r="A4" s="1">
        <v>44180</v>
      </c>
      <c r="B4">
        <v>304.216917038411</v>
      </c>
      <c r="C4">
        <v>80.26000213623</v>
      </c>
      <c r="D4">
        <v>100.849834240934</v>
      </c>
    </row>
    <row r="5" spans="1:4" x14ac:dyDescent="0.2">
      <c r="A5" s="1">
        <v>44181</v>
      </c>
      <c r="B5">
        <v>304.55886865198698</v>
      </c>
      <c r="C5">
        <v>80.879997253417997</v>
      </c>
      <c r="D5">
        <v>101.22014932296899</v>
      </c>
    </row>
    <row r="6" spans="1:4" x14ac:dyDescent="0.2">
      <c r="A6" s="1">
        <v>44182</v>
      </c>
      <c r="B6">
        <v>305.12512098910503</v>
      </c>
      <c r="C6">
        <v>81.069999694824006</v>
      </c>
      <c r="D6">
        <v>101.42748555861399</v>
      </c>
    </row>
    <row r="7" spans="1:4" x14ac:dyDescent="0.2">
      <c r="A7" s="1">
        <v>44183</v>
      </c>
      <c r="B7">
        <v>301.05889814578399</v>
      </c>
      <c r="C7">
        <v>80.860000610352003</v>
      </c>
      <c r="D7">
        <v>100.496149094103</v>
      </c>
    </row>
    <row r="8" spans="1:4" x14ac:dyDescent="0.2">
      <c r="A8" s="1">
        <v>44186</v>
      </c>
      <c r="B8">
        <v>301.12650002737701</v>
      </c>
      <c r="C8">
        <v>79.080001831055</v>
      </c>
      <c r="D8">
        <v>99.656073865049905</v>
      </c>
    </row>
    <row r="9" spans="1:4" x14ac:dyDescent="0.2">
      <c r="A9" s="1">
        <v>44187</v>
      </c>
      <c r="B9">
        <v>300.10852187573602</v>
      </c>
      <c r="C9">
        <v>79.919998168945</v>
      </c>
      <c r="D9">
        <v>99.857824194034905</v>
      </c>
    </row>
    <row r="10" spans="1:4" x14ac:dyDescent="0.2">
      <c r="A10" s="1">
        <v>44188</v>
      </c>
      <c r="B10">
        <v>301.616917993524</v>
      </c>
      <c r="C10">
        <v>80.76000213623</v>
      </c>
      <c r="D10">
        <v>100.57112301306501</v>
      </c>
    </row>
    <row r="11" spans="1:4" x14ac:dyDescent="0.2">
      <c r="A11" s="1">
        <v>44189</v>
      </c>
      <c r="B11">
        <v>302.67224067449501</v>
      </c>
      <c r="C11">
        <v>81.194999694823906</v>
      </c>
      <c r="D11">
        <v>100.99628004644001</v>
      </c>
    </row>
    <row r="12" spans="1:4" x14ac:dyDescent="0.2">
      <c r="A12" s="1">
        <v>44193</v>
      </c>
      <c r="B12">
        <v>304.93004855505501</v>
      </c>
      <c r="C12">
        <v>81.629997253417997</v>
      </c>
      <c r="D12">
        <v>101.667718988852</v>
      </c>
    </row>
    <row r="13" spans="1:4" x14ac:dyDescent="0.2">
      <c r="A13" s="1">
        <v>44194</v>
      </c>
      <c r="B13">
        <v>303.891409940551</v>
      </c>
      <c r="C13">
        <v>82.080001831055</v>
      </c>
      <c r="D13">
        <v>101.671433673099</v>
      </c>
    </row>
    <row r="14" spans="1:4" x14ac:dyDescent="0.2">
      <c r="A14" s="1">
        <v>44195</v>
      </c>
      <c r="B14">
        <v>303.59218420954102</v>
      </c>
      <c r="C14">
        <v>82.019996643065994</v>
      </c>
      <c r="D14">
        <v>101.581275378046</v>
      </c>
    </row>
    <row r="15" spans="1:4" x14ac:dyDescent="0.2">
      <c r="A15" s="1">
        <v>44196</v>
      </c>
      <c r="B15">
        <v>303.97004623664498</v>
      </c>
      <c r="C15">
        <v>82.019996643065994</v>
      </c>
      <c r="D15">
        <v>101.658904503882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E0A46-A2A2-E14B-AD63-66CE8A6B60B9}">
  <dimension ref="A1:L15"/>
  <sheetViews>
    <sheetView workbookViewId="0">
      <selection activeCell="O19" sqref="O19"/>
    </sheetView>
  </sheetViews>
  <sheetFormatPr baseColWidth="10" defaultRowHeight="16" x14ac:dyDescent="0.2"/>
  <cols>
    <col min="2" max="2" width="14.83203125" bestFit="1" customWidth="1"/>
    <col min="3" max="3" width="21.1640625" bestFit="1" customWidth="1"/>
    <col min="4" max="4" width="16.5" bestFit="1" customWidth="1"/>
    <col min="5" max="5" width="17.83203125" bestFit="1" customWidth="1"/>
    <col min="6" max="7" width="12.1640625" bestFit="1" customWidth="1"/>
    <col min="8" max="8" width="21.1640625" bestFit="1" customWidth="1"/>
    <col min="9" max="12" width="12.1640625" bestFit="1" customWidth="1"/>
  </cols>
  <sheetData>
    <row r="1" spans="1:12" x14ac:dyDescent="0.2">
      <c r="A1" t="s">
        <v>0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  <c r="K1" t="s">
        <v>46</v>
      </c>
      <c r="L1">
        <v>46323</v>
      </c>
    </row>
    <row r="2" spans="1:12" x14ac:dyDescent="0.2">
      <c r="A2" s="1">
        <v>44176</v>
      </c>
      <c r="B2">
        <v>82.936000823974993</v>
      </c>
      <c r="C2">
        <v>19.930000305176002</v>
      </c>
      <c r="D2">
        <v>158.15000152587899</v>
      </c>
      <c r="E2">
        <v>24.194999694823998</v>
      </c>
      <c r="F2">
        <v>174.59600257873001</v>
      </c>
      <c r="G2">
        <v>157.67999267578</v>
      </c>
      <c r="H2">
        <v>45.0664345315719</v>
      </c>
      <c r="I2">
        <v>61.5</v>
      </c>
      <c r="J2">
        <v>113.68000030518</v>
      </c>
      <c r="K2">
        <v>147.67799949645999</v>
      </c>
      <c r="L2">
        <v>79.599998474120994</v>
      </c>
    </row>
    <row r="3" spans="1:12" x14ac:dyDescent="0.2">
      <c r="A3" s="1">
        <v>44179</v>
      </c>
      <c r="B3">
        <v>83.09700012207</v>
      </c>
      <c r="C3">
        <v>20.22500038147</v>
      </c>
      <c r="D3">
        <v>158.71999359130899</v>
      </c>
      <c r="E3">
        <v>23.979999542236001</v>
      </c>
      <c r="F3">
        <v>174.77200222014901</v>
      </c>
      <c r="G3">
        <v>157.17999267578</v>
      </c>
      <c r="H3">
        <v>45.279953975147002</v>
      </c>
      <c r="I3">
        <v>61.840000152587997</v>
      </c>
      <c r="J3">
        <v>114.66000366211</v>
      </c>
      <c r="K3">
        <v>148.48799896240499</v>
      </c>
      <c r="L3">
        <v>79.98999786377</v>
      </c>
    </row>
    <row r="4" spans="1:12" x14ac:dyDescent="0.2">
      <c r="A4" s="1">
        <v>44180</v>
      </c>
      <c r="B4">
        <v>83.131999969481996</v>
      </c>
      <c r="C4">
        <v>20.364999771118001</v>
      </c>
      <c r="D4">
        <v>158.41999816894599</v>
      </c>
      <c r="E4">
        <v>24.145000457763999</v>
      </c>
      <c r="F4">
        <v>174.91800212859599</v>
      </c>
      <c r="G4">
        <v>155.32000732422</v>
      </c>
      <c r="H4">
        <v>45.691389706190797</v>
      </c>
      <c r="I4">
        <v>62.319999694823998</v>
      </c>
      <c r="J4">
        <v>114.08000183105</v>
      </c>
      <c r="K4">
        <v>148.576002120976</v>
      </c>
      <c r="L4">
        <v>80.26000213623</v>
      </c>
    </row>
    <row r="5" spans="1:12" x14ac:dyDescent="0.2">
      <c r="A5" s="1">
        <v>44181</v>
      </c>
      <c r="B5">
        <v>83.351001739501996</v>
      </c>
      <c r="C5">
        <v>20.530000686646002</v>
      </c>
      <c r="D5">
        <v>159.88000488281301</v>
      </c>
      <c r="E5">
        <v>24.290000915526999</v>
      </c>
      <c r="F5">
        <v>174.808002471919</v>
      </c>
      <c r="G5">
        <v>157.69999694824</v>
      </c>
      <c r="H5">
        <v>46.148273413553802</v>
      </c>
      <c r="I5">
        <v>62.669998168945</v>
      </c>
      <c r="J5">
        <v>115.59999847412</v>
      </c>
      <c r="K5">
        <v>149.13299560547199</v>
      </c>
      <c r="L5">
        <v>80.879997253417997</v>
      </c>
    </row>
    <row r="6" spans="1:12" x14ac:dyDescent="0.2">
      <c r="A6" s="1">
        <v>44182</v>
      </c>
      <c r="B6">
        <v>83.781002044678004</v>
      </c>
      <c r="C6">
        <v>20.60000038147</v>
      </c>
      <c r="D6">
        <v>159.919998168945</v>
      </c>
      <c r="E6">
        <v>24.170000076293999</v>
      </c>
      <c r="F6">
        <v>174.79800224303699</v>
      </c>
      <c r="G6">
        <v>157.7799987793</v>
      </c>
      <c r="H6">
        <v>46.575353901573102</v>
      </c>
      <c r="I6">
        <v>62.75</v>
      </c>
      <c r="J6">
        <v>116.37999725342</v>
      </c>
      <c r="K6">
        <v>150.487998962403</v>
      </c>
      <c r="L6">
        <v>81.069999694824006</v>
      </c>
    </row>
    <row r="7" spans="1:12" x14ac:dyDescent="0.2">
      <c r="A7" s="1">
        <v>44183</v>
      </c>
      <c r="B7">
        <v>83.793003082274893</v>
      </c>
      <c r="C7">
        <v>20.319999694823998</v>
      </c>
      <c r="D7">
        <v>159.51999664306601</v>
      </c>
      <c r="E7">
        <v>24.079999923706001</v>
      </c>
      <c r="F7">
        <v>174.62400245665901</v>
      </c>
      <c r="G7">
        <v>157.91999816895</v>
      </c>
      <c r="H7">
        <v>46.205096325419603</v>
      </c>
      <c r="I7">
        <v>62.880001068115</v>
      </c>
      <c r="J7">
        <v>115.68000030518</v>
      </c>
      <c r="K7">
        <v>150.15599632262999</v>
      </c>
      <c r="L7">
        <v>80.860000610352003</v>
      </c>
    </row>
    <row r="8" spans="1:12" x14ac:dyDescent="0.2">
      <c r="A8" s="1">
        <v>44186</v>
      </c>
      <c r="B8">
        <v>82.928001403808906</v>
      </c>
      <c r="C8">
        <v>19.639999389648001</v>
      </c>
      <c r="D8">
        <v>156.330001831055</v>
      </c>
      <c r="E8">
        <v>23.22500038147</v>
      </c>
      <c r="F8">
        <v>174.24200248717699</v>
      </c>
      <c r="G8">
        <v>154.67999267578</v>
      </c>
      <c r="H8">
        <v>45.456300888375999</v>
      </c>
      <c r="I8">
        <v>61.729999542236001</v>
      </c>
      <c r="J8">
        <v>113.31999969482</v>
      </c>
      <c r="K8">
        <v>147.60600662231499</v>
      </c>
      <c r="L8">
        <v>79.080001831055</v>
      </c>
    </row>
    <row r="9" spans="1:12" x14ac:dyDescent="0.2">
      <c r="A9" s="1">
        <v>44187</v>
      </c>
      <c r="B9">
        <v>83.296001434326001</v>
      </c>
      <c r="C9">
        <v>19.760000228881999</v>
      </c>
      <c r="D9">
        <v>158.23000335693399</v>
      </c>
      <c r="E9">
        <v>23.489999771118001</v>
      </c>
      <c r="F9">
        <v>174.398002624507</v>
      </c>
      <c r="G9">
        <v>155.7799987793</v>
      </c>
      <c r="H9">
        <v>46.441477783583601</v>
      </c>
      <c r="I9">
        <v>62.349998474121001</v>
      </c>
      <c r="J9">
        <v>115.2200012207</v>
      </c>
      <c r="K9">
        <v>149.32899856567599</v>
      </c>
      <c r="L9">
        <v>79.919998168945</v>
      </c>
    </row>
    <row r="10" spans="1:12" x14ac:dyDescent="0.2">
      <c r="A10" s="1">
        <v>44188</v>
      </c>
      <c r="B10">
        <v>83.648002624512003</v>
      </c>
      <c r="C10">
        <v>20.534999847411999</v>
      </c>
      <c r="D10">
        <v>159</v>
      </c>
      <c r="E10">
        <v>24.049999237061002</v>
      </c>
      <c r="F10">
        <v>174.71400260924699</v>
      </c>
      <c r="G10">
        <v>155.13999938965</v>
      </c>
      <c r="H10">
        <v>46.747873449639798</v>
      </c>
      <c r="I10">
        <v>63.029998779297003</v>
      </c>
      <c r="J10">
        <v>117.51999664307</v>
      </c>
      <c r="K10">
        <v>150.59399414062199</v>
      </c>
      <c r="L10">
        <v>80.76000213623</v>
      </c>
    </row>
    <row r="11" spans="1:12" x14ac:dyDescent="0.2">
      <c r="A11" s="1">
        <v>44189</v>
      </c>
      <c r="B11">
        <v>83.867000579833999</v>
      </c>
      <c r="C11">
        <v>20.662500381469499</v>
      </c>
      <c r="D11">
        <v>159.98999786376899</v>
      </c>
      <c r="E11">
        <v>24.149999618530501</v>
      </c>
      <c r="F11">
        <v>174.73200273513299</v>
      </c>
      <c r="G11">
        <v>155.919998168945</v>
      </c>
      <c r="H11">
        <v>46.954254026491498</v>
      </c>
      <c r="I11">
        <v>63.369998931885</v>
      </c>
      <c r="J11">
        <v>118.65999984741499</v>
      </c>
      <c r="K11">
        <v>150.83699798583501</v>
      </c>
      <c r="L11">
        <v>81.194999694823906</v>
      </c>
    </row>
    <row r="12" spans="1:12" x14ac:dyDescent="0.2">
      <c r="A12" s="1">
        <v>44193</v>
      </c>
      <c r="B12">
        <v>83.955001831055</v>
      </c>
      <c r="C12">
        <v>20.790000915526999</v>
      </c>
      <c r="D12">
        <v>160.97999572753901</v>
      </c>
      <c r="E12">
        <v>24.25</v>
      </c>
      <c r="F12">
        <v>174.750002861018</v>
      </c>
      <c r="G12">
        <v>156.69999694824</v>
      </c>
      <c r="H12">
        <v>47.160634603343098</v>
      </c>
      <c r="I12">
        <v>63.709999084472997</v>
      </c>
      <c r="J12">
        <v>119.80000305176</v>
      </c>
      <c r="K12">
        <v>152.47200012206801</v>
      </c>
      <c r="L12">
        <v>81.629997253417997</v>
      </c>
    </row>
    <row r="13" spans="1:12" x14ac:dyDescent="0.2">
      <c r="A13" s="1">
        <v>44194</v>
      </c>
      <c r="B13">
        <v>84.454002380370994</v>
      </c>
      <c r="C13">
        <v>20.879999160766999</v>
      </c>
      <c r="D13">
        <v>163.11000061035199</v>
      </c>
      <c r="E13">
        <v>24.245000839233001</v>
      </c>
      <c r="F13">
        <v>174.69000244140099</v>
      </c>
      <c r="G13">
        <v>158.38000488281</v>
      </c>
      <c r="H13">
        <v>47.253453216690097</v>
      </c>
      <c r="I13">
        <v>64.139999389647997</v>
      </c>
      <c r="J13">
        <v>120.12000274658</v>
      </c>
      <c r="K13">
        <v>152.599006652833</v>
      </c>
      <c r="L13">
        <v>82.080001831055</v>
      </c>
    </row>
    <row r="14" spans="1:12" x14ac:dyDescent="0.2">
      <c r="A14" s="1">
        <v>44195</v>
      </c>
      <c r="B14">
        <v>84.128002166748004</v>
      </c>
      <c r="C14">
        <v>21.040000915526999</v>
      </c>
      <c r="D14">
        <v>162.76000213623001</v>
      </c>
      <c r="E14">
        <v>24.280000686646002</v>
      </c>
      <c r="F14">
        <v>174.70400238036501</v>
      </c>
      <c r="G14">
        <v>158.52000427246</v>
      </c>
      <c r="H14">
        <v>47.311056080123301</v>
      </c>
      <c r="I14">
        <v>63.790000915527003</v>
      </c>
      <c r="J14">
        <v>119.76000213623</v>
      </c>
      <c r="K14">
        <v>151.502006530763</v>
      </c>
      <c r="L14">
        <v>82.019996643065994</v>
      </c>
    </row>
    <row r="15" spans="1:12" x14ac:dyDescent="0.2">
      <c r="A15" s="1">
        <v>44196</v>
      </c>
      <c r="B15">
        <v>83.729000091553004</v>
      </c>
      <c r="C15">
        <v>21.040000915526999</v>
      </c>
      <c r="D15">
        <v>162.76000213623001</v>
      </c>
      <c r="E15">
        <v>24.280000686646002</v>
      </c>
      <c r="F15">
        <v>174.70400238036501</v>
      </c>
      <c r="G15">
        <v>158.52000427246</v>
      </c>
      <c r="H15">
        <v>47.311056080123301</v>
      </c>
      <c r="I15">
        <v>63.790000915527003</v>
      </c>
      <c r="J15">
        <v>119.76000213623</v>
      </c>
      <c r="K15">
        <v>151.829002380373</v>
      </c>
      <c r="L15">
        <v>82.019996643065994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BE92B-E3CC-5941-AD45-2E3B2F44F46B}">
  <dimension ref="A1:L15"/>
  <sheetViews>
    <sheetView workbookViewId="0">
      <selection activeCell="M1" sqref="M1"/>
    </sheetView>
  </sheetViews>
  <sheetFormatPr baseColWidth="10" defaultRowHeight="16" x14ac:dyDescent="0.2"/>
  <cols>
    <col min="2" max="2" width="14.83203125" bestFit="1" customWidth="1"/>
    <col min="3" max="3" width="21.1640625" bestFit="1" customWidth="1"/>
    <col min="4" max="4" width="16.5" bestFit="1" customWidth="1"/>
    <col min="5" max="5" width="17.83203125" bestFit="1" customWidth="1"/>
    <col min="6" max="7" width="12.1640625" bestFit="1" customWidth="1"/>
    <col min="8" max="8" width="21.1640625" bestFit="1" customWidth="1"/>
    <col min="9" max="12" width="12.1640625" bestFit="1" customWidth="1"/>
  </cols>
  <sheetData>
    <row r="1" spans="1:12" x14ac:dyDescent="0.2">
      <c r="A1" t="s">
        <v>0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  <c r="K1" t="s">
        <v>46</v>
      </c>
      <c r="L1" t="s">
        <v>16</v>
      </c>
    </row>
    <row r="2" spans="1:12" x14ac:dyDescent="0.2">
      <c r="A2" s="1">
        <v>44176</v>
      </c>
      <c r="B2">
        <v>55.1205419843063</v>
      </c>
      <c r="C2">
        <v>128.702428535206</v>
      </c>
      <c r="D2">
        <v>55.433443893434202</v>
      </c>
      <c r="E2">
        <v>33.859524123912898</v>
      </c>
      <c r="F2">
        <v>23.4348747713615</v>
      </c>
      <c r="G2">
        <v>91.960889171121806</v>
      </c>
      <c r="H2">
        <v>102.35260362981001</v>
      </c>
      <c r="I2">
        <v>73.096058387417003</v>
      </c>
      <c r="J2">
        <v>51.250410823097504</v>
      </c>
      <c r="K2">
        <v>88.247212105620903</v>
      </c>
      <c r="L2">
        <v>301.62314191228802</v>
      </c>
    </row>
    <row r="3" spans="1:12" x14ac:dyDescent="0.2">
      <c r="A3" s="1">
        <v>44179</v>
      </c>
      <c r="B3">
        <v>54.996934042412697</v>
      </c>
      <c r="C3">
        <v>129.00748666947899</v>
      </c>
      <c r="D3">
        <v>55.2689056957933</v>
      </c>
      <c r="E3">
        <v>32.703105796560898</v>
      </c>
      <c r="F3">
        <v>23.183929726223401</v>
      </c>
      <c r="G3">
        <v>91.351111362155194</v>
      </c>
      <c r="H3">
        <v>102.815333083271</v>
      </c>
      <c r="I3">
        <v>72.213865868914098</v>
      </c>
      <c r="J3">
        <v>51.032667224494602</v>
      </c>
      <c r="K3">
        <v>87.370367034753798</v>
      </c>
      <c r="L3">
        <v>300.542202313963</v>
      </c>
    </row>
    <row r="4" spans="1:12" x14ac:dyDescent="0.2">
      <c r="A4" s="1">
        <v>44180</v>
      </c>
      <c r="B4">
        <v>55.379512459188803</v>
      </c>
      <c r="C4">
        <v>130.57975597686999</v>
      </c>
      <c r="D4">
        <v>55.330127268880403</v>
      </c>
      <c r="E4">
        <v>33.303434364609501</v>
      </c>
      <c r="F4">
        <v>23.5494636445491</v>
      </c>
      <c r="G4">
        <v>92.222365327067493</v>
      </c>
      <c r="H4">
        <v>104.39631085075401</v>
      </c>
      <c r="I4">
        <v>73.125977606028698</v>
      </c>
      <c r="J4">
        <v>51.971796169951602</v>
      </c>
      <c r="K4">
        <v>88.822875716276897</v>
      </c>
      <c r="L4">
        <v>304.216917038411</v>
      </c>
    </row>
    <row r="5" spans="1:12" x14ac:dyDescent="0.2">
      <c r="A5" s="1">
        <v>44181</v>
      </c>
      <c r="B5">
        <v>55.305526595711797</v>
      </c>
      <c r="C5">
        <v>131.37735675930799</v>
      </c>
      <c r="D5">
        <v>55.412482359260103</v>
      </c>
      <c r="E5">
        <v>33.124075684025598</v>
      </c>
      <c r="F5">
        <v>23.580130244120902</v>
      </c>
      <c r="G5">
        <v>91.9098514308034</v>
      </c>
      <c r="H5">
        <v>105.05746351957301</v>
      </c>
      <c r="I5">
        <v>72.640953661054397</v>
      </c>
      <c r="J5">
        <v>51.348078603371903</v>
      </c>
      <c r="K5">
        <v>88.627064626812995</v>
      </c>
      <c r="L5">
        <v>304.55886865198698</v>
      </c>
    </row>
    <row r="6" spans="1:12" x14ac:dyDescent="0.2">
      <c r="A6" s="1">
        <v>44182</v>
      </c>
      <c r="B6">
        <v>54.960887680568703</v>
      </c>
      <c r="C6">
        <v>131.783172931438</v>
      </c>
      <c r="D6">
        <v>55.559265180381701</v>
      </c>
      <c r="E6">
        <v>32.845378856845798</v>
      </c>
      <c r="F6">
        <v>23.558177889129599</v>
      </c>
      <c r="G6">
        <v>92.552330303333207</v>
      </c>
      <c r="H6">
        <v>105.49538784214</v>
      </c>
      <c r="I6">
        <v>72.813952738117194</v>
      </c>
      <c r="J6">
        <v>51.501752668689697</v>
      </c>
      <c r="K6">
        <v>89.322710291591605</v>
      </c>
      <c r="L6">
        <v>305.12512098910503</v>
      </c>
    </row>
    <row r="7" spans="1:12" x14ac:dyDescent="0.2">
      <c r="A7" s="1">
        <v>44183</v>
      </c>
      <c r="B7">
        <v>54.726862883002397</v>
      </c>
      <c r="C7">
        <v>130.46864869085701</v>
      </c>
      <c r="D7">
        <v>55.395556229070202</v>
      </c>
      <c r="E7">
        <v>32.129913000839203</v>
      </c>
      <c r="F7">
        <v>23.2330248372886</v>
      </c>
      <c r="G7">
        <v>92.149239301681504</v>
      </c>
      <c r="H7">
        <v>104.585309207439</v>
      </c>
      <c r="I7">
        <v>72.447239664608702</v>
      </c>
      <c r="J7">
        <v>50.796249561653802</v>
      </c>
      <c r="K7">
        <v>88.601899462078094</v>
      </c>
      <c r="L7">
        <v>301.05889814578399</v>
      </c>
    </row>
    <row r="8" spans="1:12" x14ac:dyDescent="0.2">
      <c r="A8" s="1">
        <v>44186</v>
      </c>
      <c r="B8">
        <v>54.378932977985102</v>
      </c>
      <c r="C8">
        <v>129.24717229054201</v>
      </c>
      <c r="D8">
        <v>54.550836125471498</v>
      </c>
      <c r="E8">
        <v>31.212837016530699</v>
      </c>
      <c r="F8">
        <v>23.509903817763501</v>
      </c>
      <c r="G8">
        <v>91.199113267908601</v>
      </c>
      <c r="H8">
        <v>104.845006825154</v>
      </c>
      <c r="I8">
        <v>71.986805312004407</v>
      </c>
      <c r="J8">
        <v>49.950361282036901</v>
      </c>
      <c r="K8">
        <v>87.687361481227001</v>
      </c>
      <c r="L8">
        <v>301.12650002737701</v>
      </c>
    </row>
    <row r="9" spans="1:12" x14ac:dyDescent="0.2">
      <c r="A9" s="1">
        <v>44187</v>
      </c>
      <c r="B9">
        <v>53.779930337517698</v>
      </c>
      <c r="C9">
        <v>128.472018281186</v>
      </c>
      <c r="D9">
        <v>54.074122838116601</v>
      </c>
      <c r="E9">
        <v>30.636829561135301</v>
      </c>
      <c r="F9">
        <v>23.2411685801811</v>
      </c>
      <c r="G9">
        <v>90.766404312010707</v>
      </c>
      <c r="H9">
        <v>105.574070648104</v>
      </c>
      <c r="I9">
        <v>71.529515444859499</v>
      </c>
      <c r="J9">
        <v>49.767481554765702</v>
      </c>
      <c r="K9">
        <v>87.383196789864499</v>
      </c>
      <c r="L9">
        <v>300.10852187573602</v>
      </c>
    </row>
    <row r="10" spans="1:12" x14ac:dyDescent="0.2">
      <c r="A10" s="1">
        <v>44188</v>
      </c>
      <c r="B10">
        <v>54.313529778155498</v>
      </c>
      <c r="C10">
        <v>129.28080475408899</v>
      </c>
      <c r="D10">
        <v>54.4776412723877</v>
      </c>
      <c r="E10">
        <v>31.444241845529099</v>
      </c>
      <c r="F10">
        <v>23.7226783454025</v>
      </c>
      <c r="G10">
        <v>91.206355870162895</v>
      </c>
      <c r="H10">
        <v>105.205284191906</v>
      </c>
      <c r="I10">
        <v>72.201951848910497</v>
      </c>
      <c r="J10">
        <v>49.874243116064399</v>
      </c>
      <c r="K10">
        <v>87.546611326579296</v>
      </c>
      <c r="L10">
        <v>301.616917993524</v>
      </c>
    </row>
    <row r="11" spans="1:12" x14ac:dyDescent="0.2">
      <c r="A11" s="1">
        <v>44189</v>
      </c>
      <c r="B11">
        <v>54.3497650776957</v>
      </c>
      <c r="C11">
        <v>129.50107001512501</v>
      </c>
      <c r="D11">
        <v>54.727079315109201</v>
      </c>
      <c r="E11">
        <v>31.2679281604957</v>
      </c>
      <c r="F11">
        <v>23.746237394165899</v>
      </c>
      <c r="G11">
        <v>91.433265684170607</v>
      </c>
      <c r="H11">
        <v>105.861459735784</v>
      </c>
      <c r="I11">
        <v>72.181997776031494</v>
      </c>
      <c r="J11">
        <v>50.207500202116897</v>
      </c>
      <c r="K11">
        <v>88.168671160235306</v>
      </c>
      <c r="L11">
        <v>302.67224067449501</v>
      </c>
    </row>
    <row r="12" spans="1:12" x14ac:dyDescent="0.2">
      <c r="A12" s="1">
        <v>44193</v>
      </c>
      <c r="B12">
        <v>55.263804450649303</v>
      </c>
      <c r="C12">
        <v>130.83060473207999</v>
      </c>
      <c r="D12">
        <v>55.0999409556388</v>
      </c>
      <c r="E12">
        <v>31.0362204052444</v>
      </c>
      <c r="F12">
        <v>23.8343091569831</v>
      </c>
      <c r="G12">
        <v>91.560124933719607</v>
      </c>
      <c r="H12">
        <v>106.938952103231</v>
      </c>
      <c r="I12">
        <v>72.191164776679202</v>
      </c>
      <c r="J12">
        <v>50.372406613084401</v>
      </c>
      <c r="K12">
        <v>88.077975656814402</v>
      </c>
      <c r="L12">
        <v>304.93004855505501</v>
      </c>
    </row>
    <row r="13" spans="1:12" x14ac:dyDescent="0.2">
      <c r="A13" s="1">
        <v>44194</v>
      </c>
      <c r="B13">
        <v>55.131756855407701</v>
      </c>
      <c r="C13">
        <v>130.67510560504101</v>
      </c>
      <c r="D13">
        <v>54.853605859680101</v>
      </c>
      <c r="E13">
        <v>30.785102955123801</v>
      </c>
      <c r="F13">
        <v>23.7167181049881</v>
      </c>
      <c r="G13">
        <v>91.856264260131795</v>
      </c>
      <c r="H13">
        <v>106.271181835327</v>
      </c>
      <c r="I13">
        <v>71.649197359802201</v>
      </c>
      <c r="J13">
        <v>50.288606497924697</v>
      </c>
      <c r="K13">
        <v>87.577598641510093</v>
      </c>
      <c r="L13">
        <v>303.891409940551</v>
      </c>
    </row>
    <row r="14" spans="1:12" x14ac:dyDescent="0.2">
      <c r="A14" s="1">
        <v>44195</v>
      </c>
      <c r="B14">
        <v>54.6317430191447</v>
      </c>
      <c r="C14">
        <v>131.14392887584401</v>
      </c>
      <c r="D14">
        <v>54.664388965632902</v>
      </c>
      <c r="E14">
        <v>31.1924889263118</v>
      </c>
      <c r="F14">
        <v>23.765705774492599</v>
      </c>
      <c r="G14">
        <v>91.618753575688501</v>
      </c>
      <c r="H14">
        <v>105.958157118649</v>
      </c>
      <c r="I14">
        <v>71.933696156908795</v>
      </c>
      <c r="J14">
        <v>50.420509320834697</v>
      </c>
      <c r="K14">
        <v>88.3297476292921</v>
      </c>
      <c r="L14">
        <v>303.59218420954102</v>
      </c>
    </row>
    <row r="15" spans="1:12" x14ac:dyDescent="0.2">
      <c r="A15" s="1">
        <v>44196</v>
      </c>
      <c r="B15">
        <v>54.862253858387703</v>
      </c>
      <c r="C15">
        <v>130.71654815610901</v>
      </c>
      <c r="D15">
        <v>54.8378581985016</v>
      </c>
      <c r="E15">
        <v>30.8132691391219</v>
      </c>
      <c r="F15">
        <v>23.967681360008999</v>
      </c>
      <c r="G15">
        <v>92.228421784704494</v>
      </c>
      <c r="H15">
        <v>105.708211710269</v>
      </c>
      <c r="I15">
        <v>71.992479325912399</v>
      </c>
      <c r="J15">
        <v>50.976040125285998</v>
      </c>
      <c r="K15">
        <v>88.577983141338294</v>
      </c>
      <c r="L15">
        <v>303.97004623664498</v>
      </c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3DCEE-40B0-924F-B7F1-5945FAE87E8A}">
  <dimension ref="A1:P15"/>
  <sheetViews>
    <sheetView workbookViewId="0">
      <selection activeCell="B1" sqref="B1"/>
    </sheetView>
  </sheetViews>
  <sheetFormatPr baseColWidth="10" defaultRowHeight="16" x14ac:dyDescent="0.2"/>
  <cols>
    <col min="2" max="16" width="12.1640625" bestFit="1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s="1">
        <v>44176</v>
      </c>
      <c r="B2">
        <v>572.449956121377</v>
      </c>
      <c r="C2">
        <v>144.69347701691899</v>
      </c>
      <c r="D2">
        <v>1467.16650113536</v>
      </c>
      <c r="E2">
        <v>121.04450815916</v>
      </c>
      <c r="F2">
        <v>112.406701659113</v>
      </c>
      <c r="G2">
        <v>125.943926214592</v>
      </c>
      <c r="H2">
        <v>175.605109830647</v>
      </c>
      <c r="I2">
        <v>170.129291868325</v>
      </c>
      <c r="J2">
        <v>95.032293400863594</v>
      </c>
      <c r="K2">
        <v>93.212503089921398</v>
      </c>
      <c r="L2">
        <v>55.902799898270104</v>
      </c>
      <c r="M2">
        <v>76.266276722177693</v>
      </c>
      <c r="N2">
        <v>22.891409758333499</v>
      </c>
      <c r="O2">
        <v>11.1163323819637</v>
      </c>
      <c r="P2">
        <v>302.99059280916498</v>
      </c>
    </row>
    <row r="3" spans="1:16" x14ac:dyDescent="0.2">
      <c r="A3" s="1">
        <v>44179</v>
      </c>
      <c r="B3">
        <v>563.66702080331299</v>
      </c>
      <c r="C3">
        <v>139.532153946015</v>
      </c>
      <c r="D3">
        <v>1450.5904703076501</v>
      </c>
      <c r="E3">
        <v>120.040502092533</v>
      </c>
      <c r="F3">
        <v>111.96363628775499</v>
      </c>
      <c r="G3">
        <v>122.859178002127</v>
      </c>
      <c r="H3">
        <v>176.53742711558601</v>
      </c>
      <c r="I3">
        <v>169.696805244975</v>
      </c>
      <c r="J3">
        <v>94.598347140608894</v>
      </c>
      <c r="K3">
        <v>92.406055532562704</v>
      </c>
      <c r="L3">
        <v>56.595821519581399</v>
      </c>
      <c r="M3">
        <v>74.628687170002195</v>
      </c>
      <c r="N3">
        <v>23.117996108568299</v>
      </c>
      <c r="O3">
        <v>11.398284959498699</v>
      </c>
      <c r="P3">
        <v>299.85477969128999</v>
      </c>
    </row>
    <row r="4" spans="1:16" x14ac:dyDescent="0.2">
      <c r="A4" s="1">
        <v>44180</v>
      </c>
      <c r="B4">
        <v>574.68591415971605</v>
      </c>
      <c r="C4">
        <v>143.17349445790001</v>
      </c>
      <c r="D4">
        <v>1455.0868549024999</v>
      </c>
      <c r="E4">
        <v>119.829810812845</v>
      </c>
      <c r="F4">
        <v>112.47934269979601</v>
      </c>
      <c r="G4">
        <v>123.93718412429</v>
      </c>
      <c r="H4">
        <v>176.25468918621399</v>
      </c>
      <c r="I4">
        <v>171.02787217512699</v>
      </c>
      <c r="J4">
        <v>96.123952359110206</v>
      </c>
      <c r="K4">
        <v>92.749161623380999</v>
      </c>
      <c r="L4">
        <v>57.494930602796501</v>
      </c>
      <c r="M4">
        <v>74.056107222884705</v>
      </c>
      <c r="N4">
        <v>23.3272208683006</v>
      </c>
      <c r="O4">
        <v>11.301437195446301</v>
      </c>
      <c r="P4">
        <v>301.39788894471701</v>
      </c>
    </row>
    <row r="5" spans="1:16" x14ac:dyDescent="0.2">
      <c r="A5" s="1">
        <v>44181</v>
      </c>
      <c r="B5">
        <v>574.58672474264995</v>
      </c>
      <c r="C5">
        <v>142.435172870158</v>
      </c>
      <c r="D5">
        <v>1450.51534688472</v>
      </c>
      <c r="E5">
        <v>119.65311189651401</v>
      </c>
      <c r="F5">
        <v>112.939448589981</v>
      </c>
      <c r="G5">
        <v>123.141593483984</v>
      </c>
      <c r="H5">
        <v>180.41350169837401</v>
      </c>
      <c r="I5">
        <v>173.61755796760301</v>
      </c>
      <c r="J5">
        <v>95.505288781821903</v>
      </c>
      <c r="K5">
        <v>93.111071554720098</v>
      </c>
      <c r="L5">
        <v>58.168707089125697</v>
      </c>
      <c r="M5">
        <v>74.845934700369895</v>
      </c>
      <c r="N5">
        <v>23.135843886397801</v>
      </c>
      <c r="O5">
        <v>11.395143566466899</v>
      </c>
      <c r="P5">
        <v>301.56056624773601</v>
      </c>
    </row>
    <row r="6" spans="1:16" x14ac:dyDescent="0.2">
      <c r="A6" s="1">
        <v>44182</v>
      </c>
      <c r="B6">
        <v>578.71640689013202</v>
      </c>
      <c r="C6">
        <v>142.25893796495399</v>
      </c>
      <c r="D6">
        <v>1432.7536546796</v>
      </c>
      <c r="E6">
        <v>119.75817539318</v>
      </c>
      <c r="F6">
        <v>113.323525369167</v>
      </c>
      <c r="G6">
        <v>125.92231040776799</v>
      </c>
      <c r="H6">
        <v>179.85857308499899</v>
      </c>
      <c r="I6">
        <v>174.22723806909499</v>
      </c>
      <c r="J6">
        <v>96.322949064853603</v>
      </c>
      <c r="K6">
        <v>94.183531557579002</v>
      </c>
      <c r="L6">
        <v>59.165946442893897</v>
      </c>
      <c r="M6">
        <v>75.396008997291503</v>
      </c>
      <c r="N6">
        <v>23.386041639026601</v>
      </c>
      <c r="O6">
        <v>11.426617693263999</v>
      </c>
      <c r="P6">
        <v>300.016740895726</v>
      </c>
    </row>
    <row r="7" spans="1:16" x14ac:dyDescent="0.2">
      <c r="A7" s="1">
        <v>44183</v>
      </c>
      <c r="B7">
        <v>569.85740972695896</v>
      </c>
      <c r="C7">
        <v>140.98833563384301</v>
      </c>
      <c r="D7">
        <v>1411.6040320663501</v>
      </c>
      <c r="E7">
        <v>119.019302609409</v>
      </c>
      <c r="F7">
        <v>113.384332865734</v>
      </c>
      <c r="G7">
        <v>125.999809365592</v>
      </c>
      <c r="H7">
        <v>178.25576886277801</v>
      </c>
      <c r="I7">
        <v>171.64222561516701</v>
      </c>
      <c r="J7">
        <v>95.745509060805404</v>
      </c>
      <c r="K7">
        <v>94.750622472885794</v>
      </c>
      <c r="L7">
        <v>59.774686035667401</v>
      </c>
      <c r="M7">
        <v>74.1352892245704</v>
      </c>
      <c r="N7">
        <v>23.396121458214498</v>
      </c>
      <c r="O7">
        <v>11.498268223945599</v>
      </c>
      <c r="P7">
        <v>296.34495551615697</v>
      </c>
    </row>
    <row r="8" spans="1:16" x14ac:dyDescent="0.2">
      <c r="A8" s="1">
        <v>44186</v>
      </c>
      <c r="B8">
        <v>572.05525346613604</v>
      </c>
      <c r="C8">
        <v>139.72512660142399</v>
      </c>
      <c r="D8">
        <v>1423.8308588571001</v>
      </c>
      <c r="E8">
        <v>119.489581163807</v>
      </c>
      <c r="F8">
        <v>112.572498285563</v>
      </c>
      <c r="G8">
        <v>125.260643058808</v>
      </c>
      <c r="H8">
        <v>182.20994184588301</v>
      </c>
      <c r="I8">
        <v>172.68974880969299</v>
      </c>
      <c r="J8">
        <v>95.373920944229596</v>
      </c>
      <c r="K8">
        <v>93.171911885071907</v>
      </c>
      <c r="L8">
        <v>61.279646804473401</v>
      </c>
      <c r="M8">
        <v>72.412469356444902</v>
      </c>
      <c r="N8">
        <v>23.362558931919398</v>
      </c>
      <c r="O8">
        <v>11.3784004843845</v>
      </c>
      <c r="P8">
        <v>298.30963849529701</v>
      </c>
    </row>
    <row r="9" spans="1:16" x14ac:dyDescent="0.2">
      <c r="A9" s="1">
        <v>44187</v>
      </c>
      <c r="B9">
        <v>566.74456346631598</v>
      </c>
      <c r="C9">
        <v>139.291738367638</v>
      </c>
      <c r="D9">
        <v>1408.44420871138</v>
      </c>
      <c r="E9">
        <v>117.84023823495799</v>
      </c>
      <c r="F9">
        <v>111.588663184084</v>
      </c>
      <c r="G9">
        <v>124.802785769477</v>
      </c>
      <c r="H9">
        <v>183.00377112701599</v>
      </c>
      <c r="I9">
        <v>174.12081106230801</v>
      </c>
      <c r="J9">
        <v>96.364223099685603</v>
      </c>
      <c r="K9">
        <v>93.332411829102497</v>
      </c>
      <c r="L9">
        <v>62.785477884673099</v>
      </c>
      <c r="M9">
        <v>72.0606966950931</v>
      </c>
      <c r="N9">
        <v>23.175792642124101</v>
      </c>
      <c r="O9">
        <v>11.130263975320799</v>
      </c>
      <c r="P9">
        <v>296.238013774862</v>
      </c>
    </row>
    <row r="10" spans="1:16" x14ac:dyDescent="0.2">
      <c r="A10" s="1">
        <v>44188</v>
      </c>
      <c r="B10">
        <v>577.38588123698696</v>
      </c>
      <c r="C10">
        <v>142.40992462713601</v>
      </c>
      <c r="D10">
        <v>1421.5390468609901</v>
      </c>
      <c r="E10">
        <v>117.52203526528299</v>
      </c>
      <c r="F10">
        <v>111.876509713183</v>
      </c>
      <c r="G10">
        <v>124.67740659776599</v>
      </c>
      <c r="H10">
        <v>181.362383152154</v>
      </c>
      <c r="I10">
        <v>173.279763721948</v>
      </c>
      <c r="J10">
        <v>95.391261577606201</v>
      </c>
      <c r="K10">
        <v>93.5039480916748</v>
      </c>
      <c r="L10">
        <v>62.560254442141698</v>
      </c>
      <c r="M10">
        <v>72.521973644979795</v>
      </c>
      <c r="N10">
        <v>23.361627110661999</v>
      </c>
      <c r="O10">
        <v>11.594654081791299</v>
      </c>
      <c r="P10">
        <v>298.30164381228701</v>
      </c>
    </row>
    <row r="11" spans="1:16" x14ac:dyDescent="0.2">
      <c r="A11" s="1">
        <v>44189</v>
      </c>
      <c r="B11">
        <v>580.06437112019501</v>
      </c>
      <c r="C11">
        <v>142.50202460494501</v>
      </c>
      <c r="D11">
        <v>1426.2916485295</v>
      </c>
      <c r="E11">
        <v>117.70587137341499</v>
      </c>
      <c r="F11">
        <v>112.964827520771</v>
      </c>
      <c r="G11">
        <v>125.06351464800299</v>
      </c>
      <c r="H11">
        <v>182.71068187057901</v>
      </c>
      <c r="I11">
        <v>173.302413659172</v>
      </c>
      <c r="J11">
        <v>95.969247043132697</v>
      </c>
      <c r="K11">
        <v>93.114774377555904</v>
      </c>
      <c r="L11">
        <v>62.511249823031399</v>
      </c>
      <c r="M11">
        <v>72.633137765335903</v>
      </c>
      <c r="N11">
        <v>23.467352277598302</v>
      </c>
      <c r="O11">
        <v>11.828004698152499</v>
      </c>
      <c r="P11">
        <v>299.316599554616</v>
      </c>
    </row>
    <row r="12" spans="1:16" x14ac:dyDescent="0.2">
      <c r="A12" s="1">
        <v>44193</v>
      </c>
      <c r="B12">
        <v>581.87175709013502</v>
      </c>
      <c r="C12">
        <v>146.545360192652</v>
      </c>
      <c r="D12">
        <v>1455.2037509085701</v>
      </c>
      <c r="E12">
        <v>118.98310026525699</v>
      </c>
      <c r="F12">
        <v>113.624675214334</v>
      </c>
      <c r="G12">
        <v>125.513161182389</v>
      </c>
      <c r="H12">
        <v>184.31647713478301</v>
      </c>
      <c r="I12">
        <v>172.37883336842401</v>
      </c>
      <c r="J12">
        <v>96.7546739876488</v>
      </c>
      <c r="K12">
        <v>95.271688729531803</v>
      </c>
      <c r="L12">
        <v>65.849552504701904</v>
      </c>
      <c r="M12">
        <v>74.722891405242905</v>
      </c>
      <c r="N12">
        <v>24.194814784448202</v>
      </c>
      <c r="O12">
        <v>11.7737716762355</v>
      </c>
      <c r="P12">
        <v>304.18958304009101</v>
      </c>
    </row>
    <row r="13" spans="1:16" x14ac:dyDescent="0.2">
      <c r="A13" s="1">
        <v>44194</v>
      </c>
      <c r="B13">
        <v>577.80767472460798</v>
      </c>
      <c r="C13">
        <v>145.049128168029</v>
      </c>
      <c r="D13">
        <v>1438.80876509472</v>
      </c>
      <c r="E13">
        <v>118.05182897369301</v>
      </c>
      <c r="F13">
        <v>113.24139712261901</v>
      </c>
      <c r="G13">
        <v>126.101929737487</v>
      </c>
      <c r="H13">
        <v>183.377104534301</v>
      </c>
      <c r="I13">
        <v>172.89724584435999</v>
      </c>
      <c r="J13">
        <v>95.570438898284905</v>
      </c>
      <c r="K13">
        <v>96.462171117309396</v>
      </c>
      <c r="L13">
        <v>65.358006550231906</v>
      </c>
      <c r="M13">
        <v>76.369631472625699</v>
      </c>
      <c r="N13">
        <v>24.1012245317688</v>
      </c>
      <c r="O13">
        <v>11.797001710365199</v>
      </c>
      <c r="P13">
        <v>301.92482566652598</v>
      </c>
    </row>
    <row r="14" spans="1:16" x14ac:dyDescent="0.2">
      <c r="A14" s="1">
        <v>44195</v>
      </c>
      <c r="B14">
        <v>578.58719176582599</v>
      </c>
      <c r="C14">
        <v>147.858267429976</v>
      </c>
      <c r="D14">
        <v>1419.6744430488</v>
      </c>
      <c r="E14">
        <v>117.669614895221</v>
      </c>
      <c r="F14">
        <v>112.43823117197699</v>
      </c>
      <c r="G14">
        <v>127.357086255303</v>
      </c>
      <c r="H14">
        <v>180.91968853675999</v>
      </c>
      <c r="I14">
        <v>171.33016124272001</v>
      </c>
      <c r="J14">
        <v>95.430079099451603</v>
      </c>
      <c r="K14">
        <v>96.768531772578598</v>
      </c>
      <c r="L14">
        <v>64.547717324910906</v>
      </c>
      <c r="M14">
        <v>77.010025644133705</v>
      </c>
      <c r="N14">
        <v>24.1329633326181</v>
      </c>
      <c r="O14">
        <v>11.784916604426201</v>
      </c>
      <c r="P14">
        <v>299.248833514757</v>
      </c>
    </row>
    <row r="15" spans="1:16" x14ac:dyDescent="0.2">
      <c r="A15" s="1">
        <v>44196</v>
      </c>
      <c r="B15">
        <v>586.62281378568105</v>
      </c>
      <c r="C15">
        <v>147.302048870129</v>
      </c>
      <c r="D15">
        <v>1424.3046943689601</v>
      </c>
      <c r="E15">
        <v>117.196105000213</v>
      </c>
      <c r="F15">
        <v>113.122904395742</v>
      </c>
      <c r="G15">
        <v>127.95230217231401</v>
      </c>
      <c r="H15">
        <v>180.83079128170999</v>
      </c>
      <c r="I15">
        <v>170.97705364384399</v>
      </c>
      <c r="J15">
        <v>95.878857326664701</v>
      </c>
      <c r="K15">
        <v>95.773167611740007</v>
      </c>
      <c r="L15">
        <v>63.602164937794399</v>
      </c>
      <c r="M15">
        <v>76.773005199589505</v>
      </c>
      <c r="N15">
        <v>23.536784410869501</v>
      </c>
      <c r="O15">
        <v>11.6667653324184</v>
      </c>
      <c r="P15">
        <v>300.04805948345899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1AE1F-77EA-B145-95DF-821FDB378F66}">
  <dimension ref="A1:K15"/>
  <sheetViews>
    <sheetView workbookViewId="0">
      <selection activeCell="D2" sqref="D2"/>
    </sheetView>
  </sheetViews>
  <sheetFormatPr baseColWidth="10" defaultRowHeight="16" x14ac:dyDescent="0.2"/>
  <cols>
    <col min="2" max="2" width="21.1640625" customWidth="1"/>
    <col min="4" max="4" width="23" customWidth="1"/>
    <col min="5" max="5" width="18.6640625" customWidth="1"/>
    <col min="6" max="6" width="25" customWidth="1"/>
    <col min="7" max="7" width="15" customWidth="1"/>
    <col min="8" max="8" width="14.6640625" customWidth="1"/>
  </cols>
  <sheetData>
    <row r="1" spans="1:11" x14ac:dyDescent="0.2">
      <c r="A1" t="s">
        <v>18</v>
      </c>
      <c r="B1" t="s">
        <v>19</v>
      </c>
      <c r="C1" t="s">
        <v>20</v>
      </c>
      <c r="D1" t="s">
        <v>21</v>
      </c>
      <c r="E1" t="s">
        <v>49</v>
      </c>
      <c r="F1" t="s">
        <v>50</v>
      </c>
      <c r="G1" t="s">
        <v>48</v>
      </c>
      <c r="H1" t="s">
        <v>74</v>
      </c>
    </row>
    <row r="2" spans="1:11" x14ac:dyDescent="0.2">
      <c r="A2" t="s">
        <v>1</v>
      </c>
      <c r="B2" t="s">
        <v>22</v>
      </c>
      <c r="C2" t="s">
        <v>35</v>
      </c>
      <c r="D2" t="s">
        <v>41</v>
      </c>
      <c r="E2" s="2">
        <v>5.1576999999999998E-2</v>
      </c>
      <c r="F2">
        <f>MATCH(A2,Equities!$A$1:$P$1,0)</f>
        <v>2</v>
      </c>
      <c r="G2" s="3" cm="1">
        <f t="array" ref="G2">(INDEX(Equities!equities, MAX(IF(Equities!A:A&lt;&gt;"",ROW(Equities!A:A))),'Equity Definitions'!F2) / INDEX(Equities!equities,2,'Equity Definitions'!F2)) - 1</f>
        <v>2.4758247446347914E-2</v>
      </c>
      <c r="H2" s="3">
        <f>G2*E2</f>
        <v>1.2769561285402864E-3</v>
      </c>
      <c r="K2" s="4"/>
    </row>
    <row r="3" spans="1:11" x14ac:dyDescent="0.2">
      <c r="A3" t="s">
        <v>2</v>
      </c>
      <c r="B3" t="s">
        <v>23</v>
      </c>
      <c r="C3" t="s">
        <v>35</v>
      </c>
      <c r="D3" t="s">
        <v>37</v>
      </c>
      <c r="E3" s="2">
        <v>2.5978999999999999E-2</v>
      </c>
      <c r="F3">
        <f>MATCH(A3,Equities!$A$1:$P$1,0)</f>
        <v>3</v>
      </c>
      <c r="G3" s="3" cm="1">
        <f t="array" ref="G3">(INDEX(Equities!equities, MAX(IF(Equities!A:A&lt;&gt;"",ROW(Equities!A:A))),'Equity Definitions'!F3) / INDEX(Equities!equities,2,'Equity Definitions'!F3)) - 1</f>
        <v>1.8028261584349003E-2</v>
      </c>
      <c r="H3" s="3">
        <f t="shared" ref="H3:H15" si="0">G3*E3</f>
        <v>4.6835620769980274E-4</v>
      </c>
    </row>
    <row r="4" spans="1:11" x14ac:dyDescent="0.2">
      <c r="A4" t="s">
        <v>3</v>
      </c>
      <c r="B4" t="s">
        <v>24</v>
      </c>
      <c r="C4" t="s">
        <v>35</v>
      </c>
      <c r="D4" t="s">
        <v>37</v>
      </c>
      <c r="E4" s="2">
        <v>0.12898839300000001</v>
      </c>
      <c r="F4">
        <f>MATCH(A4,Equities!$A$1:$P$1,0)</f>
        <v>4</v>
      </c>
      <c r="G4" s="3" cm="1">
        <f t="array" ref="G4">(INDEX(Equities!equities, MAX(IF(Equities!A:A&lt;&gt;"",ROW(Equities!A:A))),'Equity Definitions'!F4) / INDEX(Equities!equities,2,'Equity Definitions'!F4)) - 1</f>
        <v>-2.9214003136816102E-2</v>
      </c>
      <c r="H4" s="3">
        <f t="shared" si="0"/>
        <v>-3.7682673177148684E-3</v>
      </c>
    </row>
    <row r="5" spans="1:11" x14ac:dyDescent="0.2">
      <c r="A5" t="s">
        <v>4</v>
      </c>
      <c r="B5" t="s">
        <v>25</v>
      </c>
      <c r="C5" t="s">
        <v>35</v>
      </c>
      <c r="D5" t="s">
        <v>39</v>
      </c>
      <c r="E5" s="2">
        <v>3.1639432000000002E-2</v>
      </c>
      <c r="F5">
        <f>MATCH(A5,Equities!$A$1:$P$1,0)</f>
        <v>5</v>
      </c>
      <c r="G5" s="3" cm="1">
        <f t="array" ref="G5">(INDEX(Equities!equities, MAX(IF(Equities!A:A&lt;&gt;"",ROW(Equities!A:A))),'Equity Definitions'!F5) / INDEX(Equities!equities,2,'Equity Definitions'!F5)) - 1</f>
        <v>-3.1793290067210545E-2</v>
      </c>
      <c r="H5" s="3">
        <f t="shared" si="0"/>
        <v>-1.0059216391377836E-3</v>
      </c>
    </row>
    <row r="6" spans="1:11" x14ac:dyDescent="0.2">
      <c r="A6" t="s">
        <v>5</v>
      </c>
      <c r="B6" t="s">
        <v>47</v>
      </c>
      <c r="C6" t="s">
        <v>35</v>
      </c>
      <c r="D6" t="s">
        <v>39</v>
      </c>
      <c r="E6" s="2">
        <v>2.0142968000000001E-2</v>
      </c>
      <c r="F6">
        <f>MATCH(A6,Equities!$A$1:$P$1,0)</f>
        <v>6</v>
      </c>
      <c r="G6" s="3" cm="1">
        <f t="array" ref="G6">(INDEX(Equities!equities, MAX(IF(Equities!A:A&lt;&gt;"",ROW(Equities!A:A))),'Equity Definitions'!F6) / INDEX(Equities!equities,2,'Equity Definitions'!F6)) - 1</f>
        <v>6.3715305765394969E-3</v>
      </c>
      <c r="H6" s="3">
        <f t="shared" si="0"/>
        <v>1.2834153651425663E-4</v>
      </c>
    </row>
    <row r="7" spans="1:11" x14ac:dyDescent="0.2">
      <c r="A7" t="s">
        <v>6</v>
      </c>
      <c r="B7" t="s">
        <v>26</v>
      </c>
      <c r="C7" t="s">
        <v>35</v>
      </c>
      <c r="D7" t="s">
        <v>42</v>
      </c>
      <c r="E7" s="2">
        <v>0.10012800400000001</v>
      </c>
      <c r="F7">
        <f>MATCH(A7,Equities!$A$1:$P$1,0)</f>
        <v>7</v>
      </c>
      <c r="G7" s="3" cm="1">
        <f t="array" ref="G7">(INDEX(Equities!equities, MAX(IF(Equities!A:A&lt;&gt;"",ROW(Equities!A:A))),'Equity Definitions'!F7) / INDEX(Equities!equities,2,'Equity Definitions'!F7)) - 1</f>
        <v>1.5946588438889853E-2</v>
      </c>
      <c r="H7" s="3">
        <f t="shared" si="0"/>
        <v>1.5967000709955171E-3</v>
      </c>
    </row>
    <row r="8" spans="1:11" x14ac:dyDescent="0.2">
      <c r="A8" t="s">
        <v>7</v>
      </c>
      <c r="B8" t="s">
        <v>27</v>
      </c>
      <c r="C8" t="s">
        <v>35</v>
      </c>
      <c r="D8" t="s">
        <v>43</v>
      </c>
      <c r="E8" s="2">
        <v>0.130701028</v>
      </c>
      <c r="F8">
        <f>MATCH(A8,Equities!$A$1:$P$1,0)</f>
        <v>8</v>
      </c>
      <c r="G8" s="3" cm="1">
        <f t="array" ref="G8">(INDEX(Equities!equities, MAX(IF(Equities!A:A&lt;&gt;"",ROW(Equities!A:A))),'Equity Definitions'!F8) / INDEX(Equities!equities,2,'Equity Definitions'!F8)) - 1</f>
        <v>2.9758140045597958E-2</v>
      </c>
      <c r="H8" s="3">
        <f t="shared" si="0"/>
        <v>3.8894194953276199E-3</v>
      </c>
    </row>
    <row r="9" spans="1:11" x14ac:dyDescent="0.2">
      <c r="A9" t="s">
        <v>8</v>
      </c>
      <c r="B9" t="s">
        <v>28</v>
      </c>
      <c r="C9" t="s">
        <v>35</v>
      </c>
      <c r="D9" t="s">
        <v>38</v>
      </c>
      <c r="E9" s="2">
        <v>7.6397999999999994E-2</v>
      </c>
      <c r="F9">
        <f>MATCH(A9,Equities!$A$1:$P$1,0)</f>
        <v>9</v>
      </c>
      <c r="G9" s="3" cm="1">
        <f t="array" ref="G9">(INDEX(Equities!equities, MAX(IF(Equities!A:A&lt;&gt;"",ROW(Equities!A:A))),'Equity Definitions'!F9) / INDEX(Equities!equities,2,'Equity Definitions'!F9)) - 1</f>
        <v>4.9830441672273906E-3</v>
      </c>
      <c r="H9" s="3">
        <f t="shared" si="0"/>
        <v>3.8069460828783817E-4</v>
      </c>
    </row>
    <row r="10" spans="1:11" x14ac:dyDescent="0.2">
      <c r="A10" t="s">
        <v>9</v>
      </c>
      <c r="B10" t="s">
        <v>29</v>
      </c>
      <c r="C10" t="s">
        <v>35</v>
      </c>
      <c r="D10" t="s">
        <v>44</v>
      </c>
      <c r="E10" s="2">
        <v>4.2881481999999999E-2</v>
      </c>
      <c r="F10">
        <f>MATCH(A10,Equities!$A$1:$P$1,0)</f>
        <v>10</v>
      </c>
      <c r="G10" s="3" cm="1">
        <f t="array" ref="G10">(INDEX(Equities!equities, MAX(IF(Equities!A:A&lt;&gt;"",ROW(Equities!A:A))),'Equity Definitions'!F10) / INDEX(Equities!equities,2,'Equity Definitions'!F10)) - 1</f>
        <v>8.9081710596012886E-3</v>
      </c>
      <c r="H10" s="3">
        <f t="shared" si="0"/>
        <v>3.8199557694521355E-4</v>
      </c>
    </row>
    <row r="11" spans="1:11" x14ac:dyDescent="0.2">
      <c r="A11" t="s">
        <v>10</v>
      </c>
      <c r="B11" t="s">
        <v>30</v>
      </c>
      <c r="C11" t="s">
        <v>36</v>
      </c>
      <c r="D11" t="s">
        <v>39</v>
      </c>
      <c r="E11" s="2">
        <v>9.2963657000000005E-2</v>
      </c>
      <c r="F11">
        <f>MATCH(A11,Equities!$A$1:$P$1,0)</f>
        <v>11</v>
      </c>
      <c r="G11" s="3" cm="1">
        <f t="array" ref="G11">(INDEX(Equities!equities, MAX(IF(Equities!A:A&lt;&gt;"",ROW(Equities!A:A))),'Equity Definitions'!F11) / INDEX(Equities!equities,2,'Equity Definitions'!F11)) - 1</f>
        <v>2.7471255860904709E-2</v>
      </c>
      <c r="H11" s="3">
        <f t="shared" si="0"/>
        <v>2.5538284072123851E-3</v>
      </c>
    </row>
    <row r="12" spans="1:11" x14ac:dyDescent="0.2">
      <c r="A12" t="s">
        <v>11</v>
      </c>
      <c r="B12" t="s">
        <v>31</v>
      </c>
      <c r="C12" t="s">
        <v>36</v>
      </c>
      <c r="D12" t="s">
        <v>40</v>
      </c>
      <c r="E12" s="2">
        <v>7.0327971000000003E-2</v>
      </c>
      <c r="F12">
        <f>MATCH(A12,Equities!$A$1:$P$1,0)</f>
        <v>12</v>
      </c>
      <c r="G12" s="3" cm="1">
        <f t="array" ref="G12">(INDEX(Equities!equities, MAX(IF(Equities!A:A&lt;&gt;"",ROW(Equities!A:A))),'Equity Definitions'!F12) / INDEX(Equities!equities,2,'Equity Definitions'!F12)) - 1</f>
        <v>0.13772771763731551</v>
      </c>
      <c r="H12" s="3">
        <f t="shared" si="0"/>
        <v>9.6861109318933138E-3</v>
      </c>
    </row>
    <row r="13" spans="1:11" x14ac:dyDescent="0.2">
      <c r="A13" t="s">
        <v>12</v>
      </c>
      <c r="B13" t="s">
        <v>32</v>
      </c>
      <c r="C13" t="s">
        <v>36</v>
      </c>
      <c r="D13" t="s">
        <v>42</v>
      </c>
      <c r="E13" s="2">
        <v>8.5778035000000002E-2</v>
      </c>
      <c r="F13">
        <f>MATCH(A13,Equities!$A$1:$P$1,0)</f>
        <v>13</v>
      </c>
      <c r="G13" s="3" cm="1">
        <f t="array" ref="G13">(INDEX(Equities!equities, MAX(IF(Equities!A:A&lt;&gt;"",ROW(Equities!A:A))),'Equity Definitions'!F13) / INDEX(Equities!equities,2,'Equity Definitions'!F13)) - 1</f>
        <v>6.6442010701233123E-3</v>
      </c>
      <c r="H13" s="3">
        <f t="shared" si="0"/>
        <v>5.6992651194007497E-4</v>
      </c>
    </row>
    <row r="14" spans="1:11" x14ac:dyDescent="0.2">
      <c r="A14" t="s">
        <v>13</v>
      </c>
      <c r="B14" t="s">
        <v>33</v>
      </c>
      <c r="C14" t="s">
        <v>36</v>
      </c>
      <c r="D14" t="s">
        <v>44</v>
      </c>
      <c r="E14" s="2">
        <v>8.5525394000000005E-2</v>
      </c>
      <c r="F14">
        <f>MATCH(A14,Equities!$A$1:$P$1,0)</f>
        <v>14</v>
      </c>
      <c r="G14" s="3" cm="1">
        <f t="array" ref="G14">(INDEX(Equities!equities, MAX(IF(Equities!A:A&lt;&gt;"",ROW(Equities!A:A))),'Equity Definitions'!F14) / INDEX(Equities!equities,2,'Equity Definitions'!F14)) - 1</f>
        <v>2.8192874940830448E-2</v>
      </c>
      <c r="H14" s="3">
        <f t="shared" si="0"/>
        <v>2.4112067373072508E-3</v>
      </c>
    </row>
    <row r="15" spans="1:11" x14ac:dyDescent="0.2">
      <c r="A15" t="s">
        <v>14</v>
      </c>
      <c r="B15" t="s">
        <v>34</v>
      </c>
      <c r="C15" t="s">
        <v>36</v>
      </c>
      <c r="D15" t="s">
        <v>45</v>
      </c>
      <c r="E15" s="2">
        <v>5.6969947E-2</v>
      </c>
      <c r="F15">
        <f>MATCH(A15,Equities!$A$1:$P$1,0)</f>
        <v>15</v>
      </c>
      <c r="G15" s="3" cm="1">
        <f t="array" ref="G15">(INDEX(Equities!equities, MAX(IF(Equities!A:A&lt;&gt;"",ROW(Equities!A:A))),'Equity Definitions'!F15) / INDEX(Equities!equities,2,'Equity Definitions'!F15)) - 1</f>
        <v>4.9515697402839454E-2</v>
      </c>
      <c r="H15" s="3">
        <f t="shared" si="0"/>
        <v>2.8209066567078012E-3</v>
      </c>
    </row>
  </sheetData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7458C-05E6-614C-92A8-BC2EA88395E2}">
  <dimension ref="A1:R43"/>
  <sheetViews>
    <sheetView tabSelected="1" zoomScale="75" workbookViewId="0">
      <pane xSplit="3560" activePane="topRight"/>
      <selection activeCell="B32" sqref="B32:P33"/>
      <selection pane="topRight" activeCell="F18" sqref="F18"/>
    </sheetView>
  </sheetViews>
  <sheetFormatPr baseColWidth="10" defaultRowHeight="16" x14ac:dyDescent="0.2"/>
  <cols>
    <col min="1" max="1" width="10.83203125" customWidth="1"/>
    <col min="2" max="2" width="24.1640625" customWidth="1"/>
    <col min="3" max="3" width="16.6640625" customWidth="1"/>
    <col min="4" max="4" width="16.1640625" customWidth="1"/>
    <col min="5" max="5" width="14" customWidth="1"/>
    <col min="6" max="6" width="27.83203125" customWidth="1"/>
    <col min="7" max="7" width="22" customWidth="1"/>
    <col min="8" max="8" width="30" customWidth="1"/>
    <col min="9" max="9" width="33.33203125" customWidth="1"/>
    <col min="10" max="10" width="28.83203125" customWidth="1"/>
    <col min="11" max="11" width="26" customWidth="1"/>
    <col min="12" max="12" width="20" customWidth="1"/>
    <col min="13" max="13" width="22.5" bestFit="1" customWidth="1"/>
    <col min="14" max="14" width="18.1640625" customWidth="1"/>
    <col min="15" max="15" width="14" customWidth="1"/>
    <col min="16" max="17" width="21" bestFit="1" customWidth="1"/>
  </cols>
  <sheetData>
    <row r="1" spans="1:17" x14ac:dyDescent="0.2">
      <c r="A1" s="9" t="s">
        <v>20</v>
      </c>
      <c r="B1" s="9" t="s">
        <v>21</v>
      </c>
      <c r="C1" s="9" t="s">
        <v>51</v>
      </c>
      <c r="D1" s="9" t="s">
        <v>52</v>
      </c>
      <c r="E1" s="9" t="s">
        <v>69</v>
      </c>
      <c r="F1" s="9" t="s">
        <v>53</v>
      </c>
      <c r="G1" s="9" t="s">
        <v>54</v>
      </c>
      <c r="H1" s="9" t="s">
        <v>55</v>
      </c>
      <c r="I1" s="9" t="s">
        <v>56</v>
      </c>
      <c r="J1" s="9" t="s">
        <v>57</v>
      </c>
      <c r="K1" s="9" t="s">
        <v>64</v>
      </c>
      <c r="L1" s="9" t="s">
        <v>68</v>
      </c>
      <c r="M1" s="9" t="s">
        <v>65</v>
      </c>
      <c r="N1" s="9" t="s">
        <v>66</v>
      </c>
      <c r="O1" s="9" t="s">
        <v>67</v>
      </c>
      <c r="P1" s="9" t="s">
        <v>73</v>
      </c>
    </row>
    <row r="2" spans="1:17" x14ac:dyDescent="0.2">
      <c r="A2" s="6" t="s">
        <v>35</v>
      </c>
      <c r="B2" s="10" t="s">
        <v>37</v>
      </c>
      <c r="C2" s="10" t="str">
        <f>VLOOKUP('Risk Model'!A2,'Risk Model'!$A$35:$B$37,2,FALSE)</f>
        <v>SPY</v>
      </c>
      <c r="D2" s="11">
        <f>SUMIFS('Equity Definitions'!$E$2:$E$15,'Equity Definitions'!$C$2:$C$15,A2,'Equity Definitions'!$D$2:$D$15,B2)</f>
        <v>0.15496739300000001</v>
      </c>
      <c r="E2" s="12">
        <f>IF(D2&gt;0,SUMIFS('Equity Definitions'!$H$2:$H$15,'Equity Definitions'!$C$2:$C$15,A2,'Equity Definitions'!$D$2:$D$15,B2)/D2,0)</f>
        <v>-2.1294228715682567E-2</v>
      </c>
      <c r="F2" s="13">
        <f>D2/SUMIFS($D$2:$D$21,$A$2:$A$21,A2)</f>
        <v>0.25469822545981868</v>
      </c>
      <c r="G2" s="14">
        <v>0.10632593191</v>
      </c>
      <c r="H2" s="10">
        <f>MATCH(B2,'Sector Benchmarks US'!$A$1:$L$1,0)</f>
        <v>2</v>
      </c>
      <c r="I2" s="12" cm="1">
        <f t="array" ref="I2">(INDEX('Sector Benchmarks US'!sector_benchmarks_US, MAX(IF('Sector Benchmarks US'!A:A&lt;&gt;"",ROW('Sector Benchmarks US'!A:A))),'Risk Model'!H2) / INDEX('Sector Benchmarks US'!sector_benchmarks_US,2,'Risk Model'!H2)) - 1</f>
        <v>-4.6858778346580143E-3</v>
      </c>
      <c r="J2" s="12">
        <f>I2*G2</f>
        <v>-4.9823032758642631E-4</v>
      </c>
      <c r="K2" s="15">
        <f>I2-VLOOKUP(A2,$A$35:$H$37,5,FALSE)</f>
        <v>-5.5364816864215249E-3</v>
      </c>
      <c r="L2" s="12">
        <f>E2-I2</f>
        <v>-1.6608350881024553E-2</v>
      </c>
      <c r="M2" s="12">
        <f>F2-G2</f>
        <v>0.14837229354981868</v>
      </c>
      <c r="N2" s="16">
        <f>M2*K2</f>
        <v>-8.2146048601092962E-4</v>
      </c>
      <c r="O2" s="16">
        <f>F2*L2</f>
        <v>-4.2301174972109697E-3</v>
      </c>
      <c r="P2" s="12">
        <f>F2*E2</f>
        <v>-5.4236022664198641E-3</v>
      </c>
      <c r="Q2" s="3"/>
    </row>
    <row r="3" spans="1:17" x14ac:dyDescent="0.2">
      <c r="A3" s="6" t="s">
        <v>35</v>
      </c>
      <c r="B3" s="10" t="s">
        <v>38</v>
      </c>
      <c r="C3" s="10" t="str">
        <f>VLOOKUP('Risk Model'!A3,'Risk Model'!$A$35:$B$37,2,FALSE)</f>
        <v>SPY</v>
      </c>
      <c r="D3" s="11">
        <f>SUMIFS('Equity Definitions'!$E$2:$E$15,'Equity Definitions'!$C$2:$C$15,A3,'Equity Definitions'!$D$2:$D$15,B3)</f>
        <v>7.6397999999999994E-2</v>
      </c>
      <c r="E3" s="12">
        <f>IF(D3&gt;0,SUMIFS('Equity Definitions'!$H$2:$H$15,'Equity Definitions'!$C$2:$C$15,A3,'Equity Definitions'!$D$2:$D$15,B3)/D3,0)</f>
        <v>4.9830441672273906E-3</v>
      </c>
      <c r="F3" s="13">
        <f>D3/SUMIFS($D$2:$D$21,$A$2:$A$21,A3)</f>
        <v>0.1255647052711226</v>
      </c>
      <c r="G3" s="17">
        <v>0.10969825106</v>
      </c>
      <c r="H3" s="10">
        <f>MATCH(B3,'Sector Benchmarks US'!$A$1:$L$1,0)</f>
        <v>3</v>
      </c>
      <c r="I3" s="12" cm="1">
        <f t="array" ref="I3">(INDEX('Sector Benchmarks US'!sector_benchmarks_US, MAX(IF('Sector Benchmarks US'!A:A&lt;&gt;"",ROW('Sector Benchmarks US'!A:A))),'Risk Model'!H3) / INDEX('Sector Benchmarks US'!sector_benchmarks_US,2,'Risk Model'!H3)) - 1</f>
        <v>1.5649429803510362E-2</v>
      </c>
      <c r="J3" s="12">
        <f t="shared" ref="J3:J21" si="0">I3*G3</f>
        <v>1.7167150795313261E-3</v>
      </c>
      <c r="K3" s="15">
        <f>I3-VLOOKUP(A3,$A$35:$H$37,5,FALSE)</f>
        <v>1.4798825951746851E-2</v>
      </c>
      <c r="L3" s="12">
        <f t="shared" ref="L3:L21" si="1">E3-I3</f>
        <v>-1.0666385636282971E-2</v>
      </c>
      <c r="M3" s="12">
        <f>F3-G3</f>
        <v>1.5866454211122594E-2</v>
      </c>
      <c r="N3" s="16">
        <f t="shared" ref="N3:N21" si="2">M3*K3</f>
        <v>2.3480489434176416E-4</v>
      </c>
      <c r="O3" s="16">
        <f t="shared" ref="O3:O21" si="3">F3*L3</f>
        <v>-1.3393215687280068E-3</v>
      </c>
      <c r="P3" s="12">
        <f t="shared" ref="P3:P21" si="4">F3*E3</f>
        <v>6.2569447221089386E-4</v>
      </c>
      <c r="Q3" s="3"/>
    </row>
    <row r="4" spans="1:17" x14ac:dyDescent="0.2">
      <c r="A4" s="6" t="s">
        <v>35</v>
      </c>
      <c r="B4" s="10" t="s">
        <v>39</v>
      </c>
      <c r="C4" s="10" t="str">
        <f>VLOOKUP('Risk Model'!A4,'Risk Model'!$A$35:$B$37,2,FALSE)</f>
        <v>SPY</v>
      </c>
      <c r="D4" s="11">
        <f>SUMIFS('Equity Definitions'!$E$2:$E$15,'Equity Definitions'!$C$2:$C$15,A4,'Equity Definitions'!$D$2:$D$15,B4)</f>
        <v>5.1782400000000006E-2</v>
      </c>
      <c r="E4" s="12">
        <f>IF(D4&gt;0,SUMIFS('Equity Definitions'!$H$2:$H$15,'Equity Definitions'!$C$2:$C$15,A4,'Equity Definitions'!$D$2:$D$15,B4)/D4,0)</f>
        <v>-1.6947459032866898E-2</v>
      </c>
      <c r="F4" s="13">
        <f>D4/SUMIFS($D$2:$D$21,$A$2:$A$21,A4)</f>
        <v>8.5107487031484852E-2</v>
      </c>
      <c r="G4" s="17">
        <v>9.3609510716000002E-2</v>
      </c>
      <c r="H4" s="10">
        <f>MATCH(B4,'Sector Benchmarks US'!$A$1:$L$1,0)</f>
        <v>4</v>
      </c>
      <c r="I4" s="12" cm="1">
        <f t="array" ref="I4">(INDEX('Sector Benchmarks US'!sector_benchmarks_US, MAX(IF('Sector Benchmarks US'!A:A&lt;&gt;"",ROW('Sector Benchmarks US'!A:A))),'Risk Model'!H4) / INDEX('Sector Benchmarks US'!sector_benchmarks_US,2,'Risk Model'!H4)) - 1</f>
        <v>-1.0744158275238336E-2</v>
      </c>
      <c r="J4" s="12">
        <f t="shared" si="0"/>
        <v>-1.0057553992003231E-3</v>
      </c>
      <c r="K4" s="15">
        <f>I4-VLOOKUP(A4,$A$35:$H$37,5,FALSE)</f>
        <v>-1.1594762127001846E-2</v>
      </c>
      <c r="L4" s="12">
        <f t="shared" si="1"/>
        <v>-6.2033007576285625E-3</v>
      </c>
      <c r="M4" s="12">
        <f>F4-G4</f>
        <v>-8.5020236845151503E-3</v>
      </c>
      <c r="N4" s="16">
        <f t="shared" si="2"/>
        <v>9.8578942220088956E-5</v>
      </c>
      <c r="O4" s="16">
        <f t="shared" si="3"/>
        <v>-5.2794733878227303E-4</v>
      </c>
      <c r="P4" s="12">
        <f t="shared" si="4"/>
        <v>-1.4423556498563404E-3</v>
      </c>
      <c r="Q4" s="3"/>
    </row>
    <row r="5" spans="1:17" x14ac:dyDescent="0.2">
      <c r="A5" s="6" t="s">
        <v>35</v>
      </c>
      <c r="B5" s="10" t="s">
        <v>40</v>
      </c>
      <c r="C5" s="10" t="str">
        <f>VLOOKUP('Risk Model'!A5,'Risk Model'!$A$35:$B$37,2,FALSE)</f>
        <v>SPY</v>
      </c>
      <c r="D5" s="11">
        <f>SUMIFS('Equity Definitions'!$E$2:$E$15,'Equity Definitions'!$C$2:$C$15,A5,'Equity Definitions'!$D$2:$D$15,B5)</f>
        <v>0</v>
      </c>
      <c r="E5" s="12">
        <f>IF(D5&gt;0,SUMIFS('Equity Definitions'!$H$2:$H$15,'Equity Definitions'!$C$2:$C$15,A5,'Equity Definitions'!$D$2:$D$15,B5)/D5,0)</f>
        <v>0</v>
      </c>
      <c r="F5" s="13">
        <f>D5/SUMIFS($D$2:$D$21,$A$2:$A$21,A5)</f>
        <v>0</v>
      </c>
      <c r="G5" s="17">
        <v>5.7233374545E-2</v>
      </c>
      <c r="H5" s="10">
        <f>MATCH(B5,'Sector Benchmarks US'!$A$1:$L$1,0)</f>
        <v>5</v>
      </c>
      <c r="I5" s="12" cm="1">
        <f t="array" ref="I5">(INDEX('Sector Benchmarks US'!sector_benchmarks_US, MAX(IF('Sector Benchmarks US'!A:A&lt;&gt;"",ROW('Sector Benchmarks US'!A:A))),'Risk Model'!H5) / INDEX('Sector Benchmarks US'!sector_benchmarks_US,2,'Risk Model'!H5)) - 1</f>
        <v>-8.9967448261909166E-2</v>
      </c>
      <c r="J5" s="12">
        <f t="shared" si="0"/>
        <v>-5.1491406632317568E-3</v>
      </c>
      <c r="K5" s="15">
        <f>I5-VLOOKUP(A5,$A$35:$H$37,5,FALSE)</f>
        <v>-9.0818052113672679E-2</v>
      </c>
      <c r="L5" s="12">
        <f t="shared" si="1"/>
        <v>8.9967448261909166E-2</v>
      </c>
      <c r="M5" s="12">
        <f>F5-G5</f>
        <v>-5.7233374545E-2</v>
      </c>
      <c r="N5" s="16">
        <f t="shared" si="2"/>
        <v>5.1978235920691574E-3</v>
      </c>
      <c r="O5" s="16">
        <f t="shared" si="3"/>
        <v>0</v>
      </c>
      <c r="P5" s="12">
        <f t="shared" si="4"/>
        <v>0</v>
      </c>
      <c r="Q5" s="3"/>
    </row>
    <row r="6" spans="1:17" x14ac:dyDescent="0.2">
      <c r="A6" s="6" t="s">
        <v>35</v>
      </c>
      <c r="B6" s="10" t="s">
        <v>41</v>
      </c>
      <c r="C6" s="10" t="str">
        <f>VLOOKUP('Risk Model'!A6,'Risk Model'!$A$35:$B$37,2,FALSE)</f>
        <v>SPY</v>
      </c>
      <c r="D6" s="11">
        <f>SUMIFS('Equity Definitions'!$E$2:$E$15,'Equity Definitions'!$C$2:$C$15,A6,'Equity Definitions'!$D$2:$D$15,B6)</f>
        <v>5.1576999999999998E-2</v>
      </c>
      <c r="E6" s="12">
        <f>IF(D6&gt;0,SUMIFS('Equity Definitions'!$H$2:$H$15,'Equity Definitions'!$C$2:$C$15,A6,'Equity Definitions'!$D$2:$D$15,B6)/D6,0)</f>
        <v>2.4758247446347914E-2</v>
      </c>
      <c r="F6" s="13">
        <f>D6/SUMIFS($D$2:$D$21,$A$2:$A$21,A6)</f>
        <v>8.4769899784924871E-2</v>
      </c>
      <c r="G6" s="17">
        <v>0.11792659243</v>
      </c>
      <c r="H6" s="10">
        <f>MATCH(B6,'Sector Benchmarks US'!$A$1:$L$1,0)</f>
        <v>6</v>
      </c>
      <c r="I6" s="12" cm="1">
        <f t="array" ref="I6">(INDEX('Sector Benchmarks US'!sector_benchmarks_US, MAX(IF('Sector Benchmarks US'!A:A&lt;&gt;"",ROW('Sector Benchmarks US'!A:A))),'Risk Model'!H6) / INDEX('Sector Benchmarks US'!sector_benchmarks_US,2,'Risk Model'!H6)) - 1</f>
        <v>2.2735627727723751E-2</v>
      </c>
      <c r="J6" s="12">
        <f t="shared" si="0"/>
        <v>2.681135104687486E-3</v>
      </c>
      <c r="K6" s="15">
        <f>I6-VLOOKUP(A6,$A$35:$H$37,5,FALSE)</f>
        <v>2.1885023875960238E-2</v>
      </c>
      <c r="L6" s="12">
        <f t="shared" si="1"/>
        <v>2.0226197186241635E-3</v>
      </c>
      <c r="M6" s="12">
        <f>F6-G6</f>
        <v>-3.3156692645075134E-2</v>
      </c>
      <c r="N6" s="16">
        <f t="shared" si="2"/>
        <v>-7.2563501018534451E-4</v>
      </c>
      <c r="O6" s="16">
        <f t="shared" si="3"/>
        <v>1.7145727085078328E-4</v>
      </c>
      <c r="P6" s="12">
        <f t="shared" si="4"/>
        <v>2.0987541548772846E-3</v>
      </c>
      <c r="Q6" s="3"/>
    </row>
    <row r="7" spans="1:17" x14ac:dyDescent="0.2">
      <c r="A7" s="6" t="s">
        <v>35</v>
      </c>
      <c r="B7" s="10" t="s">
        <v>42</v>
      </c>
      <c r="C7" s="10" t="str">
        <f>VLOOKUP('Risk Model'!A7,'Risk Model'!$A$35:$B$37,2,FALSE)</f>
        <v>SPY</v>
      </c>
      <c r="D7" s="11">
        <f>SUMIFS('Equity Definitions'!$E$2:$E$15,'Equity Definitions'!$C$2:$C$15,A7,'Equity Definitions'!$D$2:$D$15,B7)</f>
        <v>0.10012800400000001</v>
      </c>
      <c r="E7" s="12">
        <f>IF(D7&gt;0,SUMIFS('Equity Definitions'!$H$2:$H$15,'Equity Definitions'!$C$2:$C$15,A7,'Equity Definitions'!$D$2:$D$15,B7)/D7,0)</f>
        <v>1.5946588438889853E-2</v>
      </c>
      <c r="F7" s="13">
        <f>D7/SUMIFS($D$2:$D$21,$A$2:$A$21,A7)</f>
        <v>0.16456639325173153</v>
      </c>
      <c r="G7" s="17">
        <v>9.697772482E-2</v>
      </c>
      <c r="H7" s="10">
        <f>MATCH(B7,'Sector Benchmarks US'!$A$1:$L$1,0)</f>
        <v>7</v>
      </c>
      <c r="I7" s="12" cm="1">
        <f t="array" ref="I7">(INDEX('Sector Benchmarks US'!sector_benchmarks_US, MAX(IF('Sector Benchmarks US'!A:A&lt;&gt;"",ROW('Sector Benchmarks US'!A:A))),'Risk Model'!H7) / INDEX('Sector Benchmarks US'!sector_benchmarks_US,2,'Risk Model'!H7)) - 1</f>
        <v>2.9091999435200133E-3</v>
      </c>
      <c r="J7" s="12">
        <f t="shared" si="0"/>
        <v>2.8212759156904339E-4</v>
      </c>
      <c r="K7" s="15">
        <f>I7-VLOOKUP(A7,$A$35:$H$37,5,FALSE)</f>
        <v>2.0585960917565023E-3</v>
      </c>
      <c r="L7" s="12">
        <f t="shared" si="1"/>
        <v>1.3037388495369839E-2</v>
      </c>
      <c r="M7" s="12">
        <f>F7-G7</f>
        <v>6.758866843173153E-2</v>
      </c>
      <c r="N7" s="16">
        <f t="shared" si="2"/>
        <v>1.3913776868058862E-4</v>
      </c>
      <c r="O7" s="16">
        <f t="shared" si="3"/>
        <v>2.1455160021046334E-3</v>
      </c>
      <c r="P7" s="12">
        <f t="shared" si="4"/>
        <v>2.624272544057863E-3</v>
      </c>
      <c r="Q7" s="3"/>
    </row>
    <row r="8" spans="1:17" x14ac:dyDescent="0.2">
      <c r="A8" s="6" t="s">
        <v>35</v>
      </c>
      <c r="B8" s="10" t="s">
        <v>43</v>
      </c>
      <c r="C8" s="10" t="str">
        <f>VLOOKUP('Risk Model'!A8,'Risk Model'!$A$35:$B$37,2,FALSE)</f>
        <v>SPY</v>
      </c>
      <c r="D8" s="11">
        <f>SUMIFS('Equity Definitions'!$E$2:$E$15,'Equity Definitions'!$C$2:$C$15,A8,'Equity Definitions'!$D$2:$D$15,B8)</f>
        <v>0.130701028</v>
      </c>
      <c r="E8" s="12">
        <f>IF(D8&gt;0,SUMIFS('Equity Definitions'!$H$2:$H$15,'Equity Definitions'!$C$2:$C$15,A8,'Equity Definitions'!$D$2:$D$15,B8)/D8,0)</f>
        <v>2.9758140045597958E-2</v>
      </c>
      <c r="F8" s="13">
        <f>D8/SUMIFS($D$2:$D$21,$A$2:$A$21,A8)</f>
        <v>0.21481499593513889</v>
      </c>
      <c r="G8" s="17">
        <v>0.13373653868999999</v>
      </c>
      <c r="H8" s="10">
        <f>MATCH(B8,'Sector Benchmarks US'!$A$1:$L$1,0)</f>
        <v>8</v>
      </c>
      <c r="I8" s="12" cm="1">
        <f t="array" ref="I8">(INDEX('Sector Benchmarks US'!sector_benchmarks_US, MAX(IF('Sector Benchmarks US'!A:A&lt;&gt;"",ROW('Sector Benchmarks US'!A:A))),'Risk Model'!H8) / INDEX('Sector Benchmarks US'!sector_benchmarks_US,2,'Risk Model'!H8)) - 1</f>
        <v>3.2784784768109976E-2</v>
      </c>
      <c r="J8" s="12">
        <f t="shared" si="0"/>
        <v>4.3845236365836621E-3</v>
      </c>
      <c r="K8" s="15">
        <f>I8-VLOOKUP(A8,$A$35:$H$37,5,FALSE)</f>
        <v>3.1934180916346463E-2</v>
      </c>
      <c r="L8" s="12">
        <f t="shared" si="1"/>
        <v>-3.0266447225120174E-3</v>
      </c>
      <c r="M8" s="12">
        <f>F8-G8</f>
        <v>8.1078457245138902E-2</v>
      </c>
      <c r="N8" s="16">
        <f t="shared" si="2"/>
        <v>2.5891741220845275E-3</v>
      </c>
      <c r="O8" s="16">
        <f t="shared" si="3"/>
        <v>-6.501686737635286E-4</v>
      </c>
      <c r="P8" s="12">
        <f t="shared" si="4"/>
        <v>6.3924947329324191E-3</v>
      </c>
      <c r="Q8" s="3"/>
    </row>
    <row r="9" spans="1:17" x14ac:dyDescent="0.2">
      <c r="A9" s="6" t="s">
        <v>35</v>
      </c>
      <c r="B9" s="10" t="s">
        <v>44</v>
      </c>
      <c r="C9" s="10" t="str">
        <f>VLOOKUP('Risk Model'!A9,'Risk Model'!$A$35:$B$37,2,FALSE)</f>
        <v>SPY</v>
      </c>
      <c r="D9" s="11">
        <f>SUMIFS('Equity Definitions'!$E$2:$E$15,'Equity Definitions'!$C$2:$C$15,A9,'Equity Definitions'!$D$2:$D$15,B9)</f>
        <v>4.2881481999999999E-2</v>
      </c>
      <c r="E9" s="12">
        <f>IF(D9&gt;0,SUMIFS('Equity Definitions'!$H$2:$H$15,'Equity Definitions'!$C$2:$C$15,A9,'Equity Definitions'!$D$2:$D$15,B9)/D9,0)</f>
        <v>8.9081710596012886E-3</v>
      </c>
      <c r="F9" s="13">
        <f>D9/SUMIFS($D$2:$D$21,$A$2:$A$21,A9)</f>
        <v>7.0478293265778535E-2</v>
      </c>
      <c r="G9" s="17">
        <v>9.4064095762000005E-2</v>
      </c>
      <c r="H9" s="10">
        <f>MATCH(B9,'Sector Benchmarks US'!$A$1:$L$1,0)</f>
        <v>9</v>
      </c>
      <c r="I9" s="12" cm="1">
        <f t="array" ref="I9">(INDEX('Sector Benchmarks US'!sector_benchmarks_US, MAX(IF('Sector Benchmarks US'!A:A&lt;&gt;"",ROW('Sector Benchmarks US'!A:A))),'Risk Model'!H9) / INDEX('Sector Benchmarks US'!sector_benchmarks_US,2,'Risk Model'!H9)) - 1</f>
        <v>-1.5097654864719479E-2</v>
      </c>
      <c r="J9" s="12">
        <f t="shared" si="0"/>
        <v>-1.4201472529765983E-3</v>
      </c>
      <c r="K9" s="15">
        <f>I9-VLOOKUP(A9,$A$35:$H$37,5,FALSE)</f>
        <v>-1.5948258716482991E-2</v>
      </c>
      <c r="L9" s="12">
        <f t="shared" si="1"/>
        <v>2.4005825924320767E-2</v>
      </c>
      <c r="M9" s="12">
        <f>F9-G9</f>
        <v>-2.358580249622147E-2</v>
      </c>
      <c r="N9" s="16">
        <f t="shared" si="2"/>
        <v>3.7615248024561035E-4</v>
      </c>
      <c r="O9" s="16">
        <f t="shared" si="3"/>
        <v>1.6918896395815082E-3</v>
      </c>
      <c r="P9" s="12">
        <f t="shared" si="4"/>
        <v>6.2783269240030077E-4</v>
      </c>
      <c r="Q9" s="3"/>
    </row>
    <row r="10" spans="1:17" x14ac:dyDescent="0.2">
      <c r="A10" s="6" t="s">
        <v>35</v>
      </c>
      <c r="B10" s="10" t="s">
        <v>45</v>
      </c>
      <c r="C10" s="10" t="str">
        <f>VLOOKUP('Risk Model'!A10,'Risk Model'!$A$35:$B$37,2,FALSE)</f>
        <v>SPY</v>
      </c>
      <c r="D10" s="11">
        <f>SUMIFS('Equity Definitions'!$E$2:$E$15,'Equity Definitions'!$C$2:$C$15,A10,'Equity Definitions'!$D$2:$D$15,B10)</f>
        <v>0</v>
      </c>
      <c r="E10" s="12">
        <f>IF(D10&gt;0,SUMIFS('Equity Definitions'!$H$2:$H$15,'Equity Definitions'!$C$2:$C$15,A10,'Equity Definitions'!$D$2:$D$15,B10)/D10,0)</f>
        <v>0</v>
      </c>
      <c r="F10" s="13">
        <f>D10/SUMIFS($D$2:$D$21,$A$2:$A$21,A10)</f>
        <v>0</v>
      </c>
      <c r="G10" s="17">
        <v>9.3871057189000004E-2</v>
      </c>
      <c r="H10" s="10">
        <f>MATCH(B10,'Sector Benchmarks US'!$A$1:$L$1,0)</f>
        <v>10</v>
      </c>
      <c r="I10" s="12" cm="1">
        <f t="array" ref="I10">(INDEX('Sector Benchmarks US'!sector_benchmarks_US, MAX(IF('Sector Benchmarks US'!A:A&lt;&gt;"",ROW('Sector Benchmarks US'!A:A))),'Risk Model'!H10) / INDEX('Sector Benchmarks US'!sector_benchmarks_US,2,'Risk Model'!H10)) - 1</f>
        <v>-5.3535316772105324E-3</v>
      </c>
      <c r="J10" s="12">
        <f t="shared" si="0"/>
        <v>-5.0254167823455295E-4</v>
      </c>
      <c r="K10" s="15">
        <f>I10-VLOOKUP(A10,$A$35:$H$37,5,FALSE)</f>
        <v>-6.2041355289740429E-3</v>
      </c>
      <c r="L10" s="12">
        <f t="shared" si="1"/>
        <v>5.3535316772105324E-3</v>
      </c>
      <c r="M10" s="12">
        <f>F10-G10</f>
        <v>-9.3871057189000004E-2</v>
      </c>
      <c r="N10" s="16">
        <f t="shared" si="2"/>
        <v>5.8238876104862915E-4</v>
      </c>
      <c r="O10" s="16">
        <f t="shared" si="3"/>
        <v>0</v>
      </c>
      <c r="P10" s="12">
        <f t="shared" si="4"/>
        <v>0</v>
      </c>
      <c r="Q10" s="3"/>
    </row>
    <row r="11" spans="1:17" ht="17" thickBot="1" x14ac:dyDescent="0.25">
      <c r="A11" s="7" t="s">
        <v>35</v>
      </c>
      <c r="B11" s="18" t="s">
        <v>46</v>
      </c>
      <c r="C11" s="18" t="str">
        <f>VLOOKUP('Risk Model'!A11,'Risk Model'!$A$35:$B$37,2,FALSE)</f>
        <v>SPY</v>
      </c>
      <c r="D11" s="19">
        <f>SUMIFS('Equity Definitions'!$E$2:$E$15,'Equity Definitions'!$C$2:$C$15,A11,'Equity Definitions'!$D$2:$D$15,B11)</f>
        <v>0</v>
      </c>
      <c r="E11" s="20">
        <f>IF(D11&gt;0,SUMIFS('Equity Definitions'!$H$2:$H$15,'Equity Definitions'!$C$2:$C$15,A11,'Equity Definitions'!$D$2:$D$15,B11)/D11,0)</f>
        <v>0</v>
      </c>
      <c r="F11" s="21">
        <f>D11/SUMIFS($D$2:$D$21,$A$2:$A$21,A11)</f>
        <v>0</v>
      </c>
      <c r="G11" s="22">
        <v>9.6556922879000001E-2</v>
      </c>
      <c r="H11" s="18">
        <f>MATCH(B11,'Sector Benchmarks US'!$A$1:$L$1,0)</f>
        <v>11</v>
      </c>
      <c r="I11" s="20" cm="1">
        <f t="array" ref="I11">(INDEX('Sector Benchmarks US'!sector_benchmarks_US, MAX(IF('Sector Benchmarks US'!A:A&lt;&gt;"",ROW('Sector Benchmarks US'!A:A))),'Risk Model'!H11) / INDEX('Sector Benchmarks US'!sector_benchmarks_US,2,'Risk Model'!H11)) - 1</f>
        <v>3.7482321290953635E-3</v>
      </c>
      <c r="J11" s="20">
        <f t="shared" si="0"/>
        <v>3.6191776062165102E-4</v>
      </c>
      <c r="K11" s="23">
        <f>I11-VLOOKUP(A11,$A$35:$H$37,5,FALSE)</f>
        <v>2.8976282773318525E-3</v>
      </c>
      <c r="L11" s="20">
        <f t="shared" si="1"/>
        <v>-3.7482321290953635E-3</v>
      </c>
      <c r="M11" s="20">
        <f>F11-G11</f>
        <v>-9.6556922879000001E-2</v>
      </c>
      <c r="N11" s="24">
        <f t="shared" si="2"/>
        <v>-2.7978607010634133E-4</v>
      </c>
      <c r="O11" s="24">
        <f t="shared" si="3"/>
        <v>0</v>
      </c>
      <c r="P11" s="20">
        <f t="shared" si="4"/>
        <v>0</v>
      </c>
      <c r="Q11" s="3"/>
    </row>
    <row r="12" spans="1:17" x14ac:dyDescent="0.2">
      <c r="A12" s="8" t="s">
        <v>36</v>
      </c>
      <c r="B12" s="25" t="s">
        <v>37</v>
      </c>
      <c r="C12" s="25">
        <f>VLOOKUP('Risk Model'!A12,'Risk Model'!$A$35:$B$37,2,FALSE)</f>
        <v>46323</v>
      </c>
      <c r="D12" s="26">
        <f>SUMIFS('Equity Definitions'!$E$2:$E$15,'Equity Definitions'!$C$2:$C$15,A12,'Equity Definitions'!$D$2:$D$15,B12)</f>
        <v>0</v>
      </c>
      <c r="E12" s="27">
        <f>IF(D12&gt;0,SUMIFS('Equity Definitions'!$H$2:$H$15,'Equity Definitions'!$C$2:$C$15,A12,'Equity Definitions'!$D$2:$D$15,B12)/D12,0)</f>
        <v>0</v>
      </c>
      <c r="F12" s="28">
        <f>D12/SUMIFS($D$2:$D$21,$A$2:$A$21,A12)</f>
        <v>0</v>
      </c>
      <c r="G12" s="27">
        <v>9.6810616065999999E-2</v>
      </c>
      <c r="H12" s="25">
        <f>MATCH(B12,'Sector Benchmarks EU'!$A$1:$L$1,0)</f>
        <v>2</v>
      </c>
      <c r="I12" s="27" cm="1">
        <f t="array" ref="I12">(INDEX('Sector Benchmarks EU'!sector_benchmarks_EU, MAX(IF('Sector Benchmarks EU'!A:A&lt;&gt;"",ROW('Sector Benchmarks EU'!A:A))),'Risk Model'!H12) / INDEX('Sector Benchmarks EU'!sector_benchmarks_EU,2,'Risk Model'!H12)) - 1</f>
        <v>9.5615807333306879E-3</v>
      </c>
      <c r="J12" s="27">
        <f t="shared" si="0"/>
        <v>9.2566252135853995E-4</v>
      </c>
      <c r="K12" s="29">
        <f>I12-VLOOKUP(A12,$A$35:$H$37,5,FALSE)</f>
        <v>-1.7974166010355216E-2</v>
      </c>
      <c r="L12" s="27">
        <f t="shared" si="1"/>
        <v>-9.5615807333306879E-3</v>
      </c>
      <c r="M12" s="27">
        <f>F12-G12</f>
        <v>-9.6810616065999999E-2</v>
      </c>
      <c r="N12" s="30">
        <f t="shared" si="2"/>
        <v>1.7400900847350459E-3</v>
      </c>
      <c r="O12" s="30">
        <f t="shared" si="3"/>
        <v>0</v>
      </c>
      <c r="P12" s="27">
        <f t="shared" si="4"/>
        <v>0</v>
      </c>
      <c r="Q12" s="3"/>
    </row>
    <row r="13" spans="1:17" x14ac:dyDescent="0.2">
      <c r="A13" s="8" t="s">
        <v>36</v>
      </c>
      <c r="B13" s="25" t="s">
        <v>38</v>
      </c>
      <c r="C13" s="25">
        <f>VLOOKUP('Risk Model'!A13,'Risk Model'!$A$35:$B$37,2,FALSE)</f>
        <v>46323</v>
      </c>
      <c r="D13" s="26">
        <f>SUMIFS('Equity Definitions'!$E$2:$E$15,'Equity Definitions'!$C$2:$C$15,A13,'Equity Definitions'!$D$2:$D$15,B13)</f>
        <v>0</v>
      </c>
      <c r="E13" s="27">
        <f>IF(D13&gt;0,SUMIFS('Equity Definitions'!$H$2:$H$15,'Equity Definitions'!$C$2:$C$15,A13,'Equity Definitions'!$D$2:$D$15,B13)/D13,0)</f>
        <v>0</v>
      </c>
      <c r="F13" s="28">
        <f>D13/SUMIFS($D$2:$D$21,$A$2:$A$21,A13)</f>
        <v>0</v>
      </c>
      <c r="G13" s="27">
        <v>0.1032331311</v>
      </c>
      <c r="H13" s="25">
        <f>MATCH(B13,'Sector Benchmarks EU'!$A$1:$L$1,0)</f>
        <v>3</v>
      </c>
      <c r="I13" s="27" cm="1">
        <f t="array" ref="I13">(INDEX('Sector Benchmarks EU'!sector_benchmarks_EU, MAX(IF('Sector Benchmarks EU'!A:A&lt;&gt;"",ROW('Sector Benchmarks EU'!A:A))),'Risk Model'!H13) / INDEX('Sector Benchmarks EU'!sector_benchmarks_EU,2,'Risk Model'!H13)) - 1</f>
        <v>5.5694962034833484E-2</v>
      </c>
      <c r="J13" s="27">
        <f t="shared" si="0"/>
        <v>5.7495653173514879E-3</v>
      </c>
      <c r="K13" s="29">
        <f>I13-VLOOKUP(A13,$A$35:$H$37,5,FALSE)</f>
        <v>2.815921529114758E-2</v>
      </c>
      <c r="L13" s="27">
        <f t="shared" si="1"/>
        <v>-5.5694962034833484E-2</v>
      </c>
      <c r="M13" s="27">
        <f>F13-G13</f>
        <v>-0.1032331311</v>
      </c>
      <c r="N13" s="30">
        <f t="shared" si="2"/>
        <v>-2.9069639638241627E-3</v>
      </c>
      <c r="O13" s="30">
        <f t="shared" si="3"/>
        <v>0</v>
      </c>
      <c r="P13" s="27">
        <f t="shared" si="4"/>
        <v>0</v>
      </c>
      <c r="Q13" s="3"/>
    </row>
    <row r="14" spans="1:17" x14ac:dyDescent="0.2">
      <c r="A14" s="8" t="s">
        <v>36</v>
      </c>
      <c r="B14" s="25" t="s">
        <v>39</v>
      </c>
      <c r="C14" s="25">
        <f>VLOOKUP('Risk Model'!A14,'Risk Model'!$A$35:$B$37,2,FALSE)</f>
        <v>46323</v>
      </c>
      <c r="D14" s="26">
        <f>SUMIFS('Equity Definitions'!$E$2:$E$15,'Equity Definitions'!$C$2:$C$15,A14,'Equity Definitions'!$D$2:$D$15,B14)</f>
        <v>9.2963657000000005E-2</v>
      </c>
      <c r="E14" s="27">
        <f>IF(D14&gt;0,SUMIFS('Equity Definitions'!$H$2:$H$15,'Equity Definitions'!$C$2:$C$15,A14,'Equity Definitions'!$D$2:$D$15,B14)/D14,0)</f>
        <v>2.7471255860904709E-2</v>
      </c>
      <c r="F14" s="28">
        <f>D14/SUMIFS($D$2:$D$21,$A$2:$A$21,A14)</f>
        <v>0.2374156424867836</v>
      </c>
      <c r="G14" s="27">
        <v>0.10251849138999999</v>
      </c>
      <c r="H14" s="25">
        <f>MATCH(B14,'Sector Benchmarks EU'!$A$1:$L$1,0)</f>
        <v>4</v>
      </c>
      <c r="I14" s="27" cm="1">
        <f t="array" ref="I14">(INDEX('Sector Benchmarks EU'!sector_benchmarks_EU, MAX(IF('Sector Benchmarks EU'!A:A&lt;&gt;"",ROW('Sector Benchmarks EU'!A:A))),'Risk Model'!H14) / INDEX('Sector Benchmarks EU'!sector_benchmarks_EU,2,'Risk Model'!H14)) - 1</f>
        <v>2.9149545152528322E-2</v>
      </c>
      <c r="J14" s="27">
        <f t="shared" si="0"/>
        <v>2.9883673937418907E-3</v>
      </c>
      <c r="K14" s="29">
        <f>I14-VLOOKUP(A14,$A$35:$H$37,5,FALSE)</f>
        <v>1.6137984088424179E-3</v>
      </c>
      <c r="L14" s="27">
        <f>E14-I14</f>
        <v>-1.6782892916236136E-3</v>
      </c>
      <c r="M14" s="27">
        <f>F14-G14</f>
        <v>0.1348971510967836</v>
      </c>
      <c r="N14" s="30">
        <f t="shared" si="2"/>
        <v>2.1769680779736461E-4</v>
      </c>
      <c r="O14" s="30">
        <f t="shared" si="3"/>
        <v>-3.9845213044950915E-4</v>
      </c>
      <c r="P14" s="27">
        <f t="shared" si="4"/>
        <v>6.5221058601355108E-3</v>
      </c>
      <c r="Q14" s="3"/>
    </row>
    <row r="15" spans="1:17" x14ac:dyDescent="0.2">
      <c r="A15" s="8" t="s">
        <v>36</v>
      </c>
      <c r="B15" s="25" t="s">
        <v>40</v>
      </c>
      <c r="C15" s="25">
        <f>VLOOKUP('Risk Model'!A15,'Risk Model'!$A$35:$B$37,2,FALSE)</f>
        <v>46323</v>
      </c>
      <c r="D15" s="26">
        <f>SUMIFS('Equity Definitions'!$E$2:$E$15,'Equity Definitions'!$C$2:$C$15,A15,'Equity Definitions'!$D$2:$D$15,B15)</f>
        <v>7.0327971000000003E-2</v>
      </c>
      <c r="E15" s="27">
        <f>IF(D15&gt;0,SUMIFS('Equity Definitions'!$H$2:$H$15,'Equity Definitions'!$C$2:$C$15,A15,'Equity Definitions'!$D$2:$D$15,B15)/D15,0)</f>
        <v>0.13772771763731551</v>
      </c>
      <c r="F15" s="28">
        <f>D15/SUMIFS($D$2:$D$21,$A$2:$A$21,A15)</f>
        <v>0.17960739668144601</v>
      </c>
      <c r="G15" s="27">
        <v>0.10260645245</v>
      </c>
      <c r="H15" s="25">
        <f>MATCH(B15,'Sector Benchmarks EU'!$A$1:$L$1,0)</f>
        <v>5</v>
      </c>
      <c r="I15" s="27" cm="1">
        <f t="array" ref="I15">(INDEX('Sector Benchmarks EU'!sector_benchmarks_EU, MAX(IF('Sector Benchmarks EU'!A:A&lt;&gt;"",ROW('Sector Benchmarks EU'!A:A))),'Risk Model'!H15) / INDEX('Sector Benchmarks EU'!sector_benchmarks_EU,2,'Risk Model'!H15)) - 1</f>
        <v>3.5131635831426866E-3</v>
      </c>
      <c r="J15" s="27">
        <f t="shared" si="0"/>
        <v>3.6047325214280169E-4</v>
      </c>
      <c r="K15" s="29">
        <f>I15-VLOOKUP(A15,$A$35:$H$37,5,FALSE)</f>
        <v>-2.4022583160543218E-2</v>
      </c>
      <c r="L15" s="27">
        <f t="shared" si="1"/>
        <v>0.13421455405417282</v>
      </c>
      <c r="M15" s="27">
        <f>F15-G15</f>
        <v>7.7000944231446017E-2</v>
      </c>
      <c r="N15" s="30">
        <f t="shared" si="2"/>
        <v>-1.8497615862402626E-3</v>
      </c>
      <c r="O15" s="30">
        <f t="shared" si="3"/>
        <v>2.4105926650431195E-2</v>
      </c>
      <c r="P15" s="27">
        <f t="shared" si="4"/>
        <v>2.4736916815715514E-2</v>
      </c>
      <c r="Q15" s="3"/>
    </row>
    <row r="16" spans="1:17" x14ac:dyDescent="0.2">
      <c r="A16" s="8" t="s">
        <v>36</v>
      </c>
      <c r="B16" s="25" t="s">
        <v>41</v>
      </c>
      <c r="C16" s="25">
        <f>VLOOKUP('Risk Model'!A16,'Risk Model'!$A$35:$B$37,2,FALSE)</f>
        <v>46323</v>
      </c>
      <c r="D16" s="26">
        <f>SUMIFS('Equity Definitions'!$E$2:$E$15,'Equity Definitions'!$C$2:$C$15,A16,'Equity Definitions'!$D$2:$D$15,B16)</f>
        <v>0</v>
      </c>
      <c r="E16" s="27">
        <f>IF(D16&gt;0,SUMIFS('Equity Definitions'!$H$2:$H$15,'Equity Definitions'!$C$2:$C$15,A16,'Equity Definitions'!$D$2:$D$15,B16)/D16,0)</f>
        <v>0</v>
      </c>
      <c r="F16" s="28">
        <f>D16/SUMIFS($D$2:$D$21,$A$2:$A$21,A16)</f>
        <v>0</v>
      </c>
      <c r="G16" s="27">
        <v>9.3446041236000005E-2</v>
      </c>
      <c r="H16" s="25">
        <f>MATCH(B16,'Sector Benchmarks EU'!$A$1:$L$1,0)</f>
        <v>6</v>
      </c>
      <c r="I16" s="27" cm="1">
        <f t="array" ref="I16">(INDEX('Sector Benchmarks EU'!sector_benchmarks_EU, MAX(IF('Sector Benchmarks EU'!A:A&lt;&gt;"",ROW('Sector Benchmarks EU'!A:A))),'Risk Model'!H16) / INDEX('Sector Benchmarks EU'!sector_benchmarks_EU,2,'Risk Model'!H16)) - 1</f>
        <v>6.1856972691165524E-4</v>
      </c>
      <c r="J16" s="27">
        <f t="shared" si="0"/>
        <v>5.7802892208327794E-5</v>
      </c>
      <c r="K16" s="29">
        <f>I16-VLOOKUP(A16,$A$35:$H$37,5,FALSE)</f>
        <v>-2.6917177016774249E-2</v>
      </c>
      <c r="L16" s="27">
        <f t="shared" si="1"/>
        <v>-6.1856972691165524E-4</v>
      </c>
      <c r="M16" s="27">
        <f>F16-G16</f>
        <v>-9.3446041236000005E-2</v>
      </c>
      <c r="N16" s="30">
        <f t="shared" si="2"/>
        <v>2.5153036334661979E-3</v>
      </c>
      <c r="O16" s="30">
        <f t="shared" si="3"/>
        <v>0</v>
      </c>
      <c r="P16" s="27">
        <f t="shared" si="4"/>
        <v>0</v>
      </c>
      <c r="Q16" s="3"/>
    </row>
    <row r="17" spans="1:18" x14ac:dyDescent="0.2">
      <c r="A17" s="8" t="s">
        <v>36</v>
      </c>
      <c r="B17" s="25" t="s">
        <v>42</v>
      </c>
      <c r="C17" s="25">
        <f>VLOOKUP('Risk Model'!A17,'Risk Model'!$A$35:$B$37,2,FALSE)</f>
        <v>46323</v>
      </c>
      <c r="D17" s="26">
        <f>SUMIFS('Equity Definitions'!$E$2:$E$15,'Equity Definitions'!$C$2:$C$15,A17,'Equity Definitions'!$D$2:$D$15,B17)</f>
        <v>8.5778035000000002E-2</v>
      </c>
      <c r="E17" s="27">
        <f>IF(D17&gt;0,SUMIFS('Equity Definitions'!$H$2:$H$15,'Equity Definitions'!$C$2:$C$15,A17,'Equity Definitions'!$D$2:$D$15,B17)/D17,0)</f>
        <v>6.6442010701233123E-3</v>
      </c>
      <c r="F17" s="28">
        <f>D17/SUMIFS($D$2:$D$21,$A$2:$A$21,A17)</f>
        <v>0.21906461027860394</v>
      </c>
      <c r="G17" s="27">
        <v>0.10002036248</v>
      </c>
      <c r="H17" s="25">
        <f>MATCH(B17,'Sector Benchmarks EU'!$A$1:$L$1,0)</f>
        <v>7</v>
      </c>
      <c r="I17" s="27" cm="1">
        <f t="array" ref="I17">(INDEX('Sector Benchmarks EU'!sector_benchmarks_EU, MAX(IF('Sector Benchmarks EU'!A:A&lt;&gt;"",ROW('Sector Benchmarks EU'!A:A))),'Risk Model'!H17) / INDEX('Sector Benchmarks EU'!sector_benchmarks_EU,2,'Risk Model'!H17)) - 1</f>
        <v>5.3273188463880405E-3</v>
      </c>
      <c r="J17" s="27">
        <f t="shared" si="0"/>
        <v>5.3284036206226724E-4</v>
      </c>
      <c r="K17" s="29">
        <f>I17-VLOOKUP(A17,$A$35:$H$37,5,FALSE)</f>
        <v>-2.2208427897297864E-2</v>
      </c>
      <c r="L17" s="27">
        <f t="shared" si="1"/>
        <v>1.3168822237352718E-3</v>
      </c>
      <c r="M17" s="27">
        <f>F17-G17</f>
        <v>0.11904424779860394</v>
      </c>
      <c r="N17" s="30">
        <f t="shared" si="2"/>
        <v>-2.6437855938233556E-3</v>
      </c>
      <c r="O17" s="30">
        <f t="shared" si="3"/>
        <v>2.8848229112538861E-4</v>
      </c>
      <c r="P17" s="27">
        <f t="shared" si="4"/>
        <v>1.4555093180392466E-3</v>
      </c>
      <c r="Q17" s="3"/>
    </row>
    <row r="18" spans="1:18" x14ac:dyDescent="0.2">
      <c r="A18" s="8" t="s">
        <v>36</v>
      </c>
      <c r="B18" s="25" t="s">
        <v>43</v>
      </c>
      <c r="C18" s="25">
        <f>VLOOKUP('Risk Model'!A18,'Risk Model'!$A$35:$B$37,2,FALSE)</f>
        <v>46323</v>
      </c>
      <c r="D18" s="26">
        <f>SUMIFS('Equity Definitions'!$E$2:$E$15,'Equity Definitions'!$C$2:$C$15,A18,'Equity Definitions'!$D$2:$D$15,B18)</f>
        <v>0</v>
      </c>
      <c r="E18" s="27">
        <f>IF(D18&gt;0,SUMIFS('Equity Definitions'!$H$2:$H$15,'Equity Definitions'!$C$2:$C$15,A18,'Equity Definitions'!$D$2:$D$15,B18)/D18,0)</f>
        <v>0</v>
      </c>
      <c r="F18" s="28">
        <f>D18/SUMIFS($D$2:$D$21,$A$2:$A$21,A18)</f>
        <v>0</v>
      </c>
      <c r="G18" s="27">
        <v>0.10154063312</v>
      </c>
      <c r="H18" s="25">
        <f>MATCH(B18,'Sector Benchmarks EU'!$A$1:$L$1,0)</f>
        <v>8</v>
      </c>
      <c r="I18" s="27" cm="1">
        <f t="array" ref="I18">(INDEX('Sector Benchmarks EU'!sector_benchmarks_EU, MAX(IF('Sector Benchmarks EU'!A:A&lt;&gt;"",ROW('Sector Benchmarks EU'!A:A))),'Risk Model'!H18) / INDEX('Sector Benchmarks EU'!sector_benchmarks_EU,2,'Risk Model'!H18)) - 1</f>
        <v>4.9806947718016081E-2</v>
      </c>
      <c r="J18" s="27">
        <f t="shared" si="0"/>
        <v>5.0574290050620918E-3</v>
      </c>
      <c r="K18" s="29">
        <f>I18-VLOOKUP(A18,$A$35:$H$37,5,FALSE)</f>
        <v>2.2271200974330177E-2</v>
      </c>
      <c r="L18" s="27">
        <f t="shared" si="1"/>
        <v>-4.9806947718016081E-2</v>
      </c>
      <c r="M18" s="27">
        <f>F18-G18</f>
        <v>-0.10154063312</v>
      </c>
      <c r="N18" s="30">
        <f t="shared" si="2"/>
        <v>-2.2614318472762469E-3</v>
      </c>
      <c r="O18" s="30">
        <f t="shared" si="3"/>
        <v>0</v>
      </c>
      <c r="P18" s="27">
        <f t="shared" si="4"/>
        <v>0</v>
      </c>
      <c r="Q18" s="3"/>
    </row>
    <row r="19" spans="1:18" x14ac:dyDescent="0.2">
      <c r="A19" s="8" t="s">
        <v>36</v>
      </c>
      <c r="B19" s="25" t="s">
        <v>44</v>
      </c>
      <c r="C19" s="25">
        <f>VLOOKUP('Risk Model'!A19,'Risk Model'!$A$35:$B$37,2,FALSE)</f>
        <v>46323</v>
      </c>
      <c r="D19" s="26">
        <f>SUMIFS('Equity Definitions'!$E$2:$E$15,'Equity Definitions'!$C$2:$C$15,A19,'Equity Definitions'!$D$2:$D$15,B19)</f>
        <v>8.5525394000000005E-2</v>
      </c>
      <c r="E19" s="27">
        <f>IF(D19&gt;0,SUMIFS('Equity Definitions'!$H$2:$H$15,'Equity Definitions'!$C$2:$C$15,A19,'Equity Definitions'!$D$2:$D$15,B19)/D19,0)</f>
        <v>2.8192874940830448E-2</v>
      </c>
      <c r="F19" s="28">
        <f>D19/SUMIFS($D$2:$D$21,$A$2:$A$21,A19)</f>
        <v>0.21841940195452195</v>
      </c>
      <c r="G19" s="27">
        <v>0.10312597750999999</v>
      </c>
      <c r="H19" s="25">
        <f>MATCH(B19,'Sector Benchmarks EU'!$A$1:$L$1,0)</f>
        <v>9</v>
      </c>
      <c r="I19" s="27" cm="1">
        <f t="array" ref="I19">(INDEX('Sector Benchmarks EU'!sector_benchmarks_EU, MAX(IF('Sector Benchmarks EU'!A:A&lt;&gt;"",ROW('Sector Benchmarks EU'!A:A))),'Risk Model'!H19) / INDEX('Sector Benchmarks EU'!sector_benchmarks_EU,2,'Risk Model'!H19)) - 1</f>
        <v>3.7235787244341401E-2</v>
      </c>
      <c r="J19" s="27">
        <f t="shared" si="0"/>
        <v>3.8399769579270959E-3</v>
      </c>
      <c r="K19" s="29">
        <f>I19-VLOOKUP(A19,$A$35:$H$37,5,FALSE)</f>
        <v>9.7000405006554963E-3</v>
      </c>
      <c r="L19" s="27">
        <f t="shared" si="1"/>
        <v>-9.0429123035109527E-3</v>
      </c>
      <c r="M19" s="27">
        <f>F19-G19</f>
        <v>0.11529342444452195</v>
      </c>
      <c r="N19" s="30">
        <f t="shared" si="2"/>
        <v>1.1183508865711274E-3</v>
      </c>
      <c r="O19" s="30">
        <f t="shared" si="3"/>
        <v>-1.9751474972600509E-3</v>
      </c>
      <c r="P19" s="27">
        <f t="shared" si="4"/>
        <v>6.1578708839548149E-3</v>
      </c>
      <c r="Q19" s="3"/>
    </row>
    <row r="20" spans="1:18" x14ac:dyDescent="0.2">
      <c r="A20" s="8" t="s">
        <v>36</v>
      </c>
      <c r="B20" s="25" t="s">
        <v>45</v>
      </c>
      <c r="C20" s="25">
        <f>VLOOKUP('Risk Model'!A20,'Risk Model'!$A$35:$B$37,2,FALSE)</f>
        <v>46323</v>
      </c>
      <c r="D20" s="26">
        <f>SUMIFS('Equity Definitions'!$E$2:$E$15,'Equity Definitions'!$C$2:$C$15,A20,'Equity Definitions'!$D$2:$D$15,B20)</f>
        <v>5.6969947E-2</v>
      </c>
      <c r="E20" s="27">
        <f>IF(D20&gt;0,SUMIFS('Equity Definitions'!$H$2:$H$15,'Equity Definitions'!$C$2:$C$15,A20,'Equity Definitions'!$D$2:$D$15,B20)/D20,0)</f>
        <v>4.9515697402839454E-2</v>
      </c>
      <c r="F20" s="28">
        <f>D20/SUMIFS($D$2:$D$21,$A$2:$A$21,A20)</f>
        <v>0.14549294859864442</v>
      </c>
      <c r="G20" s="27">
        <v>9.8314874314000003E-2</v>
      </c>
      <c r="H20" s="25">
        <f>MATCH(B20,'Sector Benchmarks EU'!$A$1:$L$1,0)</f>
        <v>10</v>
      </c>
      <c r="I20" s="27" cm="1">
        <f t="array" ref="I20">(INDEX('Sector Benchmarks EU'!sector_benchmarks_EU, MAX(IF('Sector Benchmarks EU'!A:A&lt;&gt;"",ROW('Sector Benchmarks EU'!A:A))),'Risk Model'!H20) / INDEX('Sector Benchmarks EU'!sector_benchmarks_EU,2,'Risk Model'!H20)) - 1</f>
        <v>5.3483478313933075E-2</v>
      </c>
      <c r="J20" s="27">
        <f t="shared" si="0"/>
        <v>5.2582214483098749E-3</v>
      </c>
      <c r="K20" s="29">
        <f>I20-VLOOKUP(A20,$A$35:$H$37,5,FALSE)</f>
        <v>2.5947731570247171E-2</v>
      </c>
      <c r="L20" s="27">
        <f t="shared" si="1"/>
        <v>-3.9677809110936213E-3</v>
      </c>
      <c r="M20" s="27">
        <f>F20-G20</f>
        <v>4.717807428464442E-2</v>
      </c>
      <c r="N20" s="30">
        <f t="shared" si="2"/>
        <v>1.2241640075391343E-3</v>
      </c>
      <c r="O20" s="30">
        <f t="shared" si="3"/>
        <v>-5.7728414414842677E-4</v>
      </c>
      <c r="P20" s="27">
        <f t="shared" si="4"/>
        <v>7.2041848170573521E-3</v>
      </c>
      <c r="Q20" s="3"/>
    </row>
    <row r="21" spans="1:18" ht="17" thickBot="1" x14ac:dyDescent="0.25">
      <c r="A21" s="50" t="s">
        <v>36</v>
      </c>
      <c r="B21" s="51" t="s">
        <v>46</v>
      </c>
      <c r="C21" s="51">
        <f>VLOOKUP('Risk Model'!A21,'Risk Model'!$A$35:$B$37,2,FALSE)</f>
        <v>46323</v>
      </c>
      <c r="D21" s="52">
        <f>SUMIFS('Equity Definitions'!$E$2:$E$15,'Equity Definitions'!$C$2:$C$15,A21,'Equity Definitions'!$D$2:$D$15,B21)</f>
        <v>0</v>
      </c>
      <c r="E21" s="53">
        <f>IF(D21&gt;0,SUMIFS('Equity Definitions'!$H$2:$H$15,'Equity Definitions'!$C$2:$C$15,A21,'Equity Definitions'!$D$2:$D$15,B21)/D21,0)</f>
        <v>0</v>
      </c>
      <c r="F21" s="54">
        <f>D21/SUMIFS($D$2:$D$21,$A$2:$A$21,A21)</f>
        <v>0</v>
      </c>
      <c r="G21" s="53">
        <v>9.8383420254000001E-2</v>
      </c>
      <c r="H21" s="51">
        <f>MATCH(B21,'Sector Benchmarks EU'!$A$1:$L$1,0)</f>
        <v>11</v>
      </c>
      <c r="I21" s="53" cm="1">
        <f t="array" ref="I21">(INDEX('Sector Benchmarks EU'!sector_benchmarks_EU, MAX(IF('Sector Benchmarks EU'!A:A&lt;&gt;"",ROW('Sector Benchmarks EU'!A:A))),'Risk Model'!H21) / INDEX('Sector Benchmarks EU'!sector_benchmarks_EU,2,'Risk Model'!H21)) - 1</f>
        <v>2.8108471797198886E-2</v>
      </c>
      <c r="J21" s="53">
        <f t="shared" si="0"/>
        <v>2.7654075935215246E-3</v>
      </c>
      <c r="K21" s="55">
        <f>I21-VLOOKUP(A21,$A$35:$H$37,5,FALSE)</f>
        <v>5.7272505351298186E-4</v>
      </c>
      <c r="L21" s="53">
        <f t="shared" si="1"/>
        <v>-2.8108471797198886E-2</v>
      </c>
      <c r="M21" s="53">
        <f>F21-G21</f>
        <v>-9.8383420254000001E-2</v>
      </c>
      <c r="N21" s="56">
        <f t="shared" si="2"/>
        <v>-5.6346649629762336E-5</v>
      </c>
      <c r="O21" s="56">
        <f t="shared" si="3"/>
        <v>0</v>
      </c>
      <c r="P21" s="53">
        <f t="shared" si="4"/>
        <v>0</v>
      </c>
      <c r="Q21" s="57"/>
      <c r="R21" s="58"/>
    </row>
    <row r="22" spans="1:18" x14ac:dyDescent="0.2">
      <c r="A22" s="42" t="s">
        <v>71</v>
      </c>
      <c r="B22" s="44" t="s">
        <v>37</v>
      </c>
      <c r="C22" s="44" t="s">
        <v>70</v>
      </c>
      <c r="D22" s="45">
        <f>SUMIFS('Equity Definitions'!$E$2:$E$15,'Equity Definitions'!$D$2:$D$15,B22)</f>
        <v>0.15496739300000001</v>
      </c>
      <c r="E22" s="46">
        <f>IF(D22&gt;0,SUMIFS('Equity Definitions'!$H$2:$H$15,'Equity Definitions'!$D$2:$D$15,B22)/D22,0)</f>
        <v>-2.1294228715682567E-2</v>
      </c>
      <c r="F22" s="47">
        <f>D22/SUMIFS($D$2:$D$31,$A$2:$A$31,A22)</f>
        <v>0.15496734480515578</v>
      </c>
      <c r="G22" s="46">
        <f>G2*$L$36+G12*$L$37</f>
        <v>0.10260006838222645</v>
      </c>
      <c r="H22" s="44"/>
      <c r="I22" s="46">
        <f>I2*$L$36+I12*$L$37</f>
        <v>8.929266014981365E-4</v>
      </c>
      <c r="J22" s="46">
        <f t="shared" ref="J22:J33" si="5">I22*G22</f>
        <v>9.1614330374017864E-5</v>
      </c>
      <c r="K22" s="48">
        <f>K2*$L$36+K12*$L$37</f>
        <v>-1.0406642083853477E-2</v>
      </c>
      <c r="L22" s="46">
        <f t="shared" ref="L22:L31" si="6">E22-I22</f>
        <v>-2.2187155317180705E-2</v>
      </c>
      <c r="M22" s="46">
        <f>F22-G22</f>
        <v>5.2367276422929335E-2</v>
      </c>
      <c r="N22" s="49">
        <f>M22*K22</f>
        <v>-5.4496750263964436E-4</v>
      </c>
      <c r="O22" s="49">
        <f t="shared" ref="O22:O33" si="7">F22*L22</f>
        <v>-3.438284548283088E-3</v>
      </c>
      <c r="P22" s="46">
        <f t="shared" ref="P22:P33" si="8">F22*E22</f>
        <v>-3.29991008374303E-3</v>
      </c>
    </row>
    <row r="23" spans="1:18" x14ac:dyDescent="0.2">
      <c r="A23" s="42" t="s">
        <v>71</v>
      </c>
      <c r="B23" s="44" t="s">
        <v>38</v>
      </c>
      <c r="C23" s="44" t="s">
        <v>70</v>
      </c>
      <c r="D23" s="45">
        <f>SUMIFS('Equity Definitions'!$E$2:$E$15,'Equity Definitions'!$D$2:$D$15,B23)</f>
        <v>7.6397999999999994E-2</v>
      </c>
      <c r="E23" s="46">
        <f>IF(D23&gt;0,SUMIFS('Equity Definitions'!$H$2:$H$15,'Equity Definitions'!$D$2:$D$15,B23)/D23,0)</f>
        <v>4.9830441672273906E-3</v>
      </c>
      <c r="F23" s="47">
        <f t="shared" ref="F23:F31" si="9">D23/SUMIFS($D$2:$D$31,$A$2:$A$31,A23)</f>
        <v>7.6397976240229384E-2</v>
      </c>
      <c r="G23" s="46">
        <f t="shared" ref="G23:G31" si="10">G3*$L$36+G13*$L$37</f>
        <v>0.10716673712430297</v>
      </c>
      <c r="H23" s="44"/>
      <c r="I23" s="46">
        <f t="shared" ref="I23:I31" si="11">I3*$L$36+I13*$L$37</f>
        <v>3.132985391523864E-2</v>
      </c>
      <c r="J23" s="46">
        <f t="shared" si="5"/>
        <v>3.3575182186771934E-3</v>
      </c>
      <c r="K23" s="48">
        <f t="shared" ref="K23:K31" si="12">K3*$L$36+K13*$L$37</f>
        <v>2.0030285229887021E-2</v>
      </c>
      <c r="L23" s="46">
        <f t="shared" si="6"/>
        <v>-2.6346809748011249E-2</v>
      </c>
      <c r="M23" s="46">
        <f>F23-G23</f>
        <v>-3.0768760884073584E-2</v>
      </c>
      <c r="N23" s="49">
        <f t="shared" ref="N22:N33" si="13">M23*K23</f>
        <v>-6.1630705667818468E-4</v>
      </c>
      <c r="O23" s="49">
        <f t="shared" si="7"/>
        <v>-2.0128429451344073E-3</v>
      </c>
      <c r="P23" s="46">
        <f t="shared" si="8"/>
        <v>3.806944898918518E-4</v>
      </c>
    </row>
    <row r="24" spans="1:18" x14ac:dyDescent="0.2">
      <c r="A24" s="42" t="s">
        <v>71</v>
      </c>
      <c r="B24" s="44" t="s">
        <v>39</v>
      </c>
      <c r="C24" s="44" t="s">
        <v>70</v>
      </c>
      <c r="D24" s="45">
        <f>SUMIFS('Equity Definitions'!$E$2:$E$15,'Equity Definitions'!$D$2:$D$15,B24)</f>
        <v>0.14474605700000001</v>
      </c>
      <c r="E24" s="46">
        <f>IF(D24&gt;0,SUMIFS('Equity Definitions'!$H$2:$H$15,'Equity Definitions'!$D$2:$D$15,B24)/D24,0)</f>
        <v>1.158061462488652E-2</v>
      </c>
      <c r="F24" s="47">
        <f t="shared" si="9"/>
        <v>0.14474601198399029</v>
      </c>
      <c r="G24" s="46">
        <f t="shared" si="10"/>
        <v>9.7097954684344678E-2</v>
      </c>
      <c r="H24" s="44"/>
      <c r="I24" s="46">
        <f t="shared" si="11"/>
        <v>4.8768150089072392E-3</v>
      </c>
      <c r="J24" s="46">
        <f t="shared" si="5"/>
        <v>4.7352876273880709E-4</v>
      </c>
      <c r="K24" s="48">
        <f t="shared" si="12"/>
        <v>-6.4227536764443743E-3</v>
      </c>
      <c r="L24" s="46">
        <f>E24-I24</f>
        <v>6.7037996159792813E-3</v>
      </c>
      <c r="M24" s="46">
        <f>F24-G24</f>
        <v>4.7648057299645608E-2</v>
      </c>
      <c r="N24" s="49">
        <f t="shared" si="13"/>
        <v>-3.0603173519673103E-4</v>
      </c>
      <c r="O24" s="49">
        <f t="shared" si="7"/>
        <v>9.7034825955280655E-4</v>
      </c>
      <c r="P24" s="46">
        <f t="shared" si="8"/>
        <v>1.6762477832757974E-3</v>
      </c>
    </row>
    <row r="25" spans="1:18" x14ac:dyDescent="0.2">
      <c r="A25" s="42" t="s">
        <v>71</v>
      </c>
      <c r="B25" s="44" t="s">
        <v>40</v>
      </c>
      <c r="C25" s="44" t="s">
        <v>70</v>
      </c>
      <c r="D25" s="45">
        <f>SUMIFS('Equity Definitions'!$E$2:$E$15,'Equity Definitions'!$D$2:$D$15,B25)</f>
        <v>7.0327971000000003E-2</v>
      </c>
      <c r="E25" s="46">
        <f>IF(D25&gt;0,SUMIFS('Equity Definitions'!$H$2:$H$15,'Equity Definitions'!$D$2:$D$15,B25)/D25,0)</f>
        <v>0.13772771763731551</v>
      </c>
      <c r="F25" s="47">
        <f t="shared" si="9"/>
        <v>7.0327949128007827E-2</v>
      </c>
      <c r="G25" s="46">
        <f t="shared" si="10"/>
        <v>7.4999878450980939E-2</v>
      </c>
      <c r="H25" s="44"/>
      <c r="I25" s="46">
        <f t="shared" si="11"/>
        <v>-5.3363723494637402E-2</v>
      </c>
      <c r="J25" s="46">
        <f t="shared" si="5"/>
        <v>-4.0022727757895614E-3</v>
      </c>
      <c r="K25" s="48">
        <f t="shared" si="12"/>
        <v>-6.4663292179989007E-2</v>
      </c>
      <c r="L25" s="46">
        <f t="shared" ref="L25:L33" si="14">E25-I25</f>
        <v>0.19109144113195292</v>
      </c>
      <c r="M25" s="46">
        <f>F25-G25</f>
        <v>-4.6719293229731118E-3</v>
      </c>
      <c r="N25" s="49">
        <f t="shared" si="13"/>
        <v>3.0210233085566855E-4</v>
      </c>
      <c r="O25" s="49">
        <f t="shared" si="7"/>
        <v>1.3439069150725687E-2</v>
      </c>
      <c r="P25" s="46">
        <f t="shared" si="8"/>
        <v>9.686107919513751E-3</v>
      </c>
    </row>
    <row r="26" spans="1:18" x14ac:dyDescent="0.2">
      <c r="A26" s="42" t="s">
        <v>71</v>
      </c>
      <c r="B26" s="44" t="s">
        <v>41</v>
      </c>
      <c r="C26" s="44" t="s">
        <v>70</v>
      </c>
      <c r="D26" s="45">
        <f>SUMIFS('Equity Definitions'!$E$2:$E$15,'Equity Definitions'!$D$2:$D$15,B26)</f>
        <v>5.1576999999999998E-2</v>
      </c>
      <c r="E26" s="46">
        <f>IF(D26&gt;0,SUMIFS('Equity Definitions'!$H$2:$H$15,'Equity Definitions'!$D$2:$D$15,B26)/D26,0)</f>
        <v>2.4758247446347914E-2</v>
      </c>
      <c r="F26" s="47">
        <f t="shared" si="9"/>
        <v>5.1576983959557988E-2</v>
      </c>
      <c r="G26" s="46">
        <f t="shared" si="10"/>
        <v>0.10834086828495942</v>
      </c>
      <c r="H26" s="44"/>
      <c r="I26" s="46">
        <f t="shared" si="11"/>
        <v>1.4075364516509391E-2</v>
      </c>
      <c r="J26" s="46">
        <f t="shared" si="5"/>
        <v>1.5249372131459354E-3</v>
      </c>
      <c r="K26" s="48">
        <f t="shared" si="12"/>
        <v>2.7757958311577773E-3</v>
      </c>
      <c r="L26" s="46">
        <f t="shared" si="14"/>
        <v>1.0682882929838523E-2</v>
      </c>
      <c r="M26" s="46">
        <f>F26-G26</f>
        <v>-5.6763884325401436E-2</v>
      </c>
      <c r="N26" s="49">
        <f t="shared" si="13"/>
        <v>-1.5756495347077161E-4</v>
      </c>
      <c r="O26" s="49">
        <f t="shared" si="7"/>
        <v>5.5099088151411735E-4</v>
      </c>
      <c r="P26" s="46">
        <f t="shared" si="8"/>
        <v>1.2769557314070538E-3</v>
      </c>
    </row>
    <row r="27" spans="1:18" x14ac:dyDescent="0.2">
      <c r="A27" s="42" t="s">
        <v>71</v>
      </c>
      <c r="B27" s="44" t="s">
        <v>42</v>
      </c>
      <c r="C27" s="44" t="s">
        <v>70</v>
      </c>
      <c r="D27" s="45">
        <f>SUMIFS('Equity Definitions'!$E$2:$E$15,'Equity Definitions'!$D$2:$D$15,B27)</f>
        <v>0.18590603900000002</v>
      </c>
      <c r="E27" s="46">
        <f>IF(D27&gt;0,SUMIFS('Equity Definitions'!$H$2:$H$15,'Equity Definitions'!$D$2:$D$15,B27)/D27,0)</f>
        <v>1.165441743899235E-2</v>
      </c>
      <c r="F27" s="47">
        <f t="shared" si="9"/>
        <v>0.18590598118323989</v>
      </c>
      <c r="G27" s="46">
        <f t="shared" si="10"/>
        <v>9.8169114876986152E-2</v>
      </c>
      <c r="H27" s="44"/>
      <c r="I27" s="46">
        <f t="shared" si="11"/>
        <v>3.8560503869235208E-3</v>
      </c>
      <c r="J27" s="46">
        <f t="shared" si="5"/>
        <v>3.7854505340534199E-4</v>
      </c>
      <c r="K27" s="48">
        <f t="shared" si="12"/>
        <v>-7.4435182984280927E-3</v>
      </c>
      <c r="L27" s="46">
        <f t="shared" si="14"/>
        <v>7.7983670520688289E-3</v>
      </c>
      <c r="M27" s="46">
        <f>F27-G27</f>
        <v>8.7736866306253741E-2</v>
      </c>
      <c r="N27" s="49">
        <f t="shared" si="13"/>
        <v>-6.5307096979733885E-4</v>
      </c>
      <c r="O27" s="49">
        <f t="shared" si="7"/>
        <v>1.4497630784419057E-3</v>
      </c>
      <c r="P27" s="46">
        <f t="shared" si="8"/>
        <v>2.1666259091149345E-3</v>
      </c>
    </row>
    <row r="28" spans="1:18" x14ac:dyDescent="0.2">
      <c r="A28" s="42" t="s">
        <v>71</v>
      </c>
      <c r="B28" s="44" t="s">
        <v>43</v>
      </c>
      <c r="C28" s="44" t="s">
        <v>70</v>
      </c>
      <c r="D28" s="45">
        <f>SUMIFS('Equity Definitions'!$E$2:$E$15,'Equity Definitions'!$D$2:$D$15,B28)</f>
        <v>0.130701028</v>
      </c>
      <c r="E28" s="46">
        <f>IF(D28&gt;0,SUMIFS('Equity Definitions'!$H$2:$H$15,'Equity Definitions'!$D$2:$D$15,B28)/D28,0)</f>
        <v>2.9758140045597958E-2</v>
      </c>
      <c r="F28" s="47">
        <f t="shared" si="9"/>
        <v>0.13070098735199293</v>
      </c>
      <c r="G28" s="46">
        <f t="shared" si="10"/>
        <v>0.12112975271740978</v>
      </c>
      <c r="H28" s="44"/>
      <c r="I28" s="46">
        <f t="shared" si="11"/>
        <v>3.9450065998776151E-2</v>
      </c>
      <c r="J28" s="46">
        <f t="shared" si="5"/>
        <v>4.7785767391172506E-3</v>
      </c>
      <c r="K28" s="48">
        <f t="shared" si="12"/>
        <v>2.8150497313424543E-2</v>
      </c>
      <c r="L28" s="46">
        <f t="shared" si="14"/>
        <v>-9.6919259531781932E-3</v>
      </c>
      <c r="M28" s="46">
        <f>F28-G28</f>
        <v>9.5712346345831478E-3</v>
      </c>
      <c r="N28" s="49">
        <f t="shared" si="13"/>
        <v>2.6943501486698882E-4</v>
      </c>
      <c r="O28" s="49">
        <f t="shared" si="7"/>
        <v>-1.266744291422795E-3</v>
      </c>
      <c r="P28" s="46">
        <f t="shared" si="8"/>
        <v>3.889418285718533E-3</v>
      </c>
    </row>
    <row r="29" spans="1:18" x14ac:dyDescent="0.2">
      <c r="A29" s="42" t="s">
        <v>71</v>
      </c>
      <c r="B29" s="44" t="s">
        <v>44</v>
      </c>
      <c r="C29" s="44" t="s">
        <v>70</v>
      </c>
      <c r="D29" s="45">
        <f>SUMIFS('Equity Definitions'!$E$2:$E$15,'Equity Definitions'!$D$2:$D$15,B29)</f>
        <v>0.128406876</v>
      </c>
      <c r="E29" s="46">
        <f>IF(D29&gt;0,SUMIFS('Equity Definitions'!$H$2:$H$15,'Equity Definitions'!$D$2:$D$15,B29)/D29,0)</f>
        <v>2.1752747214662117E-2</v>
      </c>
      <c r="F29" s="47">
        <f t="shared" si="9"/>
        <v>0.12840683606547398</v>
      </c>
      <c r="G29" s="46">
        <f t="shared" si="10"/>
        <v>9.7612410421377305E-2</v>
      </c>
      <c r="H29" s="44"/>
      <c r="I29" s="46">
        <f t="shared" si="11"/>
        <v>5.3942832310559657E-3</v>
      </c>
      <c r="J29" s="46">
        <f t="shared" si="5"/>
        <v>5.2654898867898823E-4</v>
      </c>
      <c r="K29" s="48">
        <f t="shared" si="12"/>
        <v>-5.9052854542956485E-3</v>
      </c>
      <c r="L29" s="46">
        <f t="shared" si="14"/>
        <v>1.6358463983606152E-2</v>
      </c>
      <c r="M29" s="46">
        <f>F29-G29</f>
        <v>3.0794425644096679E-2</v>
      </c>
      <c r="N29" s="49">
        <f t="shared" si="13"/>
        <v>-1.8184987382947301E-4</v>
      </c>
      <c r="O29" s="49">
        <f t="shared" si="7"/>
        <v>2.1005386030258756E-3</v>
      </c>
      <c r="P29" s="46">
        <f t="shared" si="8"/>
        <v>2.7932014455668143E-3</v>
      </c>
    </row>
    <row r="30" spans="1:18" x14ac:dyDescent="0.2">
      <c r="A30" s="42" t="s">
        <v>71</v>
      </c>
      <c r="B30" s="44" t="s">
        <v>45</v>
      </c>
      <c r="C30" s="44" t="s">
        <v>70</v>
      </c>
      <c r="D30" s="45">
        <f>SUMIFS('Equity Definitions'!$E$2:$E$15,'Equity Definitions'!$D$2:$D$15,B30)</f>
        <v>5.6969947E-2</v>
      </c>
      <c r="E30" s="46">
        <f>IF(D30&gt;0,SUMIFS('Equity Definitions'!$H$2:$H$15,'Equity Definitions'!$D$2:$D$15,B30)/D30,0)</f>
        <v>4.9515697402839454E-2</v>
      </c>
      <c r="F30" s="47">
        <f t="shared" si="9"/>
        <v>5.6969929282351991E-2</v>
      </c>
      <c r="G30" s="46">
        <f t="shared" si="10"/>
        <v>9.5611099918172626E-2</v>
      </c>
      <c r="H30" s="44"/>
      <c r="I30" s="46">
        <f t="shared" si="11"/>
        <v>1.7684975210344015E-2</v>
      </c>
      <c r="J30" s="46">
        <f t="shared" si="5"/>
        <v>1.6908799318866075E-3</v>
      </c>
      <c r="K30" s="48">
        <f t="shared" si="12"/>
        <v>6.3854065249924017E-3</v>
      </c>
      <c r="L30" s="46">
        <f t="shared" si="14"/>
        <v>3.1830722192495442E-2</v>
      </c>
      <c r="M30" s="46">
        <f>F30-G30</f>
        <v>-3.8641170635820635E-2</v>
      </c>
      <c r="N30" s="49">
        <f t="shared" si="13"/>
        <v>-2.467395831113139E-4</v>
      </c>
      <c r="O30" s="49">
        <f t="shared" si="7"/>
        <v>1.8133939923126576E-3</v>
      </c>
      <c r="P30" s="46">
        <f t="shared" si="8"/>
        <v>2.8209057794061037E-3</v>
      </c>
    </row>
    <row r="31" spans="1:18" ht="17" thickBot="1" x14ac:dyDescent="0.25">
      <c r="A31" s="59" t="s">
        <v>71</v>
      </c>
      <c r="B31" s="60" t="s">
        <v>46</v>
      </c>
      <c r="C31" s="60" t="s">
        <v>70</v>
      </c>
      <c r="D31" s="61">
        <f>SUMIFS('Equity Definitions'!$E$2:$E$15,'Equity Definitions'!$D$2:$D$15,B31)</f>
        <v>0</v>
      </c>
      <c r="E31" s="62">
        <f>IF(D31&gt;0,SUMIFS('Equity Definitions'!$H$2:$H$15,'Equity Definitions'!$D$2:$D$15,B31)/D31,0)</f>
        <v>0</v>
      </c>
      <c r="F31" s="63">
        <f t="shared" si="9"/>
        <v>0</v>
      </c>
      <c r="G31" s="62">
        <f t="shared" si="10"/>
        <v>9.72721151085231E-2</v>
      </c>
      <c r="H31" s="60"/>
      <c r="I31" s="62">
        <f t="shared" si="11"/>
        <v>1.328684650566821E-2</v>
      </c>
      <c r="J31" s="62">
        <f t="shared" si="5"/>
        <v>1.2924396627286361E-3</v>
      </c>
      <c r="K31" s="64">
        <f t="shared" si="12"/>
        <v>1.9872778203165959E-3</v>
      </c>
      <c r="L31" s="62">
        <f t="shared" si="14"/>
        <v>-1.328684650566821E-2</v>
      </c>
      <c r="M31" s="62">
        <f>F31-G31</f>
        <v>-9.72721151085231E-2</v>
      </c>
      <c r="N31" s="65">
        <f t="shared" si="13"/>
        <v>-1.9330671689045081E-4</v>
      </c>
      <c r="O31" s="65">
        <f t="shared" si="7"/>
        <v>0</v>
      </c>
      <c r="P31" s="62">
        <f t="shared" si="8"/>
        <v>0</v>
      </c>
    </row>
    <row r="32" spans="1:18" x14ac:dyDescent="0.2">
      <c r="A32" s="42" t="s">
        <v>81</v>
      </c>
      <c r="B32" s="66" t="s">
        <v>35</v>
      </c>
      <c r="C32" s="66" t="s">
        <v>82</v>
      </c>
      <c r="D32" s="67">
        <f>L36</f>
        <v>0.60843511777667847</v>
      </c>
      <c r="E32" s="75">
        <f>SUM(P2:P11)</f>
        <v>5.5030906802025562E-3</v>
      </c>
      <c r="F32" s="78">
        <f>D32</f>
        <v>0.60843511777667847</v>
      </c>
      <c r="G32" s="69">
        <v>0.6</v>
      </c>
      <c r="H32" s="66"/>
      <c r="I32" s="76">
        <f>D36</f>
        <v>7.7809159783881476E-3</v>
      </c>
      <c r="J32" s="70">
        <f t="shared" si="5"/>
        <v>4.6685495870328886E-3</v>
      </c>
      <c r="K32" s="68">
        <f>I32-SUM(J32:J33)</f>
        <v>-9.0484286605781797E-3</v>
      </c>
      <c r="L32" s="70">
        <f t="shared" si="14"/>
        <v>-2.2778252981855915E-3</v>
      </c>
      <c r="M32" s="70">
        <f t="shared" ref="M32:M33" si="15">F32-G32</f>
        <v>8.4351177766784913E-3</v>
      </c>
      <c r="N32" s="74">
        <f t="shared" si="13"/>
        <v>-7.6324561445850148E-5</v>
      </c>
      <c r="O32" s="71">
        <f t="shared" si="7"/>
        <v>-1.385908903576248E-3</v>
      </c>
      <c r="P32" s="70">
        <f t="shared" si="8"/>
        <v>3.3482736261447837E-3</v>
      </c>
    </row>
    <row r="33" spans="1:18" x14ac:dyDescent="0.2">
      <c r="A33" s="42" t="s">
        <v>81</v>
      </c>
      <c r="B33" s="66" t="s">
        <v>36</v>
      </c>
      <c r="C33" s="66" t="s">
        <v>82</v>
      </c>
      <c r="D33" s="67">
        <f>L37</f>
        <v>0.3915648822233217</v>
      </c>
      <c r="E33" s="75">
        <f>SUM(P12:P21)</f>
        <v>4.6076587694902443E-2</v>
      </c>
      <c r="F33" s="78">
        <f>D33</f>
        <v>0.3915648822233217</v>
      </c>
      <c r="G33" s="69">
        <v>0.4</v>
      </c>
      <c r="H33" s="66"/>
      <c r="I33" s="76">
        <f>D37</f>
        <v>3.0401987629833593E-2</v>
      </c>
      <c r="J33" s="70">
        <f t="shared" si="5"/>
        <v>1.2160795051933439E-2</v>
      </c>
      <c r="K33" s="75">
        <f>I33-SUM(J32:J33)</f>
        <v>1.3572642990867266E-2</v>
      </c>
      <c r="L33" s="70">
        <f t="shared" si="14"/>
        <v>1.567460006506885E-2</v>
      </c>
      <c r="M33" s="70">
        <f t="shared" si="15"/>
        <v>-8.4351177766783247E-3</v>
      </c>
      <c r="N33" s="74">
        <f t="shared" si="13"/>
        <v>-1.1448684216877294E-4</v>
      </c>
      <c r="O33" s="71">
        <f t="shared" si="7"/>
        <v>6.1376229283763547E-3</v>
      </c>
      <c r="P33" s="70">
        <f t="shared" si="8"/>
        <v>1.804197363400703E-2</v>
      </c>
    </row>
    <row r="35" spans="1:18" x14ac:dyDescent="0.2">
      <c r="A35" s="31" t="s">
        <v>20</v>
      </c>
      <c r="B35" s="31" t="s">
        <v>18</v>
      </c>
      <c r="C35" s="31" t="s">
        <v>59</v>
      </c>
      <c r="D35" s="31" t="s">
        <v>58</v>
      </c>
      <c r="E35" s="31" t="s">
        <v>60</v>
      </c>
      <c r="F35" s="31" t="s">
        <v>61</v>
      </c>
      <c r="G35" s="31" t="s">
        <v>62</v>
      </c>
      <c r="H35" s="31" t="s">
        <v>63</v>
      </c>
      <c r="I35" s="31" t="s">
        <v>66</v>
      </c>
      <c r="J35" s="31" t="s">
        <v>67</v>
      </c>
      <c r="K35" s="31" t="s">
        <v>75</v>
      </c>
      <c r="L35" s="31" t="s">
        <v>72</v>
      </c>
      <c r="M35" s="31" t="s">
        <v>69</v>
      </c>
      <c r="N35" s="31" t="s">
        <v>77</v>
      </c>
      <c r="O35" s="31" t="s">
        <v>76</v>
      </c>
      <c r="P35" s="31" t="s">
        <v>78</v>
      </c>
      <c r="Q35" s="31" t="s">
        <v>79</v>
      </c>
      <c r="R35" s="31" t="s">
        <v>80</v>
      </c>
    </row>
    <row r="36" spans="1:18" x14ac:dyDescent="0.2">
      <c r="A36" s="25" t="s">
        <v>35</v>
      </c>
      <c r="B36" s="10" t="s">
        <v>16</v>
      </c>
      <c r="C36" s="10">
        <f>MATCH(B36,'Region Benchmarks'!$A$1:$D$1,0)</f>
        <v>2</v>
      </c>
      <c r="D36" s="36" cm="1">
        <f t="array" ref="D36">(INDEX('Region Benchmarks'!benchmarks, MAX(IF('Region Benchmarks'!A:A&lt;&gt;"",ROW('Region Benchmarks'!A:A))),C36) / INDEX('Region Benchmarks'!benchmarks,2,C36)) - 1</f>
        <v>7.7809159783881476E-3</v>
      </c>
      <c r="E36" s="12">
        <f>SUMIFS('Risk Model'!$J$2:$J$21,'Risk Model'!$A$2:$A$21,'Risk Model'!A36)</f>
        <v>8.5060385176351097E-4</v>
      </c>
      <c r="F36" s="15">
        <f>ABS(D36-E36)</f>
        <v>6.9303121266246371E-3</v>
      </c>
      <c r="G36" s="15">
        <f>SUM($F$36:$F$37)</f>
        <v>9.7965530127723261E-3</v>
      </c>
      <c r="H36" s="37">
        <f>SUM(G2:G11)</f>
        <v>1.0000000000010001</v>
      </c>
      <c r="I36" s="16">
        <f>SUMIFS($N$2:$N$21,$A$2:$A$21,A36)</f>
        <v>7.3911789943877501E-3</v>
      </c>
      <c r="J36" s="16">
        <f>SUMIFS($O$2:$O$21,$A$2:$A$21,A36)</f>
        <v>-2.7386921659478532E-3</v>
      </c>
      <c r="K36" s="16">
        <f>I36+J36</f>
        <v>4.6524868284398974E-3</v>
      </c>
      <c r="L36" s="17">
        <f>SUM(D2:D11)/SUM(D2:D21)</f>
        <v>0.60843511777667847</v>
      </c>
      <c r="M36" s="38">
        <f>SUM(P2:P11)</f>
        <v>5.5030906802025562E-3</v>
      </c>
      <c r="N36" s="15">
        <f>M36-D36</f>
        <v>-2.2778252981855915E-3</v>
      </c>
      <c r="O36" s="39">
        <f>K36/N36</f>
        <v>-2.0425125808137481</v>
      </c>
      <c r="P36" s="40">
        <f>I36/O36</f>
        <v>-3.6186699968541024E-3</v>
      </c>
      <c r="Q36" s="40">
        <f>J36/O36</f>
        <v>1.3408446986685112E-3</v>
      </c>
      <c r="R36" s="40">
        <f>SUM(P36:Q36)</f>
        <v>-2.2778252981855915E-3</v>
      </c>
    </row>
    <row r="37" spans="1:18" x14ac:dyDescent="0.2">
      <c r="A37" s="25" t="s">
        <v>36</v>
      </c>
      <c r="B37" s="25">
        <v>46323</v>
      </c>
      <c r="C37" s="25">
        <f>MATCH(B37,'Region Benchmarks'!$A$1:$D$1,0)</f>
        <v>3</v>
      </c>
      <c r="D37" s="32" cm="1">
        <f t="array" ref="D37">(INDEX('Region Benchmarks'!benchmarks, MAX(IF('Region Benchmarks'!A:A&lt;&gt;"",ROW('Region Benchmarks'!A:A))),C37) / INDEX('Region Benchmarks'!benchmarks,2,C37)) - 1</f>
        <v>3.0401987629833593E-2</v>
      </c>
      <c r="E37" s="27">
        <f>SUMIFS('Risk Model'!$J$2:$J$21,'Risk Model'!$A$2:$A$21,'Risk Model'!A37)</f>
        <v>2.7535746743685904E-2</v>
      </c>
      <c r="F37" s="29">
        <f>ABS(D37-E37)</f>
        <v>2.866240886147689E-3</v>
      </c>
      <c r="G37" s="29">
        <f>SUM($F$36:$F$37)</f>
        <v>9.7965530127723261E-3</v>
      </c>
      <c r="H37" s="29">
        <f>SUM(G12:G21)</f>
        <v>0.99999999991999999</v>
      </c>
      <c r="I37" s="30">
        <f>SUMIFS($N$2:$N$21,$A$2:$A$21,A37)</f>
        <v>-2.9026842206849196E-3</v>
      </c>
      <c r="J37" s="30">
        <f>SUMIFS($O$2:$O$21,$A$2:$A$21,A37)</f>
        <v>2.1443525169698593E-2</v>
      </c>
      <c r="K37" s="30">
        <f>I37+J37</f>
        <v>1.8540840949013673E-2</v>
      </c>
      <c r="L37" s="43">
        <f>SUM(D12:D21)/SUM(D2:D21)</f>
        <v>0.3915648822233217</v>
      </c>
      <c r="M37" s="33">
        <f>SUM(P12:P21)</f>
        <v>4.6076587694902443E-2</v>
      </c>
      <c r="N37" s="29">
        <f>M37-D37</f>
        <v>1.567460006506885E-2</v>
      </c>
      <c r="O37" s="34">
        <f>K37/N37</f>
        <v>1.1828589483652789</v>
      </c>
      <c r="P37" s="35">
        <f>I37/O37</f>
        <v>-2.453956344242442E-3</v>
      </c>
      <c r="Q37" s="35">
        <f>J37/O37</f>
        <v>1.8128556409311294E-2</v>
      </c>
      <c r="R37" s="35">
        <f>SUM(P37:Q37)</f>
        <v>1.567460006506885E-2</v>
      </c>
    </row>
    <row r="38" spans="1:18" x14ac:dyDescent="0.2">
      <c r="A38" s="25" t="s">
        <v>71</v>
      </c>
      <c r="B38" s="25" t="s">
        <v>70</v>
      </c>
      <c r="C38" s="25"/>
      <c r="D38" s="77">
        <f>D37*$L$37+$L$36*D36</f>
        <v>1.6638533235351707E-2</v>
      </c>
      <c r="E38" s="27">
        <f>SUMIFS('Risk Model'!$J$2:$J$31,'Risk Model'!$A$2:$A$31,'Risk Model'!A38)</f>
        <v>1.0112316124963217E-2</v>
      </c>
      <c r="F38" s="29">
        <f>ABS(D38-E38)</f>
        <v>6.5262171103884908E-3</v>
      </c>
      <c r="G38" s="29">
        <f>SUM($F$36:$F$37)</f>
        <v>9.7965530127723261E-3</v>
      </c>
      <c r="H38" s="29">
        <f>SUM(G22:G31)</f>
        <v>0.99999999996928346</v>
      </c>
      <c r="I38" s="30">
        <f>SUMIFS($N$2:$N$31,$A$2:$A$31,A38)</f>
        <v>-2.3283010458912509E-3</v>
      </c>
      <c r="J38" s="30">
        <f>SUMIFS($O$2:$O$31,$A$2:$A$31,A38)</f>
        <v>1.360623218073276E-2</v>
      </c>
      <c r="K38" s="30">
        <f>I38+J38</f>
        <v>1.1277931134841509E-2</v>
      </c>
      <c r="L38" s="26">
        <f>SUM(L36:L37)</f>
        <v>1.0000000000000002</v>
      </c>
      <c r="M38" s="33">
        <f>SUM(P22:P31)</f>
        <v>2.1390247260151811E-2</v>
      </c>
      <c r="N38" s="29">
        <f>M38-D38</f>
        <v>4.7517140248001036E-3</v>
      </c>
      <c r="O38" s="34">
        <f>K38/N38</f>
        <v>2.3734448403207415</v>
      </c>
      <c r="P38" s="35">
        <f>I38/O38</f>
        <v>-9.8097963194148209E-4</v>
      </c>
      <c r="Q38" s="35">
        <f>J38/O38</f>
        <v>5.7326936567415852E-3</v>
      </c>
      <c r="R38" s="35">
        <f>SUM(P38:Q38)</f>
        <v>4.7517140248001036E-3</v>
      </c>
    </row>
    <row r="39" spans="1:18" x14ac:dyDescent="0.2">
      <c r="A39" s="72" t="s">
        <v>83</v>
      </c>
      <c r="B39" s="72"/>
      <c r="C39" s="72"/>
      <c r="D39" s="73">
        <f>SUM(J32:J33)</f>
        <v>1.6829344638966327E-2</v>
      </c>
      <c r="E39" s="25"/>
      <c r="F39" s="25"/>
      <c r="G39" s="25"/>
      <c r="H39" s="25"/>
      <c r="I39" s="41">
        <f>SUM(N32:N33)</f>
        <v>-1.908114036146231E-4</v>
      </c>
      <c r="J39" s="41">
        <f>SUM(O32:O33)</f>
        <v>4.751714024800107E-3</v>
      </c>
      <c r="K39" s="30">
        <f>I39+J39</f>
        <v>4.5609026211854836E-3</v>
      </c>
      <c r="L39" s="28">
        <f>SUM(L36:L37)</f>
        <v>1.0000000000000002</v>
      </c>
      <c r="M39" s="29">
        <f>SUM(P32:P33)</f>
        <v>2.1390247260151814E-2</v>
      </c>
      <c r="N39" s="29">
        <f>M39-D39</f>
        <v>4.5609026211854871E-3</v>
      </c>
      <c r="O39" s="34">
        <f>K39/N39</f>
        <v>0.99999999999999922</v>
      </c>
      <c r="P39" s="35">
        <f>I39/O39</f>
        <v>-1.9081140361462324E-4</v>
      </c>
      <c r="Q39" s="35">
        <f>J39/O39</f>
        <v>4.7517140248001105E-3</v>
      </c>
      <c r="R39" s="35">
        <f>SUM(P39:Q39)</f>
        <v>4.5609026211854871E-3</v>
      </c>
    </row>
    <row r="40" spans="1:18" x14ac:dyDescent="0.2">
      <c r="A40" s="25" t="s">
        <v>15</v>
      </c>
      <c r="B40" s="25" t="s">
        <v>15</v>
      </c>
      <c r="C40" s="25"/>
      <c r="D40" s="27">
        <f>M37*L37+M36*L36</f>
        <v>2.1390247260151814E-2</v>
      </c>
    </row>
    <row r="41" spans="1:18" x14ac:dyDescent="0.2">
      <c r="I41" t="s">
        <v>84</v>
      </c>
    </row>
    <row r="43" spans="1:18" x14ac:dyDescent="0.2">
      <c r="K43" s="5">
        <f>SUM(J32:J33)</f>
        <v>1.6829344638966327E-2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4</vt:i4>
      </vt:variant>
    </vt:vector>
  </HeadingPairs>
  <TitlesOfParts>
    <vt:vector size="10" baseType="lpstr">
      <vt:lpstr>Region Benchmarks</vt:lpstr>
      <vt:lpstr>Sector Benchmarks EU</vt:lpstr>
      <vt:lpstr>Sector Benchmarks US</vt:lpstr>
      <vt:lpstr>Equities</vt:lpstr>
      <vt:lpstr>Equity Definitions</vt:lpstr>
      <vt:lpstr>Risk Model</vt:lpstr>
      <vt:lpstr>'Region Benchmarks'!benchmarks</vt:lpstr>
      <vt:lpstr>Equities!equities</vt:lpstr>
      <vt:lpstr>'Sector Benchmarks EU'!sector_benchmarks_EU</vt:lpstr>
      <vt:lpstr>'Sector Benchmarks US'!sector_benchmarks_US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Dolan</dc:creator>
  <cp:lastModifiedBy>Hugo Dolan</cp:lastModifiedBy>
  <dcterms:created xsi:type="dcterms:W3CDTF">2021-01-01T10:23:02Z</dcterms:created>
  <dcterms:modified xsi:type="dcterms:W3CDTF">2021-01-01T22:00:33Z</dcterms:modified>
</cp:coreProperties>
</file>