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 codeName="ThisWorkbook" autoCompressPictures="0"/>
  <xr:revisionPtr revIDLastSave="0" documentId="13_ncr:1_{70FCEE0C-0190-4A4A-A242-47E379872356}" xr6:coauthVersionLast="47" xr6:coauthVersionMax="47" xr10:uidLastSave="{00000000-0000-0000-0000-000000000000}"/>
  <bookViews>
    <workbookView xWindow="1905" yWindow="1905" windowWidth="18000" windowHeight="9360" tabRatio="788" activeTab="5" xr2:uid="{00000000-000D-0000-FFFF-FFFF00000000}"/>
  </bookViews>
  <sheets>
    <sheet name="Projetos - Índice" sheetId="29" r:id="rId1"/>
    <sheet name="Mecanismos de Incentivo" sheetId="28" r:id="rId2"/>
    <sheet name="Dique" sheetId="30" r:id="rId3"/>
    <sheet name="Orçamento - Dique" sheetId="31" r:id="rId4"/>
    <sheet name="Preju ou Investimento" sheetId="35" r:id="rId5"/>
    <sheet name="Planejamento Semanal" sheetId="33" r:id="rId6"/>
    <sheet name="January" sheetId="14" r:id="rId7"/>
    <sheet name="February" sheetId="15" r:id="rId8"/>
    <sheet name="March" sheetId="16" r:id="rId9"/>
    <sheet name="April" sheetId="17" r:id="rId10"/>
    <sheet name="May" sheetId="18" r:id="rId11"/>
    <sheet name="June" sheetId="19" r:id="rId12"/>
    <sheet name="July" sheetId="20" r:id="rId13"/>
    <sheet name="August" sheetId="21" r:id="rId14"/>
    <sheet name="September" sheetId="22" r:id="rId15"/>
    <sheet name="October" sheetId="23" r:id="rId16"/>
    <sheet name="November" sheetId="24" r:id="rId17"/>
    <sheet name="December" sheetId="25" r:id="rId18"/>
  </sheets>
  <definedNames>
    <definedName name="Apr">[0]!DaysAndWeeks+DATE([0]!CalendarYear,4,1)-WEEKDAY(DATE([0]!CalendarYear,4,1),WeekdayOption)+1</definedName>
    <definedName name="_xlnm.Print_Area" localSheetId="9">April!$A:$I</definedName>
    <definedName name="_xlnm.Print_Area" localSheetId="13">August!$A:$I</definedName>
    <definedName name="_xlnm.Print_Area" localSheetId="17">December!$A:$I</definedName>
    <definedName name="_xlnm.Print_Area" localSheetId="7">February!$A:$I</definedName>
    <definedName name="_xlnm.Print_Area" localSheetId="6">January!$A:$I</definedName>
    <definedName name="_xlnm.Print_Area" localSheetId="12">July!$A:$I</definedName>
    <definedName name="_xlnm.Print_Area" localSheetId="11">June!$A:$I</definedName>
    <definedName name="_xlnm.Print_Area" localSheetId="8">March!$A:$I</definedName>
    <definedName name="_xlnm.Print_Area" localSheetId="10">May!$A:$I</definedName>
    <definedName name="_xlnm.Print_Area" localSheetId="16">November!$A:$I</definedName>
    <definedName name="_xlnm.Print_Area" localSheetId="15">October!$A:$I</definedName>
    <definedName name="_xlnm.Print_Area" localSheetId="5">'Planejamento Semanal'!$A$1:$J$30</definedName>
    <definedName name="_xlnm.Print_Area" localSheetId="14">September!$A:$I</definedName>
    <definedName name="Aug">[0]!DaysAndWeeks+DATE([0]!CalendarYear,8,1)-WEEKDAY(DATE([0]!CalendarYear,8,1),WeekdayOption)+1</definedName>
    <definedName name="Calendar">[0]!DaysAndWeeks + DateOfFirst - WEEKDAY(DateOfFirst,2)</definedName>
    <definedName name="CalendarYear" localSheetId="1">#REF!</definedName>
    <definedName name="CalendarYear" localSheetId="0">#REF!</definedName>
    <definedName name="CalendarYear">January!$K$5</definedName>
    <definedName name="ColumnTitleRegion1..H10.1">#REF!</definedName>
    <definedName name="ColumnTitleRegion1..H12.1">January!$B$3</definedName>
    <definedName name="ColumnTitleRegion1..H12.10">October!$B$3</definedName>
    <definedName name="ColumnTitleRegion1..H12.11">November!$B$3</definedName>
    <definedName name="ColumnTitleRegion1..H12.12">December!$B$3</definedName>
    <definedName name="ColumnTitleRegion1..H12.2">February!$B$3</definedName>
    <definedName name="ColumnTitleRegion1..H12.3">March!$B$3</definedName>
    <definedName name="ColumnTitleRegion1..H12.4">April!$B$3</definedName>
    <definedName name="ColumnTitleRegion1..H12.5">May!$B$3</definedName>
    <definedName name="ColumnTitleRegion1..H12.6">June!$B$3</definedName>
    <definedName name="ColumnTitleRegion1..H12.7">July!$B$3</definedName>
    <definedName name="ColumnTitleRegion1..H12.8">August!$B$3</definedName>
    <definedName name="ColumnTitleRegion1..H12.9">September!$B$3</definedName>
    <definedName name="ColumnTitleRegion10..O26.1">#REF!</definedName>
    <definedName name="ColumnTitleRegion11..V26.1">#REF!</definedName>
    <definedName name="ColumnTitleRegion12..AC26.1">#REF!</definedName>
    <definedName name="ColumnTitleRegion2..C14.1">January!$B$3</definedName>
    <definedName name="ColumnTitleRegion2..C14.10">October!$B$3</definedName>
    <definedName name="ColumnTitleRegion2..C14.11">November!$B$3</definedName>
    <definedName name="ColumnTitleRegion2..C14.12">December!$B$3</definedName>
    <definedName name="ColumnTitleRegion2..C14.2">February!$B$3</definedName>
    <definedName name="ColumnTitleRegion2..C14.3">March!$B$3</definedName>
    <definedName name="ColumnTitleRegion2..C14.4">April!$B$3</definedName>
    <definedName name="ColumnTitleRegion2..C14.5">May!$B$3</definedName>
    <definedName name="ColumnTitleRegion2..C14.6">June!$B$3</definedName>
    <definedName name="ColumnTitleRegion2..C14.7">July!$B$3</definedName>
    <definedName name="ColumnTitleRegion2..C14.8">August!$B$3</definedName>
    <definedName name="ColumnTitleRegion2..C14.9">September!$B$3</definedName>
    <definedName name="ColumnTitleRegion2..O10.1">#REF!</definedName>
    <definedName name="ColumnTitleRegion3..V10.1">#REF!</definedName>
    <definedName name="ColumnTitleRegion4..AC10.1">#REF!</definedName>
    <definedName name="ColumnTitleRegion5..H18.1">#REF!</definedName>
    <definedName name="ColumnTitleRegion6..O18.1">#REF!</definedName>
    <definedName name="ColumnTitleRegion7..V18.1">#REF!</definedName>
    <definedName name="ColumnTitleRegion8..AC18.1">#REF!</definedName>
    <definedName name="ColumnTitleRegion9..H26.1">#REF!</definedName>
    <definedName name="DayHeaders">LEFT(TEXT(#REF!,"ddd"),2)</definedName>
    <definedName name="DaysAndWeeks" localSheetId="1">{0,1,2,3,4,5,6} + {0;1;2;3;4;5}*7</definedName>
    <definedName name="DaysAndWeeks" localSheetId="0">{0,1,2,3,4,5,6} + {0;1;2;3;4;5}*7</definedName>
    <definedName name="DaysAndWeeks">{0,1,2,3,4,5,6} + {0;1;2;3;4;5}*7</definedName>
    <definedName name="Dec">[0]!DaysAndWeeks+DATE([0]!CalendarYear,12,1)-WEEKDAY(DATE([0]!CalendarYear,12,1),WeekdayOption)+1</definedName>
    <definedName name="Feb">[0]!DaysAndWeeks+DATE([0]!CalendarYear,2,1)-WEEKDAY(DATE([0]!CalendarYear,2,1),WeekdayOption)+1</definedName>
    <definedName name="Jan">[0]!DaysAndWeeks+DATE([0]!CalendarYear,1,1)-WEEKDAY(DATE([0]!CalendarYear,1,1),WeekdayOption)+1</definedName>
    <definedName name="Jul">[0]!DaysAndWeeks+DATE([0]!CalendarYear,7,1)-WEEKDAY(DATE([0]!CalendarYear,7,1),WeekdayOption)+1</definedName>
    <definedName name="Jun">[0]!DaysAndWeeks+DATE([0]!CalendarYear,6,1)-WEEKDAY(DATE([0]!CalendarYear,6,1),WeekdayOption)+1</definedName>
    <definedName name="Mar">[0]!DaysAndWeeks+DATE([0]!CalendarYear,3,1)-WEEKDAY(DATE([0]!CalendarYear,3,1),WeekdayOption)+1</definedName>
    <definedName name="May">[0]!DaysAndWeeks+DATE([0]!CalendarYear,5,1)-WEEKDAY(DATE([0]!CalendarYear,5,1),WeekdayOption)+1</definedName>
    <definedName name="MonthHeaders">UPPER(TEXT(#REF!,"mmmm"))</definedName>
    <definedName name="Nov">[0]!DaysAndWeeks+DATE([0]!CalendarYear,11,1)-WEEKDAY(DATE([0]!CalendarYear,11,1),WeekdayOption)+1</definedName>
    <definedName name="Oct">[0]!DaysAndWeeks+DATE([0]!CalendarYear,10,1)-WEEKDAY(DATE([0]!CalendarYear,10,1),WeekdayOption)+1</definedName>
    <definedName name="RowTitleRegion1..K1">#REF!</definedName>
    <definedName name="RowTitleRegion1..K3">January!$K$4</definedName>
    <definedName name="SegmentaçãodeDados_Projeto">#N/A</definedName>
    <definedName name="Sep">[0]!DaysAndWeeks+DATE([0]!CalendarYear,9,1)-WEEKDAY(DATE([0]!CalendarYear,9,1),WeekdayOption)+1</definedName>
    <definedName name="WeekdayOption">MATCH([0]!WeekStart,Weekdays,0)+10</definedName>
    <definedName name="Weekdays">{"Monday","Tuesday","Wednesday","Thursday","Friday","Saturday","Sunday"}</definedName>
    <definedName name="WeekStart" localSheetId="1">#REF!</definedName>
    <definedName name="WeekStart" localSheetId="5">'Planejamento Semanal'!$C$5</definedName>
    <definedName name="WeekStart" localSheetId="0">#REF!</definedName>
    <definedName name="WeekStart">January!$L$5</definedName>
  </definedNames>
  <calcPr calcId="191028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19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8" i="31" l="1"/>
  <c r="C17" i="35"/>
  <c r="C16" i="35"/>
  <c r="C15" i="35"/>
  <c r="I208" i="31" s="1"/>
  <c r="C208" i="31" a="1"/>
  <c r="C208" i="31" s="1"/>
  <c r="C18" i="14"/>
  <c r="B18" i="14"/>
  <c r="I25" i="30"/>
  <c r="C5" i="33"/>
  <c r="C25" i="33" s="1"/>
  <c r="H191" i="31"/>
  <c r="H190" i="31" s="1"/>
  <c r="I186" i="31" s="1"/>
  <c r="H189" i="31"/>
  <c r="H188" i="31"/>
  <c r="H185" i="31"/>
  <c r="H184" i="31" s="1"/>
  <c r="H183" i="31"/>
  <c r="H182" i="31"/>
  <c r="H180" i="31"/>
  <c r="H179" i="31" s="1"/>
  <c r="H178" i="31"/>
  <c r="H177" i="31"/>
  <c r="H176" i="31"/>
  <c r="H175" i="31" s="1"/>
  <c r="H174" i="31"/>
  <c r="H173" i="31"/>
  <c r="H171" i="31"/>
  <c r="H169" i="31" s="1"/>
  <c r="H170" i="31"/>
  <c r="H167" i="31"/>
  <c r="H166" i="31"/>
  <c r="H165" i="31"/>
  <c r="H164" i="31"/>
  <c r="H163" i="31"/>
  <c r="H162" i="31"/>
  <c r="H160" i="31" s="1"/>
  <c r="H161" i="31"/>
  <c r="H159" i="31"/>
  <c r="H158" i="31"/>
  <c r="H157" i="31"/>
  <c r="H156" i="31"/>
  <c r="H155" i="31"/>
  <c r="H154" i="31"/>
  <c r="H153" i="31"/>
  <c r="H151" i="31"/>
  <c r="H150" i="31"/>
  <c r="H149" i="31"/>
  <c r="H148" i="31"/>
  <c r="H147" i="31"/>
  <c r="H146" i="31"/>
  <c r="J145" i="31"/>
  <c r="H145" i="31"/>
  <c r="H143" i="31" s="1"/>
  <c r="H144" i="31"/>
  <c r="H142" i="31"/>
  <c r="H141" i="31"/>
  <c r="H140" i="31"/>
  <c r="H138" i="31" s="1"/>
  <c r="H139" i="31"/>
  <c r="H137" i="31"/>
  <c r="H136" i="31"/>
  <c r="H135" i="31"/>
  <c r="H134" i="31" s="1"/>
  <c r="H133" i="31"/>
  <c r="H132" i="31"/>
  <c r="H131" i="31"/>
  <c r="H130" i="31"/>
  <c r="H129" i="31"/>
  <c r="H128" i="31"/>
  <c r="H127" i="31"/>
  <c r="H126" i="31"/>
  <c r="H125" i="31"/>
  <c r="H124" i="31"/>
  <c r="H122" i="31"/>
  <c r="H121" i="31"/>
  <c r="H120" i="31" s="1"/>
  <c r="J119" i="31"/>
  <c r="H119" i="31"/>
  <c r="J118" i="31"/>
  <c r="H118" i="31"/>
  <c r="H116" i="31"/>
  <c r="H115" i="31"/>
  <c r="J114" i="31"/>
  <c r="H114" i="31"/>
  <c r="J113" i="31"/>
  <c r="H113" i="31"/>
  <c r="J112" i="31"/>
  <c r="H112" i="31"/>
  <c r="H111" i="31" s="1"/>
  <c r="J110" i="31"/>
  <c r="H110" i="31"/>
  <c r="J109" i="31"/>
  <c r="H109" i="31"/>
  <c r="H108" i="31" s="1"/>
  <c r="J107" i="31"/>
  <c r="H107" i="31"/>
  <c r="H105" i="31" s="1"/>
  <c r="J106" i="31"/>
  <c r="H106" i="31"/>
  <c r="J104" i="31"/>
  <c r="H104" i="31"/>
  <c r="J103" i="31"/>
  <c r="H103" i="31"/>
  <c r="J102" i="31"/>
  <c r="H102" i="31"/>
  <c r="J101" i="31"/>
  <c r="H101" i="31"/>
  <c r="J99" i="31"/>
  <c r="H99" i="31"/>
  <c r="H97" i="31" s="1"/>
  <c r="J98" i="31"/>
  <c r="H98" i="31"/>
  <c r="J96" i="31"/>
  <c r="H96" i="31"/>
  <c r="J95" i="31"/>
  <c r="H95" i="31"/>
  <c r="J93" i="31"/>
  <c r="H93" i="31"/>
  <c r="J92" i="31"/>
  <c r="H92" i="31"/>
  <c r="J91" i="31"/>
  <c r="J77" i="31" s="1"/>
  <c r="H91" i="31"/>
  <c r="J90" i="31"/>
  <c r="H90" i="31"/>
  <c r="H88" i="31"/>
  <c r="J87" i="31"/>
  <c r="H87" i="31"/>
  <c r="J86" i="31"/>
  <c r="H86" i="31"/>
  <c r="J85" i="31"/>
  <c r="H85" i="31"/>
  <c r="J84" i="31"/>
  <c r="H84" i="31"/>
  <c r="H83" i="31" s="1"/>
  <c r="J82" i="31"/>
  <c r="H82" i="31"/>
  <c r="J81" i="31"/>
  <c r="H81" i="31"/>
  <c r="J80" i="31"/>
  <c r="H80" i="31"/>
  <c r="J79" i="31"/>
  <c r="H79" i="31"/>
  <c r="H77" i="31" s="1"/>
  <c r="J78" i="31"/>
  <c r="H78" i="31"/>
  <c r="H75" i="31"/>
  <c r="H74" i="31"/>
  <c r="H73" i="31"/>
  <c r="H72" i="31"/>
  <c r="H71" i="31"/>
  <c r="H69" i="31"/>
  <c r="H68" i="31"/>
  <c r="H67" i="31"/>
  <c r="H66" i="31"/>
  <c r="H65" i="31"/>
  <c r="H60" i="31" s="1"/>
  <c r="H63" i="31"/>
  <c r="H59" i="31"/>
  <c r="H58" i="31"/>
  <c r="H57" i="31"/>
  <c r="H56" i="31"/>
  <c r="H55" i="31"/>
  <c r="H53" i="31"/>
  <c r="H52" i="31"/>
  <c r="H51" i="31" s="1"/>
  <c r="H50" i="31"/>
  <c r="H49" i="31"/>
  <c r="J48" i="31"/>
  <c r="H48" i="31"/>
  <c r="J47" i="31"/>
  <c r="H47" i="31"/>
  <c r="J46" i="31"/>
  <c r="H46" i="31"/>
  <c r="J44" i="31"/>
  <c r="H44" i="31"/>
  <c r="J43" i="31"/>
  <c r="H43" i="31"/>
  <c r="H42" i="31" s="1"/>
  <c r="J41" i="31"/>
  <c r="H41" i="31"/>
  <c r="J40" i="31"/>
  <c r="H40" i="31"/>
  <c r="H39" i="31" s="1"/>
  <c r="J38" i="31"/>
  <c r="H38" i="31"/>
  <c r="H36" i="31"/>
  <c r="J37" i="31"/>
  <c r="H37" i="31"/>
  <c r="J36" i="31"/>
  <c r="J34" i="31"/>
  <c r="J33" i="31"/>
  <c r="H33" i="31"/>
  <c r="H32" i="31"/>
  <c r="J31" i="31"/>
  <c r="H31" i="31"/>
  <c r="H29" i="31" s="1"/>
  <c r="J30" i="31"/>
  <c r="H30" i="31"/>
  <c r="H28" i="31"/>
  <c r="J27" i="31"/>
  <c r="K49" i="31" s="1"/>
  <c r="H27" i="31"/>
  <c r="H26" i="31"/>
  <c r="J25" i="31"/>
  <c r="H25" i="31"/>
  <c r="H23" i="31" s="1"/>
  <c r="J24" i="31"/>
  <c r="H24" i="31"/>
  <c r="J22" i="31"/>
  <c r="H22" i="31"/>
  <c r="J21" i="31"/>
  <c r="H21" i="31"/>
  <c r="J20" i="31"/>
  <c r="H20" i="31"/>
  <c r="J19" i="31"/>
  <c r="H19" i="31"/>
  <c r="J18" i="31"/>
  <c r="H18" i="31"/>
  <c r="H17" i="31" s="1"/>
  <c r="J16" i="31"/>
  <c r="H16" i="31"/>
  <c r="J15" i="31"/>
  <c r="H15" i="31"/>
  <c r="J14" i="31"/>
  <c r="H14" i="31"/>
  <c r="J13" i="31"/>
  <c r="H13" i="31"/>
  <c r="H12" i="31" s="1"/>
  <c r="I11" i="31" s="1"/>
  <c r="H10" i="31"/>
  <c r="H9" i="31"/>
  <c r="H8" i="31"/>
  <c r="N7" i="31" s="1"/>
  <c r="H7" i="31"/>
  <c r="I6" i="31" s="1"/>
  <c r="H187" i="31"/>
  <c r="H54" i="31"/>
  <c r="H45" i="31"/>
  <c r="H152" i="31"/>
  <c r="H94" i="31"/>
  <c r="H35" i="31"/>
  <c r="H100" i="31"/>
  <c r="H117" i="31"/>
  <c r="H89" i="31"/>
  <c r="H172" i="31"/>
  <c r="H181" i="31"/>
  <c r="B3" i="24"/>
  <c r="B3" i="23"/>
  <c r="B3" i="22"/>
  <c r="B3" i="21"/>
  <c r="B3" i="20"/>
  <c r="B3" i="19"/>
  <c r="B3" i="18"/>
  <c r="B3" i="17"/>
  <c r="B3" i="16"/>
  <c r="B3" i="25"/>
  <c r="B3" i="15"/>
  <c r="B2" i="17"/>
  <c r="B2" i="19"/>
  <c r="B2" i="18"/>
  <c r="B2" i="21"/>
  <c r="B2" i="20"/>
  <c r="B2" i="23"/>
  <c r="B2" i="22"/>
  <c r="B2" i="25"/>
  <c r="B2" i="24"/>
  <c r="B2" i="16"/>
  <c r="B2" i="15"/>
  <c r="B2" i="14"/>
  <c r="B14" i="25" a="1"/>
  <c r="B14" i="25" s="1"/>
  <c r="B12" i="25" a="1"/>
  <c r="H12" i="25" s="1"/>
  <c r="B10" i="25" a="1"/>
  <c r="B8" i="25" a="1"/>
  <c r="G8" i="25" s="1"/>
  <c r="B6" i="25" a="1"/>
  <c r="B4" i="25" a="1"/>
  <c r="G4" i="25" s="1"/>
  <c r="G3" i="25" s="1"/>
  <c r="B14" i="24" a="1"/>
  <c r="C14" i="24" s="1"/>
  <c r="B12" i="24" a="1"/>
  <c r="H12" i="24" s="1"/>
  <c r="B10" i="24" a="1"/>
  <c r="G10" i="24" s="1"/>
  <c r="B8" i="24" a="1"/>
  <c r="G8" i="24" s="1"/>
  <c r="B6" i="24" a="1"/>
  <c r="H6" i="24" s="1"/>
  <c r="B4" i="24" a="1"/>
  <c r="G4" i="24" s="1"/>
  <c r="G3" i="24" s="1"/>
  <c r="B14" i="23" a="1"/>
  <c r="C14" i="23" s="1"/>
  <c r="B12" i="23" a="1"/>
  <c r="B10" i="23" a="1"/>
  <c r="G10" i="23" s="1"/>
  <c r="B8" i="23" a="1"/>
  <c r="B6" i="23" a="1"/>
  <c r="H6" i="23" s="1"/>
  <c r="B4" i="23" a="1"/>
  <c r="B14" i="22" a="1"/>
  <c r="C14" i="22" s="1"/>
  <c r="B12" i="22" a="1"/>
  <c r="H12" i="22" s="1"/>
  <c r="B10" i="22" a="1"/>
  <c r="G10" i="22" s="1"/>
  <c r="B8" i="22" a="1"/>
  <c r="H8" i="22" s="1"/>
  <c r="B6" i="22" a="1"/>
  <c r="G6" i="22" s="1"/>
  <c r="B4" i="22" a="1"/>
  <c r="H4" i="22" s="1"/>
  <c r="H3" i="22" s="1"/>
  <c r="B14" i="21" a="1"/>
  <c r="B12" i="21" a="1"/>
  <c r="H12" i="21" s="1"/>
  <c r="B10" i="21" a="1"/>
  <c r="B8" i="21" a="1"/>
  <c r="G8" i="21" s="1"/>
  <c r="B6" i="21" a="1"/>
  <c r="E6" i="21" s="1"/>
  <c r="B4" i="21" a="1"/>
  <c r="G4" i="21" s="1"/>
  <c r="G3" i="21" s="1"/>
  <c r="B14" i="20" a="1"/>
  <c r="C14" i="20" s="1"/>
  <c r="B12" i="20" a="1"/>
  <c r="H12" i="20" s="1"/>
  <c r="B10" i="20" a="1"/>
  <c r="G10" i="20" s="1"/>
  <c r="B8" i="20" a="1"/>
  <c r="H8" i="20" s="1"/>
  <c r="B6" i="20" a="1"/>
  <c r="G6" i="20" s="1"/>
  <c r="B4" i="20" a="1"/>
  <c r="E4" i="20" s="1"/>
  <c r="E3" i="20" s="1"/>
  <c r="B14" i="19" a="1"/>
  <c r="C14" i="19" s="1"/>
  <c r="B12" i="19" a="1"/>
  <c r="B10" i="19" a="1"/>
  <c r="G10" i="19" s="1"/>
  <c r="B8" i="19" a="1"/>
  <c r="B6" i="19" a="1"/>
  <c r="G6" i="19" s="1"/>
  <c r="B4" i="19" a="1"/>
  <c r="B14" i="18" a="1"/>
  <c r="C14" i="18" s="1"/>
  <c r="B12" i="18" a="1"/>
  <c r="C12" i="18" s="1"/>
  <c r="B10" i="18" a="1"/>
  <c r="G10" i="18" s="1"/>
  <c r="B8" i="18" a="1"/>
  <c r="B8" i="18" s="1"/>
  <c r="B6" i="18" a="1"/>
  <c r="G6" i="18" s="1"/>
  <c r="B4" i="18" a="1"/>
  <c r="E4" i="18" s="1"/>
  <c r="E3" i="18" s="1"/>
  <c r="B14" i="17" a="1"/>
  <c r="B12" i="17" a="1"/>
  <c r="G12" i="17" s="1"/>
  <c r="B10" i="17" a="1"/>
  <c r="C10" i="17" s="1"/>
  <c r="B8" i="17" a="1"/>
  <c r="H8" i="17" s="1"/>
  <c r="B6" i="17" a="1"/>
  <c r="D6" i="17" s="1"/>
  <c r="B4" i="17" a="1"/>
  <c r="H4" i="17" s="1"/>
  <c r="H3" i="17"/>
  <c r="B14" i="16" a="1"/>
  <c r="C14" i="16"/>
  <c r="B12" i="16" a="1"/>
  <c r="H12" i="16"/>
  <c r="B10" i="16" a="1"/>
  <c r="G10" i="16"/>
  <c r="B8" i="16" a="1"/>
  <c r="C8" i="16" s="1"/>
  <c r="H8" i="16"/>
  <c r="B6" i="16" a="1"/>
  <c r="G6" i="16"/>
  <c r="B4" i="16" a="1"/>
  <c r="E4" i="16" s="1"/>
  <c r="H4" i="16"/>
  <c r="H3" i="16" s="1"/>
  <c r="B14" i="15" a="1"/>
  <c r="C14" i="15" s="1"/>
  <c r="B12" i="15" a="1"/>
  <c r="C12" i="15" s="1"/>
  <c r="B10" i="15" a="1"/>
  <c r="G10" i="15" s="1"/>
  <c r="B8" i="15" a="1"/>
  <c r="E8" i="15" s="1"/>
  <c r="B6" i="15" a="1"/>
  <c r="G6" i="15" s="1"/>
  <c r="B4" i="15" a="1"/>
  <c r="F4" i="15" s="1"/>
  <c r="F3" i="15" s="1"/>
  <c r="B4" i="18"/>
  <c r="F4" i="18"/>
  <c r="F3" i="18" s="1"/>
  <c r="F12" i="18"/>
  <c r="H6" i="18"/>
  <c r="H4" i="18"/>
  <c r="H3" i="18" s="1"/>
  <c r="H8" i="18"/>
  <c r="H12" i="18"/>
  <c r="E6" i="25"/>
  <c r="E12" i="25"/>
  <c r="F4" i="25"/>
  <c r="F3" i="25" s="1"/>
  <c r="B6" i="25"/>
  <c r="B8" i="25"/>
  <c r="D8" i="25"/>
  <c r="F8" i="25"/>
  <c r="H8" i="25"/>
  <c r="D10" i="25"/>
  <c r="B12" i="25"/>
  <c r="C8" i="25"/>
  <c r="E8" i="25"/>
  <c r="C6" i="24"/>
  <c r="E6" i="24"/>
  <c r="G6" i="24"/>
  <c r="C12" i="24"/>
  <c r="D4" i="24"/>
  <c r="D3" i="24" s="1"/>
  <c r="B6" i="24"/>
  <c r="D6" i="24"/>
  <c r="F6" i="24"/>
  <c r="F8" i="24"/>
  <c r="B10" i="24"/>
  <c r="D10" i="24"/>
  <c r="F10" i="24"/>
  <c r="H10" i="24"/>
  <c r="F12" i="24"/>
  <c r="B14" i="24"/>
  <c r="E4" i="24"/>
  <c r="E3" i="24" s="1"/>
  <c r="C10" i="24"/>
  <c r="E10" i="24"/>
  <c r="C6" i="23"/>
  <c r="E6" i="23"/>
  <c r="G6" i="23"/>
  <c r="G12" i="23"/>
  <c r="F4" i="23"/>
  <c r="F3" i="23" s="1"/>
  <c r="B6" i="23"/>
  <c r="D6" i="23"/>
  <c r="F6" i="23"/>
  <c r="D8" i="23"/>
  <c r="D10" i="23"/>
  <c r="D12" i="23"/>
  <c r="B14" i="23"/>
  <c r="E8" i="23"/>
  <c r="C4" i="22"/>
  <c r="C3" i="22" s="1"/>
  <c r="E4" i="22"/>
  <c r="E3" i="22" s="1"/>
  <c r="G4" i="22"/>
  <c r="G3" i="22" s="1"/>
  <c r="C8" i="22"/>
  <c r="E8" i="22"/>
  <c r="G8" i="22"/>
  <c r="C12" i="22"/>
  <c r="E12" i="22"/>
  <c r="G12" i="22"/>
  <c r="B4" i="22"/>
  <c r="D4" i="22"/>
  <c r="D3" i="22" s="1"/>
  <c r="F4" i="22"/>
  <c r="F3" i="22" s="1"/>
  <c r="D6" i="22"/>
  <c r="B8" i="22"/>
  <c r="D8" i="22"/>
  <c r="F8" i="22"/>
  <c r="F10" i="22"/>
  <c r="B12" i="22"/>
  <c r="D12" i="22"/>
  <c r="F12" i="22"/>
  <c r="C10" i="22"/>
  <c r="C12" i="21"/>
  <c r="E12" i="21"/>
  <c r="G12" i="21"/>
  <c r="B4" i="21"/>
  <c r="D4" i="21"/>
  <c r="D3" i="21" s="1"/>
  <c r="F4" i="21"/>
  <c r="F3" i="21" s="1"/>
  <c r="H4" i="21"/>
  <c r="H3" i="21" s="1"/>
  <c r="B8" i="21"/>
  <c r="D8" i="21"/>
  <c r="F8" i="21"/>
  <c r="H8" i="21"/>
  <c r="D10" i="21"/>
  <c r="B12" i="21"/>
  <c r="D12" i="21"/>
  <c r="F12" i="21"/>
  <c r="C4" i="21"/>
  <c r="C3" i="21"/>
  <c r="E4" i="21"/>
  <c r="E3" i="21"/>
  <c r="C8" i="21"/>
  <c r="E8" i="21"/>
  <c r="C12" i="20"/>
  <c r="D4" i="20"/>
  <c r="D3" i="20" s="1"/>
  <c r="B6" i="20"/>
  <c r="D6" i="20"/>
  <c r="F6" i="20"/>
  <c r="H6" i="20"/>
  <c r="D8" i="20"/>
  <c r="B10" i="20"/>
  <c r="D10" i="20"/>
  <c r="F10" i="20"/>
  <c r="H10" i="20"/>
  <c r="F12" i="20"/>
  <c r="B14" i="20"/>
  <c r="C6" i="20"/>
  <c r="E6" i="20"/>
  <c r="C10" i="20"/>
  <c r="E10" i="20"/>
  <c r="C12" i="19"/>
  <c r="D4" i="19"/>
  <c r="D3" i="19" s="1"/>
  <c r="B6" i="19"/>
  <c r="F6" i="19"/>
  <c r="B8" i="19"/>
  <c r="H10" i="19"/>
  <c r="D12" i="19"/>
  <c r="B14" i="19"/>
  <c r="E6" i="19"/>
  <c r="E6" i="18"/>
  <c r="E8" i="18"/>
  <c r="E10" i="18"/>
  <c r="E12" i="18"/>
  <c r="C4" i="17"/>
  <c r="C3" i="17"/>
  <c r="G4" i="17"/>
  <c r="G3" i="17"/>
  <c r="E8" i="17"/>
  <c r="G8" i="17"/>
  <c r="B4" i="17"/>
  <c r="F4" i="17"/>
  <c r="F3" i="17"/>
  <c r="D8" i="17"/>
  <c r="F8" i="17"/>
  <c r="F10" i="17"/>
  <c r="B12" i="17"/>
  <c r="D12" i="17"/>
  <c r="F12" i="17"/>
  <c r="H12" i="17"/>
  <c r="C12" i="17"/>
  <c r="E12" i="17"/>
  <c r="C4" i="16"/>
  <c r="C3" i="16" s="1"/>
  <c r="E3" i="16"/>
  <c r="G4" i="16"/>
  <c r="G3" i="16"/>
  <c r="E8" i="16"/>
  <c r="G8" i="16"/>
  <c r="C12" i="16"/>
  <c r="E12" i="16"/>
  <c r="G12" i="16"/>
  <c r="B4" i="16"/>
  <c r="D4" i="16"/>
  <c r="D3" i="16" s="1"/>
  <c r="F4" i="16"/>
  <c r="F3" i="16" s="1"/>
  <c r="B6" i="16"/>
  <c r="D6" i="16"/>
  <c r="F6" i="16"/>
  <c r="H6" i="16"/>
  <c r="B8" i="16"/>
  <c r="F8" i="16"/>
  <c r="B10" i="16"/>
  <c r="D10" i="16"/>
  <c r="F10" i="16"/>
  <c r="H10" i="16"/>
  <c r="B12" i="16"/>
  <c r="D12" i="16"/>
  <c r="F12" i="16"/>
  <c r="B14" i="16"/>
  <c r="C6" i="16"/>
  <c r="E6" i="16"/>
  <c r="C10" i="16"/>
  <c r="E10" i="16"/>
  <c r="D4" i="15"/>
  <c r="D3" i="15" s="1"/>
  <c r="B6" i="15"/>
  <c r="F6" i="15"/>
  <c r="B8" i="15"/>
  <c r="D10" i="15"/>
  <c r="H10" i="15"/>
  <c r="D12" i="15"/>
  <c r="B14" i="15"/>
  <c r="E6" i="15"/>
  <c r="E10" i="15"/>
  <c r="B3" i="14"/>
  <c r="B14" i="14" a="1"/>
  <c r="B12" i="14" a="1"/>
  <c r="G12" i="14" s="1"/>
  <c r="B10" i="14" a="1"/>
  <c r="B8" i="14" a="1"/>
  <c r="C8" i="14" s="1"/>
  <c r="B6" i="14" a="1"/>
  <c r="H6" i="14" s="1"/>
  <c r="B4" i="14" a="1"/>
  <c r="C6" i="14"/>
  <c r="D6" i="14"/>
  <c r="D12" i="14"/>
  <c r="I76" i="31" l="1"/>
  <c r="I168" i="31"/>
  <c r="I192" i="31"/>
  <c r="G197" i="31" s="1"/>
  <c r="H197" i="31" s="1"/>
  <c r="H196" i="31" s="1"/>
  <c r="I200" i="31" s="1"/>
  <c r="F57" i="30" s="1"/>
  <c r="N6" i="31"/>
  <c r="H12" i="14"/>
  <c r="E6" i="14"/>
  <c r="G12" i="15"/>
  <c r="E6" i="17"/>
  <c r="C10" i="18"/>
  <c r="C6" i="18"/>
  <c r="C4" i="18"/>
  <c r="C3" i="18" s="1"/>
  <c r="C6" i="19"/>
  <c r="F10" i="19"/>
  <c r="H6" i="19"/>
  <c r="D12" i="20"/>
  <c r="B8" i="20"/>
  <c r="B4" i="20"/>
  <c r="G8" i="20"/>
  <c r="G4" i="20"/>
  <c r="G3" i="20" s="1"/>
  <c r="E6" i="22"/>
  <c r="D10" i="22"/>
  <c r="B6" i="22"/>
  <c r="E10" i="23"/>
  <c r="B10" i="23"/>
  <c r="E8" i="24"/>
  <c r="D12" i="24"/>
  <c r="D8" i="24"/>
  <c r="B4" i="24"/>
  <c r="C4" i="25"/>
  <c r="C3" i="25" s="1"/>
  <c r="D4" i="25"/>
  <c r="D3" i="25" s="1"/>
  <c r="C12" i="25"/>
  <c r="D12" i="18"/>
  <c r="D8" i="18"/>
  <c r="D4" i="18"/>
  <c r="D3" i="18" s="1"/>
  <c r="D6" i="18"/>
  <c r="B12" i="18"/>
  <c r="G4" i="18"/>
  <c r="G3" i="18" s="1"/>
  <c r="G8" i="18"/>
  <c r="G12" i="18"/>
  <c r="H6" i="17"/>
  <c r="E10" i="19"/>
  <c r="D10" i="19"/>
  <c r="B12" i="20"/>
  <c r="H4" i="20"/>
  <c r="H3" i="20" s="1"/>
  <c r="G12" i="20"/>
  <c r="E8" i="20"/>
  <c r="C10" i="23"/>
  <c r="H10" i="23"/>
  <c r="C8" i="24"/>
  <c r="C4" i="24"/>
  <c r="C3" i="24" s="1"/>
  <c r="B12" i="24"/>
  <c r="B8" i="24"/>
  <c r="H4" i="24"/>
  <c r="H3" i="24" s="1"/>
  <c r="G12" i="24"/>
  <c r="F12" i="25"/>
  <c r="B4" i="25"/>
  <c r="F10" i="18"/>
  <c r="F6" i="18"/>
  <c r="H10" i="18"/>
  <c r="B6" i="21"/>
  <c r="C6" i="22"/>
  <c r="B10" i="22"/>
  <c r="H6" i="22"/>
  <c r="F8" i="15"/>
  <c r="B10" i="17"/>
  <c r="C8" i="18"/>
  <c r="C10" i="19"/>
  <c r="B10" i="19"/>
  <c r="D6" i="19"/>
  <c r="F8" i="20"/>
  <c r="F4" i="20"/>
  <c r="F3" i="20" s="1"/>
  <c r="E12" i="20"/>
  <c r="C8" i="20"/>
  <c r="C4" i="20"/>
  <c r="C3" i="20" s="1"/>
  <c r="E10" i="22"/>
  <c r="B14" i="22"/>
  <c r="H10" i="22"/>
  <c r="F6" i="22"/>
  <c r="F10" i="23"/>
  <c r="H8" i="24"/>
  <c r="F4" i="24"/>
  <c r="F3" i="24" s="1"/>
  <c r="E12" i="24"/>
  <c r="E4" i="25"/>
  <c r="E3" i="25" s="1"/>
  <c r="D12" i="25"/>
  <c r="H4" i="25"/>
  <c r="H3" i="25" s="1"/>
  <c r="G12" i="25"/>
  <c r="B14" i="18"/>
  <c r="B10" i="18"/>
  <c r="B6" i="18"/>
  <c r="D10" i="18"/>
  <c r="F8" i="18"/>
  <c r="B8" i="14"/>
  <c r="F8" i="14"/>
  <c r="G8" i="14"/>
  <c r="C4" i="19"/>
  <c r="C3" i="19" s="1"/>
  <c r="G4" i="19"/>
  <c r="G3" i="19" s="1"/>
  <c r="B4" i="19"/>
  <c r="H4" i="19"/>
  <c r="H3" i="19" s="1"/>
  <c r="E4" i="19"/>
  <c r="E3" i="19" s="1"/>
  <c r="F4" i="19"/>
  <c r="F3" i="19" s="1"/>
  <c r="G12" i="19"/>
  <c r="B12" i="19"/>
  <c r="H12" i="19"/>
  <c r="E12" i="19"/>
  <c r="F12" i="19"/>
  <c r="C6" i="21"/>
  <c r="H6" i="21"/>
  <c r="G6" i="21"/>
  <c r="D6" i="21"/>
  <c r="F6" i="21"/>
  <c r="C14" i="21"/>
  <c r="B14" i="21"/>
  <c r="G10" i="14"/>
  <c r="H10" i="14"/>
  <c r="B10" i="14"/>
  <c r="C10" i="14"/>
  <c r="D10" i="14"/>
  <c r="G8" i="15"/>
  <c r="H8" i="15"/>
  <c r="C8" i="15"/>
  <c r="D8" i="15"/>
  <c r="H10" i="17"/>
  <c r="E10" i="17"/>
  <c r="D10" i="17"/>
  <c r="G10" i="17"/>
  <c r="D4" i="23"/>
  <c r="D3" i="23" s="1"/>
  <c r="H4" i="23"/>
  <c r="H3" i="23" s="1"/>
  <c r="C4" i="23"/>
  <c r="C3" i="23" s="1"/>
  <c r="G4" i="23"/>
  <c r="G3" i="23" s="1"/>
  <c r="B4" i="23"/>
  <c r="E4" i="23"/>
  <c r="E3" i="23" s="1"/>
  <c r="C12" i="23"/>
  <c r="E12" i="23"/>
  <c r="B12" i="23"/>
  <c r="H12" i="23"/>
  <c r="F12" i="23"/>
  <c r="F6" i="25"/>
  <c r="C6" i="25"/>
  <c r="H6" i="25"/>
  <c r="G6" i="25"/>
  <c r="D6" i="25"/>
  <c r="D8" i="14"/>
  <c r="H8" i="14"/>
  <c r="E8" i="14"/>
  <c r="B4" i="14"/>
  <c r="E4" i="14"/>
  <c r="E3" i="14" s="1"/>
  <c r="H4" i="14"/>
  <c r="H3" i="14" s="1"/>
  <c r="D4" i="14"/>
  <c r="D3" i="14" s="1"/>
  <c r="G4" i="14"/>
  <c r="G3" i="14" s="1"/>
  <c r="C4" i="14"/>
  <c r="C3" i="14" s="1"/>
  <c r="F4" i="14"/>
  <c r="F3" i="14" s="1"/>
  <c r="C12" i="14"/>
  <c r="B12" i="14"/>
  <c r="F12" i="14"/>
  <c r="E12" i="14"/>
  <c r="E8" i="19"/>
  <c r="F8" i="19"/>
  <c r="G8" i="19"/>
  <c r="H8" i="19"/>
  <c r="C8" i="19"/>
  <c r="D8" i="19"/>
  <c r="E10" i="21"/>
  <c r="B10" i="21"/>
  <c r="G10" i="21"/>
  <c r="F10" i="21"/>
  <c r="C10" i="21"/>
  <c r="H10" i="21"/>
  <c r="F10" i="14"/>
  <c r="E10" i="14"/>
  <c r="F6" i="14"/>
  <c r="B6" i="14"/>
  <c r="G6" i="14"/>
  <c r="B14" i="14"/>
  <c r="C14" i="14"/>
  <c r="C4" i="15"/>
  <c r="C3" i="15" s="1"/>
  <c r="G4" i="15"/>
  <c r="G3" i="15" s="1"/>
  <c r="B4" i="15"/>
  <c r="H4" i="15"/>
  <c r="H3" i="15" s="1"/>
  <c r="E4" i="15"/>
  <c r="E3" i="15" s="1"/>
  <c r="B12" i="15"/>
  <c r="H12" i="15"/>
  <c r="E12" i="15"/>
  <c r="F12" i="15"/>
  <c r="F6" i="17"/>
  <c r="C6" i="17"/>
  <c r="G6" i="17"/>
  <c r="B6" i="17"/>
  <c r="C14" i="17"/>
  <c r="B14" i="17"/>
  <c r="H8" i="23"/>
  <c r="B8" i="23"/>
  <c r="C8" i="23"/>
  <c r="G8" i="23"/>
  <c r="F8" i="23"/>
  <c r="H10" i="25"/>
  <c r="B10" i="25"/>
  <c r="G10" i="25"/>
  <c r="F10" i="25"/>
  <c r="C10" i="25"/>
  <c r="E10" i="25"/>
  <c r="C10" i="15"/>
  <c r="F10" i="15"/>
  <c r="D6" i="15"/>
  <c r="D8" i="16"/>
  <c r="B8" i="17"/>
  <c r="D4" i="17"/>
  <c r="D3" i="17" s="1"/>
  <c r="C8" i="17"/>
  <c r="E4" i="17"/>
  <c r="E3" i="17" s="1"/>
  <c r="C14" i="25"/>
  <c r="C6" i="15"/>
  <c r="B10" i="15"/>
  <c r="H6" i="15"/>
  <c r="C10" i="33"/>
  <c r="C20" i="33"/>
  <c r="C15" i="33"/>
  <c r="I195" i="3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<sst xmlns="http://schemas.openxmlformats.org/spreadsheetml/2006/main" count="771" uniqueCount="524">
  <si>
    <t>PROJETOS 2024</t>
  </si>
  <si>
    <t>PROJETOS</t>
  </si>
  <si>
    <t>FORMATO/GÊNERO</t>
  </si>
  <si>
    <t>PRODUTORA</t>
  </si>
  <si>
    <t>COPRODUTORES</t>
  </si>
  <si>
    <t>ESTÁGIO DE PRODUÇÃO</t>
  </si>
  <si>
    <t>ORÇAMENTO</t>
  </si>
  <si>
    <t>STATUS</t>
  </si>
  <si>
    <t>OBSERVAÇÕES</t>
  </si>
  <si>
    <t>Dique</t>
  </si>
  <si>
    <t>Curta-Metragem / Drama / Suspense</t>
  </si>
  <si>
    <t>mãmu</t>
  </si>
  <si>
    <t>Clarissa, Maria Clara, Carol</t>
  </si>
  <si>
    <t>Desenvolvimento</t>
  </si>
  <si>
    <t xml:space="preserve">Roteiro em finalização; pendências na rouanet em processo de resposta; </t>
  </si>
  <si>
    <t>A Grande Colheita</t>
  </si>
  <si>
    <t>Longa-Metragem / Terror</t>
  </si>
  <si>
    <t>Film-In</t>
  </si>
  <si>
    <t>Thassilo Weber</t>
  </si>
  <si>
    <t>3Tabelas</t>
  </si>
  <si>
    <t>Podcast / Videocast / Educacional</t>
  </si>
  <si>
    <t>Eduardo Kenzo</t>
  </si>
  <si>
    <t>CRONOGRAMA MECANISMOS DE INCENTIVO</t>
  </si>
  <si>
    <t>LEIS DE INCENTIVO</t>
  </si>
  <si>
    <t>LEI</t>
  </si>
  <si>
    <t>ESFERA</t>
  </si>
  <si>
    <t>IMPOSTO</t>
  </si>
  <si>
    <t>INÍCIO INSCRIÇÃO</t>
  </si>
  <si>
    <t>PERÍODO</t>
  </si>
  <si>
    <t>PRAZO PARA INSCRIÇÃO DE PROJETOS</t>
  </si>
  <si>
    <t>PROJETO</t>
  </si>
  <si>
    <t>VALOR</t>
  </si>
  <si>
    <t>RESTRIÇÕES</t>
  </si>
  <si>
    <t>EMPRESAS</t>
  </si>
  <si>
    <t>SITE</t>
  </si>
  <si>
    <t>Lei do ISS</t>
  </si>
  <si>
    <t>Municipal</t>
  </si>
  <si>
    <t>ISS</t>
  </si>
  <si>
    <t>01/05/2024 - 31/05/2024</t>
  </si>
  <si>
    <t>Lei do ICMS</t>
  </si>
  <si>
    <t>Estadual</t>
  </si>
  <si>
    <t>ICMS</t>
  </si>
  <si>
    <t>01/07/2024 - 01/08/2024</t>
  </si>
  <si>
    <t>Lei do Audiovisual</t>
  </si>
  <si>
    <t>Federal</t>
  </si>
  <si>
    <t>Imposto de Renda</t>
  </si>
  <si>
    <t>N/A</t>
  </si>
  <si>
    <t>Lei de Incentivo a Cultura (Rouanet)</t>
  </si>
  <si>
    <t>https://portaldoiss.prefeitura.rio/a-lei-do-iss/</t>
  </si>
  <si>
    <t>Prorrogação até 31/01/2023 (Kenzo)</t>
  </si>
  <si>
    <t>EDITAIS</t>
  </si>
  <si>
    <t>EDITAL</t>
  </si>
  <si>
    <t>RioFilme</t>
  </si>
  <si>
    <t>01/08/2024 - 01/09/2024</t>
  </si>
  <si>
    <t>Itaú Rumos</t>
  </si>
  <si>
    <t>10/10/2024 - 10/12/2024</t>
  </si>
  <si>
    <t>Pode mesmo com ISS?</t>
  </si>
  <si>
    <t>Resumo</t>
  </si>
  <si>
    <t>ORÇAMENTO CAPTADO</t>
  </si>
  <si>
    <t>Desenvolvimento do Projeto</t>
  </si>
  <si>
    <t>Lab</t>
  </si>
  <si>
    <t>Local</t>
  </si>
  <si>
    <t>Participante</t>
  </si>
  <si>
    <t>Data de realização</t>
  </si>
  <si>
    <t>Início Inscrição</t>
  </si>
  <si>
    <t>Término Inscrição</t>
  </si>
  <si>
    <t xml:space="preserve">Valor </t>
  </si>
  <si>
    <t>Requisitos para inscrição</t>
  </si>
  <si>
    <t>Resultado Seleção</t>
  </si>
  <si>
    <t>Link Inscrição</t>
  </si>
  <si>
    <t>Modelo de Negócios</t>
  </si>
  <si>
    <t>Investidores</t>
  </si>
  <si>
    <t>Previsão de Filmagem</t>
  </si>
  <si>
    <t>Composição das fontes financiáveis</t>
  </si>
  <si>
    <t>Talents</t>
  </si>
  <si>
    <t xml:space="preserve">Coproduções </t>
  </si>
  <si>
    <t>Equity %</t>
  </si>
  <si>
    <t>Distribuidora</t>
  </si>
  <si>
    <t>Product Placement</t>
  </si>
  <si>
    <t>Apoios</t>
  </si>
  <si>
    <t>Estratégias de colocação</t>
  </si>
  <si>
    <t>Contrapartidas</t>
  </si>
  <si>
    <t>Prefeitura: Film Commission Vassouras</t>
  </si>
  <si>
    <t>Status</t>
  </si>
  <si>
    <t>Tarefas</t>
  </si>
  <si>
    <t>Prazo</t>
  </si>
  <si>
    <t>Responsável</t>
  </si>
  <si>
    <t>Fase</t>
  </si>
  <si>
    <t>Departamento</t>
  </si>
  <si>
    <t>Observações</t>
  </si>
  <si>
    <t>Baixa</t>
  </si>
  <si>
    <t>Fechar roteiro</t>
  </si>
  <si>
    <t>Clarissa e Jessica</t>
  </si>
  <si>
    <t>Roteiro</t>
  </si>
  <si>
    <t>Contratos iniciais</t>
  </si>
  <si>
    <t>Alice</t>
  </si>
  <si>
    <t>Jurídico</t>
  </si>
  <si>
    <t>Fechar rouanet</t>
  </si>
  <si>
    <t>Carol e Jessica</t>
  </si>
  <si>
    <t>Produção Executiva</t>
  </si>
  <si>
    <t>Film comission vassouras</t>
  </si>
  <si>
    <t>Carol, Jessica, Maria Clara</t>
  </si>
  <si>
    <t>Ajustar orçamento</t>
  </si>
  <si>
    <t>Plano de Distribuição</t>
  </si>
  <si>
    <t>Circuito de festivais</t>
  </si>
  <si>
    <t>Festival</t>
  </si>
  <si>
    <t>Origem</t>
  </si>
  <si>
    <t>Ineditismo</t>
  </si>
  <si>
    <t>Categoria de Exibição</t>
  </si>
  <si>
    <t>Link do corte a ser enviado</t>
  </si>
  <si>
    <t>Eventos de Mercado</t>
  </si>
  <si>
    <t>Evento</t>
  </si>
  <si>
    <t>Cidade / País</t>
  </si>
  <si>
    <t>Início Vendas</t>
  </si>
  <si>
    <t>Valor</t>
  </si>
  <si>
    <t>Comercialização</t>
  </si>
  <si>
    <t>Previsão de Estreia</t>
  </si>
  <si>
    <t>outubro 2024</t>
  </si>
  <si>
    <t>Player</t>
  </si>
  <si>
    <t>Território</t>
  </si>
  <si>
    <t>Previsão de Lançamento</t>
  </si>
  <si>
    <t>Holdbacks</t>
  </si>
  <si>
    <t>Prazo da licença</t>
  </si>
  <si>
    <t>Janela</t>
  </si>
  <si>
    <t>Agregador / Sales Agent</t>
  </si>
  <si>
    <t>Relatórios de Comercialização</t>
  </si>
  <si>
    <t>Sócios (% RLP)</t>
  </si>
  <si>
    <t>Carta de intenção</t>
  </si>
  <si>
    <t>Editais</t>
  </si>
  <si>
    <t>Estratégia de colocação do produto no mercado</t>
  </si>
  <si>
    <t>Data Assinatura Contrato</t>
  </si>
  <si>
    <t>Data Término Licença</t>
  </si>
  <si>
    <t>Aprovações</t>
  </si>
  <si>
    <t>Pitchings</t>
  </si>
  <si>
    <t>Players</t>
  </si>
  <si>
    <t>Apresentação</t>
  </si>
  <si>
    <t>Data</t>
  </si>
  <si>
    <t>Feedback</t>
  </si>
  <si>
    <t>Follow-up</t>
  </si>
  <si>
    <t xml:space="preserve">
ORÇAMENTO | DIQUE</t>
  </si>
  <si>
    <t>Itens</t>
  </si>
  <si>
    <t>Descrição dos Itens</t>
  </si>
  <si>
    <t>qtde
unid/s</t>
  </si>
  <si>
    <t>unidade</t>
  </si>
  <si>
    <t>qtde 
item</t>
  </si>
  <si>
    <t>Valor
unitário</t>
  </si>
  <si>
    <t>Sub-Total</t>
  </si>
  <si>
    <t>Total</t>
  </si>
  <si>
    <t>Alimentação</t>
  </si>
  <si>
    <t>Desenvolvimento de Projeto</t>
  </si>
  <si>
    <t>1.1</t>
  </si>
  <si>
    <t>1.1.2</t>
  </si>
  <si>
    <t>Aquisição dos direitos sobre a obra literária</t>
  </si>
  <si>
    <t>sócia</t>
  </si>
  <si>
    <t>1.1.3</t>
  </si>
  <si>
    <t>Aquisição dos direitos de roteiro</t>
  </si>
  <si>
    <t>fee</t>
  </si>
  <si>
    <t>1.1.4</t>
  </si>
  <si>
    <t>Consultoria técnica</t>
  </si>
  <si>
    <t xml:space="preserve">Pré Produção -  1,5 semanas de pré </t>
  </si>
  <si>
    <t>2.1</t>
  </si>
  <si>
    <t>Equipe Direção</t>
  </si>
  <si>
    <t>2.1.1</t>
  </si>
  <si>
    <t>1º Assistente de Direção</t>
  </si>
  <si>
    <t>semana</t>
  </si>
  <si>
    <t>2.1.2</t>
  </si>
  <si>
    <t>2º Assistente de Direção/ estagiária</t>
  </si>
  <si>
    <t>2.1.3</t>
  </si>
  <si>
    <t>Continuísta</t>
  </si>
  <si>
    <t>semanas</t>
  </si>
  <si>
    <t>2.1.4</t>
  </si>
  <si>
    <t>Assistente de continuidade</t>
  </si>
  <si>
    <t>2.2</t>
  </si>
  <si>
    <t>Equipe Produção</t>
  </si>
  <si>
    <t>2.2.1</t>
  </si>
  <si>
    <t xml:space="preserve">Produtor Executivo </t>
  </si>
  <si>
    <t>sócios</t>
  </si>
  <si>
    <t>2.2.2</t>
  </si>
  <si>
    <t>Diretora de produção</t>
  </si>
  <si>
    <t>2.2.3</t>
  </si>
  <si>
    <t>Coordenadora de produção</t>
  </si>
  <si>
    <t>2.2.4</t>
  </si>
  <si>
    <t>Assistente de produção</t>
  </si>
  <si>
    <t>2.2.5</t>
  </si>
  <si>
    <t>Platô</t>
  </si>
  <si>
    <t>2.3</t>
  </si>
  <si>
    <t>Equipe Arte</t>
  </si>
  <si>
    <t>2.3.1</t>
  </si>
  <si>
    <t>Diretor de Arte</t>
  </si>
  <si>
    <t>pacote</t>
  </si>
  <si>
    <t>2.3.2</t>
  </si>
  <si>
    <t>Assistente de Arte / produtora de objetos</t>
  </si>
  <si>
    <t>2.3.3</t>
  </si>
  <si>
    <t>Ajudante de Arte / Contrarregra (amiga irmã carol)</t>
  </si>
  <si>
    <t>Pintor/Faz-tudo de set (cleberson)</t>
  </si>
  <si>
    <t>2.3.4</t>
  </si>
  <si>
    <t>Designer (fora do set) - Manu</t>
  </si>
  <si>
    <t>a definir</t>
  </si>
  <si>
    <t>2.4</t>
  </si>
  <si>
    <t>Equipe Figurino</t>
  </si>
  <si>
    <t>2.4.1</t>
  </si>
  <si>
    <t>Figurinista</t>
  </si>
  <si>
    <t>2.4.2</t>
  </si>
  <si>
    <t>Assistente de figurino (anna julia)</t>
  </si>
  <si>
    <t>2.5</t>
  </si>
  <si>
    <t>Equipe Maquiagem</t>
  </si>
  <si>
    <t>2.5.1</t>
  </si>
  <si>
    <t xml:space="preserve">Maquiador e Cabeleireiro </t>
  </si>
  <si>
    <t>2.5.2</t>
  </si>
  <si>
    <t>Assistente de maquiagem e cabelo</t>
  </si>
  <si>
    <t>verba</t>
  </si>
  <si>
    <t>2.6</t>
  </si>
  <si>
    <t>Equipe Fotografia</t>
  </si>
  <si>
    <t>2.6.1</t>
  </si>
  <si>
    <t>Diretor de Fotografia</t>
  </si>
  <si>
    <t>2.6.2</t>
  </si>
  <si>
    <t>1º Assistente de câmera (Foquista)</t>
  </si>
  <si>
    <t>2.6.3</t>
  </si>
  <si>
    <t>2º Assistente de câmera / Video Assist</t>
  </si>
  <si>
    <t>2.7</t>
  </si>
  <si>
    <t>Equipe Elétrica</t>
  </si>
  <si>
    <t>2.7.1</t>
  </si>
  <si>
    <t>Gaffer</t>
  </si>
  <si>
    <t>2.7.2</t>
  </si>
  <si>
    <t>Assistente de elétrica</t>
  </si>
  <si>
    <t>2.8</t>
  </si>
  <si>
    <t>Equipe Maquinária</t>
  </si>
  <si>
    <t>2.8.1</t>
  </si>
  <si>
    <t>Maquinista Chefe</t>
  </si>
  <si>
    <t xml:space="preserve"> </t>
  </si>
  <si>
    <t>2.8.2</t>
  </si>
  <si>
    <t>Assistente de maquinária</t>
  </si>
  <si>
    <t>2.9</t>
  </si>
  <si>
    <t>Equipe Som</t>
  </si>
  <si>
    <t>2.9.1</t>
  </si>
  <si>
    <t>Diretor de Som</t>
  </si>
  <si>
    <t>2.9.2</t>
  </si>
  <si>
    <t>Microfonista</t>
  </si>
  <si>
    <t>2.9.3</t>
  </si>
  <si>
    <t>Assistente de som</t>
  </si>
  <si>
    <t>2.10</t>
  </si>
  <si>
    <t>Equipe Financeiro</t>
  </si>
  <si>
    <t>2.10.1</t>
  </si>
  <si>
    <t>Controller (fora do set)</t>
  </si>
  <si>
    <t>2.11</t>
  </si>
  <si>
    <t>Despesas de Produção</t>
  </si>
  <si>
    <t>2.11.1</t>
  </si>
  <si>
    <t>Infraestrutura de escritório (material, café, papel higienico, etc)</t>
  </si>
  <si>
    <t>Impressão de Roteiro</t>
  </si>
  <si>
    <t>unidades</t>
  </si>
  <si>
    <t>2.12</t>
  </si>
  <si>
    <t>2.12.1</t>
  </si>
  <si>
    <t>ticket</t>
  </si>
  <si>
    <t>2.12.2</t>
  </si>
  <si>
    <t>Alimentação ensaios</t>
  </si>
  <si>
    <t>2.12.3</t>
  </si>
  <si>
    <t>Alimentação visita de locação - primeira visita</t>
  </si>
  <si>
    <t>reembolso jessica</t>
  </si>
  <si>
    <t>2.12.4</t>
  </si>
  <si>
    <t>Alimentação visita executiva/técnica</t>
  </si>
  <si>
    <t>2.12.5</t>
  </si>
  <si>
    <t xml:space="preserve">Alimentação visita técnica - fotografia </t>
  </si>
  <si>
    <t>2.13</t>
  </si>
  <si>
    <t>Transporte</t>
  </si>
  <si>
    <t>2.13.1</t>
  </si>
  <si>
    <t>Vans e Carros</t>
  </si>
  <si>
    <t>Caminhões e pickups</t>
  </si>
  <si>
    <t>2.13.5</t>
  </si>
  <si>
    <t>Pickup ou caminhãozinho baú de luz, câmera, maquinária e arte</t>
  </si>
  <si>
    <t>diária</t>
  </si>
  <si>
    <t>2.13.3</t>
  </si>
  <si>
    <t>Combustível e Outros</t>
  </si>
  <si>
    <t>Combustível - carros</t>
  </si>
  <si>
    <t>tickets</t>
  </si>
  <si>
    <t>Combustível - caminhão e van</t>
  </si>
  <si>
    <t>Uber</t>
  </si>
  <si>
    <t>Pedágio Van</t>
  </si>
  <si>
    <t>Pedágio Caminhão</t>
  </si>
  <si>
    <t>Pedágio Carro</t>
  </si>
  <si>
    <t>Motoboy</t>
  </si>
  <si>
    <t>2.15</t>
  </si>
  <si>
    <t>Hospedagem</t>
  </si>
  <si>
    <t>2.15.1</t>
  </si>
  <si>
    <t>Hospedagem equipe - preparação Vassouras</t>
  </si>
  <si>
    <t>diárias</t>
  </si>
  <si>
    <t>2.16</t>
  </si>
  <si>
    <t>Segurança</t>
  </si>
  <si>
    <t>2.16.1</t>
  </si>
  <si>
    <t>Segurança - equipamento/casa</t>
  </si>
  <si>
    <t>Produção/Filmagem - 04 diárias</t>
  </si>
  <si>
    <t>3.1</t>
  </si>
  <si>
    <t>3.1.1</t>
  </si>
  <si>
    <t>Diretor (pelo filme)</t>
  </si>
  <si>
    <t>sócio</t>
  </si>
  <si>
    <t>3.1.2</t>
  </si>
  <si>
    <t>3.1.3</t>
  </si>
  <si>
    <t>2º Assistente de Direção</t>
  </si>
  <si>
    <t>3.1.4</t>
  </si>
  <si>
    <t>Continuista</t>
  </si>
  <si>
    <t>3.1.5</t>
  </si>
  <si>
    <t>3.2</t>
  </si>
  <si>
    <t>3.2.2</t>
  </si>
  <si>
    <t>3.2.4</t>
  </si>
  <si>
    <t>Diretor de Produção</t>
  </si>
  <si>
    <t>Semana</t>
  </si>
  <si>
    <t>3.2.5</t>
  </si>
  <si>
    <t>Coordenador de produção</t>
  </si>
  <si>
    <t>3.2.6</t>
  </si>
  <si>
    <t>3.3</t>
  </si>
  <si>
    <t>3.3.1</t>
  </si>
  <si>
    <t>3.3.2</t>
  </si>
  <si>
    <t xml:space="preserve">Assistente de Arte </t>
  </si>
  <si>
    <t>3.3.3</t>
  </si>
  <si>
    <t>Ajudante de Arte / Contrarregra</t>
  </si>
  <si>
    <t>Limpeza de set</t>
  </si>
  <si>
    <t>3.4</t>
  </si>
  <si>
    <t>3.4.1</t>
  </si>
  <si>
    <t>Assistente de figurino</t>
  </si>
  <si>
    <t>3.5</t>
  </si>
  <si>
    <t>3.5.1</t>
  </si>
  <si>
    <t>Maquiador e cabeleireiro</t>
  </si>
  <si>
    <t>3.5.2</t>
  </si>
  <si>
    <t>3.6</t>
  </si>
  <si>
    <t>3.6.1</t>
  </si>
  <si>
    <t>3.6.2</t>
  </si>
  <si>
    <t>Foquista</t>
  </si>
  <si>
    <t>Assistente de câmera / video assist</t>
  </si>
  <si>
    <t>3.6.5</t>
  </si>
  <si>
    <t>Logger</t>
  </si>
  <si>
    <t>3.7</t>
  </si>
  <si>
    <t>3.7.1</t>
  </si>
  <si>
    <t>3.7.2</t>
  </si>
  <si>
    <t>1º Assistente de Elétrica</t>
  </si>
  <si>
    <t>3.8</t>
  </si>
  <si>
    <t>3.8.1</t>
  </si>
  <si>
    <t>Maquinista chefe</t>
  </si>
  <si>
    <t>3.9</t>
  </si>
  <si>
    <t>Som</t>
  </si>
  <si>
    <t>3.9.1</t>
  </si>
  <si>
    <t>Diretor de som</t>
  </si>
  <si>
    <t>acima</t>
  </si>
  <si>
    <t>3.9.2</t>
  </si>
  <si>
    <t>Microfonista (beto)</t>
  </si>
  <si>
    <t>Assistente de som (lui)</t>
  </si>
  <si>
    <t>3.10</t>
  </si>
  <si>
    <t>3.10.1</t>
  </si>
  <si>
    <t>3.11</t>
  </si>
  <si>
    <t>Elenco</t>
  </si>
  <si>
    <t>3.11.1</t>
  </si>
  <si>
    <t>Elenco principal</t>
  </si>
  <si>
    <t>Participações especiais</t>
  </si>
  <si>
    <t>cache</t>
  </si>
  <si>
    <t>3.15</t>
  </si>
  <si>
    <t>Equipamentos e Consumiveis</t>
  </si>
  <si>
    <t>3.15.1</t>
  </si>
  <si>
    <t>Kit de Câmera e Lentes</t>
  </si>
  <si>
    <t>Drone</t>
  </si>
  <si>
    <t>Grua, steadicam, etc?</t>
  </si>
  <si>
    <t>3.15.2</t>
  </si>
  <si>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erador com geradorista</t>
    </r>
  </si>
  <si>
    <t>3.15.3</t>
  </si>
  <si>
    <t>Equipamento de Som Direto</t>
  </si>
  <si>
    <t xml:space="preserve">Equipamento de luz </t>
  </si>
  <si>
    <t>Equipamento de maquinária</t>
  </si>
  <si>
    <t>Equipamentos de elétrica</t>
  </si>
  <si>
    <t>3.15.5</t>
  </si>
  <si>
    <t>Consumíveis de Elétrica, Câmera e Som</t>
  </si>
  <si>
    <t>3.16</t>
  </si>
  <si>
    <t>Efeitos Especiais</t>
  </si>
  <si>
    <t>3.16.1</t>
  </si>
  <si>
    <t>Pacote Efeitista, Equipamentos e Materiais</t>
  </si>
  <si>
    <t>3.19</t>
  </si>
  <si>
    <t>Locações</t>
  </si>
  <si>
    <t>3.19.1</t>
  </si>
  <si>
    <t>3.20</t>
  </si>
  <si>
    <t>Cenários</t>
  </si>
  <si>
    <t>3.20.1</t>
  </si>
  <si>
    <t>Decoração / dressing</t>
  </si>
  <si>
    <t>Construção de cenário/ manutenção</t>
  </si>
  <si>
    <t>3.20.2</t>
  </si>
  <si>
    <t>Objetos de Cena</t>
  </si>
  <si>
    <t>3.21</t>
  </si>
  <si>
    <t>Figurino</t>
  </si>
  <si>
    <t>3.21.1</t>
  </si>
  <si>
    <t>Compra e aluguel de roupas e acessórios</t>
  </si>
  <si>
    <t>3.21.2</t>
  </si>
  <si>
    <t>Costura e reparos</t>
  </si>
  <si>
    <t>3.22</t>
  </si>
  <si>
    <t>Maquiagem</t>
  </si>
  <si>
    <t>3.22.1</t>
  </si>
  <si>
    <t>Compra maquiagem, aluguel de perucas, visagismo</t>
  </si>
  <si>
    <t>3.23</t>
  </si>
  <si>
    <t>3.23.1</t>
  </si>
  <si>
    <t>Infraestrutura de Set (barracas, pranchões, cadeiras, etc)</t>
  </si>
  <si>
    <t>3.23.2</t>
  </si>
  <si>
    <t>3.23.3</t>
  </si>
  <si>
    <t>Impressora</t>
  </si>
  <si>
    <t>3.23.4</t>
  </si>
  <si>
    <t>Rádio</t>
  </si>
  <si>
    <t>18 reais a diaria</t>
  </si>
  <si>
    <t>3.23.5</t>
  </si>
  <si>
    <t>Repelente, kit primeiro socorros etc</t>
  </si>
  <si>
    <t>Alimentação de Set (Catering)</t>
  </si>
  <si>
    <t>OBS. Preciso entender melhor</t>
  </si>
  <si>
    <t>esquema da cozinheira da fazenda</t>
  </si>
  <si>
    <t>3.22.2</t>
  </si>
  <si>
    <t>Alimentação extra</t>
  </si>
  <si>
    <t>Carro de produção</t>
  </si>
  <si>
    <t xml:space="preserve">Van de equipe </t>
  </si>
  <si>
    <t>Van de camera e som</t>
  </si>
  <si>
    <t>Van de arte/ figurino / maquiagem</t>
  </si>
  <si>
    <t>Caminhões e Outros Veículos</t>
  </si>
  <si>
    <t>3.23.6</t>
  </si>
  <si>
    <t>Pickup arte, figurino, maquiagem, elétrica e maquinária</t>
  </si>
  <si>
    <t>3.23.9</t>
  </si>
  <si>
    <t>Combustível</t>
  </si>
  <si>
    <t>3.23.10</t>
  </si>
  <si>
    <t>Taxis e uber</t>
  </si>
  <si>
    <t>3.23.11</t>
  </si>
  <si>
    <t>Estacionamento, Pedágio, Zona Azul</t>
  </si>
  <si>
    <t>3.23.12</t>
  </si>
  <si>
    <t>Km fora do município</t>
  </si>
  <si>
    <t>km</t>
  </si>
  <si>
    <t>3.25</t>
  </si>
  <si>
    <t>Viagens</t>
  </si>
  <si>
    <t>3.25.2</t>
  </si>
  <si>
    <t>Pós Produção (8 semanas)</t>
  </si>
  <si>
    <t>4.1</t>
  </si>
  <si>
    <t>Equipe</t>
  </si>
  <si>
    <t>4.1.1</t>
  </si>
  <si>
    <t>Coordenador de Pós Produção</t>
  </si>
  <si>
    <t>4.1.2</t>
  </si>
  <si>
    <t>Montador</t>
  </si>
  <si>
    <t>4.2</t>
  </si>
  <si>
    <t>Laboratório de imagem</t>
  </si>
  <si>
    <t>4.2.1</t>
  </si>
  <si>
    <t>Intermediação Digital - captura, render, export e correção de cor</t>
  </si>
  <si>
    <t>4.2.2</t>
  </si>
  <si>
    <t>Lettering (Manu)</t>
  </si>
  <si>
    <t>4.4</t>
  </si>
  <si>
    <t>Edição de Som e Mixagem</t>
  </si>
  <si>
    <t>4.4.1</t>
  </si>
  <si>
    <t>4.5</t>
  </si>
  <si>
    <t>Música</t>
  </si>
  <si>
    <t>4.5.1</t>
  </si>
  <si>
    <t>Trilha Original</t>
  </si>
  <si>
    <t>4.7</t>
  </si>
  <si>
    <t>Tradução, Legendagem e Acessibilidade</t>
  </si>
  <si>
    <t>4.7.1</t>
  </si>
  <si>
    <t>Legendagem, audiodescrição e LIBRAS</t>
  </si>
  <si>
    <t>serviço</t>
  </si>
  <si>
    <t>4.8</t>
  </si>
  <si>
    <t>Material sensível e Masters</t>
  </si>
  <si>
    <t>4.8.1</t>
  </si>
  <si>
    <t>HD's, DVDs, Fitas, negativos e outras mídias</t>
  </si>
  <si>
    <t>4.8.2</t>
  </si>
  <si>
    <t>Masters e Deliveries</t>
  </si>
  <si>
    <t>4.9</t>
  </si>
  <si>
    <t>Despesas de Pós</t>
  </si>
  <si>
    <t>4.9.4</t>
  </si>
  <si>
    <t>Remessas de Material Sensível (motoboy, correio, courrier)</t>
  </si>
  <si>
    <t>Despesas Administrativas</t>
  </si>
  <si>
    <t>5.1</t>
  </si>
  <si>
    <t>Contabilidade e Jurídico</t>
  </si>
  <si>
    <t>5.1.1</t>
  </si>
  <si>
    <t>Assessoria Contábil</t>
  </si>
  <si>
    <t>5.1.2</t>
  </si>
  <si>
    <t>Assessoria Jurídica</t>
  </si>
  <si>
    <t>5.2</t>
  </si>
  <si>
    <t>Seguros</t>
  </si>
  <si>
    <t>5.2.1</t>
  </si>
  <si>
    <t>Seguro do Filme</t>
  </si>
  <si>
    <t>6</t>
  </si>
  <si>
    <t>Total da Produção</t>
  </si>
  <si>
    <t>7</t>
  </si>
  <si>
    <r>
      <rPr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Gerenciamento</t>
    </r>
    <r>
      <rPr>
        <sz val="8"/>
        <color rgb="FF000000"/>
        <rFont val="Arial"/>
        <family val="2"/>
      </rPr>
      <t xml:space="preserve"> ( ate 10% somatorio itens 1 a 7)</t>
    </r>
  </si>
  <si>
    <t>verba pra divulgacao/lançamento</t>
  </si>
  <si>
    <t>7.1</t>
  </si>
  <si>
    <t>Gerenciamento e Execução</t>
  </si>
  <si>
    <t>tributos/impostos</t>
  </si>
  <si>
    <t>7.1.1</t>
  </si>
  <si>
    <t>TOTAL DO PROJETO</t>
  </si>
  <si>
    <t>150 / 200</t>
  </si>
  <si>
    <t>CUSTOS EXTRAOFICIAIS</t>
  </si>
  <si>
    <t>Item</t>
  </si>
  <si>
    <t>Justificativa</t>
  </si>
  <si>
    <t>Projeto</t>
  </si>
  <si>
    <t>Observação</t>
  </si>
  <si>
    <t>TOTAL</t>
  </si>
  <si>
    <t>Weekly lesson planner</t>
  </si>
  <si>
    <t>8:00 – 8:45</t>
  </si>
  <si>
    <t>8:45 – 9:30</t>
  </si>
  <si>
    <t>9:30 – 10:15</t>
  </si>
  <si>
    <t>10:30 – 11:30</t>
  </si>
  <si>
    <t>11:30 – 12:00</t>
  </si>
  <si>
    <t>Notes</t>
  </si>
  <si>
    <t>MON</t>
  </si>
  <si>
    <t>TUE</t>
  </si>
  <si>
    <t xml:space="preserve"> WED</t>
  </si>
  <si>
    <t>THU</t>
  </si>
  <si>
    <t>FRI</t>
  </si>
  <si>
    <t>SABADO</t>
  </si>
  <si>
    <t>DOMINGO</t>
  </si>
  <si>
    <t>Calendar Settings</t>
  </si>
  <si>
    <t>Year</t>
  </si>
  <si>
    <t>Week Start</t>
  </si>
  <si>
    <t>Monday</t>
  </si>
  <si>
    <t>Contratos</t>
  </si>
  <si>
    <t>Colaborador</t>
  </si>
  <si>
    <t>Razão Social</t>
  </si>
  <si>
    <t>Data Assinatura</t>
  </si>
  <si>
    <t>Serviço / Função</t>
  </si>
  <si>
    <t>Calendário de Pagamentos</t>
  </si>
  <si>
    <t>Data de pagamentos</t>
  </si>
  <si>
    <t>Valor Total</t>
  </si>
  <si>
    <t>Parcelas</t>
  </si>
  <si>
    <t>Data 1º pagamento</t>
  </si>
  <si>
    <t>Executado</t>
  </si>
  <si>
    <t>CAP</t>
  </si>
  <si>
    <t>Under / Over</t>
  </si>
  <si>
    <t>Custos Extras</t>
  </si>
  <si>
    <t>LEGENDA</t>
  </si>
  <si>
    <t>Serviço</t>
  </si>
  <si>
    <t>Viagem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</si>
</sst>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43" formatCode="_-* #,##0.00_-;\-* #,##0.00_-;_-* &quot;-&quot;??_-;_-@_-"/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d"/>
    <numFmt numFmtId="169" formatCode="#,##0.00;[Red]#,##0.00"/>
    <numFmt numFmtId="170" formatCode="_(&quot;R$ &quot;* #,##0.00_);_(&quot;R$ &quot;* \(#,##0.00\);_(&quot;R$ &quot;* &quot;-&quot;??_);_(@_)"/>
    <numFmt numFmtId="171" formatCode="#,##0.0"/>
    <numFmt numFmtId="172" formatCode="mmm\ dd"/>
    <numFmt numFmtId="173" formatCode="mmm\,\ dd"/>
    <numFmt numFmtId="174" formatCode="_-[$R$-416]\ * #,##0.00_-;\-[$R$-416]\ * #,##0.00_-;_-[$R$-416]\ * &quot;-&quot;??_-;_-@_-"/>
    <numFmt numFmtId="175" formatCode="&quot;$&quot;#,##0.00"/>
    <numFmt numFmtId="178" formatCode="&quot;R$&quot;\ #,##0.00"/>
  </numFmts>
  <fonts count="86" x14ac:knownFonts="1">
    <font>
      <sz val="11"/>
      <color theme="1" tint="0.24994659260841701"/>
      <name val="Lucida Bright"/>
      <family val="2"/>
      <scheme val="minor"/>
    </font>
    <font>
      <sz val="12"/>
      <color theme="1"/>
      <name val="Lucida Bright"/>
      <family val="2"/>
      <scheme val="minor"/>
    </font>
    <font>
      <sz val="8"/>
      <name val="Arial"/>
      <family val="2"/>
    </font>
    <font>
      <b/>
      <sz val="11"/>
      <color theme="0"/>
      <name val="Lucida Bright"/>
      <family val="2"/>
      <scheme val="minor"/>
    </font>
    <font>
      <b/>
      <sz val="14"/>
      <color theme="0"/>
      <name val="Lucida Bright"/>
      <family val="2"/>
      <scheme val="minor"/>
    </font>
    <font>
      <sz val="35"/>
      <color theme="4"/>
      <name val="Lucida Bright"/>
      <family val="2"/>
      <scheme val="minor"/>
    </font>
    <font>
      <sz val="12"/>
      <color theme="4" tint="-0.24994659260841701"/>
      <name val="Cambria"/>
      <family val="1"/>
      <scheme val="major"/>
    </font>
    <font>
      <sz val="11"/>
      <color theme="1" tint="0.34998626667073579"/>
      <name val="Lucida Bright"/>
      <family val="2"/>
      <scheme val="minor"/>
    </font>
    <font>
      <sz val="11"/>
      <color theme="4" tint="-0.24994659260841701"/>
      <name val="Lucida Bright"/>
      <family val="2"/>
      <scheme val="minor"/>
    </font>
    <font>
      <sz val="11"/>
      <color indexed="63"/>
      <name val="Lucida Bright"/>
      <family val="2"/>
      <scheme val="minor"/>
    </font>
    <font>
      <sz val="11"/>
      <name val="Lucida Bright"/>
      <family val="2"/>
      <scheme val="minor"/>
    </font>
    <font>
      <b/>
      <sz val="11"/>
      <color theme="1" tint="0.34998626667073579"/>
      <name val="Lucida Bright"/>
      <family val="2"/>
      <scheme val="minor"/>
    </font>
    <font>
      <sz val="11"/>
      <color theme="1" tint="0.24994659260841701"/>
      <name val="Lucida Bright"/>
      <family val="2"/>
      <scheme val="minor"/>
    </font>
    <font>
      <sz val="12"/>
      <color theme="8" tint="-0.249977111117893"/>
      <name val="Lucida Bright"/>
      <family val="1"/>
      <scheme val="minor"/>
    </font>
    <font>
      <sz val="11"/>
      <color theme="1" tint="0.14999847407452621"/>
      <name val="Lucida Bright"/>
      <family val="1"/>
      <scheme val="minor"/>
    </font>
    <font>
      <sz val="35"/>
      <color theme="1" tint="0.14999847407452621"/>
      <name val="Lucida Bright"/>
      <family val="1"/>
      <scheme val="minor"/>
    </font>
    <font>
      <sz val="12"/>
      <color theme="1" tint="0.14999847407452621"/>
      <name val="Lucida Bright"/>
      <family val="1"/>
      <scheme val="minor"/>
    </font>
    <font>
      <sz val="10"/>
      <color theme="1" tint="0.14999847407452621"/>
      <name val="Lucida Bright"/>
      <family val="1"/>
      <scheme val="minor"/>
    </font>
    <font>
      <sz val="9"/>
      <color theme="1" tint="0.14999847407452621"/>
      <name val="Lucida Bright"/>
      <family val="1"/>
      <scheme val="minor"/>
    </font>
    <font>
      <sz val="11"/>
      <color theme="1" tint="0.14999847407452621"/>
      <name val="Lucida Bright"/>
      <family val="2"/>
      <scheme val="minor"/>
    </font>
    <font>
      <sz val="35"/>
      <color theme="9" tint="-0.499984740745262"/>
      <name val="Cambria"/>
      <family val="1"/>
      <scheme val="major"/>
    </font>
    <font>
      <sz val="35"/>
      <color theme="8" tint="-0.499984740745262"/>
      <name val="Cambria"/>
      <family val="1"/>
      <scheme val="major"/>
    </font>
    <font>
      <sz val="35"/>
      <color theme="5" tint="-0.499984740745262"/>
      <name val="Cambria"/>
      <family val="1"/>
      <scheme val="major"/>
    </font>
    <font>
      <sz val="35"/>
      <color theme="7" tint="-0.499984740745262"/>
      <name val="Cambria"/>
      <family val="1"/>
      <scheme val="major"/>
    </font>
    <font>
      <sz val="12"/>
      <color theme="8" tint="-0.499984740745262"/>
      <name val="Lucida Bright"/>
      <family val="1"/>
      <scheme val="minor"/>
    </font>
    <font>
      <sz val="12"/>
      <color theme="9" tint="-0.499984740745262"/>
      <name val="Lucida Bright"/>
      <family val="1"/>
      <scheme val="minor"/>
    </font>
    <font>
      <sz val="12"/>
      <color theme="7" tint="-0.499984740745262"/>
      <name val="Lucida Bright"/>
      <family val="1"/>
      <scheme val="minor"/>
    </font>
    <font>
      <sz val="12"/>
      <color theme="5" tint="-0.499984740745262"/>
      <name val="Lucida Bright"/>
      <family val="1"/>
      <scheme val="minor"/>
    </font>
    <font>
      <u/>
      <sz val="12"/>
      <color theme="10"/>
      <name val="Lucida Bright"/>
      <family val="2"/>
      <scheme val="minor"/>
    </font>
    <font>
      <b/>
      <sz val="14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u/>
      <sz val="12"/>
      <color theme="10"/>
      <name val="Calibri"/>
      <family val="2"/>
    </font>
    <font>
      <b/>
      <sz val="16"/>
      <color theme="1"/>
      <name val="Calibri"/>
      <family val="2"/>
    </font>
    <font>
      <sz val="14"/>
      <color theme="1"/>
      <name val="Calibri"/>
      <family val="2"/>
    </font>
    <font>
      <sz val="12"/>
      <color theme="1" tint="0.24994659260841701"/>
      <name val="Calibri"/>
      <family val="2"/>
    </font>
    <font>
      <sz val="10"/>
      <color rgb="FF000000"/>
      <name val="Arial"/>
      <family val="2"/>
    </font>
    <font>
      <b/>
      <sz val="8"/>
      <color rgb="FF000000"/>
      <name val="Arial"/>
      <family val="2"/>
    </font>
    <font>
      <sz val="11"/>
      <name val="Calibri"/>
      <family val="2"/>
    </font>
    <font>
      <i/>
      <sz val="8"/>
      <color rgb="FF000000"/>
      <name val="Arial"/>
      <family val="2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Lucida Bright"/>
      <family val="2"/>
      <scheme val="minor"/>
    </font>
    <font>
      <sz val="16"/>
      <color rgb="FF000000"/>
      <name val="Arial"/>
      <family val="2"/>
    </font>
    <font>
      <b/>
      <sz val="11"/>
      <color theme="1"/>
      <name val="Lucida Bright"/>
      <family val="2"/>
      <scheme val="minor"/>
    </font>
    <font>
      <sz val="11"/>
      <color theme="1"/>
      <name val="Lucida Bright"/>
      <family val="2"/>
      <scheme val="minor"/>
    </font>
    <font>
      <b/>
      <sz val="8"/>
      <color theme="1"/>
      <name val="Arial"/>
      <family val="2"/>
    </font>
    <font>
      <i/>
      <sz val="11"/>
      <color theme="1"/>
      <name val="Lucida Bright"/>
      <family val="2"/>
      <scheme val="minor"/>
    </font>
    <font>
      <sz val="8"/>
      <color theme="1"/>
      <name val="Arial"/>
      <family val="2"/>
    </font>
    <font>
      <b/>
      <sz val="16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sz val="36"/>
      <color theme="1" tint="0.249977111117893"/>
      <name val="Lucida Bright"/>
      <family val="2"/>
      <scheme val="minor"/>
    </font>
    <font>
      <sz val="32"/>
      <color theme="1" tint="0.249977111117893"/>
      <name val="Cambria"/>
      <family val="2"/>
      <scheme val="major"/>
    </font>
    <font>
      <sz val="32"/>
      <color theme="1" tint="0.249977111117893"/>
      <name val="Lucida Bright"/>
      <family val="2"/>
      <scheme val="minor"/>
    </font>
    <font>
      <b/>
      <sz val="14"/>
      <color theme="1" tint="0.249977111117893"/>
      <name val="Lucida Bright"/>
      <family val="2"/>
      <scheme val="minor"/>
    </font>
    <font>
      <sz val="14"/>
      <color theme="1" tint="0.249977111117893"/>
      <name val="Lucida Bright"/>
      <family val="2"/>
      <scheme val="minor"/>
    </font>
    <font>
      <b/>
      <sz val="12"/>
      <color theme="1" tint="0.249977111117893"/>
      <name val="Cambria"/>
      <family val="2"/>
      <scheme val="major"/>
    </font>
    <font>
      <b/>
      <sz val="16"/>
      <color theme="0"/>
      <name val="Cambria"/>
      <family val="2"/>
      <scheme val="major"/>
    </font>
    <font>
      <b/>
      <sz val="14"/>
      <color theme="4" tint="-0.249977111117893"/>
      <name val="Lucida Bright"/>
      <family val="2"/>
      <scheme val="minor"/>
    </font>
    <font>
      <b/>
      <sz val="14"/>
      <color theme="4" tint="-0.249977111117893"/>
      <name val="Cambria"/>
      <family val="2"/>
      <scheme val="major"/>
    </font>
    <font>
      <b/>
      <sz val="14"/>
      <color theme="4"/>
      <name val="Lucida Bright"/>
      <family val="2"/>
      <scheme val="minor"/>
    </font>
    <font>
      <sz val="10"/>
      <color theme="2" tint="-0.749992370372631"/>
      <name val="Lucida Bright"/>
      <family val="2"/>
      <scheme val="minor"/>
    </font>
    <font>
      <b/>
      <sz val="14"/>
      <color theme="8" tint="-0.249977111117893"/>
      <name val="Lucida Bright"/>
      <family val="2"/>
      <scheme val="minor"/>
    </font>
    <font>
      <b/>
      <sz val="14"/>
      <color theme="8" tint="-0.249977111117893"/>
      <name val="Cambria"/>
      <family val="2"/>
      <scheme val="major"/>
    </font>
    <font>
      <b/>
      <sz val="14"/>
      <color theme="8"/>
      <name val="Lucida Bright"/>
      <family val="2"/>
      <scheme val="minor"/>
    </font>
    <font>
      <b/>
      <sz val="14"/>
      <color theme="5"/>
      <name val="Lucida Bright"/>
      <family val="2"/>
      <scheme val="minor"/>
    </font>
    <font>
      <b/>
      <sz val="14"/>
      <color theme="5"/>
      <name val="Cambria"/>
      <family val="2"/>
      <scheme val="major"/>
    </font>
    <font>
      <sz val="10"/>
      <color theme="0"/>
      <name val="Lucida Bright"/>
      <family val="2"/>
      <scheme val="minor"/>
    </font>
    <font>
      <b/>
      <sz val="14"/>
      <color theme="9" tint="-0.249977111117893"/>
      <name val="Lucida Bright"/>
      <family val="2"/>
      <scheme val="minor"/>
    </font>
    <font>
      <b/>
      <sz val="14"/>
      <color theme="9" tint="-0.249977111117893"/>
      <name val="Cambria"/>
      <family val="2"/>
      <scheme val="major"/>
    </font>
    <font>
      <b/>
      <sz val="14"/>
      <color theme="7" tint="-0.249977111117893"/>
      <name val="Lucida Bright"/>
      <family val="2"/>
      <scheme val="minor"/>
    </font>
    <font>
      <b/>
      <sz val="14"/>
      <color theme="7" tint="-0.249977111117893"/>
      <name val="Cambria"/>
      <family val="2"/>
      <scheme val="major"/>
    </font>
    <font>
      <b/>
      <sz val="14"/>
      <color theme="7"/>
      <name val="Lucida Bright"/>
      <family val="2"/>
      <scheme val="minor"/>
    </font>
    <font>
      <sz val="11"/>
      <color theme="0" tint="-0.249977111117893"/>
      <name val="Lucida Bright"/>
      <family val="2"/>
      <scheme val="minor"/>
    </font>
    <font>
      <sz val="11"/>
      <color theme="1" tint="0.14996795556505021"/>
      <name val="Cambria"/>
      <family val="2"/>
      <scheme val="major"/>
    </font>
    <font>
      <sz val="11"/>
      <color theme="0"/>
      <name val="Lucida Bright"/>
      <family val="2"/>
      <scheme val="minor"/>
    </font>
    <font>
      <sz val="11"/>
      <color theme="1" tint="0.1498764000366222"/>
      <name val="Cambria"/>
      <family val="2"/>
      <scheme val="major"/>
    </font>
    <font>
      <sz val="11"/>
      <color theme="1" tint="0.1498764000366222"/>
      <name val="Lucida Bright"/>
      <family val="2"/>
      <scheme val="minor"/>
    </font>
    <font>
      <b/>
      <sz val="28"/>
      <color theme="4"/>
      <name val="Cambria"/>
      <family val="2"/>
      <scheme val="major"/>
    </font>
    <font>
      <b/>
      <sz val="12"/>
      <color theme="4" tint="-0.24994659260841701"/>
      <name val="Cambria"/>
      <family val="2"/>
      <scheme val="major"/>
    </font>
    <font>
      <b/>
      <sz val="11"/>
      <color theme="4"/>
      <name val="Cambria"/>
      <family val="2"/>
      <scheme val="major"/>
    </font>
    <font>
      <b/>
      <sz val="14"/>
      <name val="Calibri"/>
      <family val="2"/>
    </font>
    <font>
      <b/>
      <sz val="11"/>
      <color theme="1" tint="0.24994659260841701"/>
      <name val="Lucida Bright"/>
      <family val="1"/>
      <scheme val="minor"/>
    </font>
    <font>
      <b/>
      <sz val="12"/>
      <color theme="1" tint="0.24994659260841701"/>
      <name val="Calibri"/>
      <family val="2"/>
    </font>
    <font>
      <b/>
      <sz val="11"/>
      <color theme="1"/>
      <name val="Lucida Bright"/>
      <family val="1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00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/>
      <top/>
      <bottom style="medium">
        <color theme="4" tint="-0.24994659260841701"/>
      </bottom>
      <diagonal/>
    </border>
    <border>
      <left/>
      <right/>
      <top/>
      <bottom style="medium">
        <color theme="8" tint="-0.2499465926084170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medium">
        <color theme="9" tint="-0.24994659260841701"/>
      </bottom>
      <diagonal/>
    </border>
    <border>
      <left/>
      <right/>
      <top/>
      <bottom style="medium">
        <color theme="7" tint="-0.24994659260841701"/>
      </bottom>
      <diagonal/>
    </border>
    <border>
      <left/>
      <right/>
      <top/>
      <bottom style="medium">
        <color theme="5" tint="-0.2499465926084170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1" tint="0.89999084444715716"/>
      </right>
      <top style="thin">
        <color theme="4" tint="0.39997558519241921"/>
      </top>
      <bottom/>
      <diagonal/>
    </border>
    <border>
      <left/>
      <right style="thin">
        <color theme="1" tint="0.89999084444715716"/>
      </right>
      <top/>
      <bottom style="thin">
        <color theme="1" tint="0.89999084444715716"/>
      </bottom>
      <diagonal/>
    </border>
    <border>
      <left style="thin">
        <color theme="1" tint="0.89999084444715716"/>
      </left>
      <right style="thin">
        <color theme="1" tint="0.89999084444715716"/>
      </right>
      <top/>
      <bottom style="thin">
        <color theme="1" tint="0.89999084444715716"/>
      </bottom>
      <diagonal/>
    </border>
    <border>
      <left/>
      <right style="thin">
        <color theme="1" tint="0.89999084444715716"/>
      </right>
      <top/>
      <bottom/>
      <diagonal/>
    </border>
    <border>
      <left/>
      <right style="thin">
        <color theme="1" tint="0.89999084444715716"/>
      </right>
      <top style="thin">
        <color theme="1" tint="0.89999084444715716"/>
      </top>
      <bottom style="thin">
        <color theme="1" tint="0.89999084444715716"/>
      </bottom>
      <diagonal/>
    </border>
    <border>
      <left style="thin">
        <color theme="1" tint="0.89999084444715716"/>
      </left>
      <right style="thin">
        <color theme="1" tint="0.89999084444715716"/>
      </right>
      <top style="thin">
        <color theme="1" tint="0.89999084444715716"/>
      </top>
      <bottom style="thin">
        <color theme="1" tint="0.89999084444715716"/>
      </bottom>
      <diagonal/>
    </border>
    <border>
      <left/>
      <right/>
      <top/>
      <bottom style="thin">
        <color theme="4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1" tint="0.89999084444715716"/>
      </right>
      <top style="thin">
        <color theme="1" tint="0.89999084444715716"/>
      </top>
      <bottom/>
      <diagonal/>
    </border>
    <border>
      <left style="thin">
        <color theme="1" tint="0.89999084444715716"/>
      </left>
      <right style="thin">
        <color theme="1" tint="0.89999084444715716"/>
      </right>
      <top style="thin">
        <color theme="1" tint="0.89999084444715716"/>
      </top>
      <bottom/>
      <diagonal/>
    </border>
    <border>
      <left/>
      <right style="thin">
        <color theme="1" tint="0.89999084444715716"/>
      </right>
      <top/>
      <bottom style="thin">
        <color theme="8" tint="0.39997558519241921"/>
      </bottom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1" tint="0.89999084444715716"/>
      </right>
      <top style="thin">
        <color theme="8" tint="0.39997558519241921"/>
      </top>
      <bottom/>
      <diagonal/>
    </border>
    <border>
      <left/>
      <right/>
      <top/>
      <bottom style="thin">
        <color theme="8"/>
      </bottom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/>
      <diagonal/>
    </border>
    <border>
      <left/>
      <right style="thin">
        <color theme="1" tint="0.89999084444715716"/>
      </right>
      <top/>
      <bottom style="thin">
        <color theme="5" tint="0.39997558519241921"/>
      </bottom>
      <diagonal/>
    </border>
    <border>
      <left/>
      <right/>
      <top style="thin">
        <color theme="8"/>
      </top>
      <bottom/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1" tint="0.89999084444715716"/>
      </right>
      <top style="thin">
        <color theme="5" tint="0.39997558519241921"/>
      </top>
      <bottom/>
      <diagonal/>
    </border>
    <border>
      <left/>
      <right/>
      <top/>
      <bottom style="thin">
        <color theme="5"/>
      </bottom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/>
      <diagonal/>
    </border>
    <border>
      <left/>
      <right style="thin">
        <color theme="1" tint="0.89999084444715716"/>
      </right>
      <top/>
      <bottom style="thin">
        <color theme="9" tint="0.39997558519241921"/>
      </bottom>
      <diagonal/>
    </border>
    <border>
      <left/>
      <right/>
      <top style="thin">
        <color theme="5"/>
      </top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1" tint="0.89999084444715716"/>
      </right>
      <top style="thin">
        <color theme="9" tint="0.39997558519241921"/>
      </top>
      <bottom/>
      <diagonal/>
    </border>
    <border>
      <left style="thin">
        <color theme="9" tint="0.39997558519241921"/>
      </left>
      <right style="thin">
        <color theme="1" tint="0.89999084444715716"/>
      </right>
      <top/>
      <bottom style="dotted">
        <color theme="2" tint="-9.9978637043366805E-2"/>
      </bottom>
      <diagonal/>
    </border>
    <border>
      <left style="thin">
        <color theme="1" tint="0.89999084444715716"/>
      </left>
      <right style="thin">
        <color theme="1" tint="0.89999084444715716"/>
      </right>
      <top/>
      <bottom style="dotted">
        <color theme="2" tint="-9.9978637043366805E-2"/>
      </bottom>
      <diagonal/>
    </border>
    <border>
      <left style="thin">
        <color theme="9" tint="0.39997558519241921"/>
      </left>
      <right style="thin">
        <color theme="1" tint="0.89999084444715716"/>
      </right>
      <top style="dotted">
        <color theme="2" tint="-9.9978637043366805E-2"/>
      </top>
      <bottom style="dotted">
        <color theme="2" tint="-9.9978637043366805E-2"/>
      </bottom>
      <diagonal/>
    </border>
    <border>
      <left style="thin">
        <color theme="1" tint="0.89999084444715716"/>
      </left>
      <right style="thin">
        <color theme="1" tint="0.89999084444715716"/>
      </right>
      <top style="dotted">
        <color theme="2" tint="-9.9978637043366805E-2"/>
      </top>
      <bottom style="dotted">
        <color theme="2" tint="-9.9978637043366805E-2"/>
      </bottom>
      <diagonal/>
    </border>
    <border>
      <left style="thin">
        <color theme="9" tint="0.39997558519241921"/>
      </left>
      <right style="thin">
        <color theme="1" tint="0.89999084444715716"/>
      </right>
      <top/>
      <bottom style="thin">
        <color theme="1" tint="0.89999084444715716"/>
      </bottom>
      <diagonal/>
    </border>
    <border>
      <left style="thin">
        <color theme="1" tint="0.89999084444715716"/>
      </left>
      <right style="thin">
        <color theme="1" tint="0.89999084444715716"/>
      </right>
      <top style="dotted">
        <color theme="2" tint="-9.9978637043366805E-2"/>
      </top>
      <bottom/>
      <diagonal/>
    </border>
    <border>
      <left style="thin">
        <color theme="1" tint="0.89999084444715716"/>
      </left>
      <right style="thin">
        <color theme="1" tint="0.89999084444715716"/>
      </right>
      <top/>
      <bottom/>
      <diagonal/>
    </border>
    <border>
      <left/>
      <right/>
      <top/>
      <bottom style="thin">
        <color theme="7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9" tint="0.39997558519241921"/>
      </left>
      <right style="thin">
        <color theme="1" tint="0.89999084444715716"/>
      </right>
      <top style="thin">
        <color theme="1" tint="0.89999084444715716"/>
      </top>
      <bottom/>
      <diagonal/>
    </border>
    <border>
      <left/>
      <right style="thin">
        <color theme="1" tint="0.89999084444715716"/>
      </right>
      <top/>
      <bottom style="thin">
        <color theme="7" tint="0.39997558519241921"/>
      </bottom>
      <diagonal/>
    </border>
    <border>
      <left/>
      <right/>
      <top style="thin">
        <color theme="7"/>
      </top>
      <bottom/>
      <diagonal/>
    </border>
    <border>
      <left style="thin">
        <color theme="7" tint="0.39997558519241921"/>
      </left>
      <right style="thin">
        <color theme="7" tint="0.39997558519241921"/>
      </right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theme="1" tint="0.89999084444715716"/>
      </right>
      <top style="thin">
        <color theme="7" tint="0.39997558519241921"/>
      </top>
      <bottom/>
      <diagonal/>
    </border>
    <border>
      <left style="thin">
        <color theme="7" tint="0.39997558519241921"/>
      </left>
      <right style="dotted">
        <color theme="2" tint="-9.9978637043366805E-2"/>
      </right>
      <top/>
      <bottom style="dotted">
        <color theme="2" tint="-9.9978637043366805E-2"/>
      </bottom>
      <diagonal/>
    </border>
    <border>
      <left style="dotted">
        <color theme="2" tint="-9.9978637043366805E-2"/>
      </left>
      <right/>
      <top/>
      <bottom style="dotted">
        <color theme="2" tint="-9.9978637043366805E-2"/>
      </bottom>
      <diagonal/>
    </border>
    <border>
      <left style="dotted">
        <color theme="2" tint="-9.9978637043366805E-2"/>
      </left>
      <right style="dotted">
        <color theme="2" tint="-9.9978637043366805E-2"/>
      </right>
      <top/>
      <bottom style="dotted">
        <color theme="2" tint="-9.9978637043366805E-2"/>
      </bottom>
      <diagonal/>
    </border>
    <border>
      <left/>
      <right style="thin">
        <color theme="1" tint="0.89999084444715716"/>
      </right>
      <top/>
      <bottom style="dotted">
        <color theme="2" tint="-9.9978637043366805E-2"/>
      </bottom>
      <diagonal/>
    </border>
    <border>
      <left style="thin">
        <color theme="7" tint="0.39997558519241921"/>
      </left>
      <right style="dotted">
        <color theme="2" tint="-9.9978637043366805E-2"/>
      </right>
      <top style="dotted">
        <color theme="2" tint="-9.9978637043366805E-2"/>
      </top>
      <bottom style="dotted">
        <color theme="2" tint="-9.9978637043366805E-2"/>
      </bottom>
      <diagonal/>
    </border>
    <border>
      <left style="dotted">
        <color theme="2" tint="-9.9978637043366805E-2"/>
      </left>
      <right/>
      <top style="dotted">
        <color theme="2" tint="-9.9978637043366805E-2"/>
      </top>
      <bottom style="dotted">
        <color theme="2" tint="-9.9978637043366805E-2"/>
      </bottom>
      <diagonal/>
    </border>
    <border>
      <left style="dotted">
        <color theme="2" tint="-9.9978637043366805E-2"/>
      </left>
      <right style="dotted">
        <color theme="2" tint="-9.9978637043366805E-2"/>
      </right>
      <top style="dotted">
        <color theme="2" tint="-9.9978637043366805E-2"/>
      </top>
      <bottom style="dotted">
        <color theme="2" tint="-9.9978637043366805E-2"/>
      </bottom>
      <diagonal/>
    </border>
    <border>
      <left/>
      <right style="thin">
        <color theme="1" tint="0.89999084444715716"/>
      </right>
      <top style="dotted">
        <color theme="2" tint="-9.9978637043366805E-2"/>
      </top>
      <bottom style="dotted">
        <color theme="2" tint="-9.9978637043366805E-2"/>
      </bottom>
      <diagonal/>
    </border>
    <border>
      <left style="thin">
        <color theme="7" tint="0.39997558519241921"/>
      </left>
      <right style="dotted">
        <color theme="2" tint="-9.9978637043366805E-2"/>
      </right>
      <top/>
      <bottom style="thin">
        <color theme="1" tint="0.89999084444715716"/>
      </bottom>
      <diagonal/>
    </border>
    <border>
      <left style="dotted">
        <color theme="2" tint="-9.9978637043366805E-2"/>
      </left>
      <right/>
      <top/>
      <bottom style="thin">
        <color theme="1" tint="0.89999084444715716"/>
      </bottom>
      <diagonal/>
    </border>
    <border>
      <left style="dotted">
        <color theme="2" tint="-9.9978637043366805E-2"/>
      </left>
      <right style="dotted">
        <color theme="2" tint="-9.9978637043366805E-2"/>
      </right>
      <top/>
      <bottom style="thin">
        <color theme="1" tint="0.89999084444715716"/>
      </bottom>
      <diagonal/>
    </border>
    <border>
      <left style="thin">
        <color theme="8" tint="0.39997558519241921"/>
      </left>
      <right style="thin">
        <color theme="8" tint="0.39997558519241921"/>
      </right>
      <top/>
      <bottom/>
      <diagonal/>
    </border>
    <border>
      <left style="thin">
        <color theme="8" tint="0.39997558519241921"/>
      </left>
      <right style="thin">
        <color theme="8" tint="0.39997558519241921"/>
      </right>
      <top/>
      <bottom style="thin">
        <color theme="5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 style="thin">
        <color theme="4" tint="0.39997558519241921"/>
      </left>
      <right style="thin">
        <color theme="4" tint="0.39997558519241921"/>
      </right>
      <top/>
      <bottom style="thin">
        <color theme="8" tint="0.39997558519241921"/>
      </bottom>
      <diagonal/>
    </border>
    <border>
      <left style="thin">
        <color theme="5" tint="0.39997558519241921"/>
      </left>
      <right style="thin">
        <color theme="5" tint="0.39997558519241921"/>
      </right>
      <top/>
      <bottom/>
      <diagonal/>
    </border>
    <border>
      <left style="thin">
        <color theme="5" tint="0.39997558519241921"/>
      </left>
      <right style="thin">
        <color theme="5" tint="0.39997558519241921"/>
      </right>
      <top/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/>
      <bottom/>
      <diagonal/>
    </border>
    <border>
      <left style="thin">
        <color theme="9" tint="0.39997558519241921"/>
      </left>
      <right style="thin">
        <color theme="9" tint="0.39997558519241921"/>
      </right>
      <top/>
      <bottom style="thin">
        <color theme="7" tint="0.39997558519241921"/>
      </bottom>
      <diagonal/>
    </border>
    <border>
      <left style="thin">
        <color theme="7" tint="0.39997558519241921"/>
      </left>
      <right style="thin">
        <color theme="7" tint="0.39997558519241921"/>
      </right>
      <top style="thin">
        <color theme="7" tint="0.39997558519241921"/>
      </top>
      <bottom/>
      <diagonal/>
    </border>
    <border>
      <left style="thin">
        <color theme="7" tint="0.39997558519241921"/>
      </left>
      <right style="thin">
        <color theme="7" tint="0.39997558519241921"/>
      </right>
      <top/>
      <bottom/>
      <diagonal/>
    </border>
    <border>
      <left style="thin">
        <color theme="7" tint="0.39997558519241921"/>
      </left>
      <right style="thin">
        <color theme="7" tint="0.39997558519241921"/>
      </right>
      <top/>
      <bottom style="thin">
        <color theme="7" tint="0.39997558519241921"/>
      </bottom>
      <diagonal/>
    </border>
    <border>
      <left/>
      <right/>
      <top style="thick">
        <color theme="0"/>
      </top>
      <bottom/>
      <diagonal/>
    </border>
    <border>
      <left/>
      <right/>
      <top/>
      <bottom style="thin">
        <color theme="4" tint="-0.2499465926084170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</borders>
  <cellStyleXfs count="28">
    <xf numFmtId="0" fontId="0" fillId="0" borderId="0">
      <alignment vertical="top"/>
    </xf>
    <xf numFmtId="0" fontId="9" fillId="2" borderId="0" applyNumberFormat="0" applyBorder="0" applyAlignment="0" applyProtection="0"/>
    <xf numFmtId="0" fontId="8" fillId="0" borderId="3" applyNumberFormat="0" applyFill="0" applyProtection="0">
      <alignment horizontal="left" vertical="center" indent="1"/>
    </xf>
    <xf numFmtId="0" fontId="3" fillId="3" borderId="1" applyNumberFormat="0" applyAlignment="0" applyProtection="0"/>
    <xf numFmtId="0" fontId="4" fillId="4" borderId="2" applyNumberFormat="0" applyProtection="0">
      <alignment vertical="center"/>
    </xf>
    <xf numFmtId="0" fontId="5" fillId="0" borderId="0" applyFill="0" applyBorder="0" applyProtection="0">
      <alignment vertical="center"/>
    </xf>
    <xf numFmtId="167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1" fillId="5" borderId="0" applyBorder="0" applyProtection="0">
      <alignment horizontal="left" vertical="top" wrapText="1" indent="1"/>
    </xf>
    <xf numFmtId="168" fontId="7" fillId="0" borderId="0">
      <alignment horizontal="left" indent="1"/>
    </xf>
    <xf numFmtId="0" fontId="10" fillId="5" borderId="0" applyNumberFormat="0" applyFont="0" applyBorder="0" applyAlignment="0">
      <alignment horizontal="left" vertical="center" indent="1"/>
    </xf>
    <xf numFmtId="0" fontId="6" fillId="0" borderId="0">
      <alignment horizontal="left" indent="1"/>
    </xf>
    <xf numFmtId="0" fontId="8" fillId="0" borderId="0" applyFill="0" applyProtection="0"/>
    <xf numFmtId="0" fontId="12" fillId="0" borderId="0" applyFill="0" applyProtection="0"/>
    <xf numFmtId="0" fontId="1" fillId="0" borderId="0"/>
    <xf numFmtId="0" fontId="28" fillId="0" borderId="0" applyNumberFormat="0" applyFill="0" applyBorder="0" applyAlignment="0" applyProtection="0"/>
    <xf numFmtId="0" fontId="45" fillId="0" borderId="0">
      <alignment vertical="top"/>
    </xf>
    <xf numFmtId="0" fontId="75" fillId="23" borderId="90" applyProtection="0">
      <alignment horizontal="right" vertical="center"/>
    </xf>
    <xf numFmtId="0" fontId="76" fillId="4" borderId="0" applyNumberFormat="0" applyBorder="0" applyProtection="0">
      <alignment horizontal="center" vertical="center"/>
    </xf>
    <xf numFmtId="0" fontId="77" fillId="23" borderId="90">
      <alignment horizontal="right" vertical="center" indent="1"/>
    </xf>
    <xf numFmtId="0" fontId="78" fillId="0" borderId="0" applyFill="0" applyBorder="0" applyProtection="0">
      <alignment horizontal="right"/>
    </xf>
    <xf numFmtId="0" fontId="79" fillId="0" borderId="0">
      <alignment horizontal="right"/>
    </xf>
    <xf numFmtId="0" fontId="80" fillId="0" borderId="91">
      <alignment horizontal="right"/>
    </xf>
    <xf numFmtId="0" fontId="81" fillId="0" borderId="0">
      <alignment horizontal="right"/>
    </xf>
    <xf numFmtId="168" fontId="78" fillId="0" borderId="0" applyFont="0" applyFill="0" applyBorder="0" applyProtection="0">
      <alignment horizontal="right"/>
    </xf>
  </cellStyleXfs>
  <cellXfs count="332">
    <xf numFmtId="0" fontId="0" fillId="0" borderId="0" xfId="0">
      <alignment vertical="top"/>
    </xf>
    <xf numFmtId="0" fontId="14" fillId="0" borderId="0" xfId="0" applyFont="1">
      <alignment vertical="top"/>
    </xf>
    <xf numFmtId="0" fontId="14" fillId="0" borderId="0" xfId="2" applyFont="1" applyFill="1" applyBorder="1" applyAlignment="1">
      <alignment vertical="center"/>
    </xf>
    <xf numFmtId="0" fontId="15" fillId="0" borderId="0" xfId="5" applyFont="1" applyFill="1" applyAlignment="1">
      <alignment horizontal="left" vertical="center"/>
    </xf>
    <xf numFmtId="0" fontId="17" fillId="0" borderId="0" xfId="0" applyFont="1">
      <alignment vertical="top"/>
    </xf>
    <xf numFmtId="0" fontId="18" fillId="0" borderId="0" xfId="0" applyFont="1" applyAlignment="1">
      <alignment horizontal="left" vertical="top" wrapText="1" indent="1"/>
    </xf>
    <xf numFmtId="0" fontId="16" fillId="0" borderId="0" xfId="0" applyFont="1" applyAlignment="1">
      <alignment horizontal="left" vertical="center" indent="1"/>
    </xf>
    <xf numFmtId="168" fontId="16" fillId="6" borderId="0" xfId="13" applyNumberFormat="1" applyFont="1" applyFill="1" applyBorder="1" applyAlignment="1">
      <alignment horizontal="left" vertical="center" wrapText="1" indent="1"/>
    </xf>
    <xf numFmtId="168" fontId="16" fillId="0" borderId="0" xfId="12" applyFont="1" applyAlignment="1">
      <alignment horizontal="left" vertical="center" indent="1"/>
    </xf>
    <xf numFmtId="0" fontId="18" fillId="6" borderId="0" xfId="13" applyFont="1" applyFill="1" applyBorder="1" applyAlignment="1">
      <alignment horizontal="left" vertical="top" wrapText="1" indent="1"/>
    </xf>
    <xf numFmtId="0" fontId="17" fillId="6" borderId="7" xfId="14" applyFont="1" applyFill="1" applyBorder="1" applyAlignment="1">
      <alignment horizontal="center" vertical="center"/>
    </xf>
    <xf numFmtId="0" fontId="17" fillId="6" borderId="8" xfId="14" applyFont="1" applyFill="1" applyBorder="1" applyAlignment="1">
      <alignment horizontal="center" vertical="center"/>
    </xf>
    <xf numFmtId="0" fontId="17" fillId="0" borderId="5" xfId="16" applyFont="1" applyFill="1" applyBorder="1" applyAlignment="1">
      <alignment horizontal="center" vertical="center"/>
    </xf>
    <xf numFmtId="0" fontId="17" fillId="0" borderId="6" xfId="16" applyFont="1" applyFill="1" applyBorder="1" applyAlignment="1">
      <alignment horizontal="center" vertical="center"/>
    </xf>
    <xf numFmtId="0" fontId="19" fillId="0" borderId="0" xfId="0" applyFont="1">
      <alignment vertical="top"/>
    </xf>
    <xf numFmtId="168" fontId="16" fillId="7" borderId="0" xfId="13" applyNumberFormat="1" applyFont="1" applyFill="1" applyBorder="1" applyAlignment="1">
      <alignment horizontal="left" vertical="center" wrapText="1" indent="1"/>
    </xf>
    <xf numFmtId="0" fontId="18" fillId="7" borderId="0" xfId="13" applyFont="1" applyFill="1" applyBorder="1" applyAlignment="1">
      <alignment horizontal="left" vertical="top" wrapText="1" indent="1"/>
    </xf>
    <xf numFmtId="168" fontId="16" fillId="8" borderId="0" xfId="13" applyNumberFormat="1" applyFont="1" applyFill="1" applyBorder="1" applyAlignment="1">
      <alignment horizontal="left" vertical="center" wrapText="1" indent="1"/>
    </xf>
    <xf numFmtId="0" fontId="18" fillId="8" borderId="0" xfId="13" applyFont="1" applyFill="1" applyBorder="1" applyAlignment="1">
      <alignment horizontal="left" vertical="top" wrapText="1" indent="1"/>
    </xf>
    <xf numFmtId="168" fontId="16" fillId="9" borderId="0" xfId="13" applyNumberFormat="1" applyFont="1" applyFill="1" applyBorder="1" applyAlignment="1">
      <alignment horizontal="left" vertical="center" wrapText="1" indent="1"/>
    </xf>
    <xf numFmtId="0" fontId="18" fillId="9" borderId="0" xfId="13" applyFont="1" applyFill="1" applyBorder="1" applyAlignment="1">
      <alignment horizontal="left" vertical="top" wrapText="1" indent="1"/>
    </xf>
    <xf numFmtId="0" fontId="24" fillId="0" borderId="4" xfId="2" applyFont="1" applyFill="1" applyBorder="1" applyAlignment="1">
      <alignment horizontal="left" vertical="top" indent="1"/>
    </xf>
    <xf numFmtId="0" fontId="25" fillId="0" borderId="9" xfId="2" applyFont="1" applyFill="1" applyBorder="1" applyAlignment="1">
      <alignment horizontal="left" vertical="top" indent="1"/>
    </xf>
    <xf numFmtId="0" fontId="26" fillId="0" borderId="10" xfId="2" applyFont="1" applyFill="1" applyBorder="1" applyAlignment="1">
      <alignment horizontal="left" vertical="top" indent="1"/>
    </xf>
    <xf numFmtId="0" fontId="27" fillId="0" borderId="11" xfId="2" applyFont="1" applyFill="1" applyBorder="1" applyAlignment="1">
      <alignment horizontal="left" vertical="top" indent="1"/>
    </xf>
    <xf numFmtId="0" fontId="30" fillId="0" borderId="0" xfId="17" applyFont="1"/>
    <xf numFmtId="0" fontId="32" fillId="0" borderId="0" xfId="18" applyFont="1"/>
    <xf numFmtId="0" fontId="30" fillId="0" borderId="0" xfId="17" applyFont="1" applyAlignment="1">
      <alignment wrapText="1"/>
    </xf>
    <xf numFmtId="0" fontId="31" fillId="0" borderId="0" xfId="17" applyFont="1" applyAlignment="1">
      <alignment vertical="center"/>
    </xf>
    <xf numFmtId="0" fontId="29" fillId="0" borderId="0" xfId="17" applyFont="1" applyAlignment="1">
      <alignment horizontal="center" vertical="center"/>
    </xf>
    <xf numFmtId="0" fontId="34" fillId="0" borderId="0" xfId="17" applyFont="1" applyAlignment="1">
      <alignment vertical="center"/>
    </xf>
    <xf numFmtId="0" fontId="29" fillId="0" borderId="0" xfId="17" applyFont="1" applyAlignment="1">
      <alignment horizontal="center" vertical="center" wrapText="1"/>
    </xf>
    <xf numFmtId="0" fontId="34" fillId="0" borderId="0" xfId="17" applyFont="1"/>
    <xf numFmtId="0" fontId="0" fillId="0" borderId="0" xfId="0" applyAlignment="1"/>
    <xf numFmtId="0" fontId="35" fillId="0" borderId="0" xfId="0" applyFont="1" applyAlignment="1"/>
    <xf numFmtId="14" fontId="30" fillId="0" borderId="0" xfId="17" applyNumberFormat="1" applyFont="1"/>
    <xf numFmtId="14" fontId="29" fillId="0" borderId="0" xfId="17" applyNumberFormat="1" applyFont="1" applyAlignment="1">
      <alignment horizontal="center" vertical="center"/>
    </xf>
    <xf numFmtId="14" fontId="29" fillId="0" borderId="0" xfId="17" applyNumberFormat="1" applyFont="1" applyAlignment="1">
      <alignment horizontal="center" vertical="center" wrapText="1"/>
    </xf>
    <xf numFmtId="0" fontId="36" fillId="0" borderId="0" xfId="0" applyFont="1" applyAlignment="1"/>
    <xf numFmtId="1" fontId="36" fillId="0" borderId="0" xfId="0" applyNumberFormat="1" applyFont="1" applyAlignment="1"/>
    <xf numFmtId="0" fontId="37" fillId="11" borderId="21" xfId="0" applyFont="1" applyFill="1" applyBorder="1" applyAlignment="1">
      <alignment horizontal="center" vertical="center" wrapText="1"/>
    </xf>
    <xf numFmtId="0" fontId="37" fillId="11" borderId="22" xfId="0" applyFont="1" applyFill="1" applyBorder="1" applyAlignment="1">
      <alignment horizontal="center" vertical="center" wrapText="1"/>
    </xf>
    <xf numFmtId="0" fontId="37" fillId="11" borderId="23" xfId="0" applyFont="1" applyFill="1" applyBorder="1" applyAlignment="1">
      <alignment horizontal="center" vertical="center"/>
    </xf>
    <xf numFmtId="0" fontId="37" fillId="11" borderId="23" xfId="0" applyFont="1" applyFill="1" applyBorder="1" applyAlignment="1">
      <alignment horizontal="center" vertical="center" wrapText="1"/>
    </xf>
    <xf numFmtId="169" fontId="37" fillId="11" borderId="23" xfId="0" applyNumberFormat="1" applyFont="1" applyFill="1" applyBorder="1" applyAlignment="1">
      <alignment horizontal="center" vertical="center" wrapText="1"/>
    </xf>
    <xf numFmtId="169" fontId="37" fillId="11" borderId="21" xfId="0" applyNumberFormat="1" applyFont="1" applyFill="1" applyBorder="1" applyAlignment="1">
      <alignment horizontal="center" vertical="center" wrapText="1"/>
    </xf>
    <xf numFmtId="169" fontId="37" fillId="11" borderId="23" xfId="0" applyNumberFormat="1" applyFont="1" applyFill="1" applyBorder="1" applyAlignment="1">
      <alignment horizontal="center" vertical="center"/>
    </xf>
    <xf numFmtId="49" fontId="37" fillId="10" borderId="23" xfId="0" applyNumberFormat="1" applyFont="1" applyFill="1" applyBorder="1" applyAlignment="1">
      <alignment horizontal="left"/>
    </xf>
    <xf numFmtId="49" fontId="39" fillId="11" borderId="23" xfId="0" applyNumberFormat="1" applyFont="1" applyFill="1" applyBorder="1" applyAlignment="1">
      <alignment horizontal="left"/>
    </xf>
    <xf numFmtId="0" fontId="37" fillId="11" borderId="23" xfId="0" applyFont="1" applyFill="1" applyBorder="1" applyAlignment="1"/>
    <xf numFmtId="0" fontId="37" fillId="11" borderId="23" xfId="0" applyFont="1" applyFill="1" applyBorder="1" applyAlignment="1">
      <alignment horizontal="center"/>
    </xf>
    <xf numFmtId="170" fontId="37" fillId="11" borderId="23" xfId="0" applyNumberFormat="1" applyFont="1" applyFill="1" applyBorder="1" applyAlignment="1"/>
    <xf numFmtId="170" fontId="40" fillId="11" borderId="23" xfId="0" applyNumberFormat="1" applyFont="1" applyFill="1" applyBorder="1" applyAlignment="1"/>
    <xf numFmtId="170" fontId="37" fillId="0" borderId="23" xfId="0" applyNumberFormat="1" applyFont="1" applyBorder="1" applyAlignment="1">
      <alignment vertical="center"/>
    </xf>
    <xf numFmtId="49" fontId="39" fillId="10" borderId="23" xfId="0" applyNumberFormat="1" applyFont="1" applyFill="1" applyBorder="1" applyAlignment="1">
      <alignment horizontal="left"/>
    </xf>
    <xf numFmtId="39" fontId="37" fillId="0" borderId="23" xfId="0" applyNumberFormat="1" applyFont="1" applyBorder="1" applyAlignment="1">
      <alignment horizontal="left"/>
    </xf>
    <xf numFmtId="0" fontId="37" fillId="0" borderId="23" xfId="0" applyFont="1" applyBorder="1" applyAlignment="1">
      <alignment horizontal="center"/>
    </xf>
    <xf numFmtId="170" fontId="37" fillId="0" borderId="23" xfId="0" applyNumberFormat="1" applyFont="1" applyBorder="1" applyAlignment="1"/>
    <xf numFmtId="49" fontId="40" fillId="10" borderId="23" xfId="0" applyNumberFormat="1" applyFont="1" applyFill="1" applyBorder="1" applyAlignment="1">
      <alignment horizontal="left"/>
    </xf>
    <xf numFmtId="39" fontId="40" fillId="0" borderId="23" xfId="0" applyNumberFormat="1" applyFont="1" applyBorder="1" applyAlignment="1">
      <alignment horizontal="left"/>
    </xf>
    <xf numFmtId="0" fontId="40" fillId="0" borderId="23" xfId="0" applyFont="1" applyBorder="1" applyAlignment="1">
      <alignment horizontal="center"/>
    </xf>
    <xf numFmtId="170" fontId="40" fillId="12" borderId="23" xfId="0" applyNumberFormat="1" applyFont="1" applyFill="1" applyBorder="1" applyAlignment="1"/>
    <xf numFmtId="170" fontId="40" fillId="0" borderId="23" xfId="0" applyNumberFormat="1" applyFont="1" applyBorder="1" applyAlignment="1"/>
    <xf numFmtId="39" fontId="37" fillId="11" borderId="23" xfId="0" applyNumberFormat="1" applyFont="1" applyFill="1" applyBorder="1" applyAlignment="1">
      <alignment horizontal="left"/>
    </xf>
    <xf numFmtId="0" fontId="40" fillId="11" borderId="23" xfId="0" applyFont="1" applyFill="1" applyBorder="1" applyAlignment="1">
      <alignment horizontal="center"/>
    </xf>
    <xf numFmtId="170" fontId="40" fillId="11" borderId="23" xfId="0" applyNumberFormat="1" applyFont="1" applyFill="1" applyBorder="1" applyAlignment="1">
      <alignment horizontal="right"/>
    </xf>
    <xf numFmtId="49" fontId="39" fillId="0" borderId="23" xfId="0" applyNumberFormat="1" applyFont="1" applyBorder="1" applyAlignment="1">
      <alignment horizontal="left"/>
    </xf>
    <xf numFmtId="170" fontId="40" fillId="0" borderId="23" xfId="0" applyNumberFormat="1" applyFont="1" applyBorder="1" applyAlignment="1">
      <alignment horizontal="right"/>
    </xf>
    <xf numFmtId="170" fontId="37" fillId="11" borderId="23" xfId="0" applyNumberFormat="1" applyFont="1" applyFill="1" applyBorder="1" applyAlignment="1">
      <alignment vertical="center"/>
    </xf>
    <xf numFmtId="39" fontId="40" fillId="10" borderId="23" xfId="0" applyNumberFormat="1" applyFont="1" applyFill="1" applyBorder="1" applyAlignment="1"/>
    <xf numFmtId="0" fontId="40" fillId="10" borderId="23" xfId="0" applyFont="1" applyFill="1" applyBorder="1" applyAlignment="1">
      <alignment horizontal="center"/>
    </xf>
    <xf numFmtId="1" fontId="40" fillId="0" borderId="0" xfId="0" applyNumberFormat="1" applyFont="1" applyAlignment="1">
      <alignment horizontal="center"/>
    </xf>
    <xf numFmtId="39" fontId="40" fillId="0" borderId="23" xfId="0" applyNumberFormat="1" applyFont="1" applyBorder="1" applyAlignment="1"/>
    <xf numFmtId="49" fontId="37" fillId="10" borderId="23" xfId="0" applyNumberFormat="1" applyFont="1" applyFill="1" applyBorder="1" applyAlignment="1">
      <alignment horizontal="left" vertical="center"/>
    </xf>
    <xf numFmtId="49" fontId="39" fillId="0" borderId="23" xfId="0" applyNumberFormat="1" applyFont="1" applyBorder="1" applyAlignment="1">
      <alignment horizontal="left" vertical="center"/>
    </xf>
    <xf numFmtId="39" fontId="37" fillId="0" borderId="23" xfId="0" applyNumberFormat="1" applyFont="1" applyBorder="1" applyAlignment="1">
      <alignment horizontal="left" vertical="center"/>
    </xf>
    <xf numFmtId="0" fontId="40" fillId="0" borderId="23" xfId="0" applyFont="1" applyBorder="1" applyAlignment="1">
      <alignment horizontal="center" vertical="center"/>
    </xf>
    <xf numFmtId="170" fontId="40" fillId="0" borderId="23" xfId="0" applyNumberFormat="1" applyFont="1" applyBorder="1" applyAlignment="1">
      <alignment horizontal="right" vertical="center"/>
    </xf>
    <xf numFmtId="1" fontId="36" fillId="0" borderId="0" xfId="0" applyNumberFormat="1" applyFont="1" applyAlignment="1">
      <alignment vertical="center"/>
    </xf>
    <xf numFmtId="1" fontId="40" fillId="0" borderId="0" xfId="0" applyNumberFormat="1" applyFont="1" applyAlignment="1">
      <alignment horizontal="center" vertical="center"/>
    </xf>
    <xf numFmtId="39" fontId="40" fillId="10" borderId="23" xfId="0" applyNumberFormat="1" applyFont="1" applyFill="1" applyBorder="1" applyAlignment="1">
      <alignment horizontal="left"/>
    </xf>
    <xf numFmtId="170" fontId="40" fillId="12" borderId="23" xfId="0" applyNumberFormat="1" applyFont="1" applyFill="1" applyBorder="1" applyAlignment="1">
      <alignment horizontal="right"/>
    </xf>
    <xf numFmtId="167" fontId="40" fillId="0" borderId="23" xfId="0" applyNumberFormat="1" applyFont="1" applyBorder="1" applyAlignment="1">
      <alignment horizontal="center"/>
    </xf>
    <xf numFmtId="1" fontId="36" fillId="10" borderId="0" xfId="0" applyNumberFormat="1" applyFont="1" applyFill="1" applyAlignment="1"/>
    <xf numFmtId="0" fontId="42" fillId="0" borderId="0" xfId="0" applyFont="1" applyAlignment="1"/>
    <xf numFmtId="0" fontId="40" fillId="12" borderId="23" xfId="0" applyFont="1" applyFill="1" applyBorder="1" applyAlignment="1"/>
    <xf numFmtId="169" fontId="37" fillId="11" borderId="23" xfId="0" applyNumberFormat="1" applyFont="1" applyFill="1" applyBorder="1" applyAlignment="1"/>
    <xf numFmtId="39" fontId="37" fillId="10" borderId="23" xfId="0" applyNumberFormat="1" applyFont="1" applyFill="1" applyBorder="1" applyAlignment="1">
      <alignment horizontal="left"/>
    </xf>
    <xf numFmtId="167" fontId="37" fillId="10" borderId="23" xfId="0" applyNumberFormat="1" applyFont="1" applyFill="1" applyBorder="1" applyAlignment="1">
      <alignment horizontal="center"/>
    </xf>
    <xf numFmtId="0" fontId="37" fillId="10" borderId="23" xfId="0" applyFont="1" applyFill="1" applyBorder="1" applyAlignment="1">
      <alignment horizontal="center"/>
    </xf>
    <xf numFmtId="170" fontId="37" fillId="10" borderId="23" xfId="0" applyNumberFormat="1" applyFont="1" applyFill="1" applyBorder="1" applyAlignment="1"/>
    <xf numFmtId="1" fontId="37" fillId="0" borderId="0" xfId="0" applyNumberFormat="1" applyFont="1" applyAlignment="1">
      <alignment horizontal="center"/>
    </xf>
    <xf numFmtId="39" fontId="40" fillId="12" borderId="23" xfId="0" applyNumberFormat="1" applyFont="1" applyFill="1" applyBorder="1" applyAlignment="1">
      <alignment horizontal="left"/>
    </xf>
    <xf numFmtId="3" fontId="40" fillId="0" borderId="23" xfId="0" applyNumberFormat="1" applyFont="1" applyBorder="1" applyAlignment="1">
      <alignment horizontal="center"/>
    </xf>
    <xf numFmtId="170" fontId="40" fillId="10" borderId="23" xfId="0" applyNumberFormat="1" applyFont="1" applyFill="1" applyBorder="1" applyAlignment="1">
      <alignment horizontal="right"/>
    </xf>
    <xf numFmtId="0" fontId="40" fillId="0" borderId="23" xfId="0" applyFont="1" applyBorder="1" applyAlignment="1"/>
    <xf numFmtId="170" fontId="40" fillId="0" borderId="23" xfId="0" applyNumberFormat="1" applyFont="1" applyBorder="1" applyAlignment="1">
      <alignment vertical="center"/>
    </xf>
    <xf numFmtId="0" fontId="40" fillId="10" borderId="23" xfId="0" applyFont="1" applyFill="1" applyBorder="1" applyAlignment="1"/>
    <xf numFmtId="170" fontId="40" fillId="10" borderId="23" xfId="0" applyNumberFormat="1" applyFont="1" applyFill="1" applyBorder="1" applyAlignment="1"/>
    <xf numFmtId="0" fontId="40" fillId="10" borderId="23" xfId="0" applyFont="1" applyFill="1" applyBorder="1" applyAlignment="1">
      <alignment horizontal="left"/>
    </xf>
    <xf numFmtId="3" fontId="40" fillId="10" borderId="23" xfId="0" applyNumberFormat="1" applyFont="1" applyFill="1" applyBorder="1" applyAlignment="1">
      <alignment horizontal="center"/>
    </xf>
    <xf numFmtId="167" fontId="40" fillId="10" borderId="23" xfId="0" applyNumberFormat="1" applyFont="1" applyFill="1" applyBorder="1" applyAlignment="1">
      <alignment horizontal="center"/>
    </xf>
    <xf numFmtId="0" fontId="40" fillId="11" borderId="23" xfId="0" applyFont="1" applyFill="1" applyBorder="1" applyAlignment="1"/>
    <xf numFmtId="1" fontId="43" fillId="13" borderId="0" xfId="0" applyNumberFormat="1" applyFont="1" applyFill="1" applyAlignment="1"/>
    <xf numFmtId="1" fontId="40" fillId="10" borderId="0" xfId="0" applyNumberFormat="1" applyFont="1" applyFill="1" applyAlignment="1">
      <alignment horizontal="center"/>
    </xf>
    <xf numFmtId="0" fontId="37" fillId="10" borderId="23" xfId="0" applyFont="1" applyFill="1" applyBorder="1" applyAlignment="1"/>
    <xf numFmtId="49" fontId="37" fillId="10" borderId="23" xfId="0" applyNumberFormat="1" applyFont="1" applyFill="1" applyBorder="1" applyAlignment="1">
      <alignment horizontal="right"/>
    </xf>
    <xf numFmtId="49" fontId="39" fillId="10" borderId="23" xfId="0" applyNumberFormat="1" applyFont="1" applyFill="1" applyBorder="1" applyAlignment="1">
      <alignment horizontal="right"/>
    </xf>
    <xf numFmtId="0" fontId="37" fillId="10" borderId="23" xfId="0" applyFont="1" applyFill="1" applyBorder="1" applyAlignment="1">
      <alignment horizontal="left"/>
    </xf>
    <xf numFmtId="0" fontId="40" fillId="10" borderId="23" xfId="0" applyFont="1" applyFill="1" applyBorder="1" applyAlignment="1">
      <alignment horizontal="right"/>
    </xf>
    <xf numFmtId="170" fontId="37" fillId="0" borderId="23" xfId="0" applyNumberFormat="1" applyFont="1" applyBorder="1" applyAlignment="1">
      <alignment horizontal="right" vertical="center"/>
    </xf>
    <xf numFmtId="170" fontId="37" fillId="11" borderId="23" xfId="0" applyNumberFormat="1" applyFont="1" applyFill="1" applyBorder="1" applyAlignment="1">
      <alignment horizontal="right"/>
    </xf>
    <xf numFmtId="1" fontId="36" fillId="0" borderId="0" xfId="0" applyNumberFormat="1" applyFont="1" applyAlignment="1">
      <alignment horizontal="right"/>
    </xf>
    <xf numFmtId="1" fontId="36" fillId="12" borderId="0" xfId="0" applyNumberFormat="1" applyFont="1" applyFill="1" applyAlignment="1"/>
    <xf numFmtId="49" fontId="39" fillId="12" borderId="23" xfId="0" applyNumberFormat="1" applyFont="1" applyFill="1" applyBorder="1" applyAlignment="1">
      <alignment horizontal="left"/>
    </xf>
    <xf numFmtId="39" fontId="37" fillId="12" borderId="23" xfId="0" applyNumberFormat="1" applyFont="1" applyFill="1" applyBorder="1" applyAlignment="1">
      <alignment horizontal="left"/>
    </xf>
    <xf numFmtId="0" fontId="40" fillId="12" borderId="23" xfId="0" applyFont="1" applyFill="1" applyBorder="1" applyAlignment="1">
      <alignment horizontal="center"/>
    </xf>
    <xf numFmtId="170" fontId="37" fillId="12" borderId="23" xfId="0" applyNumberFormat="1" applyFont="1" applyFill="1" applyBorder="1" applyAlignment="1"/>
    <xf numFmtId="171" fontId="40" fillId="10" borderId="23" xfId="0" applyNumberFormat="1" applyFont="1" applyFill="1" applyBorder="1" applyAlignment="1">
      <alignment horizontal="center"/>
    </xf>
    <xf numFmtId="49" fontId="37" fillId="10" borderId="24" xfId="0" applyNumberFormat="1" applyFont="1" applyFill="1" applyBorder="1" applyAlignment="1">
      <alignment horizontal="left"/>
    </xf>
    <xf numFmtId="49" fontId="39" fillId="0" borderId="24" xfId="0" applyNumberFormat="1" applyFont="1" applyBorder="1" applyAlignment="1">
      <alignment horizontal="left"/>
    </xf>
    <xf numFmtId="0" fontId="37" fillId="0" borderId="24" xfId="0" applyFont="1" applyBorder="1" applyAlignment="1"/>
    <xf numFmtId="1" fontId="40" fillId="0" borderId="24" xfId="0" applyNumberFormat="1" applyFont="1" applyBorder="1" applyAlignment="1">
      <alignment horizontal="center"/>
    </xf>
    <xf numFmtId="0" fontId="40" fillId="0" borderId="24" xfId="0" applyFont="1" applyBorder="1" applyAlignment="1">
      <alignment horizontal="center"/>
    </xf>
    <xf numFmtId="0" fontId="40" fillId="0" borderId="24" xfId="0" applyFont="1" applyBorder="1" applyAlignment="1"/>
    <xf numFmtId="170" fontId="40" fillId="0" borderId="24" xfId="0" applyNumberFormat="1" applyFont="1" applyBorder="1" applyAlignment="1"/>
    <xf numFmtId="49" fontId="41" fillId="10" borderId="24" xfId="0" applyNumberFormat="1" applyFont="1" applyFill="1" applyBorder="1" applyAlignment="1"/>
    <xf numFmtId="169" fontId="40" fillId="11" borderId="23" xfId="0" applyNumberFormat="1" applyFont="1" applyFill="1" applyBorder="1" applyAlignment="1"/>
    <xf numFmtId="1" fontId="43" fillId="0" borderId="0" xfId="0" applyNumberFormat="1" applyFont="1" applyAlignment="1"/>
    <xf numFmtId="169" fontId="37" fillId="0" borderId="23" xfId="0" applyNumberFormat="1" applyFont="1" applyBorder="1" applyAlignment="1"/>
    <xf numFmtId="0" fontId="37" fillId="0" borderId="23" xfId="0" applyFont="1" applyBorder="1" applyAlignment="1"/>
    <xf numFmtId="49" fontId="44" fillId="10" borderId="23" xfId="0" applyNumberFormat="1" applyFont="1" applyFill="1" applyBorder="1" applyAlignment="1"/>
    <xf numFmtId="49" fontId="45" fillId="0" borderId="23" xfId="0" applyNumberFormat="1" applyFont="1" applyBorder="1" applyAlignment="1"/>
    <xf numFmtId="0" fontId="46" fillId="0" borderId="23" xfId="0" applyFont="1" applyBorder="1" applyAlignment="1"/>
    <xf numFmtId="0" fontId="45" fillId="0" borderId="23" xfId="0" applyFont="1" applyBorder="1" applyAlignment="1"/>
    <xf numFmtId="170" fontId="45" fillId="0" borderId="23" xfId="0" applyNumberFormat="1" applyFont="1" applyBorder="1" applyAlignment="1"/>
    <xf numFmtId="170" fontId="37" fillId="0" borderId="24" xfId="0" applyNumberFormat="1" applyFont="1" applyBorder="1" applyAlignment="1"/>
    <xf numFmtId="49" fontId="45" fillId="10" borderId="23" xfId="0" applyNumberFormat="1" applyFont="1" applyFill="1" applyBorder="1" applyAlignment="1"/>
    <xf numFmtId="49" fontId="47" fillId="0" borderId="23" xfId="0" applyNumberFormat="1" applyFont="1" applyBorder="1" applyAlignment="1"/>
    <xf numFmtId="0" fontId="48" fillId="0" borderId="23" xfId="0" applyFont="1" applyBorder="1" applyAlignment="1"/>
    <xf numFmtId="3" fontId="40" fillId="0" borderId="24" xfId="0" applyNumberFormat="1" applyFont="1" applyBorder="1" applyAlignment="1">
      <alignment horizontal="center"/>
    </xf>
    <xf numFmtId="170" fontId="40" fillId="0" borderId="24" xfId="0" applyNumberFormat="1" applyFont="1" applyBorder="1" applyAlignment="1">
      <alignment horizontal="center"/>
    </xf>
    <xf numFmtId="9" fontId="40" fillId="0" borderId="24" xfId="0" applyNumberFormat="1" applyFont="1" applyBorder="1" applyAlignment="1">
      <alignment horizontal="center"/>
    </xf>
    <xf numFmtId="49" fontId="41" fillId="10" borderId="0" xfId="0" applyNumberFormat="1" applyFont="1" applyFill="1" applyAlignment="1">
      <alignment horizontal="left"/>
    </xf>
    <xf numFmtId="49" fontId="36" fillId="0" borderId="0" xfId="0" applyNumberFormat="1" applyFont="1" applyAlignment="1">
      <alignment horizontal="left"/>
    </xf>
    <xf numFmtId="169" fontId="36" fillId="0" borderId="0" xfId="0" applyNumberFormat="1" applyFont="1" applyAlignment="1"/>
    <xf numFmtId="1" fontId="42" fillId="0" borderId="0" xfId="0" applyNumberFormat="1" applyFont="1" applyAlignment="1"/>
    <xf numFmtId="4" fontId="30" fillId="0" borderId="0" xfId="17" applyNumberFormat="1" applyFont="1"/>
    <xf numFmtId="0" fontId="30" fillId="0" borderId="0" xfId="17" applyFont="1" applyAlignment="1">
      <alignment horizontal="center"/>
    </xf>
    <xf numFmtId="14" fontId="30" fillId="0" borderId="0" xfId="17" applyNumberFormat="1" applyFont="1" applyAlignment="1">
      <alignment horizontal="center"/>
    </xf>
    <xf numFmtId="0" fontId="38" fillId="0" borderId="25" xfId="17" applyFont="1" applyBorder="1" applyAlignment="1">
      <alignment wrapText="1"/>
    </xf>
    <xf numFmtId="0" fontId="52" fillId="16" borderId="0" xfId="19" applyFont="1" applyFill="1" applyAlignment="1">
      <alignment horizontal="left" vertical="center" wrapText="1" indent="5"/>
    </xf>
    <xf numFmtId="0" fontId="45" fillId="0" borderId="0" xfId="19">
      <alignment vertical="top"/>
    </xf>
    <xf numFmtId="0" fontId="54" fillId="16" borderId="0" xfId="19" applyFont="1" applyFill="1" applyAlignment="1">
      <alignment horizontal="left" vertical="center" wrapText="1"/>
    </xf>
    <xf numFmtId="0" fontId="55" fillId="0" borderId="0" xfId="19" applyFont="1" applyAlignment="1">
      <alignment horizontal="left" wrapText="1"/>
    </xf>
    <xf numFmtId="0" fontId="56" fillId="0" borderId="0" xfId="19" applyFont="1" applyAlignment="1">
      <alignment horizontal="center" wrapText="1"/>
    </xf>
    <xf numFmtId="0" fontId="57" fillId="0" borderId="0" xfId="19" applyFont="1" applyAlignment="1">
      <alignment horizontal="center" vertical="center" wrapText="1"/>
    </xf>
    <xf numFmtId="0" fontId="60" fillId="18" borderId="27" xfId="19" applyFont="1" applyFill="1" applyBorder="1" applyAlignment="1">
      <alignment horizontal="center" vertical="center" wrapText="1"/>
    </xf>
    <xf numFmtId="0" fontId="62" fillId="16" borderId="29" xfId="19" applyFont="1" applyFill="1" applyBorder="1" applyAlignment="1">
      <alignment horizontal="left" vertical="center" wrapText="1" indent="1"/>
    </xf>
    <xf numFmtId="0" fontId="62" fillId="16" borderId="30" xfId="19" applyFont="1" applyFill="1" applyBorder="1" applyAlignment="1">
      <alignment horizontal="left" vertical="center" wrapText="1" indent="1"/>
    </xf>
    <xf numFmtId="0" fontId="62" fillId="16" borderId="32" xfId="19" applyFont="1" applyFill="1" applyBorder="1" applyAlignment="1">
      <alignment horizontal="left" vertical="center" wrapText="1" indent="1"/>
    </xf>
    <xf numFmtId="0" fontId="62" fillId="16" borderId="33" xfId="19" applyFont="1" applyFill="1" applyBorder="1" applyAlignment="1">
      <alignment horizontal="left" vertical="center" wrapText="1" indent="1"/>
    </xf>
    <xf numFmtId="0" fontId="62" fillId="16" borderId="36" xfId="19" applyFont="1" applyFill="1" applyBorder="1" applyAlignment="1">
      <alignment horizontal="left" vertical="center" wrapText="1" indent="1"/>
    </xf>
    <xf numFmtId="0" fontId="62" fillId="16" borderId="37" xfId="19" applyFont="1" applyFill="1" applyBorder="1" applyAlignment="1">
      <alignment horizontal="left" vertical="center" wrapText="1" indent="1"/>
    </xf>
    <xf numFmtId="0" fontId="64" fillId="6" borderId="39" xfId="19" applyFont="1" applyFill="1" applyBorder="1" applyAlignment="1">
      <alignment horizontal="center" vertical="center" wrapText="1"/>
    </xf>
    <xf numFmtId="0" fontId="67" fillId="8" borderId="46" xfId="19" applyFont="1" applyFill="1" applyBorder="1" applyAlignment="1">
      <alignment horizontal="center" vertical="center" wrapText="1"/>
    </xf>
    <xf numFmtId="0" fontId="67" fillId="8" borderId="45" xfId="19" applyFont="1" applyFill="1" applyBorder="1" applyAlignment="1">
      <alignment horizontal="center" vertical="center" wrapText="1"/>
    </xf>
    <xf numFmtId="0" fontId="68" fillId="16" borderId="30" xfId="19" applyFont="1" applyFill="1" applyBorder="1" applyAlignment="1">
      <alignment horizontal="left" vertical="center" wrapText="1" indent="1"/>
    </xf>
    <xf numFmtId="0" fontId="68" fillId="16" borderId="33" xfId="19" applyFont="1" applyFill="1" applyBorder="1" applyAlignment="1">
      <alignment horizontal="left" vertical="center" wrapText="1" indent="1"/>
    </xf>
    <xf numFmtId="0" fontId="68" fillId="16" borderId="37" xfId="19" applyFont="1" applyFill="1" applyBorder="1" applyAlignment="1">
      <alignment horizontal="left" vertical="center" wrapText="1" indent="1"/>
    </xf>
    <xf numFmtId="0" fontId="70" fillId="7" borderId="52" xfId="19" applyFont="1" applyFill="1" applyBorder="1" applyAlignment="1">
      <alignment horizontal="center" vertical="center" wrapText="1"/>
    </xf>
    <xf numFmtId="0" fontId="62" fillId="16" borderId="54" xfId="19" applyFont="1" applyFill="1" applyBorder="1" applyAlignment="1">
      <alignment horizontal="left" vertical="center" wrapText="1" indent="1"/>
    </xf>
    <xf numFmtId="0" fontId="62" fillId="16" borderId="55" xfId="19" applyFont="1" applyFill="1" applyBorder="1" applyAlignment="1">
      <alignment horizontal="left" vertical="center" wrapText="1" indent="1"/>
    </xf>
    <xf numFmtId="0" fontId="19" fillId="0" borderId="30" xfId="19" applyFont="1" applyBorder="1" applyAlignment="1">
      <alignment horizontal="center" vertical="center" wrapText="1"/>
    </xf>
    <xf numFmtId="0" fontId="62" fillId="16" borderId="56" xfId="19" applyFont="1" applyFill="1" applyBorder="1" applyAlignment="1">
      <alignment horizontal="left" vertical="center" wrapText="1" indent="1"/>
    </xf>
    <xf numFmtId="0" fontId="62" fillId="16" borderId="57" xfId="19" applyFont="1" applyFill="1" applyBorder="1" applyAlignment="1">
      <alignment horizontal="left" vertical="center" wrapText="1" indent="1"/>
    </xf>
    <xf numFmtId="0" fontId="19" fillId="0" borderId="33" xfId="19" applyFont="1" applyBorder="1" applyAlignment="1">
      <alignment horizontal="center" vertical="center" wrapText="1"/>
    </xf>
    <xf numFmtId="0" fontId="62" fillId="16" borderId="58" xfId="19" applyFont="1" applyFill="1" applyBorder="1" applyAlignment="1">
      <alignment horizontal="left" vertical="center" wrapText="1" indent="1"/>
    </xf>
    <xf numFmtId="0" fontId="62" fillId="16" borderId="59" xfId="19" applyFont="1" applyFill="1" applyBorder="1" applyAlignment="1">
      <alignment horizontal="left" vertical="center" wrapText="1" indent="1"/>
    </xf>
    <xf numFmtId="0" fontId="62" fillId="16" borderId="60" xfId="19" applyFont="1" applyFill="1" applyBorder="1" applyAlignment="1">
      <alignment horizontal="left" vertical="center" wrapText="1" indent="1"/>
    </xf>
    <xf numFmtId="0" fontId="62" fillId="16" borderId="63" xfId="19" applyFont="1" applyFill="1" applyBorder="1" applyAlignment="1">
      <alignment horizontal="left" vertical="center" wrapText="1" indent="1"/>
    </xf>
    <xf numFmtId="0" fontId="19" fillId="0" borderId="60" xfId="19" applyFont="1" applyBorder="1" applyAlignment="1">
      <alignment horizontal="center" vertical="center" wrapText="1"/>
    </xf>
    <xf numFmtId="0" fontId="72" fillId="9" borderId="66" xfId="19" applyFont="1" applyFill="1" applyBorder="1" applyAlignment="1">
      <alignment horizontal="center" vertical="center" wrapText="1"/>
    </xf>
    <xf numFmtId="0" fontId="62" fillId="16" borderId="68" xfId="19" applyFont="1" applyFill="1" applyBorder="1" applyAlignment="1">
      <alignment horizontal="left" vertical="center" wrapText="1" indent="1"/>
    </xf>
    <xf numFmtId="0" fontId="62" fillId="16" borderId="69" xfId="19" applyFont="1" applyFill="1" applyBorder="1" applyAlignment="1">
      <alignment horizontal="left" vertical="center" wrapText="1" indent="1"/>
    </xf>
    <xf numFmtId="0" fontId="62" fillId="16" borderId="70" xfId="19" applyFont="1" applyFill="1" applyBorder="1" applyAlignment="1">
      <alignment horizontal="left" vertical="center" wrapText="1" indent="1"/>
    </xf>
    <xf numFmtId="0" fontId="62" fillId="16" borderId="71" xfId="19" applyFont="1" applyFill="1" applyBorder="1" applyAlignment="1">
      <alignment horizontal="left" vertical="center" wrapText="1" indent="1"/>
    </xf>
    <xf numFmtId="0" fontId="62" fillId="16" borderId="72" xfId="19" applyFont="1" applyFill="1" applyBorder="1" applyAlignment="1">
      <alignment horizontal="left" vertical="center" wrapText="1" indent="1"/>
    </xf>
    <xf numFmtId="0" fontId="62" fillId="16" borderId="73" xfId="19" applyFont="1" applyFill="1" applyBorder="1" applyAlignment="1">
      <alignment horizontal="left" vertical="center" wrapText="1" indent="1"/>
    </xf>
    <xf numFmtId="0" fontId="62" fillId="16" borderId="74" xfId="19" applyFont="1" applyFill="1" applyBorder="1" applyAlignment="1">
      <alignment horizontal="left" vertical="center" wrapText="1" indent="1"/>
    </xf>
    <xf numFmtId="0" fontId="62" fillId="16" borderId="75" xfId="19" applyFont="1" applyFill="1" applyBorder="1" applyAlignment="1">
      <alignment horizontal="left" vertical="center" wrapText="1" indent="1"/>
    </xf>
    <xf numFmtId="0" fontId="62" fillId="16" borderId="76" xfId="19" applyFont="1" applyFill="1" applyBorder="1" applyAlignment="1">
      <alignment horizontal="left" vertical="center" wrapText="1" indent="1"/>
    </xf>
    <xf numFmtId="0" fontId="62" fillId="16" borderId="77" xfId="19" applyFont="1" applyFill="1" applyBorder="1" applyAlignment="1">
      <alignment horizontal="left" vertical="center" wrapText="1" indent="1"/>
    </xf>
    <xf numFmtId="0" fontId="62" fillId="16" borderId="78" xfId="19" applyFont="1" applyFill="1" applyBorder="1" applyAlignment="1">
      <alignment horizontal="left" vertical="center" wrapText="1" indent="1"/>
    </xf>
    <xf numFmtId="0" fontId="19" fillId="0" borderId="65" xfId="19" applyFont="1" applyBorder="1" applyAlignment="1">
      <alignment horizontal="center" vertical="center" wrapText="1"/>
    </xf>
    <xf numFmtId="0" fontId="45" fillId="0" borderId="0" xfId="19" applyAlignment="1">
      <alignment horizontal="center" vertical="center" wrapText="1"/>
    </xf>
    <xf numFmtId="0" fontId="19" fillId="0" borderId="0" xfId="19" applyFont="1" applyAlignment="1">
      <alignment horizontal="center" vertical="center" wrapText="1"/>
    </xf>
    <xf numFmtId="0" fontId="74" fillId="0" borderId="0" xfId="19" applyFont="1" applyAlignment="1">
      <alignment horizontal="center" vertical="center" wrapText="1"/>
    </xf>
    <xf numFmtId="14" fontId="30" fillId="0" borderId="0" xfId="17" applyNumberFormat="1" applyFont="1" applyAlignment="1">
      <alignment horizontal="center" vertical="center"/>
    </xf>
    <xf numFmtId="0" fontId="51" fillId="24" borderId="25" xfId="0" applyFont="1" applyFill="1" applyBorder="1" applyAlignment="1">
      <alignment horizontal="center" vertical="center" wrapText="1"/>
    </xf>
    <xf numFmtId="0" fontId="51" fillId="15" borderId="25" xfId="17" applyFont="1" applyFill="1" applyBorder="1" applyAlignment="1">
      <alignment horizontal="center" vertical="center" wrapText="1"/>
    </xf>
    <xf numFmtId="0" fontId="51" fillId="0" borderId="0" xfId="0" applyFont="1" applyAlignment="1">
      <alignment horizontal="center" vertical="center" wrapText="1"/>
    </xf>
    <xf numFmtId="0" fontId="51" fillId="15" borderId="23" xfId="17" applyFont="1" applyFill="1" applyBorder="1" applyAlignment="1">
      <alignment horizontal="center" vertical="center" wrapText="1"/>
    </xf>
    <xf numFmtId="0" fontId="51" fillId="24" borderId="23" xfId="0" applyFont="1" applyFill="1" applyBorder="1" applyAlignment="1">
      <alignment horizontal="center" vertical="center" wrapText="1"/>
    </xf>
    <xf numFmtId="0" fontId="51" fillId="15" borderId="25" xfId="0" applyFont="1" applyFill="1" applyBorder="1" applyAlignment="1">
      <alignment horizontal="center" vertical="center" wrapText="1"/>
    </xf>
    <xf numFmtId="0" fontId="51" fillId="15" borderId="23" xfId="0" applyFont="1" applyFill="1" applyBorder="1" applyAlignment="1">
      <alignment horizontal="center" vertical="center" wrapText="1"/>
    </xf>
    <xf numFmtId="0" fontId="38" fillId="0" borderId="25" xfId="17" applyFont="1" applyBorder="1" applyAlignment="1">
      <alignment horizontal="center" vertical="center" wrapText="1"/>
    </xf>
    <xf numFmtId="174" fontId="38" fillId="0" borderId="25" xfId="17" applyNumberFormat="1" applyFont="1" applyBorder="1" applyAlignment="1">
      <alignment horizontal="center" vertical="center" wrapText="1"/>
    </xf>
    <xf numFmtId="0" fontId="38" fillId="0" borderId="0" xfId="0" applyFont="1" applyAlignment="1">
      <alignment vertical="top" wrapText="1"/>
    </xf>
    <xf numFmtId="0" fontId="50" fillId="25" borderId="0" xfId="0" applyFont="1" applyFill="1" applyAlignment="1">
      <alignment vertical="top" wrapText="1"/>
    </xf>
    <xf numFmtId="0" fontId="50" fillId="16" borderId="0" xfId="17" applyFont="1" applyFill="1" applyAlignment="1">
      <alignment vertical="center" wrapText="1"/>
    </xf>
    <xf numFmtId="0" fontId="38" fillId="0" borderId="0" xfId="17" applyFont="1" applyAlignment="1">
      <alignment horizontal="center" wrapText="1"/>
    </xf>
    <xf numFmtId="0" fontId="50" fillId="25" borderId="0" xfId="0" applyFont="1" applyFill="1" applyAlignment="1">
      <alignment vertical="center" wrapText="1"/>
    </xf>
    <xf numFmtId="0" fontId="50" fillId="0" borderId="0" xfId="0" applyFont="1" applyAlignment="1">
      <alignment horizontal="center" vertical="center" wrapText="1"/>
    </xf>
    <xf numFmtId="0" fontId="51" fillId="14" borderId="97" xfId="0" applyFont="1" applyFill="1" applyBorder="1" applyAlignment="1">
      <alignment vertical="center" wrapText="1"/>
    </xf>
    <xf numFmtId="0" fontId="51" fillId="0" borderId="0" xfId="0" applyFont="1" applyAlignment="1">
      <alignment horizontal="left" vertical="center" wrapText="1"/>
    </xf>
    <xf numFmtId="22" fontId="38" fillId="0" borderId="0" xfId="0" applyNumberFormat="1" applyFont="1" applyAlignment="1">
      <alignment vertical="top" wrapText="1"/>
    </xf>
    <xf numFmtId="14" fontId="38" fillId="0" borderId="0" xfId="0" applyNumberFormat="1" applyFont="1" applyAlignment="1">
      <alignment vertical="top" wrapText="1"/>
    </xf>
    <xf numFmtId="14" fontId="38" fillId="0" borderId="25" xfId="0" applyNumberFormat="1" applyFont="1" applyBorder="1" applyAlignment="1">
      <alignment horizontal="left" vertical="top" wrapText="1"/>
    </xf>
    <xf numFmtId="0" fontId="38" fillId="0" borderId="25" xfId="0" applyFont="1" applyBorder="1" applyAlignment="1">
      <alignment vertical="top" wrapText="1"/>
    </xf>
    <xf numFmtId="0" fontId="50" fillId="0" borderId="0" xfId="0" applyFont="1" applyAlignment="1">
      <alignment vertical="top" wrapText="1"/>
    </xf>
    <xf numFmtId="0" fontId="50" fillId="14" borderId="22" xfId="0" applyFont="1" applyFill="1" applyBorder="1" applyAlignment="1">
      <alignment vertical="top" wrapText="1"/>
    </xf>
    <xf numFmtId="0" fontId="51" fillId="0" borderId="15" xfId="0" applyFont="1" applyBorder="1" applyAlignment="1">
      <alignment horizontal="left" vertical="center" wrapText="1"/>
    </xf>
    <xf numFmtId="0" fontId="50" fillId="0" borderId="16" xfId="0" applyFont="1" applyBorder="1" applyAlignment="1">
      <alignment vertical="top" wrapText="1"/>
    </xf>
    <xf numFmtId="0" fontId="51" fillId="15" borderId="20" xfId="0" applyFont="1" applyFill="1" applyBorder="1" applyAlignment="1">
      <alignment horizontal="center" vertical="center" wrapText="1"/>
    </xf>
    <xf numFmtId="0" fontId="83" fillId="0" borderId="0" xfId="0" applyFont="1">
      <alignment vertical="top"/>
    </xf>
    <xf numFmtId="175" fontId="84" fillId="0" borderId="0" xfId="0" applyNumberFormat="1" applyFont="1" applyAlignment="1">
      <alignment horizontal="center" vertical="center"/>
    </xf>
    <xf numFmtId="175" fontId="0" fillId="0" borderId="0" xfId="0" applyNumberFormat="1">
      <alignment vertical="top"/>
    </xf>
    <xf numFmtId="175" fontId="83" fillId="26" borderId="0" xfId="0" applyNumberFormat="1" applyFont="1" applyFill="1">
      <alignment vertical="top"/>
    </xf>
    <xf numFmtId="0" fontId="38" fillId="0" borderId="0" xfId="0" applyFont="1" applyAlignment="1">
      <alignment horizontal="left" vertical="top"/>
    </xf>
    <xf numFmtId="0" fontId="0" fillId="14" borderId="0" xfId="0" applyFill="1" applyAlignment="1"/>
    <xf numFmtId="1" fontId="36" fillId="0" borderId="0" xfId="0" applyNumberFormat="1" applyFont="1" applyAlignment="1">
      <alignment wrapText="1"/>
    </xf>
    <xf numFmtId="1" fontId="36" fillId="12" borderId="0" xfId="0" applyNumberFormat="1" applyFont="1" applyFill="1" applyAlignment="1">
      <alignment wrapText="1"/>
    </xf>
    <xf numFmtId="0" fontId="0" fillId="0" borderId="0" xfId="0" applyAlignment="1"/>
    <xf numFmtId="0" fontId="84" fillId="0" borderId="0" xfId="0" applyFont="1" applyAlignment="1">
      <alignment horizontal="center" vertical="center"/>
    </xf>
    <xf numFmtId="0" fontId="83" fillId="14" borderId="0" xfId="0" applyFont="1" applyFill="1" applyAlignment="1">
      <alignment horizontal="center" vertical="top"/>
    </xf>
    <xf numFmtId="0" fontId="0" fillId="28" borderId="0" xfId="0" applyFill="1">
      <alignment vertical="top"/>
    </xf>
    <xf numFmtId="0" fontId="0" fillId="29" borderId="0" xfId="0" applyFill="1">
      <alignment vertical="top"/>
    </xf>
    <xf numFmtId="0" fontId="33" fillId="0" borderId="0" xfId="17" applyFont="1" applyAlignment="1">
      <alignment horizontal="center" vertical="center"/>
    </xf>
    <xf numFmtId="0" fontId="30" fillId="0" borderId="0" xfId="17" applyFont="1" applyAlignment="1">
      <alignment horizontal="left" vertical="center"/>
    </xf>
    <xf numFmtId="14" fontId="30" fillId="0" borderId="0" xfId="17" applyNumberFormat="1" applyFont="1" applyAlignment="1">
      <alignment horizontal="center" vertical="center"/>
    </xf>
    <xf numFmtId="0" fontId="82" fillId="27" borderId="94" xfId="0" applyFont="1" applyFill="1" applyBorder="1" applyAlignment="1">
      <alignment horizontal="left" vertical="center" wrapText="1"/>
    </xf>
    <xf numFmtId="0" fontId="82" fillId="27" borderId="0" xfId="0" applyFont="1" applyFill="1" applyBorder="1" applyAlignment="1">
      <alignment horizontal="left" vertical="center" wrapText="1"/>
    </xf>
    <xf numFmtId="0" fontId="82" fillId="25" borderId="94" xfId="0" applyFont="1" applyFill="1" applyBorder="1" applyAlignment="1">
      <alignment horizontal="left" vertical="center" wrapText="1"/>
    </xf>
    <xf numFmtId="0" fontId="82" fillId="25" borderId="0" xfId="0" applyFont="1" applyFill="1" applyAlignment="1">
      <alignment horizontal="left" vertical="center" wrapText="1"/>
    </xf>
    <xf numFmtId="0" fontId="49" fillId="0" borderId="0" xfId="0" applyFont="1" applyAlignment="1">
      <alignment horizontal="center" vertical="center" wrapText="1"/>
    </xf>
    <xf numFmtId="0" fontId="51" fillId="25" borderId="0" xfId="0" applyFont="1" applyFill="1" applyAlignment="1">
      <alignment horizontal="left" vertical="top" wrapText="1"/>
    </xf>
    <xf numFmtId="0" fontId="51" fillId="25" borderId="92" xfId="0" applyFont="1" applyFill="1" applyBorder="1" applyAlignment="1">
      <alignment horizontal="left" vertical="center" wrapText="1"/>
    </xf>
    <xf numFmtId="0" fontId="51" fillId="25" borderId="93" xfId="0" applyFont="1" applyFill="1" applyBorder="1" applyAlignment="1">
      <alignment horizontal="left" vertical="center" wrapText="1"/>
    </xf>
    <xf numFmtId="0" fontId="51" fillId="25" borderId="0" xfId="0" applyFont="1" applyFill="1" applyAlignment="1">
      <alignment horizontal="left" vertical="center" wrapText="1"/>
    </xf>
    <xf numFmtId="0" fontId="50" fillId="16" borderId="22" xfId="0" applyFont="1" applyFill="1" applyBorder="1" applyAlignment="1">
      <alignment horizontal="center" vertical="center" wrapText="1"/>
    </xf>
    <xf numFmtId="0" fontId="51" fillId="14" borderId="98" xfId="0" applyFont="1" applyFill="1" applyBorder="1" applyAlignment="1">
      <alignment horizontal="left" vertical="center" wrapText="1"/>
    </xf>
    <xf numFmtId="0" fontId="51" fillId="14" borderId="99" xfId="0" applyFont="1" applyFill="1" applyBorder="1" applyAlignment="1">
      <alignment horizontal="left" vertical="center" wrapText="1"/>
    </xf>
    <xf numFmtId="0" fontId="51" fillId="14" borderId="25" xfId="0" applyFont="1" applyFill="1" applyBorder="1" applyAlignment="1">
      <alignment horizontal="left" vertical="center" wrapText="1"/>
    </xf>
    <xf numFmtId="0" fontId="51" fillId="14" borderId="95" xfId="0" applyFont="1" applyFill="1" applyBorder="1" applyAlignment="1">
      <alignment horizontal="left" vertical="center" wrapText="1"/>
    </xf>
    <xf numFmtId="0" fontId="51" fillId="14" borderId="96" xfId="0" applyFont="1" applyFill="1" applyBorder="1" applyAlignment="1">
      <alignment horizontal="left" vertical="center" wrapText="1"/>
    </xf>
    <xf numFmtId="0" fontId="37" fillId="10" borderId="12" xfId="0" applyFont="1" applyFill="1" applyBorder="1" applyAlignment="1">
      <alignment horizontal="center" vertical="top" wrapText="1"/>
    </xf>
    <xf numFmtId="0" fontId="38" fillId="0" borderId="13" xfId="0" applyFont="1" applyBorder="1" applyAlignment="1"/>
    <xf numFmtId="0" fontId="38" fillId="0" borderId="14" xfId="0" applyFont="1" applyBorder="1" applyAlignment="1"/>
    <xf numFmtId="0" fontId="38" fillId="0" borderId="15" xfId="0" applyFont="1" applyBorder="1" applyAlignment="1"/>
    <xf numFmtId="0" fontId="0" fillId="0" borderId="0" xfId="0" applyAlignment="1"/>
    <xf numFmtId="0" fontId="38" fillId="0" borderId="16" xfId="0" applyFont="1" applyBorder="1" applyAlignment="1"/>
    <xf numFmtId="0" fontId="38" fillId="0" borderId="17" xfId="0" applyFont="1" applyBorder="1" applyAlignment="1"/>
    <xf numFmtId="0" fontId="38" fillId="0" borderId="18" xfId="0" applyFont="1" applyBorder="1" applyAlignment="1"/>
    <xf numFmtId="0" fontId="38" fillId="0" borderId="19" xfId="0" applyFont="1" applyBorder="1" applyAlignment="1"/>
    <xf numFmtId="49" fontId="37" fillId="10" borderId="20" xfId="0" applyNumberFormat="1" applyFont="1" applyFill="1" applyBorder="1" applyAlignment="1">
      <alignment horizontal="center" vertical="center"/>
    </xf>
    <xf numFmtId="0" fontId="38" fillId="0" borderId="21" xfId="0" applyFont="1" applyBorder="1" applyAlignment="1"/>
    <xf numFmtId="0" fontId="85" fillId="14" borderId="0" xfId="0" applyFont="1" applyFill="1" applyAlignment="1">
      <alignment horizontal="center"/>
    </xf>
    <xf numFmtId="0" fontId="84" fillId="0" borderId="0" xfId="0" applyFont="1" applyAlignment="1">
      <alignment horizontal="center" vertical="center"/>
    </xf>
    <xf numFmtId="172" fontId="59" fillId="18" borderId="35" xfId="19" applyNumberFormat="1" applyFont="1" applyFill="1" applyBorder="1" applyAlignment="1">
      <alignment horizontal="center" vertical="center"/>
    </xf>
    <xf numFmtId="172" fontId="59" fillId="18" borderId="81" xfId="19" applyNumberFormat="1" applyFont="1" applyFill="1" applyBorder="1" applyAlignment="1">
      <alignment horizontal="center" vertical="center"/>
    </xf>
    <xf numFmtId="172" fontId="59" fillId="18" borderId="82" xfId="19" applyNumberFormat="1" applyFont="1" applyFill="1" applyBorder="1" applyAlignment="1">
      <alignment horizontal="center" vertical="center"/>
    </xf>
    <xf numFmtId="173" fontId="66" fillId="8" borderId="49" xfId="19" applyNumberFormat="1" applyFont="1" applyFill="1" applyBorder="1" applyAlignment="1">
      <alignment horizontal="center" vertical="center"/>
    </xf>
    <xf numFmtId="173" fontId="66" fillId="8" borderId="83" xfId="19" applyNumberFormat="1" applyFont="1" applyFill="1" applyBorder="1" applyAlignment="1">
      <alignment horizontal="center" vertical="center"/>
    </xf>
    <xf numFmtId="173" fontId="66" fillId="8" borderId="84" xfId="19" applyNumberFormat="1" applyFont="1" applyFill="1" applyBorder="1" applyAlignment="1">
      <alignment horizontal="center" vertical="center"/>
    </xf>
    <xf numFmtId="173" fontId="69" fillId="7" borderId="62" xfId="19" applyNumberFormat="1" applyFont="1" applyFill="1" applyBorder="1" applyAlignment="1">
      <alignment horizontal="center" vertical="center"/>
    </xf>
    <xf numFmtId="173" fontId="69" fillId="7" borderId="85" xfId="19" applyNumberFormat="1" applyFont="1" applyFill="1" applyBorder="1" applyAlignment="1">
      <alignment horizontal="center" vertical="center"/>
    </xf>
    <xf numFmtId="173" fontId="69" fillId="7" borderId="86" xfId="19" applyNumberFormat="1" applyFont="1" applyFill="1" applyBorder="1" applyAlignment="1">
      <alignment horizontal="center" vertical="center"/>
    </xf>
    <xf numFmtId="173" fontId="71" fillId="9" borderId="87" xfId="19" applyNumberFormat="1" applyFont="1" applyFill="1" applyBorder="1" applyAlignment="1">
      <alignment horizontal="center" vertical="center"/>
    </xf>
    <xf numFmtId="173" fontId="71" fillId="9" borderId="88" xfId="19" applyNumberFormat="1" applyFont="1" applyFill="1" applyBorder="1" applyAlignment="1">
      <alignment horizontal="center" vertical="center"/>
    </xf>
    <xf numFmtId="173" fontId="71" fillId="9" borderId="89" xfId="19" applyNumberFormat="1" applyFont="1" applyFill="1" applyBorder="1" applyAlignment="1">
      <alignment horizontal="center" vertical="center"/>
    </xf>
    <xf numFmtId="0" fontId="53" fillId="16" borderId="0" xfId="19" applyFont="1" applyFill="1" applyAlignment="1">
      <alignment horizontal="left" vertical="center" wrapText="1"/>
    </xf>
    <xf numFmtId="0" fontId="58" fillId="17" borderId="26" xfId="19" applyFont="1" applyFill="1" applyBorder="1" applyAlignment="1">
      <alignment horizontal="center" vertical="center" wrapText="1"/>
    </xf>
    <xf numFmtId="0" fontId="58" fillId="17" borderId="0" xfId="19" applyFont="1" applyFill="1" applyAlignment="1">
      <alignment horizontal="center" vertical="center" wrapText="1"/>
    </xf>
    <xf numFmtId="0" fontId="58" fillId="17" borderId="34" xfId="19" applyFont="1" applyFill="1" applyBorder="1" applyAlignment="1">
      <alignment horizontal="center" vertical="center" wrapText="1"/>
    </xf>
    <xf numFmtId="0" fontId="61" fillId="0" borderId="28" xfId="19" applyFont="1" applyBorder="1" applyAlignment="1">
      <alignment horizontal="center" vertical="center" wrapText="1"/>
    </xf>
    <xf numFmtId="0" fontId="61" fillId="0" borderId="31" xfId="19" applyFont="1" applyBorder="1" applyAlignment="1">
      <alignment horizontal="center" vertical="center" wrapText="1"/>
    </xf>
    <xf numFmtId="0" fontId="61" fillId="0" borderId="38" xfId="19" applyFont="1" applyBorder="1" applyAlignment="1">
      <alignment horizontal="center" vertical="center" wrapText="1"/>
    </xf>
    <xf numFmtId="0" fontId="58" fillId="19" borderId="26" xfId="19" applyFont="1" applyFill="1" applyBorder="1" applyAlignment="1">
      <alignment horizontal="center" vertical="center" wrapText="1"/>
    </xf>
    <xf numFmtId="0" fontId="58" fillId="19" borderId="0" xfId="19" applyFont="1" applyFill="1" applyAlignment="1">
      <alignment horizontal="center" vertical="center" wrapText="1"/>
    </xf>
    <xf numFmtId="0" fontId="58" fillId="19" borderId="41" xfId="19" applyFont="1" applyFill="1" applyBorder="1" applyAlignment="1">
      <alignment horizontal="center" vertical="center" wrapText="1"/>
    </xf>
    <xf numFmtId="0" fontId="65" fillId="0" borderId="40" xfId="19" applyFont="1" applyBorder="1" applyAlignment="1">
      <alignment horizontal="center" vertical="center" wrapText="1"/>
    </xf>
    <xf numFmtId="0" fontId="65" fillId="0" borderId="31" xfId="19" applyFont="1" applyBorder="1" applyAlignment="1">
      <alignment horizontal="center" vertical="center" wrapText="1"/>
    </xf>
    <xf numFmtId="0" fontId="65" fillId="0" borderId="43" xfId="19" applyFont="1" applyBorder="1" applyAlignment="1">
      <alignment horizontal="center" vertical="center" wrapText="1"/>
    </xf>
    <xf numFmtId="0" fontId="58" fillId="20" borderId="44" xfId="19" applyFont="1" applyFill="1" applyBorder="1" applyAlignment="1">
      <alignment horizontal="center" vertical="center" wrapText="1"/>
    </xf>
    <xf numFmtId="0" fontId="58" fillId="20" borderId="0" xfId="19" applyFont="1" applyFill="1" applyAlignment="1">
      <alignment horizontal="center" vertical="center" wrapText="1"/>
    </xf>
    <xf numFmtId="0" fontId="58" fillId="20" borderId="48" xfId="19" applyFont="1" applyFill="1" applyBorder="1" applyAlignment="1">
      <alignment horizontal="center" vertical="center" wrapText="1"/>
    </xf>
    <xf numFmtId="0" fontId="66" fillId="0" borderId="47" xfId="19" applyFont="1" applyBorder="1" applyAlignment="1">
      <alignment horizontal="center" vertical="center" wrapText="1"/>
    </xf>
    <xf numFmtId="0" fontId="66" fillId="0" borderId="31" xfId="19" applyFont="1" applyBorder="1" applyAlignment="1">
      <alignment horizontal="center" vertical="center" wrapText="1"/>
    </xf>
    <xf numFmtId="0" fontId="66" fillId="0" borderId="50" xfId="19" applyFont="1" applyBorder="1" applyAlignment="1">
      <alignment horizontal="center" vertical="center" wrapText="1"/>
    </xf>
    <xf numFmtId="0" fontId="58" fillId="21" borderId="51" xfId="19" applyFont="1" applyFill="1" applyBorder="1" applyAlignment="1">
      <alignment horizontal="center" vertical="center" wrapText="1"/>
    </xf>
    <xf numFmtId="0" fontId="58" fillId="21" borderId="0" xfId="19" applyFont="1" applyFill="1" applyAlignment="1">
      <alignment horizontal="center" vertical="center" wrapText="1"/>
    </xf>
    <xf numFmtId="0" fontId="58" fillId="21" borderId="61" xfId="19" applyFont="1" applyFill="1" applyBorder="1" applyAlignment="1">
      <alignment horizontal="center" vertical="center" wrapText="1"/>
    </xf>
    <xf numFmtId="0" fontId="69" fillId="0" borderId="53" xfId="19" applyFont="1" applyBorder="1" applyAlignment="1">
      <alignment horizontal="center" vertical="center" wrapText="1"/>
    </xf>
    <xf numFmtId="0" fontId="69" fillId="0" borderId="31" xfId="19" applyFont="1" applyBorder="1" applyAlignment="1">
      <alignment horizontal="center" vertical="center" wrapText="1"/>
    </xf>
    <xf numFmtId="0" fontId="69" fillId="0" borderId="64" xfId="19" applyFont="1" applyBorder="1" applyAlignment="1">
      <alignment horizontal="center" vertical="center" wrapText="1"/>
    </xf>
    <xf numFmtId="0" fontId="58" fillId="22" borderId="65" xfId="19" applyFont="1" applyFill="1" applyBorder="1" applyAlignment="1">
      <alignment horizontal="center" vertical="center" wrapText="1"/>
    </xf>
    <xf numFmtId="0" fontId="58" fillId="22" borderId="0" xfId="19" applyFont="1" applyFill="1" applyAlignment="1">
      <alignment horizontal="center" vertical="center" wrapText="1"/>
    </xf>
    <xf numFmtId="0" fontId="73" fillId="0" borderId="67" xfId="19" applyFont="1" applyBorder="1" applyAlignment="1">
      <alignment horizontal="center" vertical="center" wrapText="1"/>
    </xf>
    <xf numFmtId="0" fontId="73" fillId="0" borderId="31" xfId="19" applyFont="1" applyBorder="1" applyAlignment="1">
      <alignment horizontal="center" vertical="center" wrapText="1"/>
    </xf>
    <xf numFmtId="0" fontId="73" fillId="0" borderId="29" xfId="19" applyFont="1" applyBorder="1" applyAlignment="1">
      <alignment horizontal="center" vertical="center" wrapText="1"/>
    </xf>
    <xf numFmtId="173" fontId="63" fillId="6" borderId="42" xfId="19" applyNumberFormat="1" applyFont="1" applyFill="1" applyBorder="1" applyAlignment="1">
      <alignment horizontal="center" vertical="center"/>
    </xf>
    <xf numFmtId="173" fontId="63" fillId="6" borderId="79" xfId="19" applyNumberFormat="1" applyFont="1" applyFill="1" applyBorder="1" applyAlignment="1">
      <alignment horizontal="center" vertical="center"/>
    </xf>
    <xf numFmtId="173" fontId="63" fillId="6" borderId="80" xfId="19" applyNumberFormat="1" applyFont="1" applyFill="1" applyBorder="1" applyAlignment="1">
      <alignment horizontal="center" vertical="center"/>
    </xf>
    <xf numFmtId="0" fontId="21" fillId="0" borderId="0" xfId="5" applyFont="1" applyFill="1" applyBorder="1">
      <alignment vertical="center"/>
    </xf>
    <xf numFmtId="0" fontId="14" fillId="6" borderId="0" xfId="11" applyFont="1" applyFill="1" applyBorder="1" applyAlignment="1">
      <alignment horizontal="left" vertical="center" wrapText="1" indent="1"/>
    </xf>
    <xf numFmtId="0" fontId="18" fillId="6" borderId="0" xfId="11" applyFont="1" applyFill="1" applyBorder="1">
      <alignment horizontal="left" vertical="top" wrapText="1" indent="1"/>
    </xf>
    <xf numFmtId="0" fontId="13" fillId="0" borderId="4" xfId="15" applyFont="1" applyFill="1" applyBorder="1" applyAlignment="1">
      <alignment horizontal="center" vertical="top"/>
    </xf>
    <xf numFmtId="0" fontId="20" fillId="0" borderId="0" xfId="5" applyFont="1" applyFill="1" applyBorder="1">
      <alignment vertical="center"/>
    </xf>
    <xf numFmtId="0" fontId="14" fillId="7" borderId="0" xfId="11" applyFont="1" applyFill="1" applyBorder="1" applyAlignment="1">
      <alignment horizontal="left" vertical="center" wrapText="1" indent="1"/>
    </xf>
    <xf numFmtId="0" fontId="18" fillId="7" borderId="0" xfId="11" applyFont="1" applyFill="1" applyBorder="1">
      <alignment horizontal="left" vertical="top" wrapText="1" indent="1"/>
    </xf>
    <xf numFmtId="0" fontId="23" fillId="0" borderId="0" xfId="5" applyFont="1" applyFill="1" applyBorder="1">
      <alignment vertical="center"/>
    </xf>
    <xf numFmtId="0" fontId="14" fillId="9" borderId="0" xfId="11" applyFont="1" applyFill="1" applyBorder="1" applyAlignment="1">
      <alignment horizontal="left" vertical="center" wrapText="1" indent="1"/>
    </xf>
    <xf numFmtId="0" fontId="18" fillId="9" borderId="0" xfId="11" applyFont="1" applyFill="1" applyBorder="1">
      <alignment horizontal="left" vertical="top" wrapText="1" indent="1"/>
    </xf>
    <xf numFmtId="0" fontId="22" fillId="0" borderId="0" xfId="5" applyFont="1" applyFill="1" applyBorder="1">
      <alignment vertical="center"/>
    </xf>
    <xf numFmtId="0" fontId="14" fillId="8" borderId="0" xfId="11" applyFont="1" applyFill="1" applyBorder="1" applyAlignment="1">
      <alignment horizontal="left" vertical="center" wrapText="1" indent="1"/>
    </xf>
    <xf numFmtId="0" fontId="18" fillId="8" borderId="0" xfId="11" applyFont="1" applyFill="1" applyBorder="1">
      <alignment horizontal="left" vertical="top" wrapText="1" indent="1"/>
    </xf>
    <xf numFmtId="14" fontId="0" fillId="0" borderId="0" xfId="0" applyNumberFormat="1" applyAlignment="1"/>
    <xf numFmtId="14" fontId="14" fillId="0" borderId="0" xfId="0" applyNumberFormat="1" applyFont="1">
      <alignment vertical="top"/>
    </xf>
    <xf numFmtId="178" fontId="38" fillId="0" borderId="0" xfId="8" applyNumberFormat="1" applyFont="1" applyAlignment="1">
      <alignment vertical="top" wrapText="1"/>
    </xf>
    <xf numFmtId="178" fontId="83" fillId="0" borderId="0" xfId="0" applyNumberFormat="1" applyFont="1" applyAlignment="1"/>
    <xf numFmtId="43" fontId="0" fillId="0" borderId="0" xfId="0" applyNumberFormat="1" applyAlignment="1"/>
  </cellXfs>
  <cellStyles count="28">
    <cellStyle name="40% - Ênfase1" xfId="1" builtinId="31" customBuiltin="1"/>
    <cellStyle name="Accent5 2" xfId="21" xr:uid="{484121EF-BCB5-694E-97C2-07ABE772C5F4}"/>
    <cellStyle name="Banded" xfId="13" xr:uid="{00000000-0005-0000-0000-000003000000}"/>
    <cellStyle name="Day" xfId="12" xr:uid="{00000000-0005-0000-0000-000008000000}"/>
    <cellStyle name="Day 2" xfId="27" xr:uid="{C82FE373-A659-DB4E-AC8D-344356F2273E}"/>
    <cellStyle name="Ênfase1" xfId="3" builtinId="29" customBuiltin="1"/>
    <cellStyle name="Ênfase5" xfId="4" builtinId="45" customBuiltin="1"/>
    <cellStyle name="Heading 1 2" xfId="20" xr:uid="{20B03E71-6556-AE4A-8E4F-F4186D73F44A}"/>
    <cellStyle name="Heading 2 2" xfId="25" xr:uid="{AFA879B9-8852-3141-BD42-A9DE978391E4}"/>
    <cellStyle name="Heading 3 2" xfId="26" xr:uid="{5163585F-18C5-DB45-9FBD-E8084131932F}"/>
    <cellStyle name="Hyperlink 2" xfId="18" xr:uid="{3A7E9D7A-D987-C848-A8C3-75C06501C7AC}"/>
    <cellStyle name="Moeda" xfId="8" builtinId="4" customBuiltin="1"/>
    <cellStyle name="Moeda [0]" xfId="9" builtinId="7" customBuiltin="1"/>
    <cellStyle name="Normal" xfId="0" builtinId="0" customBuiltin="1"/>
    <cellStyle name="Normal 2" xfId="17" xr:uid="{81A98DDB-A6E1-0B47-BD1C-D99CB3654A6C}"/>
    <cellStyle name="Normal 3" xfId="19" xr:uid="{089971B3-A641-F848-B0F8-C718D19DADB2}"/>
    <cellStyle name="Normal 4" xfId="23" xr:uid="{2599F860-6F9D-9E45-A3F1-257D359FC44A}"/>
    <cellStyle name="Note 2" xfId="22" xr:uid="{0ECC2AF7-878E-674F-A1F7-349D709AF4A9}"/>
    <cellStyle name="Porcentagem" xfId="10" builtinId="5" customBuiltin="1"/>
    <cellStyle name="Separador de milhares [0]" xfId="7" builtinId="6" customBuiltin="1"/>
    <cellStyle name="Settings Entry" xfId="14" xr:uid="{00000000-0005-0000-0000-00000F000000}"/>
    <cellStyle name="Title 2" xfId="24" xr:uid="{8AAB8670-6429-9140-8E2E-214C4B5270A1}"/>
    <cellStyle name="Título" xfId="5" builtinId="15" customBuiltin="1"/>
    <cellStyle name="Título 1" xfId="2" builtinId="16" customBuiltin="1"/>
    <cellStyle name="Título 2" xfId="15" builtinId="17" customBuiltin="1"/>
    <cellStyle name="Título 3" xfId="16" builtinId="18" customBuiltin="1"/>
    <cellStyle name="Título 4" xfId="11" builtinId="19" customBuiltin="1"/>
    <cellStyle name="Vírgula" xfId="6" builtinId="3" customBuiltin="1"/>
  </cellStyles>
  <dxfs count="53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0.2499465926084170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numFmt numFmtId="175" formatCode="&quot;$&quot;#,##0.00"/>
    </dxf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ill>
        <patternFill patternType="solid">
          <fgColor rgb="FFB7E1CD"/>
          <bgColor rgb="FFB7E1CD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microsoft.com/office/2007/relationships/slicerCache" Target="slicerCaches/slicerCach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Relationship Id="rId27" Type="http://schemas.openxmlformats.org/officeDocument/2006/relationships/customXml" Target="../customXml/item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47625</xdr:colOff>
      <xdr:row>0</xdr:row>
      <xdr:rowOff>304800</xdr:rowOff>
    </xdr:from>
    <xdr:to>
      <xdr:col>8</xdr:col>
      <xdr:colOff>314325</xdr:colOff>
      <xdr:row>6</xdr:row>
      <xdr:rowOff>28575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2" name="Projeto">
              <a:extLst>
                <a:ext uri="{FF2B5EF4-FFF2-40B4-BE49-F238E27FC236}">
                  <a16:creationId xmlns:a16="http://schemas.microsoft.com/office/drawing/2014/main" id="{4A5923E9-FEF7-364E-26BE-688CB63462F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jet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839575" y="304800"/>
              <a:ext cx="2247900" cy="10858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3" name="Picture 2" descr="Buildings and a tree on a Winter" title="Header Winter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86400" y="114300"/>
          <a:ext cx="4152900" cy="1143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2" name="Picture 1" descr="Buildings and a tree on a Winter" title="Header Winter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86400" y="114300"/>
          <a:ext cx="4152900" cy="1143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3" name="Picture 2" descr="Buildings and a tree on a Spring" title="Header Spri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86400" y="114300"/>
          <a:ext cx="4152900" cy="1143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2" name="Picture 1" descr="Buildings and a tree on a Spring" title="Header Spri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86400" y="114300"/>
          <a:ext cx="4152900" cy="1143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2" name="Picture 1" descr="Buildings and a tree on a Spring" title="Header Spri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86400" y="114300"/>
          <a:ext cx="4152900" cy="1143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3" name="Picture 2" descr="Buildings and a tree on a Summer" title="Header Summer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86400" y="114300"/>
          <a:ext cx="4152900" cy="1143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2" name="Picture 1" descr="Buildings and a tree on a Summer" title="Header Summer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48300" y="114300"/>
          <a:ext cx="4152900" cy="1143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2" name="Picture 1" descr="Buildings and a tree on a Summer" title="Header Summer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86400" y="114300"/>
          <a:ext cx="4152900" cy="11430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1289816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3" name="Picture 2" descr="Buildings and a tree on a Fall" title="Header Fall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14141" y="114300"/>
          <a:ext cx="4187059" cy="11430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1289816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2" name="Picture 1" descr="Buildings and a tree on a Fall" title="Header Fall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14141" y="114300"/>
          <a:ext cx="4187059" cy="11430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1289816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2" name="Picture 1" descr="Buildings and a tree on a Fall" title="Header Fall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14141" y="114300"/>
          <a:ext cx="4187059" cy="114300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2" name="Picture 1" descr="Buildings and a tree on a Winter" title="Header Winter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86400" y="114300"/>
          <a:ext cx="4152900" cy="1143000"/>
        </a:xfrm>
        <a:prstGeom prst="rect">
          <a:avLst/>
        </a:prstGeom>
      </xdr:spPr>
    </xdr:pic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Projeto" xr10:uid="{2D526791-A6BF-45DD-B6AB-47F40269EFDF}" sourceName="Projeto">
  <extLst>
    <x:ext xmlns:x15="http://schemas.microsoft.com/office/spreadsheetml/2010/11/main" uri="{2F2917AC-EB37-4324-AD4E-5DD8C200BD13}">
      <x15:tableSlicerCache tableId="1" column="5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Projeto" xr10:uid="{0908E533-D101-4572-9A97-92F9C135EB82}" cache="SegmentaçãodeDados_Projeto" caption="Projeto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BF64DF-14FA-4BB3-B1AD-8C884F039DCD}" name="Tabela1" displayName="Tabela1" ref="A2:F15" totalsRowShown="0" headerRowDxfId="0">
  <autoFilter ref="A2:F15" xr:uid="{37BF64DF-14FA-4BB3-B1AD-8C884F039DCD}"/>
  <tableColumns count="6">
    <tableColumn id="1" xr3:uid="{82820313-4FF4-4D28-872B-813517C5E9B3}" name="Item"/>
    <tableColumn id="2" xr3:uid="{C1A4F74C-80F0-4535-8F5E-2967C8C361CE}" name="Responsável"/>
    <tableColumn id="3" xr3:uid="{9E01F44E-469E-4B27-87D0-EE8D185CA697}" name="Valor" dataDxfId="1"/>
    <tableColumn id="4" xr3:uid="{1162147B-1A2C-41EE-8968-C954ECC787AE}" name="Justificativa"/>
    <tableColumn id="5" xr3:uid="{188AA88E-4C5D-4389-9BD0-C96C42183993}" name="Projeto"/>
    <tableColumn id="6" xr3:uid="{E04E7832-DC27-42D0-A934-A2E6A3D464E7}" name="Observação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5">
      <a:majorFont>
        <a:latin typeface="Cambria"/>
        <a:ea typeface=""/>
        <a:cs typeface=""/>
      </a:majorFont>
      <a:minorFont>
        <a:latin typeface="Lucida Brigh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F2ABF-C8B5-CB4B-B629-336DC1AD7067}">
  <dimension ref="A1:P23"/>
  <sheetViews>
    <sheetView zoomScale="80" zoomScaleNormal="80" workbookViewId="0">
      <selection activeCell="F5" sqref="F5"/>
    </sheetView>
  </sheetViews>
  <sheetFormatPr defaultColWidth="9.44140625" defaultRowHeight="15.75" x14ac:dyDescent="0.25"/>
  <cols>
    <col min="1" max="1" width="27.6640625" style="25" bestFit="1" customWidth="1"/>
    <col min="2" max="2" width="37.77734375" style="25" bestFit="1" customWidth="1"/>
    <col min="3" max="3" width="21.109375" style="25" customWidth="1"/>
    <col min="4" max="4" width="24.109375" style="25" customWidth="1"/>
    <col min="5" max="5" width="26.6640625" style="25" customWidth="1"/>
    <col min="6" max="6" width="20.44140625" style="25" customWidth="1"/>
    <col min="7" max="7" width="38.44140625" style="25" customWidth="1"/>
    <col min="8" max="9" width="18.5546875" style="25" customWidth="1"/>
    <col min="10" max="10" width="13.44140625" style="25" customWidth="1"/>
    <col min="11" max="11" width="17" style="25" customWidth="1"/>
    <col min="12" max="12" width="18.109375" style="25" customWidth="1"/>
    <col min="13" max="13" width="18.33203125" style="25" customWidth="1"/>
    <col min="14" max="14" width="18.6640625" style="25" customWidth="1"/>
    <col min="15" max="15" width="18.33203125" style="25" customWidth="1"/>
    <col min="16" max="16" width="27.5546875" style="25" customWidth="1"/>
    <col min="17" max="16384" width="9.44140625" style="25"/>
  </cols>
  <sheetData>
    <row r="1" spans="1:16" ht="39.950000000000003" customHeight="1" x14ac:dyDescent="0.25">
      <c r="A1" s="238" t="s">
        <v>0</v>
      </c>
      <c r="B1" s="238"/>
      <c r="C1" s="238"/>
      <c r="D1" s="238"/>
      <c r="E1" s="238"/>
      <c r="F1" s="238"/>
      <c r="G1" s="238"/>
      <c r="H1" s="238"/>
      <c r="I1" s="28"/>
      <c r="J1" s="28"/>
      <c r="K1" s="28"/>
      <c r="L1" s="28"/>
      <c r="M1" s="28"/>
      <c r="N1" s="28"/>
      <c r="O1" s="28"/>
      <c r="P1" s="28"/>
    </row>
    <row r="2" spans="1:16" s="30" customFormat="1" ht="36" customHeight="1" x14ac:dyDescent="0.2">
      <c r="A2" s="29" t="s">
        <v>1</v>
      </c>
      <c r="B2" s="29" t="s">
        <v>2</v>
      </c>
      <c r="C2" s="29" t="s">
        <v>3</v>
      </c>
      <c r="D2" s="29" t="s">
        <v>4</v>
      </c>
      <c r="E2" s="29" t="s">
        <v>5</v>
      </c>
      <c r="F2" s="29" t="s">
        <v>6</v>
      </c>
      <c r="G2" s="29" t="s">
        <v>7</v>
      </c>
      <c r="H2" s="29" t="s">
        <v>8</v>
      </c>
    </row>
    <row r="3" spans="1:16" ht="61.5" customHeight="1" x14ac:dyDescent="0.25">
      <c r="A3" s="26" t="s">
        <v>9</v>
      </c>
      <c r="B3" s="25" t="s">
        <v>10</v>
      </c>
      <c r="C3" s="25" t="s">
        <v>11</v>
      </c>
      <c r="D3" s="27" t="s">
        <v>12</v>
      </c>
      <c r="E3" s="27" t="s">
        <v>13</v>
      </c>
      <c r="F3" s="27"/>
      <c r="G3" s="27" t="s">
        <v>14</v>
      </c>
    </row>
    <row r="4" spans="1:16" ht="45.95" customHeight="1" x14ac:dyDescent="0.25">
      <c r="A4" s="25" t="s">
        <v>15</v>
      </c>
      <c r="B4" s="25" t="s">
        <v>16</v>
      </c>
      <c r="C4" s="25" t="s">
        <v>17</v>
      </c>
      <c r="D4" s="25" t="s">
        <v>18</v>
      </c>
      <c r="E4" s="27" t="s">
        <v>13</v>
      </c>
      <c r="F4" s="27"/>
      <c r="G4" s="27"/>
    </row>
    <row r="5" spans="1:16" ht="36" customHeight="1" x14ac:dyDescent="0.25">
      <c r="A5" s="25" t="s">
        <v>19</v>
      </c>
      <c r="B5" s="25" t="s">
        <v>20</v>
      </c>
      <c r="C5" s="25" t="s">
        <v>11</v>
      </c>
      <c r="D5" s="25" t="s">
        <v>21</v>
      </c>
      <c r="E5" s="27" t="s">
        <v>13</v>
      </c>
      <c r="F5" s="27"/>
      <c r="G5" s="27"/>
    </row>
    <row r="6" spans="1:16" ht="33.950000000000003" customHeight="1" x14ac:dyDescent="0.25">
      <c r="E6" s="27"/>
      <c r="F6" s="27"/>
      <c r="G6" s="27"/>
    </row>
    <row r="7" spans="1:16" ht="24.95" customHeight="1" x14ac:dyDescent="0.25"/>
    <row r="8" spans="1:16" ht="24.95" customHeight="1" x14ac:dyDescent="0.25">
      <c r="E8" s="27"/>
      <c r="F8" s="27"/>
      <c r="G8" s="27"/>
    </row>
    <row r="9" spans="1:16" ht="24.95" customHeight="1" x14ac:dyDescent="0.25">
      <c r="E9" s="27"/>
      <c r="F9" s="27"/>
      <c r="G9" s="27"/>
    </row>
    <row r="10" spans="1:16" ht="24.95" customHeight="1" x14ac:dyDescent="0.25"/>
    <row r="11" spans="1:16" ht="24.95" customHeight="1" x14ac:dyDescent="0.25"/>
    <row r="12" spans="1:16" ht="24.95" customHeight="1" x14ac:dyDescent="0.25"/>
    <row r="13" spans="1:16" ht="24.95" customHeight="1" x14ac:dyDescent="0.25"/>
    <row r="14" spans="1:16" ht="24.95" customHeight="1" x14ac:dyDescent="0.25"/>
    <row r="15" spans="1:16" ht="24.95" customHeight="1" x14ac:dyDescent="0.25"/>
    <row r="16" spans="1:16" ht="24.95" customHeight="1" x14ac:dyDescent="0.25"/>
    <row r="17" ht="24.95" customHeight="1" x14ac:dyDescent="0.25"/>
    <row r="18" s="34" customFormat="1" ht="24.95" customHeight="1" x14ac:dyDescent="0.25"/>
    <row r="19" s="34" customFormat="1" ht="24.95" customHeight="1" x14ac:dyDescent="0.25"/>
    <row r="20" s="34" customFormat="1" ht="24.95" customHeight="1" x14ac:dyDescent="0.25"/>
    <row r="21" s="34" customFormat="1" ht="24.95" customHeight="1" x14ac:dyDescent="0.25"/>
    <row r="22" s="34" customFormat="1" ht="24.95" customHeight="1" x14ac:dyDescent="0.25"/>
    <row r="23" s="34" customFormat="1" x14ac:dyDescent="0.25"/>
  </sheetData>
  <mergeCells count="1">
    <mergeCell ref="A1:H1"/>
  </mergeCells>
  <hyperlinks>
    <hyperlink ref="A3" location="EXEMPLO!A1" tooltip="Clique aqui" display="Dique" xr:uid="{30E39CEA-8BB8-3B4A-BA44-1B267923538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1CB8D-7A31-F349-92EF-FD640BE51C4E}">
  <dimension ref="A1:L13"/>
  <sheetViews>
    <sheetView zoomScale="90" zoomScaleNormal="90" workbookViewId="0">
      <selection activeCell="A10" sqref="A10:L10"/>
    </sheetView>
  </sheetViews>
  <sheetFormatPr defaultColWidth="9.44140625" defaultRowHeight="15.75" x14ac:dyDescent="0.25"/>
  <cols>
    <col min="1" max="1" width="27.6640625" style="25" customWidth="1"/>
    <col min="2" max="2" width="15.88671875" style="25" customWidth="1"/>
    <col min="3" max="3" width="20.88671875" style="25" customWidth="1"/>
    <col min="4" max="5" width="21.77734375" style="35" customWidth="1"/>
    <col min="6" max="6" width="22.77734375" style="25" customWidth="1"/>
    <col min="7" max="7" width="18.5546875" style="25" customWidth="1"/>
    <col min="8" max="8" width="17.88671875" style="25" customWidth="1"/>
    <col min="9" max="9" width="18.109375" style="25" customWidth="1"/>
    <col min="10" max="11" width="18.5546875" style="25" customWidth="1"/>
    <col min="12" max="12" width="27.6640625" style="25" customWidth="1"/>
    <col min="13" max="16384" width="9.44140625" style="25"/>
  </cols>
  <sheetData>
    <row r="1" spans="1:12" ht="39.950000000000003" customHeight="1" x14ac:dyDescent="0.25">
      <c r="A1" s="238" t="s">
        <v>22</v>
      </c>
      <c r="B1" s="238"/>
      <c r="C1" s="238"/>
      <c r="D1" s="238"/>
      <c r="E1" s="238"/>
      <c r="F1" s="238"/>
      <c r="G1" s="238"/>
      <c r="H1" s="238"/>
      <c r="I1" s="238"/>
      <c r="J1" s="238"/>
      <c r="K1" s="238"/>
      <c r="L1" s="238"/>
    </row>
    <row r="2" spans="1:12" ht="26.1" customHeight="1" x14ac:dyDescent="0.25">
      <c r="A2" s="238" t="s">
        <v>23</v>
      </c>
      <c r="B2" s="238"/>
      <c r="C2" s="238"/>
      <c r="D2" s="238"/>
      <c r="E2" s="238"/>
      <c r="F2" s="238"/>
      <c r="G2" s="238"/>
      <c r="H2" s="238"/>
      <c r="I2" s="238"/>
      <c r="J2" s="238"/>
      <c r="K2" s="238"/>
      <c r="L2" s="238"/>
    </row>
    <row r="3" spans="1:12" s="32" customFormat="1" ht="45" customHeight="1" x14ac:dyDescent="0.3">
      <c r="A3" s="29" t="s">
        <v>24</v>
      </c>
      <c r="B3" s="29" t="s">
        <v>25</v>
      </c>
      <c r="C3" s="29" t="s">
        <v>26</v>
      </c>
      <c r="D3" s="36" t="s">
        <v>27</v>
      </c>
      <c r="E3" s="36" t="s">
        <v>28</v>
      </c>
      <c r="F3" s="31" t="s">
        <v>29</v>
      </c>
      <c r="G3" s="31" t="s">
        <v>30</v>
      </c>
      <c r="H3" s="29" t="s">
        <v>31</v>
      </c>
      <c r="I3" s="29" t="s">
        <v>32</v>
      </c>
      <c r="J3" s="29" t="s">
        <v>33</v>
      </c>
      <c r="K3" s="29" t="s">
        <v>34</v>
      </c>
      <c r="L3" s="29" t="s">
        <v>8</v>
      </c>
    </row>
    <row r="4" spans="1:12" s="32" customFormat="1" ht="18" customHeight="1" x14ac:dyDescent="0.3">
      <c r="A4" s="239" t="s">
        <v>35</v>
      </c>
      <c r="B4" s="239" t="s">
        <v>36</v>
      </c>
      <c r="C4" s="239" t="s">
        <v>37</v>
      </c>
      <c r="D4" s="198">
        <v>45413</v>
      </c>
      <c r="E4" s="240" t="s">
        <v>38</v>
      </c>
      <c r="F4" s="240">
        <v>45443</v>
      </c>
      <c r="G4" s="25" t="s">
        <v>9</v>
      </c>
      <c r="H4" s="147">
        <v>200000</v>
      </c>
      <c r="I4" s="29"/>
      <c r="J4" s="29"/>
      <c r="K4" s="29"/>
      <c r="L4" s="29"/>
    </row>
    <row r="5" spans="1:12" x14ac:dyDescent="0.25">
      <c r="A5" s="239"/>
      <c r="B5" s="239"/>
      <c r="C5" s="239"/>
      <c r="E5" s="240"/>
      <c r="F5" s="240"/>
      <c r="G5" s="25" t="s">
        <v>15</v>
      </c>
      <c r="H5" s="147">
        <v>100000</v>
      </c>
    </row>
    <row r="6" spans="1:12" x14ac:dyDescent="0.25">
      <c r="A6" s="25" t="s">
        <v>39</v>
      </c>
      <c r="B6" s="25" t="s">
        <v>40</v>
      </c>
      <c r="C6" s="25" t="s">
        <v>41</v>
      </c>
      <c r="E6" s="149" t="s">
        <v>42</v>
      </c>
      <c r="F6" s="149">
        <v>45505</v>
      </c>
      <c r="G6" s="25" t="s">
        <v>9</v>
      </c>
      <c r="H6" s="147">
        <v>15000</v>
      </c>
    </row>
    <row r="7" spans="1:12" x14ac:dyDescent="0.25">
      <c r="A7" s="25" t="s">
        <v>43</v>
      </c>
      <c r="B7" s="25" t="s">
        <v>44</v>
      </c>
      <c r="C7" s="25" t="s">
        <v>45</v>
      </c>
      <c r="E7" s="149" t="s">
        <v>46</v>
      </c>
      <c r="F7" s="148" t="s">
        <v>46</v>
      </c>
      <c r="G7" s="25" t="s">
        <v>15</v>
      </c>
      <c r="H7" s="147">
        <v>200000</v>
      </c>
    </row>
    <row r="8" spans="1:12" x14ac:dyDescent="0.25">
      <c r="A8" s="25" t="s">
        <v>47</v>
      </c>
      <c r="B8" s="25" t="s">
        <v>44</v>
      </c>
      <c r="C8" s="25" t="s">
        <v>45</v>
      </c>
      <c r="E8" s="149" t="s">
        <v>46</v>
      </c>
      <c r="F8" s="148" t="s">
        <v>46</v>
      </c>
      <c r="G8" s="25" t="s">
        <v>19</v>
      </c>
      <c r="H8" s="147">
        <v>100000</v>
      </c>
      <c r="K8" s="25" t="s">
        <v>48</v>
      </c>
      <c r="L8" s="25" t="s">
        <v>49</v>
      </c>
    </row>
    <row r="10" spans="1:12" ht="26.1" customHeight="1" x14ac:dyDescent="0.25">
      <c r="A10" s="238" t="s">
        <v>50</v>
      </c>
      <c r="B10" s="238"/>
      <c r="C10" s="238"/>
      <c r="D10" s="238"/>
      <c r="E10" s="238"/>
      <c r="F10" s="238"/>
      <c r="G10" s="238"/>
      <c r="H10" s="238"/>
      <c r="I10" s="238"/>
      <c r="J10" s="238"/>
      <c r="K10" s="238"/>
      <c r="L10" s="238"/>
    </row>
    <row r="11" spans="1:12" s="32" customFormat="1" ht="41.1" customHeight="1" x14ac:dyDescent="0.3">
      <c r="A11" s="29" t="s">
        <v>51</v>
      </c>
      <c r="B11" s="29" t="s">
        <v>25</v>
      </c>
      <c r="C11" s="36" t="s">
        <v>27</v>
      </c>
      <c r="D11" s="29" t="s">
        <v>28</v>
      </c>
      <c r="E11" s="37" t="s">
        <v>29</v>
      </c>
      <c r="F11" s="31" t="s">
        <v>30</v>
      </c>
      <c r="G11" s="29" t="s">
        <v>31</v>
      </c>
      <c r="H11" s="29" t="s">
        <v>32</v>
      </c>
      <c r="I11" s="29" t="s">
        <v>34</v>
      </c>
      <c r="J11" s="29" t="s">
        <v>8</v>
      </c>
    </row>
    <row r="12" spans="1:12" x14ac:dyDescent="0.25">
      <c r="A12" s="25" t="s">
        <v>52</v>
      </c>
      <c r="B12" s="25" t="s">
        <v>36</v>
      </c>
      <c r="C12" s="198">
        <v>45505</v>
      </c>
      <c r="D12" s="25" t="s">
        <v>53</v>
      </c>
      <c r="E12" s="149">
        <v>45536</v>
      </c>
      <c r="F12" s="25" t="s">
        <v>9</v>
      </c>
      <c r="G12" s="147">
        <v>100000</v>
      </c>
    </row>
    <row r="13" spans="1:12" x14ac:dyDescent="0.25">
      <c r="A13" s="25" t="s">
        <v>54</v>
      </c>
      <c r="B13" s="25" t="s">
        <v>44</v>
      </c>
      <c r="C13" s="35">
        <v>45575</v>
      </c>
      <c r="D13" s="25" t="s">
        <v>55</v>
      </c>
      <c r="E13" s="149">
        <v>45636</v>
      </c>
      <c r="F13" s="25" t="s">
        <v>19</v>
      </c>
      <c r="G13" s="147">
        <v>50000</v>
      </c>
      <c r="H13" s="25" t="s">
        <v>56</v>
      </c>
    </row>
  </sheetData>
  <mergeCells count="8">
    <mergeCell ref="A1:L1"/>
    <mergeCell ref="A2:L2"/>
    <mergeCell ref="A10:L10"/>
    <mergeCell ref="A4:A5"/>
    <mergeCell ref="B4:B5"/>
    <mergeCell ref="C4:C5"/>
    <mergeCell ref="E4:E5"/>
    <mergeCell ref="F4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9BD63-90B4-C04C-AA15-2960556A9800}">
  <dimension ref="A1:O57"/>
  <sheetViews>
    <sheetView zoomScale="70" zoomScaleNormal="70" workbookViewId="0">
      <selection activeCell="F4" sqref="F4"/>
    </sheetView>
  </sheetViews>
  <sheetFormatPr defaultColWidth="10.77734375" defaultRowHeight="15" x14ac:dyDescent="0.2"/>
  <cols>
    <col min="1" max="1" width="31.33203125" style="208" customWidth="1"/>
    <col min="2" max="2" width="17.5546875" style="208" customWidth="1"/>
    <col min="3" max="3" width="23.33203125" style="208" customWidth="1"/>
    <col min="4" max="6" width="22.6640625" style="208" customWidth="1"/>
    <col min="7" max="7" width="22.6640625" style="208" bestFit="1" customWidth="1"/>
    <col min="8" max="8" width="17.88671875" style="208" customWidth="1"/>
    <col min="9" max="9" width="27.109375" style="208" customWidth="1"/>
    <col min="10" max="10" width="20.6640625" style="208" customWidth="1"/>
    <col min="11" max="11" width="20.21875" style="208" customWidth="1"/>
    <col min="12" max="12" width="35.5546875" style="208" bestFit="1" customWidth="1"/>
    <col min="13" max="13" width="36.5546875" style="208" customWidth="1"/>
    <col min="14" max="14" width="19" style="208" customWidth="1"/>
    <col min="15" max="15" width="20.6640625" style="208" customWidth="1"/>
    <col min="16" max="16384" width="10.77734375" style="208"/>
  </cols>
  <sheetData>
    <row r="1" spans="1:11" ht="38.1" customHeight="1" x14ac:dyDescent="0.2">
      <c r="A1" s="245" t="s">
        <v>9</v>
      </c>
      <c r="B1" s="245"/>
      <c r="C1" s="245"/>
      <c r="D1" s="245"/>
      <c r="E1" s="245"/>
      <c r="F1" s="245"/>
      <c r="G1" s="245"/>
    </row>
    <row r="2" spans="1:11" s="209" customFormat="1" ht="30" customHeight="1" x14ac:dyDescent="0.2">
      <c r="A2" s="246" t="s">
        <v>57</v>
      </c>
      <c r="B2" s="246"/>
      <c r="C2" s="246"/>
      <c r="D2" s="246"/>
      <c r="E2" s="246"/>
      <c r="F2" s="246"/>
      <c r="G2" s="246"/>
    </row>
    <row r="3" spans="1:11" s="210" customFormat="1" ht="39.950000000000003" customHeight="1" x14ac:dyDescent="0.2">
      <c r="A3" s="200" t="s">
        <v>2</v>
      </c>
      <c r="B3" s="200" t="s">
        <v>3</v>
      </c>
      <c r="C3" s="200" t="s">
        <v>4</v>
      </c>
      <c r="D3" s="200" t="s">
        <v>5</v>
      </c>
      <c r="E3" s="200" t="s">
        <v>6</v>
      </c>
      <c r="F3" s="200" t="s">
        <v>58</v>
      </c>
      <c r="G3" s="200" t="s">
        <v>8</v>
      </c>
    </row>
    <row r="4" spans="1:11" s="211" customFormat="1" ht="61.5" customHeight="1" x14ac:dyDescent="0.25">
      <c r="A4" s="206" t="s">
        <v>10</v>
      </c>
      <c r="B4" s="206" t="s">
        <v>11</v>
      </c>
      <c r="C4" s="206" t="s">
        <v>12</v>
      </c>
      <c r="D4" s="206" t="s">
        <v>13</v>
      </c>
      <c r="E4" s="207">
        <v>273582.65000000002</v>
      </c>
      <c r="F4" s="206">
        <v>0</v>
      </c>
      <c r="G4" s="206"/>
    </row>
    <row r="7" spans="1:11" s="209" customFormat="1" ht="30" customHeight="1" x14ac:dyDescent="0.2">
      <c r="A7" s="248" t="s">
        <v>59</v>
      </c>
      <c r="B7" s="248"/>
      <c r="C7" s="248"/>
      <c r="D7" s="248"/>
      <c r="E7" s="248"/>
      <c r="F7" s="248"/>
      <c r="G7" s="248"/>
      <c r="H7" s="248"/>
      <c r="I7" s="248"/>
      <c r="J7" s="248"/>
      <c r="K7" s="248"/>
    </row>
    <row r="8" spans="1:11" s="210" customFormat="1" ht="39.950000000000003" customHeight="1" x14ac:dyDescent="0.2">
      <c r="A8" s="200" t="s">
        <v>60</v>
      </c>
      <c r="B8" s="200" t="s">
        <v>61</v>
      </c>
      <c r="C8" s="200" t="s">
        <v>62</v>
      </c>
      <c r="D8" s="199" t="s">
        <v>63</v>
      </c>
      <c r="E8" s="200" t="s">
        <v>64</v>
      </c>
      <c r="F8" s="204" t="s">
        <v>65</v>
      </c>
      <c r="G8" s="204" t="s">
        <v>66</v>
      </c>
      <c r="H8" s="199" t="s">
        <v>67</v>
      </c>
      <c r="I8" s="204" t="s">
        <v>68</v>
      </c>
      <c r="J8" s="199" t="s">
        <v>69</v>
      </c>
    </row>
    <row r="9" spans="1:11" x14ac:dyDescent="0.2">
      <c r="D9" s="216"/>
      <c r="E9" s="217"/>
      <c r="F9" s="217"/>
    </row>
    <row r="11" spans="1:11" s="209" customFormat="1" ht="30" customHeight="1" x14ac:dyDescent="0.2">
      <c r="A11" s="249" t="s">
        <v>70</v>
      </c>
      <c r="B11" s="249"/>
      <c r="C11" s="249"/>
      <c r="D11" s="249"/>
      <c r="E11" s="249"/>
      <c r="F11" s="249"/>
      <c r="G11" s="249"/>
    </row>
    <row r="12" spans="1:11" s="210" customFormat="1" ht="39.950000000000003" customHeight="1" x14ac:dyDescent="0.2">
      <c r="A12" s="200" t="s">
        <v>71</v>
      </c>
      <c r="B12" s="200" t="s">
        <v>72</v>
      </c>
      <c r="C12" s="200" t="s">
        <v>73</v>
      </c>
      <c r="D12" s="199" t="s">
        <v>74</v>
      </c>
      <c r="E12" s="200" t="s">
        <v>75</v>
      </c>
      <c r="F12" s="204" t="s">
        <v>76</v>
      </c>
      <c r="G12" s="204" t="s">
        <v>77</v>
      </c>
      <c r="H12" s="199" t="s">
        <v>78</v>
      </c>
      <c r="I12" s="204" t="s">
        <v>79</v>
      </c>
      <c r="J12" s="199" t="s">
        <v>80</v>
      </c>
      <c r="K12" s="199" t="s">
        <v>81</v>
      </c>
    </row>
    <row r="13" spans="1:11" x14ac:dyDescent="0.2">
      <c r="B13" s="217"/>
      <c r="I13" s="229" t="s">
        <v>82</v>
      </c>
    </row>
    <row r="15" spans="1:11" x14ac:dyDescent="0.2">
      <c r="B15" s="217"/>
    </row>
    <row r="16" spans="1:11" x14ac:dyDescent="0.2">
      <c r="B16" s="217"/>
    </row>
    <row r="17" spans="1:13" x14ac:dyDescent="0.2">
      <c r="B17" s="217"/>
    </row>
    <row r="18" spans="1:13" x14ac:dyDescent="0.2">
      <c r="B18" s="217"/>
    </row>
    <row r="19" spans="1:13" x14ac:dyDescent="0.2">
      <c r="B19" s="217"/>
    </row>
    <row r="20" spans="1:13" x14ac:dyDescent="0.2">
      <c r="B20" s="217"/>
    </row>
    <row r="21" spans="1:13" x14ac:dyDescent="0.2">
      <c r="B21" s="217"/>
    </row>
    <row r="22" spans="1:13" s="212" customFormat="1" ht="30" customHeight="1" x14ac:dyDescent="0.2">
      <c r="A22" s="247" t="s">
        <v>83</v>
      </c>
      <c r="B22" s="248"/>
      <c r="C22" s="248"/>
      <c r="D22" s="248"/>
      <c r="E22" s="248"/>
      <c r="F22" s="248"/>
      <c r="G22" s="248"/>
    </row>
    <row r="23" spans="1:13" s="213" customFormat="1" ht="39.950000000000003" customHeight="1" x14ac:dyDescent="0.2">
      <c r="A23" s="200" t="s">
        <v>84</v>
      </c>
      <c r="B23" s="200" t="s">
        <v>85</v>
      </c>
      <c r="C23" s="204" t="s">
        <v>86</v>
      </c>
      <c r="D23" s="204" t="s">
        <v>87</v>
      </c>
      <c r="E23" s="204" t="s">
        <v>88</v>
      </c>
      <c r="F23" s="204" t="s">
        <v>89</v>
      </c>
      <c r="G23" s="204" t="s">
        <v>90</v>
      </c>
    </row>
    <row r="24" spans="1:13" x14ac:dyDescent="0.25">
      <c r="A24" s="150" t="s">
        <v>91</v>
      </c>
      <c r="B24" s="218">
        <v>45311</v>
      </c>
      <c r="C24" s="219" t="s">
        <v>92</v>
      </c>
      <c r="D24" s="219" t="s">
        <v>13</v>
      </c>
      <c r="E24" s="219" t="s">
        <v>93</v>
      </c>
      <c r="F24" s="219"/>
      <c r="G24" s="219"/>
    </row>
    <row r="25" spans="1:13" x14ac:dyDescent="0.2">
      <c r="A25" s="219" t="s">
        <v>94</v>
      </c>
      <c r="B25" s="218">
        <v>45311</v>
      </c>
      <c r="C25" s="219" t="s">
        <v>95</v>
      </c>
      <c r="D25" s="219" t="s">
        <v>13</v>
      </c>
      <c r="E25" s="219" t="s">
        <v>96</v>
      </c>
      <c r="F25" s="219"/>
      <c r="G25" s="219"/>
      <c r="I25" s="217">
        <f>20/1/2024</f>
        <v>9.881422924901186E-3</v>
      </c>
    </row>
    <row r="26" spans="1:13" x14ac:dyDescent="0.2">
      <c r="A26" s="219" t="s">
        <v>97</v>
      </c>
      <c r="B26" s="218">
        <v>45334</v>
      </c>
      <c r="C26" s="219" t="s">
        <v>98</v>
      </c>
      <c r="D26" s="219" t="s">
        <v>13</v>
      </c>
      <c r="E26" s="219" t="s">
        <v>99</v>
      </c>
      <c r="F26" s="219"/>
      <c r="G26" s="219"/>
    </row>
    <row r="27" spans="1:13" x14ac:dyDescent="0.2">
      <c r="A27" s="219" t="s">
        <v>100</v>
      </c>
      <c r="B27" s="218">
        <v>45352</v>
      </c>
      <c r="C27" s="219" t="s">
        <v>101</v>
      </c>
      <c r="D27" s="219" t="s">
        <v>13</v>
      </c>
      <c r="E27" s="219" t="s">
        <v>99</v>
      </c>
      <c r="F27" s="219"/>
      <c r="G27" s="219"/>
    </row>
    <row r="28" spans="1:13" x14ac:dyDescent="0.2">
      <c r="A28" s="219" t="s">
        <v>102</v>
      </c>
      <c r="B28" s="218">
        <v>45306</v>
      </c>
      <c r="C28" s="219" t="s">
        <v>98</v>
      </c>
      <c r="D28" s="219" t="s">
        <v>13</v>
      </c>
      <c r="E28" s="219" t="s">
        <v>99</v>
      </c>
      <c r="F28" s="219"/>
      <c r="G28" s="219"/>
    </row>
    <row r="31" spans="1:13" s="220" customFormat="1" ht="30" customHeight="1" x14ac:dyDescent="0.2">
      <c r="A31" s="243" t="s">
        <v>103</v>
      </c>
      <c r="B31" s="244"/>
      <c r="C31" s="244"/>
      <c r="D31" s="244"/>
      <c r="E31" s="244"/>
      <c r="F31" s="244"/>
      <c r="G31" s="244"/>
      <c r="H31" s="244"/>
      <c r="I31" s="244"/>
      <c r="J31" s="244"/>
      <c r="K31" s="244"/>
      <c r="L31" s="244"/>
      <c r="M31" s="244"/>
    </row>
    <row r="32" spans="1:13" s="220" customFormat="1" ht="30" customHeight="1" x14ac:dyDescent="0.2">
      <c r="A32" s="253" t="s">
        <v>104</v>
      </c>
      <c r="B32" s="253"/>
      <c r="C32" s="253"/>
      <c r="D32" s="253"/>
      <c r="E32" s="253"/>
      <c r="F32" s="253"/>
      <c r="G32" s="253"/>
      <c r="H32" s="253"/>
      <c r="I32" s="253"/>
      <c r="J32" s="253"/>
      <c r="K32" s="253"/>
      <c r="L32" s="253"/>
      <c r="M32" s="253"/>
    </row>
    <row r="33" spans="1:15" s="213" customFormat="1" ht="39.950000000000003" customHeight="1" x14ac:dyDescent="0.2">
      <c r="A33" s="200" t="s">
        <v>105</v>
      </c>
      <c r="B33" s="204" t="s">
        <v>106</v>
      </c>
      <c r="C33" s="204" t="s">
        <v>107</v>
      </c>
      <c r="D33" s="204" t="s">
        <v>108</v>
      </c>
      <c r="E33" s="199" t="s">
        <v>63</v>
      </c>
      <c r="F33" s="200" t="s">
        <v>64</v>
      </c>
      <c r="G33" s="204" t="s">
        <v>65</v>
      </c>
      <c r="H33" s="204" t="s">
        <v>66</v>
      </c>
      <c r="I33" s="199" t="s">
        <v>67</v>
      </c>
      <c r="J33" s="204" t="s">
        <v>68</v>
      </c>
      <c r="K33" s="199" t="s">
        <v>109</v>
      </c>
      <c r="L33" s="199" t="s">
        <v>69</v>
      </c>
    </row>
    <row r="37" spans="1:15" ht="30" customHeight="1" x14ac:dyDescent="0.2">
      <c r="A37" s="254" t="s">
        <v>110</v>
      </c>
      <c r="B37" s="255"/>
      <c r="C37" s="255"/>
      <c r="D37" s="255"/>
      <c r="E37" s="255"/>
      <c r="F37" s="255"/>
      <c r="G37" s="214"/>
      <c r="H37" s="214"/>
      <c r="I37" s="214"/>
      <c r="J37" s="214"/>
      <c r="K37" s="214"/>
      <c r="L37" s="214"/>
    </row>
    <row r="38" spans="1:15" ht="39.950000000000003" customHeight="1" x14ac:dyDescent="0.2">
      <c r="A38" s="200" t="s">
        <v>111</v>
      </c>
      <c r="B38" s="204" t="s">
        <v>112</v>
      </c>
      <c r="C38" s="199" t="s">
        <v>63</v>
      </c>
      <c r="D38" s="204" t="s">
        <v>113</v>
      </c>
      <c r="E38" s="199" t="s">
        <v>114</v>
      </c>
      <c r="F38" s="200" t="s">
        <v>62</v>
      </c>
      <c r="G38" s="201"/>
      <c r="H38" s="201"/>
      <c r="I38" s="201"/>
      <c r="J38" s="201"/>
      <c r="K38" s="201"/>
      <c r="L38" s="201"/>
    </row>
    <row r="42" spans="1:15" s="220" customFormat="1" ht="30" customHeight="1" x14ac:dyDescent="0.2">
      <c r="A42" s="251" t="s">
        <v>115</v>
      </c>
      <c r="B42" s="252"/>
      <c r="C42" s="252"/>
      <c r="D42" s="252"/>
      <c r="E42" s="252"/>
      <c r="F42" s="252"/>
      <c r="G42" s="252"/>
      <c r="H42" s="252"/>
      <c r="I42" s="252"/>
      <c r="J42" s="252"/>
      <c r="K42" s="252"/>
      <c r="L42" s="252"/>
      <c r="M42" s="221"/>
    </row>
    <row r="43" spans="1:15" s="220" customFormat="1" ht="30" customHeight="1" x14ac:dyDescent="0.2">
      <c r="A43" s="204" t="s">
        <v>116</v>
      </c>
      <c r="B43" s="250" t="s">
        <v>117</v>
      </c>
      <c r="C43" s="250"/>
      <c r="D43" s="222"/>
      <c r="E43" s="215"/>
      <c r="F43" s="215"/>
      <c r="G43" s="215"/>
      <c r="H43" s="215"/>
      <c r="I43" s="215"/>
      <c r="J43" s="215"/>
      <c r="K43" s="215"/>
      <c r="L43" s="215"/>
      <c r="M43" s="223"/>
    </row>
    <row r="44" spans="1:15" s="213" customFormat="1" ht="39.950000000000003" customHeight="1" x14ac:dyDescent="0.2">
      <c r="A44" s="202" t="s">
        <v>118</v>
      </c>
      <c r="B44" s="205" t="s">
        <v>119</v>
      </c>
      <c r="C44" s="205" t="s">
        <v>120</v>
      </c>
      <c r="D44" s="205" t="s">
        <v>121</v>
      </c>
      <c r="E44" s="203" t="s">
        <v>122</v>
      </c>
      <c r="F44" s="203" t="s">
        <v>123</v>
      </c>
      <c r="G44" s="202" t="s">
        <v>124</v>
      </c>
      <c r="H44" s="205" t="s">
        <v>125</v>
      </c>
      <c r="I44" s="205" t="s">
        <v>126</v>
      </c>
      <c r="J44" s="205" t="s">
        <v>127</v>
      </c>
      <c r="K44" s="203" t="s">
        <v>128</v>
      </c>
      <c r="L44" s="224" t="s">
        <v>68</v>
      </c>
      <c r="M44" s="199" t="s">
        <v>129</v>
      </c>
      <c r="N44" s="204" t="s">
        <v>130</v>
      </c>
      <c r="O44" s="204" t="s">
        <v>131</v>
      </c>
    </row>
    <row r="47" spans="1:15" s="220" customFormat="1" ht="30" customHeight="1" x14ac:dyDescent="0.2">
      <c r="A47" s="243" t="s">
        <v>132</v>
      </c>
      <c r="B47" s="244"/>
      <c r="C47" s="244"/>
      <c r="D47" s="244"/>
      <c r="E47" s="244"/>
      <c r="F47" s="244"/>
      <c r="G47" s="244"/>
      <c r="H47" s="244"/>
      <c r="I47" s="244"/>
      <c r="J47" s="244"/>
      <c r="K47" s="244"/>
      <c r="L47" s="244"/>
      <c r="M47" s="244"/>
    </row>
    <row r="48" spans="1:15" ht="39.950000000000003" customHeight="1" x14ac:dyDescent="0.2">
      <c r="A48" s="200" t="s">
        <v>111</v>
      </c>
      <c r="B48" s="204" t="s">
        <v>112</v>
      </c>
      <c r="C48" s="199" t="s">
        <v>63</v>
      </c>
      <c r="D48" s="200" t="s">
        <v>62</v>
      </c>
      <c r="G48" s="201"/>
      <c r="H48" s="201"/>
      <c r="I48" s="201"/>
      <c r="J48" s="201"/>
      <c r="K48" s="201"/>
      <c r="L48" s="201"/>
    </row>
    <row r="51" spans="1:13" s="220" customFormat="1" ht="30" customHeight="1" x14ac:dyDescent="0.2">
      <c r="A51" s="243" t="s">
        <v>133</v>
      </c>
      <c r="B51" s="244"/>
      <c r="C51" s="244"/>
      <c r="D51" s="244"/>
      <c r="E51" s="244"/>
      <c r="F51" s="244"/>
      <c r="G51" s="244"/>
      <c r="H51" s="244"/>
      <c r="I51" s="244"/>
      <c r="J51" s="244"/>
      <c r="K51" s="244"/>
      <c r="L51" s="244"/>
      <c r="M51" s="244"/>
    </row>
    <row r="52" spans="1:13" ht="39.950000000000003" customHeight="1" x14ac:dyDescent="0.2">
      <c r="A52" s="200" t="s">
        <v>134</v>
      </c>
      <c r="B52" s="204" t="s">
        <v>135</v>
      </c>
      <c r="C52" s="199" t="s">
        <v>136</v>
      </c>
      <c r="D52" s="200" t="s">
        <v>137</v>
      </c>
      <c r="E52" s="200" t="s">
        <v>138</v>
      </c>
      <c r="G52" s="201"/>
      <c r="H52" s="201"/>
      <c r="I52" s="201"/>
      <c r="J52" s="201"/>
      <c r="K52" s="201"/>
      <c r="L52" s="201"/>
    </row>
    <row r="55" spans="1:13" ht="33.950000000000003" customHeight="1" x14ac:dyDescent="0.2">
      <c r="A55" s="241" t="s">
        <v>507</v>
      </c>
      <c r="B55" s="242"/>
      <c r="C55" s="242"/>
      <c r="D55" s="242"/>
      <c r="E55" s="242"/>
      <c r="F55" s="242"/>
      <c r="G55" s="242"/>
      <c r="H55" s="242"/>
      <c r="I55" s="242"/>
      <c r="J55" s="242"/>
      <c r="K55" s="242"/>
      <c r="L55" s="242"/>
      <c r="M55" s="242"/>
    </row>
    <row r="56" spans="1:13" ht="39.950000000000003" customHeight="1" x14ac:dyDescent="0.2">
      <c r="A56" s="200" t="s">
        <v>508</v>
      </c>
      <c r="B56" s="204" t="s">
        <v>509</v>
      </c>
      <c r="C56" s="199" t="s">
        <v>511</v>
      </c>
      <c r="D56" s="200" t="s">
        <v>510</v>
      </c>
      <c r="E56" s="200" t="s">
        <v>83</v>
      </c>
      <c r="F56" s="199" t="s">
        <v>514</v>
      </c>
      <c r="G56" s="200" t="s">
        <v>515</v>
      </c>
      <c r="H56" s="200" t="s">
        <v>516</v>
      </c>
      <c r="I56" s="200" t="s">
        <v>512</v>
      </c>
      <c r="J56" s="200" t="s">
        <v>513</v>
      </c>
    </row>
    <row r="57" spans="1:13" x14ac:dyDescent="0.2">
      <c r="F57" s="329">
        <f>'Orçamento - Dique'!I200</f>
        <v>273582.65000000002</v>
      </c>
    </row>
  </sheetData>
  <mergeCells count="13">
    <mergeCell ref="A55:M55"/>
    <mergeCell ref="A51:M51"/>
    <mergeCell ref="A1:G1"/>
    <mergeCell ref="A2:G2"/>
    <mergeCell ref="A22:G22"/>
    <mergeCell ref="A11:G11"/>
    <mergeCell ref="A7:K7"/>
    <mergeCell ref="A47:M47"/>
    <mergeCell ref="B43:C43"/>
    <mergeCell ref="A42:L42"/>
    <mergeCell ref="A32:M32"/>
    <mergeCell ref="A31:M31"/>
    <mergeCell ref="A37:F37"/>
  </mergeCells>
  <conditionalFormatting sqref="C24:C28">
    <cfRule type="containsText" dxfId="41" priority="1" operator="containsText" text="Carol e Jessica">
      <formula>NOT(ISERROR(SEARCH("Carol e Jessica",C24)))</formula>
    </cfRule>
    <cfRule type="containsText" dxfId="40" priority="2" operator="containsText" text="Alice">
      <formula>NOT(ISERROR(SEARCH("Alice",C24)))</formula>
    </cfRule>
    <cfRule type="containsText" dxfId="39" priority="3" operator="containsText" text="Clarissa e Jessica">
      <formula>NOT(ISERROR(SEARCH("Clarissa e Jessica",C24)))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4D4A0-0478-C040-92C3-A04ACD83CCD1}">
  <dimension ref="A1:N208"/>
  <sheetViews>
    <sheetView topLeftCell="C1" zoomScale="115" workbookViewId="0">
      <selection activeCell="N9" sqref="N9"/>
    </sheetView>
  </sheetViews>
  <sheetFormatPr defaultColWidth="12.33203125" defaultRowHeight="14.25" x14ac:dyDescent="0.2"/>
  <cols>
    <col min="1" max="1" width="4.5546875" style="33" customWidth="1"/>
    <col min="2" max="2" width="5.5546875" style="33" customWidth="1"/>
    <col min="3" max="3" width="41.88671875" style="33" customWidth="1"/>
    <col min="4" max="4" width="6" style="33" customWidth="1"/>
    <col min="5" max="5" width="6.5546875" style="33" customWidth="1"/>
    <col min="6" max="6" width="6" style="33" customWidth="1"/>
    <col min="7" max="7" width="20.109375" style="33" customWidth="1"/>
    <col min="8" max="8" width="12.21875" style="33" customWidth="1"/>
    <col min="9" max="9" width="17" style="33" customWidth="1"/>
    <col min="10" max="10" width="29.44140625" style="33" hidden="1" customWidth="1"/>
    <col min="11" max="11" width="30.77734375" style="33" hidden="1" customWidth="1"/>
    <col min="12" max="16384" width="12.33203125" style="33"/>
  </cols>
  <sheetData>
    <row r="1" spans="1:14" ht="12.75" customHeight="1" x14ac:dyDescent="0.2">
      <c r="A1" s="256" t="s">
        <v>139</v>
      </c>
      <c r="B1" s="257"/>
      <c r="C1" s="257"/>
      <c r="D1" s="257"/>
      <c r="E1" s="257"/>
      <c r="F1" s="257"/>
      <c r="G1" s="257"/>
      <c r="H1" s="257"/>
      <c r="I1" s="258"/>
      <c r="J1" s="39"/>
      <c r="K1" s="39"/>
    </row>
    <row r="2" spans="1:14" ht="12.75" customHeight="1" x14ac:dyDescent="0.2">
      <c r="A2" s="259"/>
      <c r="B2" s="260"/>
      <c r="C2" s="260"/>
      <c r="D2" s="260"/>
      <c r="E2" s="260"/>
      <c r="F2" s="260"/>
      <c r="G2" s="260"/>
      <c r="H2" s="260"/>
      <c r="I2" s="261"/>
      <c r="J2" s="39"/>
      <c r="K2" s="39"/>
    </row>
    <row r="3" spans="1:14" ht="12.75" customHeight="1" x14ac:dyDescent="0.2">
      <c r="A3" s="259"/>
      <c r="B3" s="260"/>
      <c r="C3" s="260"/>
      <c r="D3" s="260"/>
      <c r="E3" s="260"/>
      <c r="F3" s="260"/>
      <c r="G3" s="260"/>
      <c r="H3" s="260"/>
      <c r="I3" s="261"/>
      <c r="J3" s="39"/>
      <c r="K3" s="39"/>
    </row>
    <row r="4" spans="1:14" ht="8.25" customHeight="1" x14ac:dyDescent="0.2">
      <c r="A4" s="262"/>
      <c r="B4" s="263"/>
      <c r="C4" s="263"/>
      <c r="D4" s="263"/>
      <c r="E4" s="263"/>
      <c r="F4" s="263"/>
      <c r="G4" s="263"/>
      <c r="H4" s="263"/>
      <c r="I4" s="264"/>
      <c r="J4" s="39"/>
      <c r="K4" s="39"/>
    </row>
    <row r="5" spans="1:14" ht="24" customHeight="1" x14ac:dyDescent="0.25">
      <c r="A5" s="265" t="s">
        <v>140</v>
      </c>
      <c r="B5" s="266"/>
      <c r="C5" s="40" t="s">
        <v>141</v>
      </c>
      <c r="D5" s="41" t="s">
        <v>142</v>
      </c>
      <c r="E5" s="42" t="s">
        <v>143</v>
      </c>
      <c r="F5" s="43" t="s">
        <v>144</v>
      </c>
      <c r="G5" s="44" t="s">
        <v>145</v>
      </c>
      <c r="H5" s="45" t="s">
        <v>146</v>
      </c>
      <c r="I5" s="46" t="s">
        <v>147</v>
      </c>
      <c r="J5" s="39" t="s">
        <v>148</v>
      </c>
      <c r="K5" s="39"/>
      <c r="L5" s="46" t="s">
        <v>517</v>
      </c>
      <c r="M5" s="46" t="s">
        <v>518</v>
      </c>
      <c r="N5" s="46" t="s">
        <v>519</v>
      </c>
    </row>
    <row r="6" spans="1:14" ht="12.75" customHeight="1" x14ac:dyDescent="0.2">
      <c r="A6" s="47">
        <v>1</v>
      </c>
      <c r="B6" s="48"/>
      <c r="C6" s="49" t="s">
        <v>149</v>
      </c>
      <c r="D6" s="50"/>
      <c r="E6" s="49"/>
      <c r="F6" s="50"/>
      <c r="G6" s="51"/>
      <c r="H6" s="52"/>
      <c r="I6" s="53">
        <f>SUBTOTAL(9,H7:I10)</f>
        <v>3500</v>
      </c>
      <c r="J6" s="39"/>
      <c r="K6" s="39"/>
      <c r="L6" s="33">
        <v>30000</v>
      </c>
      <c r="M6" s="33">
        <v>2555</v>
      </c>
      <c r="N6" s="331">
        <f>(L6+M6)-H7</f>
        <v>29055</v>
      </c>
    </row>
    <row r="7" spans="1:14" ht="12.75" customHeight="1" x14ac:dyDescent="0.2">
      <c r="A7" s="47" t="s">
        <v>150</v>
      </c>
      <c r="B7" s="54"/>
      <c r="C7" s="55" t="s">
        <v>93</v>
      </c>
      <c r="D7" s="56"/>
      <c r="E7" s="56"/>
      <c r="F7" s="56"/>
      <c r="G7" s="57"/>
      <c r="H7" s="53">
        <f>SUBTOTAL(9,H8:K10)</f>
        <v>3500</v>
      </c>
      <c r="I7" s="51"/>
      <c r="J7" s="39"/>
      <c r="K7" s="39"/>
      <c r="L7" s="233">
        <v>30000</v>
      </c>
      <c r="M7" s="233">
        <v>2555</v>
      </c>
      <c r="N7" s="331">
        <f>(L7+M7)-H8</f>
        <v>32555</v>
      </c>
    </row>
    <row r="8" spans="1:14" ht="12.75" customHeight="1" x14ac:dyDescent="0.2">
      <c r="A8" s="58"/>
      <c r="B8" s="54" t="s">
        <v>151</v>
      </c>
      <c r="C8" s="59" t="s">
        <v>152</v>
      </c>
      <c r="D8" s="60">
        <v>1</v>
      </c>
      <c r="E8" s="60" t="s">
        <v>153</v>
      </c>
      <c r="F8" s="60">
        <v>1</v>
      </c>
      <c r="G8" s="61">
        <v>0</v>
      </c>
      <c r="H8" s="62">
        <f t="shared" ref="H8:H10" si="0">G8*F8*D8</f>
        <v>0</v>
      </c>
      <c r="I8" s="52"/>
      <c r="J8" s="39"/>
      <c r="K8" s="39"/>
      <c r="L8" s="233">
        <v>30000</v>
      </c>
      <c r="M8" s="233">
        <v>2555</v>
      </c>
      <c r="N8" s="331">
        <f>(L8+M8)-H9</f>
        <v>29555</v>
      </c>
    </row>
    <row r="9" spans="1:14" ht="12.75" customHeight="1" x14ac:dyDescent="0.2">
      <c r="A9" s="58"/>
      <c r="B9" s="54" t="s">
        <v>154</v>
      </c>
      <c r="C9" s="59" t="s">
        <v>155</v>
      </c>
      <c r="D9" s="60">
        <v>3</v>
      </c>
      <c r="E9" s="60" t="s">
        <v>156</v>
      </c>
      <c r="F9" s="60">
        <v>1</v>
      </c>
      <c r="G9" s="62">
        <v>1000</v>
      </c>
      <c r="H9" s="62">
        <f t="shared" si="0"/>
        <v>3000</v>
      </c>
      <c r="I9" s="52"/>
      <c r="J9" s="39"/>
      <c r="K9" s="39"/>
    </row>
    <row r="10" spans="1:14" ht="12.75" customHeight="1" x14ac:dyDescent="0.2">
      <c r="A10" s="58"/>
      <c r="B10" s="54" t="s">
        <v>157</v>
      </c>
      <c r="C10" s="59" t="s">
        <v>158</v>
      </c>
      <c r="D10" s="60">
        <v>1</v>
      </c>
      <c r="E10" s="60" t="s">
        <v>156</v>
      </c>
      <c r="F10" s="60">
        <v>1</v>
      </c>
      <c r="G10" s="61">
        <v>500</v>
      </c>
      <c r="H10" s="62">
        <f t="shared" si="0"/>
        <v>500</v>
      </c>
      <c r="I10" s="52"/>
      <c r="J10" s="39"/>
      <c r="K10" s="39"/>
      <c r="L10" s="327"/>
    </row>
    <row r="11" spans="1:14" ht="12.75" customHeight="1" x14ac:dyDescent="0.2">
      <c r="A11" s="47">
        <v>2</v>
      </c>
      <c r="B11" s="48"/>
      <c r="C11" s="63" t="s">
        <v>159</v>
      </c>
      <c r="D11" s="64"/>
      <c r="E11" s="64"/>
      <c r="F11" s="64"/>
      <c r="G11" s="65"/>
      <c r="H11" s="52"/>
      <c r="I11" s="53">
        <f>SUBTOTAL(9,H12:H75)</f>
        <v>68971.5</v>
      </c>
      <c r="J11" s="39"/>
      <c r="K11" s="39"/>
    </row>
    <row r="12" spans="1:14" ht="12.75" customHeight="1" x14ac:dyDescent="0.2">
      <c r="A12" s="47" t="s">
        <v>160</v>
      </c>
      <c r="B12" s="66"/>
      <c r="C12" s="55" t="s">
        <v>161</v>
      </c>
      <c r="D12" s="60"/>
      <c r="E12" s="60"/>
      <c r="F12" s="60"/>
      <c r="G12" s="67"/>
      <c r="H12" s="53">
        <f>SUBTOTAL(9,H13:H16)</f>
        <v>5700</v>
      </c>
      <c r="I12" s="68"/>
      <c r="J12" s="39"/>
      <c r="K12" s="39"/>
    </row>
    <row r="13" spans="1:14" ht="12.75" customHeight="1" x14ac:dyDescent="0.2">
      <c r="A13" s="47"/>
      <c r="B13" s="54" t="s">
        <v>162</v>
      </c>
      <c r="C13" s="69" t="s">
        <v>163</v>
      </c>
      <c r="D13" s="70">
        <v>1</v>
      </c>
      <c r="E13" s="60" t="s">
        <v>164</v>
      </c>
      <c r="F13" s="60">
        <v>1.5</v>
      </c>
      <c r="G13" s="67">
        <v>2000</v>
      </c>
      <c r="H13" s="62">
        <f t="shared" ref="H13:H16" si="1">G13*F13*D13</f>
        <v>3000</v>
      </c>
      <c r="I13" s="51"/>
      <c r="J13" s="39">
        <f>F13*D13*5</f>
        <v>7.5</v>
      </c>
    </row>
    <row r="14" spans="1:14" ht="12.75" customHeight="1" x14ac:dyDescent="0.2">
      <c r="A14" s="47"/>
      <c r="B14" s="54" t="s">
        <v>165</v>
      </c>
      <c r="C14" s="69" t="s">
        <v>166</v>
      </c>
      <c r="D14" s="70">
        <v>1</v>
      </c>
      <c r="E14" s="60" t="s">
        <v>164</v>
      </c>
      <c r="F14" s="60">
        <v>1</v>
      </c>
      <c r="G14" s="67">
        <v>0</v>
      </c>
      <c r="H14" s="62">
        <f t="shared" si="1"/>
        <v>0</v>
      </c>
      <c r="I14" s="51"/>
      <c r="J14" s="39">
        <f>F14*D14*5</f>
        <v>5</v>
      </c>
      <c r="K14" s="71"/>
    </row>
    <row r="15" spans="1:14" ht="12.75" customHeight="1" x14ac:dyDescent="0.2">
      <c r="A15" s="47"/>
      <c r="B15" s="54" t="s">
        <v>167</v>
      </c>
      <c r="C15" s="72" t="s">
        <v>168</v>
      </c>
      <c r="D15" s="60">
        <v>1</v>
      </c>
      <c r="E15" s="60" t="s">
        <v>169</v>
      </c>
      <c r="F15" s="60">
        <v>1</v>
      </c>
      <c r="G15" s="67">
        <v>2500</v>
      </c>
      <c r="H15" s="62">
        <f t="shared" si="1"/>
        <v>2500</v>
      </c>
      <c r="I15" s="51"/>
      <c r="J15" s="39">
        <f>F15*D15*5</f>
        <v>5</v>
      </c>
      <c r="K15" s="71"/>
    </row>
    <row r="16" spans="1:14" ht="12.75" customHeight="1" x14ac:dyDescent="0.2">
      <c r="A16" s="47"/>
      <c r="B16" s="54" t="s">
        <v>170</v>
      </c>
      <c r="C16" s="72" t="s">
        <v>171</v>
      </c>
      <c r="D16" s="60">
        <v>1</v>
      </c>
      <c r="E16" s="60" t="s">
        <v>169</v>
      </c>
      <c r="F16" s="60">
        <v>0.2</v>
      </c>
      <c r="G16" s="67">
        <v>1000</v>
      </c>
      <c r="H16" s="62">
        <f t="shared" si="1"/>
        <v>200</v>
      </c>
      <c r="I16" s="51"/>
      <c r="J16" s="39">
        <f>F16*D16*5</f>
        <v>1</v>
      </c>
      <c r="K16" s="71"/>
    </row>
    <row r="17" spans="1:11" ht="12.75" customHeight="1" x14ac:dyDescent="0.2">
      <c r="A17" s="47" t="s">
        <v>172</v>
      </c>
      <c r="B17" s="66"/>
      <c r="C17" s="55" t="s">
        <v>173</v>
      </c>
      <c r="D17" s="60"/>
      <c r="E17" s="60"/>
      <c r="F17" s="60"/>
      <c r="G17" s="67"/>
      <c r="H17" s="53">
        <f>SUBTOTAL(9,H18:H22)</f>
        <v>18750</v>
      </c>
      <c r="I17" s="51"/>
      <c r="J17" s="39"/>
      <c r="K17" s="71"/>
    </row>
    <row r="18" spans="1:11" ht="12.75" customHeight="1" x14ac:dyDescent="0.2">
      <c r="A18" s="47"/>
      <c r="B18" s="54" t="s">
        <v>174</v>
      </c>
      <c r="C18" s="59" t="s">
        <v>175</v>
      </c>
      <c r="D18" s="60">
        <v>2</v>
      </c>
      <c r="E18" s="60" t="s">
        <v>176</v>
      </c>
      <c r="F18" s="60">
        <v>1.5</v>
      </c>
      <c r="G18" s="67">
        <v>4000</v>
      </c>
      <c r="H18" s="62">
        <f t="shared" ref="H18:H22" si="2">G18*F18*D18</f>
        <v>12000</v>
      </c>
      <c r="I18" s="51"/>
      <c r="J18" s="39">
        <f>F18*D18*5</f>
        <v>15</v>
      </c>
      <c r="K18" s="71"/>
    </row>
    <row r="19" spans="1:11" ht="12.75" customHeight="1" x14ac:dyDescent="0.2">
      <c r="A19" s="47"/>
      <c r="B19" s="54" t="s">
        <v>177</v>
      </c>
      <c r="C19" s="59" t="s">
        <v>178</v>
      </c>
      <c r="D19" s="60">
        <v>1</v>
      </c>
      <c r="E19" s="60" t="s">
        <v>169</v>
      </c>
      <c r="F19" s="60">
        <v>1.5</v>
      </c>
      <c r="G19" s="67">
        <v>2000</v>
      </c>
      <c r="H19" s="62">
        <f t="shared" si="2"/>
        <v>3000</v>
      </c>
      <c r="I19" s="51"/>
      <c r="J19" s="39">
        <f>F19*D19*5</f>
        <v>7.5</v>
      </c>
      <c r="K19" s="71"/>
    </row>
    <row r="20" spans="1:11" ht="12.75" customHeight="1" x14ac:dyDescent="0.2">
      <c r="A20" s="47"/>
      <c r="B20" s="54" t="s">
        <v>179</v>
      </c>
      <c r="C20" s="59" t="s">
        <v>180</v>
      </c>
      <c r="D20" s="60">
        <v>1</v>
      </c>
      <c r="E20" s="60" t="s">
        <v>169</v>
      </c>
      <c r="F20" s="60">
        <v>1.5</v>
      </c>
      <c r="G20" s="67">
        <v>2000</v>
      </c>
      <c r="H20" s="62">
        <f t="shared" si="2"/>
        <v>3000</v>
      </c>
      <c r="I20" s="51"/>
      <c r="J20" s="39">
        <f>F20*D20*5</f>
        <v>7.5</v>
      </c>
      <c r="K20" s="71"/>
    </row>
    <row r="21" spans="1:11" ht="12.75" customHeight="1" x14ac:dyDescent="0.2">
      <c r="A21" s="47"/>
      <c r="B21" s="54" t="s">
        <v>181</v>
      </c>
      <c r="C21" s="59" t="s">
        <v>182</v>
      </c>
      <c r="D21" s="60">
        <v>0</v>
      </c>
      <c r="E21" s="60" t="s">
        <v>169</v>
      </c>
      <c r="F21" s="60">
        <v>1.5</v>
      </c>
      <c r="G21" s="67">
        <v>1000</v>
      </c>
      <c r="H21" s="62">
        <f t="shared" si="2"/>
        <v>0</v>
      </c>
      <c r="I21" s="51"/>
      <c r="J21" s="39">
        <f>F21*D21*5</f>
        <v>0</v>
      </c>
      <c r="K21" s="71"/>
    </row>
    <row r="22" spans="1:11" ht="12.75" customHeight="1" x14ac:dyDescent="0.2">
      <c r="A22" s="47"/>
      <c r="B22" s="54" t="s">
        <v>183</v>
      </c>
      <c r="C22" s="59" t="s">
        <v>184</v>
      </c>
      <c r="D22" s="60">
        <v>1</v>
      </c>
      <c r="E22" s="60" t="s">
        <v>169</v>
      </c>
      <c r="F22" s="60">
        <v>0.3</v>
      </c>
      <c r="G22" s="67">
        <v>2500</v>
      </c>
      <c r="H22" s="62">
        <f t="shared" si="2"/>
        <v>750</v>
      </c>
      <c r="I22" s="51"/>
      <c r="J22" s="39">
        <f>F22*D22*5</f>
        <v>1.5</v>
      </c>
      <c r="K22" s="71"/>
    </row>
    <row r="23" spans="1:11" ht="12.75" customHeight="1" x14ac:dyDescent="0.2">
      <c r="A23" s="73" t="s">
        <v>185</v>
      </c>
      <c r="B23" s="74"/>
      <c r="C23" s="75" t="s">
        <v>186</v>
      </c>
      <c r="D23" s="76"/>
      <c r="E23" s="76"/>
      <c r="F23" s="76"/>
      <c r="G23" s="77"/>
      <c r="H23" s="53">
        <f>SUBTOTAL(9,H24:H28)</f>
        <v>6325</v>
      </c>
      <c r="I23" s="68"/>
      <c r="J23" s="78"/>
      <c r="K23" s="79"/>
    </row>
    <row r="24" spans="1:11" ht="14.25" customHeight="1" x14ac:dyDescent="0.2">
      <c r="A24" s="47"/>
      <c r="B24" s="54" t="s">
        <v>187</v>
      </c>
      <c r="C24" s="80" t="s">
        <v>188</v>
      </c>
      <c r="D24" s="60">
        <v>1</v>
      </c>
      <c r="E24" s="60" t="s">
        <v>189</v>
      </c>
      <c r="F24" s="60">
        <v>1</v>
      </c>
      <c r="G24" s="67">
        <v>0</v>
      </c>
      <c r="H24" s="62">
        <f t="shared" ref="H24:H28" si="3">G24*F24*D24</f>
        <v>0</v>
      </c>
      <c r="I24" s="51"/>
      <c r="J24" s="39">
        <f>F24*D24*5</f>
        <v>5</v>
      </c>
      <c r="K24" s="71"/>
    </row>
    <row r="25" spans="1:11" ht="12.75" customHeight="1" x14ac:dyDescent="0.2">
      <c r="A25" s="47"/>
      <c r="B25" s="54" t="s">
        <v>190</v>
      </c>
      <c r="C25" s="80" t="s">
        <v>191</v>
      </c>
      <c r="D25" s="60">
        <v>1</v>
      </c>
      <c r="E25" s="60" t="s">
        <v>169</v>
      </c>
      <c r="F25" s="60">
        <v>1.5</v>
      </c>
      <c r="G25" s="67">
        <v>400</v>
      </c>
      <c r="H25" s="62">
        <f t="shared" si="3"/>
        <v>600</v>
      </c>
      <c r="I25" s="51"/>
      <c r="J25" s="39">
        <f>F25*D25*5</f>
        <v>7.5</v>
      </c>
      <c r="K25" s="71"/>
    </row>
    <row r="26" spans="1:11" ht="12.75" customHeight="1" x14ac:dyDescent="0.2">
      <c r="A26" s="47"/>
      <c r="B26" s="54" t="s">
        <v>192</v>
      </c>
      <c r="C26" s="80" t="s">
        <v>193</v>
      </c>
      <c r="D26" s="60">
        <v>1</v>
      </c>
      <c r="E26" s="60" t="s">
        <v>169</v>
      </c>
      <c r="F26" s="60">
        <v>0.5</v>
      </c>
      <c r="G26" s="67">
        <v>250</v>
      </c>
      <c r="H26" s="62">
        <f t="shared" si="3"/>
        <v>125</v>
      </c>
      <c r="I26" s="51"/>
      <c r="J26" s="39">
        <v>3</v>
      </c>
      <c r="K26" s="71"/>
    </row>
    <row r="27" spans="1:11" ht="12.75" customHeight="1" x14ac:dyDescent="0.2">
      <c r="A27" s="47"/>
      <c r="B27" s="54"/>
      <c r="C27" s="80" t="s">
        <v>194</v>
      </c>
      <c r="D27" s="60">
        <v>1</v>
      </c>
      <c r="E27" s="60" t="s">
        <v>169</v>
      </c>
      <c r="F27" s="60">
        <v>1.5</v>
      </c>
      <c r="G27" s="67">
        <v>1200</v>
      </c>
      <c r="H27" s="62">
        <f t="shared" si="3"/>
        <v>1800</v>
      </c>
      <c r="I27" s="51"/>
      <c r="J27" s="39">
        <f>F27*D27*5</f>
        <v>7.5</v>
      </c>
      <c r="K27" s="71"/>
    </row>
    <row r="28" spans="1:11" ht="12.75" customHeight="1" x14ac:dyDescent="0.2">
      <c r="A28" s="47"/>
      <c r="B28" s="54" t="s">
        <v>195</v>
      </c>
      <c r="C28" s="80" t="s">
        <v>196</v>
      </c>
      <c r="D28" s="60">
        <v>1</v>
      </c>
      <c r="E28" s="60" t="s">
        <v>197</v>
      </c>
      <c r="F28" s="60">
        <v>1</v>
      </c>
      <c r="G28" s="81">
        <v>3800</v>
      </c>
      <c r="H28" s="62">
        <f t="shared" si="3"/>
        <v>3800</v>
      </c>
      <c r="I28" s="51"/>
      <c r="J28" s="39"/>
      <c r="K28" s="71"/>
    </row>
    <row r="29" spans="1:11" ht="12.75" customHeight="1" x14ac:dyDescent="0.2">
      <c r="A29" s="47" t="s">
        <v>198</v>
      </c>
      <c r="B29" s="66"/>
      <c r="C29" s="55" t="s">
        <v>199</v>
      </c>
      <c r="D29" s="60"/>
      <c r="E29" s="60"/>
      <c r="F29" s="82"/>
      <c r="G29" s="57"/>
      <c r="H29" s="53">
        <f>SUBTOTAL(9,H30:H31)</f>
        <v>2090</v>
      </c>
      <c r="I29" s="51"/>
      <c r="J29" s="83"/>
      <c r="K29" s="71"/>
    </row>
    <row r="30" spans="1:11" ht="12.75" customHeight="1" x14ac:dyDescent="0.2">
      <c r="A30" s="47"/>
      <c r="B30" s="66" t="s">
        <v>200</v>
      </c>
      <c r="C30" s="80" t="s">
        <v>201</v>
      </c>
      <c r="D30" s="60">
        <v>1</v>
      </c>
      <c r="E30" s="60" t="s">
        <v>197</v>
      </c>
      <c r="F30" s="60">
        <v>1.1000000000000001</v>
      </c>
      <c r="G30" s="67">
        <v>1300</v>
      </c>
      <c r="H30" s="62">
        <f t="shared" ref="H30:H31" si="4">G30*F30*D30</f>
        <v>1430.0000000000002</v>
      </c>
      <c r="I30" s="51"/>
      <c r="J30" s="39">
        <f>F30*D30*5</f>
        <v>5.5</v>
      </c>
      <c r="K30" s="71"/>
    </row>
    <row r="31" spans="1:11" ht="12.75" customHeight="1" x14ac:dyDescent="0.2">
      <c r="A31" s="47"/>
      <c r="B31" s="66" t="s">
        <v>202</v>
      </c>
      <c r="C31" s="59" t="s">
        <v>203</v>
      </c>
      <c r="D31" s="60">
        <v>1</v>
      </c>
      <c r="E31" s="60" t="s">
        <v>164</v>
      </c>
      <c r="F31" s="60">
        <v>1.1000000000000001</v>
      </c>
      <c r="G31" s="62">
        <v>600</v>
      </c>
      <c r="H31" s="62">
        <f t="shared" si="4"/>
        <v>660</v>
      </c>
      <c r="I31" s="51"/>
      <c r="J31" s="39">
        <f>F31*D31*5</f>
        <v>5.5</v>
      </c>
      <c r="K31" s="71"/>
    </row>
    <row r="32" spans="1:11" ht="12.75" customHeight="1" x14ac:dyDescent="0.2">
      <c r="A32" s="47" t="s">
        <v>204</v>
      </c>
      <c r="B32" s="66"/>
      <c r="C32" s="55" t="s">
        <v>205</v>
      </c>
      <c r="D32" s="60"/>
      <c r="E32" s="60"/>
      <c r="F32" s="82"/>
      <c r="G32" s="57"/>
      <c r="H32" s="53">
        <f>SUBTOTAL(9,H33:H34)</f>
        <v>2050</v>
      </c>
      <c r="I32" s="51"/>
      <c r="J32" s="83"/>
      <c r="K32" s="71"/>
    </row>
    <row r="33" spans="1:11" ht="12.75" customHeight="1" x14ac:dyDescent="0.2">
      <c r="A33" s="47"/>
      <c r="B33" s="66" t="s">
        <v>206</v>
      </c>
      <c r="C33" s="80" t="s">
        <v>207</v>
      </c>
      <c r="D33" s="60">
        <v>1</v>
      </c>
      <c r="E33" s="60" t="s">
        <v>164</v>
      </c>
      <c r="F33" s="60">
        <v>1.5</v>
      </c>
      <c r="G33" s="62">
        <v>1300</v>
      </c>
      <c r="H33" s="62">
        <f>G33*F33*D33</f>
        <v>1950</v>
      </c>
      <c r="I33" s="51"/>
      <c r="J33" s="39">
        <f>F33*D33*5</f>
        <v>7.5</v>
      </c>
      <c r="K33" s="71"/>
    </row>
    <row r="34" spans="1:11" ht="12.75" customHeight="1" x14ac:dyDescent="0.2">
      <c r="A34" s="47"/>
      <c r="B34" s="66" t="s">
        <v>208</v>
      </c>
      <c r="C34" s="59" t="s">
        <v>209</v>
      </c>
      <c r="D34" s="60">
        <v>1</v>
      </c>
      <c r="E34" s="60" t="s">
        <v>210</v>
      </c>
      <c r="F34" s="60">
        <v>1</v>
      </c>
      <c r="G34" s="62">
        <v>100</v>
      </c>
      <c r="H34" s="62">
        <v>100</v>
      </c>
      <c r="I34" s="51"/>
      <c r="J34" s="39">
        <f>F34*D34*5</f>
        <v>5</v>
      </c>
      <c r="K34" s="71"/>
    </row>
    <row r="35" spans="1:11" ht="12.75" customHeight="1" x14ac:dyDescent="0.2">
      <c r="A35" s="47" t="s">
        <v>211</v>
      </c>
      <c r="B35" s="66"/>
      <c r="C35" s="55" t="s">
        <v>212</v>
      </c>
      <c r="D35" s="60"/>
      <c r="E35" s="60"/>
      <c r="F35" s="60"/>
      <c r="G35" s="57"/>
      <c r="H35" s="53">
        <f>SUBTOTAL(9,H36:H38)</f>
        <v>2250</v>
      </c>
      <c r="I35" s="51"/>
      <c r="J35" s="83"/>
      <c r="K35" s="71"/>
    </row>
    <row r="36" spans="1:11" ht="12.75" customHeight="1" x14ac:dyDescent="0.2">
      <c r="A36" s="47"/>
      <c r="B36" s="54" t="s">
        <v>213</v>
      </c>
      <c r="C36" s="59" t="s">
        <v>214</v>
      </c>
      <c r="D36" s="60">
        <v>1</v>
      </c>
      <c r="E36" s="60" t="s">
        <v>189</v>
      </c>
      <c r="F36" s="60">
        <v>1</v>
      </c>
      <c r="G36" s="67"/>
      <c r="H36" s="62">
        <f>G36*F36*H38</f>
        <v>0</v>
      </c>
      <c r="I36" s="51"/>
      <c r="J36" s="39">
        <f>F36*D36*5</f>
        <v>5</v>
      </c>
      <c r="K36" s="71"/>
    </row>
    <row r="37" spans="1:11" ht="12.75" customHeight="1" x14ac:dyDescent="0.2">
      <c r="A37" s="47"/>
      <c r="B37" s="54" t="s">
        <v>215</v>
      </c>
      <c r="C37" s="59" t="s">
        <v>216</v>
      </c>
      <c r="D37" s="60">
        <v>1</v>
      </c>
      <c r="E37" s="60" t="s">
        <v>164</v>
      </c>
      <c r="F37" s="60">
        <v>0.5</v>
      </c>
      <c r="G37" s="67">
        <v>3000</v>
      </c>
      <c r="H37" s="62">
        <f t="shared" ref="H37:H38" si="5">G37*F37*D37</f>
        <v>1500</v>
      </c>
      <c r="I37" s="51"/>
      <c r="J37" s="39">
        <f>F37*D37*5</f>
        <v>2.5</v>
      </c>
      <c r="K37" s="71"/>
    </row>
    <row r="38" spans="1:11" ht="12.75" customHeight="1" x14ac:dyDescent="0.2">
      <c r="A38" s="47"/>
      <c r="B38" s="54" t="s">
        <v>217</v>
      </c>
      <c r="C38" s="59" t="s">
        <v>218</v>
      </c>
      <c r="D38" s="60">
        <v>1</v>
      </c>
      <c r="E38" s="60" t="s">
        <v>164</v>
      </c>
      <c r="F38" s="60">
        <v>0.5</v>
      </c>
      <c r="G38" s="67">
        <v>1500</v>
      </c>
      <c r="H38" s="62">
        <f t="shared" si="5"/>
        <v>750</v>
      </c>
      <c r="I38" s="51"/>
      <c r="J38" s="39">
        <f>F38*D38*5</f>
        <v>2.5</v>
      </c>
      <c r="K38" s="71"/>
    </row>
    <row r="39" spans="1:11" ht="12.75" customHeight="1" x14ac:dyDescent="0.2">
      <c r="A39" s="47" t="s">
        <v>219</v>
      </c>
      <c r="B39" s="66"/>
      <c r="C39" s="55" t="s">
        <v>220</v>
      </c>
      <c r="D39" s="60"/>
      <c r="E39" s="60"/>
      <c r="F39" s="60"/>
      <c r="G39" s="57"/>
      <c r="H39" s="53">
        <f>SUBTOTAL(9,H40:H41)</f>
        <v>5500</v>
      </c>
      <c r="I39" s="51"/>
      <c r="J39" s="39"/>
      <c r="K39" s="71"/>
    </row>
    <row r="40" spans="1:11" ht="12.75" customHeight="1" x14ac:dyDescent="0.2">
      <c r="A40" s="47"/>
      <c r="B40" s="66" t="s">
        <v>221</v>
      </c>
      <c r="C40" s="59" t="s">
        <v>222</v>
      </c>
      <c r="D40" s="60">
        <v>1</v>
      </c>
      <c r="E40" s="60" t="s">
        <v>169</v>
      </c>
      <c r="F40" s="60">
        <v>1.5</v>
      </c>
      <c r="G40" s="67">
        <v>3000</v>
      </c>
      <c r="H40" s="62">
        <f t="shared" ref="H40:H41" si="6">G40*F40*D40</f>
        <v>4500</v>
      </c>
      <c r="I40" s="51"/>
      <c r="J40" s="39">
        <f>F40*D40*5</f>
        <v>7.5</v>
      </c>
      <c r="K40" s="71"/>
    </row>
    <row r="41" spans="1:11" ht="12.75" customHeight="1" x14ac:dyDescent="0.2">
      <c r="A41" s="47"/>
      <c r="B41" s="54" t="s">
        <v>223</v>
      </c>
      <c r="C41" s="59" t="s">
        <v>224</v>
      </c>
      <c r="D41" s="60">
        <v>1</v>
      </c>
      <c r="E41" s="60" t="s">
        <v>164</v>
      </c>
      <c r="F41" s="60">
        <v>0.5</v>
      </c>
      <c r="G41" s="67">
        <v>2000</v>
      </c>
      <c r="H41" s="62">
        <f t="shared" si="6"/>
        <v>1000</v>
      </c>
      <c r="I41" s="51"/>
      <c r="J41" s="39">
        <f>F41*D41*5</f>
        <v>2.5</v>
      </c>
      <c r="K41" s="71"/>
    </row>
    <row r="42" spans="1:11" ht="12.75" customHeight="1" x14ac:dyDescent="0.2">
      <c r="A42" s="47" t="s">
        <v>225</v>
      </c>
      <c r="B42" s="66"/>
      <c r="C42" s="55" t="s">
        <v>226</v>
      </c>
      <c r="D42" s="56"/>
      <c r="E42" s="56"/>
      <c r="F42" s="56"/>
      <c r="G42" s="57"/>
      <c r="H42" s="53">
        <f>SUBTOTAL(9,H43:H44)</f>
        <v>4500</v>
      </c>
      <c r="I42" s="51"/>
      <c r="J42" s="39"/>
      <c r="K42" s="71"/>
    </row>
    <row r="43" spans="1:11" ht="12.75" customHeight="1" x14ac:dyDescent="0.2">
      <c r="A43" s="47"/>
      <c r="B43" s="66" t="s">
        <v>227</v>
      </c>
      <c r="C43" s="59" t="s">
        <v>228</v>
      </c>
      <c r="D43" s="60">
        <v>1</v>
      </c>
      <c r="E43" s="60" t="s">
        <v>169</v>
      </c>
      <c r="F43" s="60">
        <v>1.5</v>
      </c>
      <c r="G43" s="67">
        <v>3000</v>
      </c>
      <c r="H43" s="62">
        <f t="shared" ref="H43:H44" si="7">G43*F43*D43</f>
        <v>4500</v>
      </c>
      <c r="I43" s="51" t="s">
        <v>229</v>
      </c>
      <c r="J43" s="39">
        <f>F43*D43*5</f>
        <v>7.5</v>
      </c>
      <c r="K43" s="71"/>
    </row>
    <row r="44" spans="1:11" ht="12.75" customHeight="1" x14ac:dyDescent="0.2">
      <c r="A44" s="47"/>
      <c r="B44" s="54" t="s">
        <v>230</v>
      </c>
      <c r="C44" s="59" t="s">
        <v>231</v>
      </c>
      <c r="D44" s="60">
        <v>0</v>
      </c>
      <c r="E44" s="60" t="s">
        <v>164</v>
      </c>
      <c r="F44" s="60">
        <v>0.5</v>
      </c>
      <c r="G44" s="67">
        <v>0</v>
      </c>
      <c r="H44" s="62">
        <f t="shared" si="7"/>
        <v>0</v>
      </c>
      <c r="I44" s="51"/>
      <c r="J44" s="39">
        <f>F44*D44*5</f>
        <v>0</v>
      </c>
      <c r="K44" s="71"/>
    </row>
    <row r="45" spans="1:11" ht="12.75" customHeight="1" x14ac:dyDescent="0.2">
      <c r="A45" s="47" t="s">
        <v>232</v>
      </c>
      <c r="B45" s="66"/>
      <c r="C45" s="55" t="s">
        <v>233</v>
      </c>
      <c r="D45" s="60"/>
      <c r="E45" s="60"/>
      <c r="F45" s="82"/>
      <c r="G45" s="57"/>
      <c r="H45" s="53">
        <f>SUBTOTAL(9,H46:H48)</f>
        <v>5250</v>
      </c>
      <c r="I45" s="51"/>
      <c r="J45" s="39"/>
      <c r="K45" s="71"/>
    </row>
    <row r="46" spans="1:11" ht="12.75" customHeight="1" x14ac:dyDescent="0.2">
      <c r="A46" s="47"/>
      <c r="B46" s="66" t="s">
        <v>234</v>
      </c>
      <c r="C46" s="80" t="s">
        <v>235</v>
      </c>
      <c r="D46" s="60">
        <v>1</v>
      </c>
      <c r="E46" s="60" t="s">
        <v>189</v>
      </c>
      <c r="F46" s="60">
        <v>1</v>
      </c>
      <c r="G46" s="62">
        <v>5000</v>
      </c>
      <c r="H46" s="62">
        <f t="shared" ref="H46:H48" si="8">G46*F46*D46</f>
        <v>5000</v>
      </c>
      <c r="I46" s="51"/>
      <c r="J46" s="39">
        <f>F46*D46*5</f>
        <v>5</v>
      </c>
      <c r="K46" s="71"/>
    </row>
    <row r="47" spans="1:11" ht="12.75" customHeight="1" x14ac:dyDescent="0.2">
      <c r="A47" s="47"/>
      <c r="B47" s="54" t="s">
        <v>236</v>
      </c>
      <c r="C47" s="59" t="s">
        <v>237</v>
      </c>
      <c r="D47" s="60">
        <v>1</v>
      </c>
      <c r="E47" s="60" t="s">
        <v>169</v>
      </c>
      <c r="F47" s="60">
        <v>0.1</v>
      </c>
      <c r="G47" s="62">
        <v>2000</v>
      </c>
      <c r="H47" s="62">
        <f t="shared" si="8"/>
        <v>200</v>
      </c>
      <c r="I47" s="51"/>
      <c r="J47" s="39">
        <f>F47*D47*5</f>
        <v>0.5</v>
      </c>
      <c r="K47" s="71"/>
    </row>
    <row r="48" spans="1:11" ht="12.75" customHeight="1" x14ac:dyDescent="0.2">
      <c r="A48" s="47"/>
      <c r="B48" s="54" t="s">
        <v>238</v>
      </c>
      <c r="C48" s="59" t="s">
        <v>239</v>
      </c>
      <c r="D48" s="60">
        <v>1</v>
      </c>
      <c r="E48" s="60" t="s">
        <v>169</v>
      </c>
      <c r="F48" s="60">
        <v>0.1</v>
      </c>
      <c r="G48" s="62">
        <v>500</v>
      </c>
      <c r="H48" s="62">
        <f t="shared" si="8"/>
        <v>50</v>
      </c>
      <c r="I48" s="51"/>
      <c r="J48" s="39">
        <f>F48*D48*5</f>
        <v>0.5</v>
      </c>
      <c r="K48" s="71"/>
    </row>
    <row r="49" spans="1:11" ht="12.75" customHeight="1" x14ac:dyDescent="0.2">
      <c r="A49" s="47" t="s">
        <v>240</v>
      </c>
      <c r="B49" s="54"/>
      <c r="C49" s="55" t="s">
        <v>241</v>
      </c>
      <c r="D49" s="60"/>
      <c r="E49" s="60"/>
      <c r="F49" s="60"/>
      <c r="G49" s="62"/>
      <c r="H49" s="53">
        <f>SUBTOTAL(9,H50)</f>
        <v>1500</v>
      </c>
      <c r="I49" s="51"/>
      <c r="J49" s="39"/>
      <c r="K49" s="71">
        <f>SUM(J13:J48)</f>
        <v>130</v>
      </c>
    </row>
    <row r="50" spans="1:11" ht="12.75" customHeight="1" x14ac:dyDescent="0.2">
      <c r="A50" s="47"/>
      <c r="B50" s="54" t="s">
        <v>242</v>
      </c>
      <c r="C50" s="85" t="s">
        <v>243</v>
      </c>
      <c r="D50" s="60">
        <v>1</v>
      </c>
      <c r="E50" s="60" t="s">
        <v>197</v>
      </c>
      <c r="F50" s="60">
        <v>1.5</v>
      </c>
      <c r="G50" s="67">
        <v>1000</v>
      </c>
      <c r="H50" s="62">
        <f>G50*F50*D50</f>
        <v>1500</v>
      </c>
      <c r="I50" s="86"/>
      <c r="J50" s="39"/>
      <c r="K50" s="71"/>
    </row>
    <row r="51" spans="1:11" ht="12.75" customHeight="1" x14ac:dyDescent="0.2">
      <c r="A51" s="47" t="s">
        <v>244</v>
      </c>
      <c r="B51" s="54"/>
      <c r="C51" s="87" t="s">
        <v>245</v>
      </c>
      <c r="D51" s="88"/>
      <c r="E51" s="89"/>
      <c r="F51" s="88"/>
      <c r="G51" s="90"/>
      <c r="H51" s="53">
        <f>SUBTOTAL(9,H52:H53)</f>
        <v>2600</v>
      </c>
      <c r="I51" s="51"/>
      <c r="J51" s="39"/>
      <c r="K51" s="91"/>
    </row>
    <row r="52" spans="1:11" ht="12.75" customHeight="1" x14ac:dyDescent="0.2">
      <c r="A52" s="47"/>
      <c r="B52" s="54" t="s">
        <v>246</v>
      </c>
      <c r="C52" s="92" t="s">
        <v>247</v>
      </c>
      <c r="D52" s="93">
        <v>1</v>
      </c>
      <c r="E52" s="82" t="s">
        <v>210</v>
      </c>
      <c r="F52" s="93">
        <v>1</v>
      </c>
      <c r="G52" s="62">
        <v>1000</v>
      </c>
      <c r="H52" s="94">
        <f t="shared" ref="H52:H53" si="9">G52*F52*D52</f>
        <v>1000</v>
      </c>
      <c r="I52" s="51"/>
      <c r="J52" s="39"/>
      <c r="K52" s="39"/>
    </row>
    <row r="53" spans="1:11" ht="12.75" customHeight="1" x14ac:dyDescent="0.2">
      <c r="A53" s="47"/>
      <c r="B53" s="66"/>
      <c r="C53" s="59" t="s">
        <v>248</v>
      </c>
      <c r="D53" s="60">
        <v>1</v>
      </c>
      <c r="E53" s="95" t="s">
        <v>249</v>
      </c>
      <c r="F53" s="60">
        <v>40</v>
      </c>
      <c r="G53" s="62">
        <v>40</v>
      </c>
      <c r="H53" s="96">
        <f t="shared" si="9"/>
        <v>1600</v>
      </c>
      <c r="I53" s="57"/>
      <c r="J53" s="39"/>
      <c r="K53" s="39"/>
    </row>
    <row r="54" spans="1:11" ht="12.75" customHeight="1" x14ac:dyDescent="0.2">
      <c r="A54" s="47" t="s">
        <v>250</v>
      </c>
      <c r="B54" s="54"/>
      <c r="C54" s="87" t="s">
        <v>148</v>
      </c>
      <c r="D54" s="70"/>
      <c r="E54" s="97"/>
      <c r="F54" s="70"/>
      <c r="G54" s="98"/>
      <c r="H54" s="53">
        <f>SUBTOTAL(9,H55:H59)</f>
        <v>3830</v>
      </c>
      <c r="I54" s="51"/>
      <c r="J54" s="39"/>
      <c r="K54" s="39"/>
    </row>
    <row r="55" spans="1:11" ht="12.75" customHeight="1" x14ac:dyDescent="0.2">
      <c r="A55" s="47"/>
      <c r="B55" s="54" t="s">
        <v>251</v>
      </c>
      <c r="C55" s="99" t="s">
        <v>148</v>
      </c>
      <c r="D55" s="100">
        <v>1</v>
      </c>
      <c r="E55" s="70" t="s">
        <v>252</v>
      </c>
      <c r="F55" s="100">
        <v>130</v>
      </c>
      <c r="G55" s="98">
        <v>20</v>
      </c>
      <c r="H55" s="94">
        <f t="shared" ref="H55:H59" si="10">G55*F55*D55</f>
        <v>2600</v>
      </c>
      <c r="I55" s="51"/>
      <c r="J55" s="39"/>
      <c r="K55" s="39"/>
    </row>
    <row r="56" spans="1:11" ht="12.75" customHeight="1" x14ac:dyDescent="0.2">
      <c r="A56" s="47"/>
      <c r="B56" s="54" t="s">
        <v>253</v>
      </c>
      <c r="C56" s="99" t="s">
        <v>254</v>
      </c>
      <c r="D56" s="100">
        <v>5</v>
      </c>
      <c r="E56" s="70" t="s">
        <v>252</v>
      </c>
      <c r="F56" s="100">
        <v>15</v>
      </c>
      <c r="G56" s="98">
        <v>0</v>
      </c>
      <c r="H56" s="94">
        <f t="shared" si="10"/>
        <v>0</v>
      </c>
      <c r="I56" s="51"/>
      <c r="J56" s="39"/>
      <c r="K56" s="39"/>
    </row>
    <row r="57" spans="1:11" ht="12.75" customHeight="1" x14ac:dyDescent="0.2">
      <c r="A57" s="47"/>
      <c r="B57" s="54" t="s">
        <v>255</v>
      </c>
      <c r="C57" s="99" t="s">
        <v>256</v>
      </c>
      <c r="D57" s="100">
        <v>5</v>
      </c>
      <c r="E57" s="70" t="s">
        <v>252</v>
      </c>
      <c r="F57" s="100">
        <v>1</v>
      </c>
      <c r="G57" s="98">
        <v>90</v>
      </c>
      <c r="H57" s="94">
        <f t="shared" si="10"/>
        <v>450</v>
      </c>
      <c r="I57" s="51" t="s">
        <v>257</v>
      </c>
      <c r="J57" s="39"/>
      <c r="K57" s="39"/>
    </row>
    <row r="58" spans="1:11" ht="12.75" customHeight="1" x14ac:dyDescent="0.2">
      <c r="A58" s="47"/>
      <c r="B58" s="54" t="s">
        <v>258</v>
      </c>
      <c r="C58" s="99" t="s">
        <v>259</v>
      </c>
      <c r="D58" s="100">
        <v>5</v>
      </c>
      <c r="E58" s="70" t="s">
        <v>252</v>
      </c>
      <c r="F58" s="100">
        <v>1</v>
      </c>
      <c r="G58" s="98">
        <v>60</v>
      </c>
      <c r="H58" s="94">
        <f t="shared" si="10"/>
        <v>300</v>
      </c>
      <c r="I58" s="51"/>
      <c r="J58" s="39"/>
      <c r="K58" s="39"/>
    </row>
    <row r="59" spans="1:11" ht="12.75" customHeight="1" x14ac:dyDescent="0.2">
      <c r="A59" s="47"/>
      <c r="B59" s="54" t="s">
        <v>260</v>
      </c>
      <c r="C59" s="80" t="s">
        <v>261</v>
      </c>
      <c r="D59" s="100">
        <v>8</v>
      </c>
      <c r="E59" s="70" t="s">
        <v>156</v>
      </c>
      <c r="F59" s="100">
        <v>1</v>
      </c>
      <c r="G59" s="98">
        <v>60</v>
      </c>
      <c r="H59" s="96">
        <f t="shared" si="10"/>
        <v>480</v>
      </c>
      <c r="I59" s="51"/>
      <c r="J59" s="39"/>
      <c r="K59" s="39"/>
    </row>
    <row r="60" spans="1:11" ht="12.75" customHeight="1" x14ac:dyDescent="0.2">
      <c r="A60" s="47" t="s">
        <v>262</v>
      </c>
      <c r="B60" s="54"/>
      <c r="C60" s="87" t="s">
        <v>263</v>
      </c>
      <c r="D60" s="100"/>
      <c r="E60" s="70"/>
      <c r="F60" s="100"/>
      <c r="G60" s="98"/>
      <c r="H60" s="53">
        <f>SUBTOTAL(9,H61:H71)</f>
        <v>2576.5</v>
      </c>
      <c r="I60" s="51"/>
      <c r="J60" s="39"/>
      <c r="K60" s="39"/>
    </row>
    <row r="61" spans="1:11" ht="12.75" customHeight="1" x14ac:dyDescent="0.2">
      <c r="A61" s="47"/>
      <c r="B61" s="54" t="s">
        <v>264</v>
      </c>
      <c r="C61" s="80" t="s">
        <v>265</v>
      </c>
      <c r="D61" s="70"/>
      <c r="E61" s="97"/>
      <c r="F61" s="70"/>
      <c r="G61" s="98"/>
      <c r="H61" s="84"/>
      <c r="I61" s="51"/>
      <c r="J61" s="39"/>
      <c r="K61" s="39"/>
    </row>
    <row r="62" spans="1:11" ht="12.75" customHeight="1" x14ac:dyDescent="0.2">
      <c r="A62" s="47"/>
      <c r="B62" s="54"/>
      <c r="C62" s="87" t="s">
        <v>266</v>
      </c>
      <c r="D62" s="100"/>
      <c r="E62" s="70"/>
      <c r="F62" s="100"/>
      <c r="G62" s="98"/>
      <c r="H62" s="53"/>
      <c r="I62" s="51"/>
      <c r="J62" s="39"/>
      <c r="K62" s="39"/>
    </row>
    <row r="63" spans="1:11" ht="12.75" customHeight="1" x14ac:dyDescent="0.2">
      <c r="A63" s="47"/>
      <c r="B63" s="54" t="s">
        <v>267</v>
      </c>
      <c r="C63" s="80" t="s">
        <v>268</v>
      </c>
      <c r="D63" s="100">
        <v>1</v>
      </c>
      <c r="E63" s="70" t="s">
        <v>269</v>
      </c>
      <c r="F63" s="100">
        <v>1</v>
      </c>
      <c r="G63" s="62">
        <v>1300</v>
      </c>
      <c r="H63" s="94">
        <f>G63*F63*D63</f>
        <v>1300</v>
      </c>
      <c r="I63" s="51"/>
      <c r="J63" s="39"/>
      <c r="K63" s="39"/>
    </row>
    <row r="64" spans="1:11" ht="12.75" customHeight="1" x14ac:dyDescent="0.2">
      <c r="A64" s="47"/>
      <c r="B64" s="54" t="s">
        <v>270</v>
      </c>
      <c r="C64" s="80" t="s">
        <v>271</v>
      </c>
      <c r="D64" s="100"/>
      <c r="E64" s="70"/>
      <c r="F64" s="100"/>
      <c r="G64" s="98"/>
      <c r="H64" s="53"/>
      <c r="I64" s="51"/>
      <c r="J64" s="39"/>
      <c r="K64" s="39"/>
    </row>
    <row r="65" spans="1:11" ht="12.75" customHeight="1" x14ac:dyDescent="0.2">
      <c r="A65" s="47"/>
      <c r="B65" s="54"/>
      <c r="C65" s="80" t="s">
        <v>272</v>
      </c>
      <c r="D65" s="100">
        <v>2</v>
      </c>
      <c r="E65" s="70" t="s">
        <v>273</v>
      </c>
      <c r="F65" s="100">
        <v>0</v>
      </c>
      <c r="G65" s="98">
        <v>100</v>
      </c>
      <c r="H65" s="94">
        <f t="shared" ref="H65:H69" si="11">G65*F65*D65</f>
        <v>0</v>
      </c>
      <c r="I65" s="51"/>
      <c r="J65" s="39"/>
      <c r="K65" s="39"/>
    </row>
    <row r="66" spans="1:11" ht="12.75" customHeight="1" x14ac:dyDescent="0.2">
      <c r="A66" s="47"/>
      <c r="B66" s="54"/>
      <c r="C66" s="80" t="s">
        <v>274</v>
      </c>
      <c r="D66" s="100">
        <v>3</v>
      </c>
      <c r="E66" s="70" t="s">
        <v>273</v>
      </c>
      <c r="F66" s="100">
        <v>1</v>
      </c>
      <c r="G66" s="98">
        <v>100</v>
      </c>
      <c r="H66" s="94">
        <f t="shared" si="11"/>
        <v>300</v>
      </c>
      <c r="I66" s="51"/>
      <c r="J66" s="39"/>
      <c r="K66" s="39"/>
    </row>
    <row r="67" spans="1:11" ht="12.75" customHeight="1" x14ac:dyDescent="0.2">
      <c r="A67" s="47"/>
      <c r="B67" s="54"/>
      <c r="C67" s="80" t="s">
        <v>275</v>
      </c>
      <c r="D67" s="100">
        <v>1</v>
      </c>
      <c r="E67" s="70" t="s">
        <v>210</v>
      </c>
      <c r="F67" s="100">
        <v>1</v>
      </c>
      <c r="G67" s="98">
        <v>500</v>
      </c>
      <c r="H67" s="94">
        <f t="shared" si="11"/>
        <v>500</v>
      </c>
      <c r="I67" s="51"/>
      <c r="J67" s="39"/>
      <c r="K67" s="39"/>
    </row>
    <row r="68" spans="1:11" ht="12.75" customHeight="1" x14ac:dyDescent="0.2">
      <c r="A68" s="47"/>
      <c r="B68" s="54"/>
      <c r="C68" s="80" t="s">
        <v>276</v>
      </c>
      <c r="D68" s="100">
        <v>1</v>
      </c>
      <c r="E68" s="70" t="s">
        <v>210</v>
      </c>
      <c r="F68" s="100">
        <v>3</v>
      </c>
      <c r="G68" s="98">
        <v>30.2</v>
      </c>
      <c r="H68" s="94">
        <f t="shared" si="11"/>
        <v>90.6</v>
      </c>
      <c r="I68" s="51"/>
      <c r="J68" s="39"/>
      <c r="K68" s="39"/>
    </row>
    <row r="69" spans="1:11" ht="12.75" customHeight="1" x14ac:dyDescent="0.2">
      <c r="A69" s="47"/>
      <c r="B69" s="54"/>
      <c r="C69" s="80" t="s">
        <v>277</v>
      </c>
      <c r="D69" s="100">
        <v>1</v>
      </c>
      <c r="E69" s="70" t="s">
        <v>210</v>
      </c>
      <c r="F69" s="100">
        <v>2</v>
      </c>
      <c r="G69" s="98">
        <v>30.2</v>
      </c>
      <c r="H69" s="94">
        <f t="shared" si="11"/>
        <v>60.4</v>
      </c>
      <c r="I69" s="51"/>
      <c r="J69" s="39"/>
      <c r="K69" s="39"/>
    </row>
    <row r="70" spans="1:11" ht="12.75" customHeight="1" x14ac:dyDescent="0.2">
      <c r="A70" s="47"/>
      <c r="B70" s="54"/>
      <c r="C70" s="80" t="s">
        <v>278</v>
      </c>
      <c r="D70" s="100">
        <v>5</v>
      </c>
      <c r="E70" s="70" t="s">
        <v>210</v>
      </c>
      <c r="F70" s="100">
        <v>5</v>
      </c>
      <c r="G70" s="98">
        <v>15.1</v>
      </c>
      <c r="H70" s="94">
        <v>75.5</v>
      </c>
      <c r="I70" s="51"/>
      <c r="J70" s="39"/>
      <c r="K70" s="39"/>
    </row>
    <row r="71" spans="1:11" ht="12.75" customHeight="1" x14ac:dyDescent="0.2">
      <c r="A71" s="47"/>
      <c r="B71" s="54"/>
      <c r="C71" s="80" t="s">
        <v>279</v>
      </c>
      <c r="D71" s="100">
        <v>1</v>
      </c>
      <c r="E71" s="70" t="s">
        <v>210</v>
      </c>
      <c r="F71" s="100">
        <v>1</v>
      </c>
      <c r="G71" s="98">
        <v>250</v>
      </c>
      <c r="H71" s="94">
        <f>G71*F71*D71</f>
        <v>250</v>
      </c>
      <c r="I71" s="51"/>
      <c r="J71" s="39"/>
      <c r="K71" s="39"/>
    </row>
    <row r="72" spans="1:11" ht="12.75" customHeight="1" x14ac:dyDescent="0.2">
      <c r="A72" s="47" t="s">
        <v>280</v>
      </c>
      <c r="B72" s="54"/>
      <c r="C72" s="87" t="s">
        <v>281</v>
      </c>
      <c r="D72" s="70"/>
      <c r="E72" s="97"/>
      <c r="F72" s="70"/>
      <c r="G72" s="98"/>
      <c r="H72" s="57">
        <f>SUBTOTAL(9,H73)</f>
        <v>5000</v>
      </c>
      <c r="I72" s="51"/>
      <c r="J72" s="39"/>
      <c r="K72" s="39"/>
    </row>
    <row r="73" spans="1:11" ht="12.75" customHeight="1" x14ac:dyDescent="0.2">
      <c r="A73" s="47"/>
      <c r="B73" s="54" t="s">
        <v>282</v>
      </c>
      <c r="C73" s="80" t="s">
        <v>283</v>
      </c>
      <c r="D73" s="70">
        <v>1</v>
      </c>
      <c r="E73" s="101" t="s">
        <v>284</v>
      </c>
      <c r="F73" s="70">
        <v>50</v>
      </c>
      <c r="G73" s="98">
        <v>100</v>
      </c>
      <c r="H73" s="94">
        <f>G73*F73*D73</f>
        <v>5000</v>
      </c>
      <c r="I73" s="51"/>
      <c r="J73" s="39"/>
      <c r="K73" s="39"/>
    </row>
    <row r="74" spans="1:11" ht="12.75" customHeight="1" x14ac:dyDescent="0.2">
      <c r="A74" s="47" t="s">
        <v>285</v>
      </c>
      <c r="B74" s="54"/>
      <c r="C74" s="87" t="s">
        <v>286</v>
      </c>
      <c r="D74" s="70"/>
      <c r="E74" s="97"/>
      <c r="F74" s="70"/>
      <c r="G74" s="98"/>
      <c r="H74" s="53">
        <f>SUBTOTAL(9,H75)</f>
        <v>1050</v>
      </c>
      <c r="I74" s="51"/>
      <c r="J74" s="39"/>
      <c r="K74" s="39"/>
    </row>
    <row r="75" spans="1:11" ht="12.75" customHeight="1" x14ac:dyDescent="0.2">
      <c r="A75" s="47"/>
      <c r="B75" s="54" t="s">
        <v>287</v>
      </c>
      <c r="C75" s="80" t="s">
        <v>288</v>
      </c>
      <c r="D75" s="70">
        <v>1</v>
      </c>
      <c r="E75" s="101" t="s">
        <v>284</v>
      </c>
      <c r="F75" s="70">
        <v>3</v>
      </c>
      <c r="G75" s="98">
        <v>350</v>
      </c>
      <c r="H75" s="94">
        <f>G75*F75*D75</f>
        <v>1050</v>
      </c>
      <c r="I75" s="51"/>
      <c r="J75" s="39"/>
      <c r="K75" s="39"/>
    </row>
    <row r="76" spans="1:11" ht="15" customHeight="1" x14ac:dyDescent="0.3">
      <c r="A76" s="47">
        <v>3</v>
      </c>
      <c r="B76" s="48"/>
      <c r="C76" s="49" t="s">
        <v>289</v>
      </c>
      <c r="D76" s="64"/>
      <c r="E76" s="102"/>
      <c r="F76" s="64"/>
      <c r="G76" s="52"/>
      <c r="H76" s="52"/>
      <c r="I76" s="53">
        <f>SUBTOTAL(9,H77:H167)</f>
        <v>122210</v>
      </c>
      <c r="J76" s="103"/>
      <c r="K76" s="103"/>
    </row>
    <row r="77" spans="1:11" ht="12.75" customHeight="1" x14ac:dyDescent="0.2">
      <c r="A77" s="47" t="s">
        <v>290</v>
      </c>
      <c r="B77" s="66"/>
      <c r="C77" s="55" t="s">
        <v>161</v>
      </c>
      <c r="D77" s="60"/>
      <c r="E77" s="60"/>
      <c r="F77" s="60"/>
      <c r="G77" s="67"/>
      <c r="H77" s="53">
        <f>SUBTOTAL(9,H78:H82)</f>
        <v>9800</v>
      </c>
      <c r="I77" s="68"/>
      <c r="J77" s="83">
        <f>SUM(J78:J147)</f>
        <v>457</v>
      </c>
      <c r="K77" s="83"/>
    </row>
    <row r="78" spans="1:11" ht="12.75" customHeight="1" x14ac:dyDescent="0.2">
      <c r="A78" s="47"/>
      <c r="B78" s="54" t="s">
        <v>291</v>
      </c>
      <c r="C78" s="97" t="s">
        <v>292</v>
      </c>
      <c r="D78" s="70">
        <v>1</v>
      </c>
      <c r="E78" s="70" t="s">
        <v>293</v>
      </c>
      <c r="F78" s="70">
        <v>1</v>
      </c>
      <c r="G78" s="98">
        <v>5000</v>
      </c>
      <c r="H78" s="62">
        <f t="shared" ref="H78:H82" si="12">G78*F78*D78</f>
        <v>5000</v>
      </c>
      <c r="I78" s="51"/>
      <c r="J78" s="83">
        <f>F78*D78*5</f>
        <v>5</v>
      </c>
      <c r="K78" s="83"/>
    </row>
    <row r="79" spans="1:11" ht="12.75" customHeight="1" x14ac:dyDescent="0.2">
      <c r="A79" s="47"/>
      <c r="B79" s="54" t="s">
        <v>294</v>
      </c>
      <c r="C79" s="69" t="s">
        <v>163</v>
      </c>
      <c r="D79" s="70">
        <v>1</v>
      </c>
      <c r="E79" s="70" t="s">
        <v>153</v>
      </c>
      <c r="F79" s="70">
        <v>1</v>
      </c>
      <c r="G79" s="67">
        <v>2000</v>
      </c>
      <c r="H79" s="62">
        <f t="shared" si="12"/>
        <v>2000</v>
      </c>
      <c r="I79" s="51"/>
      <c r="J79" s="83">
        <f>F79*D79*5</f>
        <v>5</v>
      </c>
      <c r="K79" s="83"/>
    </row>
    <row r="80" spans="1:11" ht="12.75" customHeight="1" x14ac:dyDescent="0.2">
      <c r="A80" s="47"/>
      <c r="B80" s="54" t="s">
        <v>295</v>
      </c>
      <c r="C80" s="69" t="s">
        <v>296</v>
      </c>
      <c r="D80" s="70">
        <v>1</v>
      </c>
      <c r="E80" s="70" t="s">
        <v>169</v>
      </c>
      <c r="F80" s="70">
        <v>1</v>
      </c>
      <c r="G80" s="67">
        <v>0</v>
      </c>
      <c r="H80" s="62">
        <f t="shared" si="12"/>
        <v>0</v>
      </c>
      <c r="I80" s="51"/>
      <c r="J80" s="83">
        <f>F80*D80*5</f>
        <v>5</v>
      </c>
      <c r="K80" s="83"/>
    </row>
    <row r="81" spans="1:11" ht="12.75" customHeight="1" x14ac:dyDescent="0.2">
      <c r="A81" s="47"/>
      <c r="B81" s="54" t="s">
        <v>297</v>
      </c>
      <c r="C81" s="72" t="s">
        <v>298</v>
      </c>
      <c r="D81" s="60">
        <v>1</v>
      </c>
      <c r="E81" s="60" t="s">
        <v>284</v>
      </c>
      <c r="F81" s="60">
        <v>4</v>
      </c>
      <c r="G81" s="67">
        <v>500</v>
      </c>
      <c r="H81" s="62">
        <f t="shared" si="12"/>
        <v>2000</v>
      </c>
      <c r="I81" s="51"/>
      <c r="J81" s="83">
        <f>F81*D81*5</f>
        <v>20</v>
      </c>
      <c r="K81" s="104"/>
    </row>
    <row r="82" spans="1:11" ht="12.75" customHeight="1" x14ac:dyDescent="0.2">
      <c r="A82" s="47"/>
      <c r="B82" s="54" t="s">
        <v>299</v>
      </c>
      <c r="C82" s="72" t="s">
        <v>171</v>
      </c>
      <c r="D82" s="60">
        <v>1</v>
      </c>
      <c r="E82" s="60" t="s">
        <v>284</v>
      </c>
      <c r="F82" s="60">
        <v>4</v>
      </c>
      <c r="G82" s="67">
        <v>200</v>
      </c>
      <c r="H82" s="62">
        <f t="shared" si="12"/>
        <v>800</v>
      </c>
      <c r="I82" s="51"/>
      <c r="J82" s="83">
        <f>F82*D82*5</f>
        <v>20</v>
      </c>
      <c r="K82" s="83"/>
    </row>
    <row r="83" spans="1:11" ht="12.75" customHeight="1" x14ac:dyDescent="0.2">
      <c r="A83" s="47" t="s">
        <v>300</v>
      </c>
      <c r="B83" s="66"/>
      <c r="C83" s="55" t="s">
        <v>173</v>
      </c>
      <c r="D83" s="60"/>
      <c r="E83" s="60"/>
      <c r="F83" s="60"/>
      <c r="G83" s="67"/>
      <c r="H83" s="53">
        <f>SUBTOTAL(9,H84:H88)</f>
        <v>14400</v>
      </c>
      <c r="I83" s="51"/>
      <c r="J83" s="83"/>
      <c r="K83" s="83"/>
    </row>
    <row r="84" spans="1:11" ht="12.75" customHeight="1" x14ac:dyDescent="0.2">
      <c r="A84" s="47"/>
      <c r="B84" s="54" t="s">
        <v>301</v>
      </c>
      <c r="C84" s="59" t="s">
        <v>175</v>
      </c>
      <c r="D84" s="70">
        <v>2</v>
      </c>
      <c r="E84" s="70" t="s">
        <v>176</v>
      </c>
      <c r="F84" s="70">
        <v>1</v>
      </c>
      <c r="G84" s="67">
        <v>3000</v>
      </c>
      <c r="H84" s="62">
        <f t="shared" ref="H84:H88" si="13">G84*F84*D84</f>
        <v>6000</v>
      </c>
      <c r="I84" s="51"/>
      <c r="J84" s="83">
        <f>F84*D84*5</f>
        <v>10</v>
      </c>
      <c r="K84" s="83"/>
    </row>
    <row r="85" spans="1:11" ht="12.75" customHeight="1" x14ac:dyDescent="0.2">
      <c r="A85" s="47"/>
      <c r="B85" s="54" t="s">
        <v>302</v>
      </c>
      <c r="C85" s="59" t="s">
        <v>303</v>
      </c>
      <c r="D85" s="70">
        <v>1</v>
      </c>
      <c r="E85" s="60" t="s">
        <v>304</v>
      </c>
      <c r="F85" s="70">
        <v>1</v>
      </c>
      <c r="G85" s="67">
        <v>2000</v>
      </c>
      <c r="H85" s="62">
        <f t="shared" si="13"/>
        <v>2000</v>
      </c>
      <c r="I85" s="51"/>
      <c r="J85" s="83">
        <f>F85*D85*5</f>
        <v>5</v>
      </c>
      <c r="K85" s="83"/>
    </row>
    <row r="86" spans="1:11" ht="12.75" customHeight="1" x14ac:dyDescent="0.2">
      <c r="A86" s="47"/>
      <c r="B86" s="54" t="s">
        <v>305</v>
      </c>
      <c r="C86" s="59" t="s">
        <v>306</v>
      </c>
      <c r="D86" s="60">
        <v>1</v>
      </c>
      <c r="E86" s="60" t="s">
        <v>284</v>
      </c>
      <c r="F86" s="60">
        <v>4</v>
      </c>
      <c r="G86" s="67">
        <v>700</v>
      </c>
      <c r="H86" s="62">
        <f t="shared" si="13"/>
        <v>2800</v>
      </c>
      <c r="I86" s="51"/>
      <c r="J86" s="83">
        <f>F86*D86*5</f>
        <v>20</v>
      </c>
      <c r="K86" s="83"/>
    </row>
    <row r="87" spans="1:11" ht="12.75" customHeight="1" x14ac:dyDescent="0.2">
      <c r="A87" s="47"/>
      <c r="B87" s="54" t="s">
        <v>307</v>
      </c>
      <c r="C87" s="72" t="s">
        <v>182</v>
      </c>
      <c r="D87" s="60">
        <v>1</v>
      </c>
      <c r="E87" s="60" t="s">
        <v>284</v>
      </c>
      <c r="F87" s="60">
        <v>4</v>
      </c>
      <c r="G87" s="67">
        <v>400</v>
      </c>
      <c r="H87" s="62">
        <f t="shared" si="13"/>
        <v>1600</v>
      </c>
      <c r="I87" s="51"/>
      <c r="J87" s="83">
        <f>F87*D87*5</f>
        <v>20</v>
      </c>
      <c r="K87" s="83"/>
    </row>
    <row r="88" spans="1:11" ht="12.75" customHeight="1" x14ac:dyDescent="0.2">
      <c r="A88" s="47"/>
      <c r="B88" s="54"/>
      <c r="C88" s="72" t="s">
        <v>184</v>
      </c>
      <c r="D88" s="60">
        <v>1</v>
      </c>
      <c r="E88" s="60" t="s">
        <v>284</v>
      </c>
      <c r="F88" s="60">
        <v>4</v>
      </c>
      <c r="G88" s="67">
        <v>500</v>
      </c>
      <c r="H88" s="62">
        <f t="shared" si="13"/>
        <v>2000</v>
      </c>
      <c r="I88" s="51"/>
      <c r="J88" s="83"/>
      <c r="K88" s="83"/>
    </row>
    <row r="89" spans="1:11" ht="12.75" customHeight="1" x14ac:dyDescent="0.2">
      <c r="A89" s="47" t="s">
        <v>308</v>
      </c>
      <c r="B89" s="66"/>
      <c r="C89" s="55" t="s">
        <v>186</v>
      </c>
      <c r="D89" s="60"/>
      <c r="E89" s="60"/>
      <c r="F89" s="60"/>
      <c r="G89" s="67"/>
      <c r="H89" s="53">
        <f>SUBTOTAL(9,H90:H93)</f>
        <v>4400</v>
      </c>
      <c r="I89" s="51"/>
      <c r="J89" s="83"/>
      <c r="K89" s="83"/>
    </row>
    <row r="90" spans="1:11" ht="12.75" customHeight="1" x14ac:dyDescent="0.2">
      <c r="A90" s="47"/>
      <c r="B90" s="54" t="s">
        <v>309</v>
      </c>
      <c r="C90" s="80" t="s">
        <v>188</v>
      </c>
      <c r="D90" s="60">
        <v>1</v>
      </c>
      <c r="E90" s="60" t="s">
        <v>189</v>
      </c>
      <c r="F90" s="60">
        <v>1</v>
      </c>
      <c r="G90" s="67">
        <v>2000</v>
      </c>
      <c r="H90" s="62">
        <f t="shared" ref="H90:H93" si="14">G90*F90*D90</f>
        <v>2000</v>
      </c>
      <c r="I90" s="51"/>
      <c r="J90" s="83">
        <f>F90*D90*5</f>
        <v>5</v>
      </c>
      <c r="K90" s="83"/>
    </row>
    <row r="91" spans="1:11" ht="12.75" customHeight="1" x14ac:dyDescent="0.2">
      <c r="A91" s="47"/>
      <c r="B91" s="54" t="s">
        <v>310</v>
      </c>
      <c r="C91" s="80" t="s">
        <v>311</v>
      </c>
      <c r="D91" s="60">
        <v>1</v>
      </c>
      <c r="E91" s="60" t="s">
        <v>284</v>
      </c>
      <c r="F91" s="60">
        <v>4</v>
      </c>
      <c r="G91" s="67">
        <v>250</v>
      </c>
      <c r="H91" s="62">
        <f t="shared" si="14"/>
        <v>1000</v>
      </c>
      <c r="I91" s="51"/>
      <c r="J91" s="83">
        <f>F91*D91*5</f>
        <v>20</v>
      </c>
      <c r="K91" s="71"/>
    </row>
    <row r="92" spans="1:11" ht="12.75" customHeight="1" x14ac:dyDescent="0.2">
      <c r="A92" s="47"/>
      <c r="B92" s="54" t="s">
        <v>312</v>
      </c>
      <c r="C92" s="80" t="s">
        <v>313</v>
      </c>
      <c r="D92" s="60">
        <v>1</v>
      </c>
      <c r="E92" s="60" t="s">
        <v>284</v>
      </c>
      <c r="F92" s="60">
        <v>4</v>
      </c>
      <c r="G92" s="67">
        <v>200</v>
      </c>
      <c r="H92" s="62">
        <f t="shared" si="14"/>
        <v>800</v>
      </c>
      <c r="I92" s="51"/>
      <c r="J92" s="83">
        <f>F92*D92*5</f>
        <v>20</v>
      </c>
      <c r="K92" s="71"/>
    </row>
    <row r="93" spans="1:11" ht="12.75" customHeight="1" x14ac:dyDescent="0.2">
      <c r="A93" s="47"/>
      <c r="B93" s="54"/>
      <c r="C93" s="80" t="s">
        <v>314</v>
      </c>
      <c r="D93" s="60">
        <v>1</v>
      </c>
      <c r="E93" s="60" t="s">
        <v>284</v>
      </c>
      <c r="F93" s="60">
        <v>3</v>
      </c>
      <c r="G93" s="67">
        <v>200</v>
      </c>
      <c r="H93" s="62">
        <f t="shared" si="14"/>
        <v>600</v>
      </c>
      <c r="I93" s="51"/>
      <c r="J93" s="83">
        <f>F93*D93*5</f>
        <v>15</v>
      </c>
      <c r="K93" s="71"/>
    </row>
    <row r="94" spans="1:11" ht="12.75" customHeight="1" x14ac:dyDescent="0.2">
      <c r="A94" s="47" t="s">
        <v>315</v>
      </c>
      <c r="B94" s="66"/>
      <c r="C94" s="55" t="s">
        <v>199</v>
      </c>
      <c r="D94" s="60"/>
      <c r="E94" s="60"/>
      <c r="F94" s="82"/>
      <c r="G94" s="57"/>
      <c r="H94" s="53">
        <f>SUBTOTAL(9,H95:H96)</f>
        <v>3000</v>
      </c>
      <c r="I94" s="51"/>
      <c r="J94" s="83"/>
      <c r="K94" s="83"/>
    </row>
    <row r="95" spans="1:11" ht="12.75" customHeight="1" x14ac:dyDescent="0.2">
      <c r="A95" s="47"/>
      <c r="B95" s="66" t="s">
        <v>316</v>
      </c>
      <c r="C95" s="80" t="s">
        <v>201</v>
      </c>
      <c r="D95" s="60">
        <v>1</v>
      </c>
      <c r="E95" s="60" t="s">
        <v>284</v>
      </c>
      <c r="F95" s="60">
        <v>4</v>
      </c>
      <c r="G95" s="67">
        <v>500</v>
      </c>
      <c r="H95" s="62">
        <f t="shared" ref="H95:H96" si="15">G95*F95*D95</f>
        <v>2000</v>
      </c>
      <c r="I95" s="51"/>
      <c r="J95" s="83">
        <f>F95*D95*5</f>
        <v>20</v>
      </c>
      <c r="K95" s="83"/>
    </row>
    <row r="96" spans="1:11" ht="12.75" customHeight="1" x14ac:dyDescent="0.2">
      <c r="A96" s="47"/>
      <c r="B96" s="66"/>
      <c r="C96" s="59" t="s">
        <v>317</v>
      </c>
      <c r="D96" s="60">
        <v>1</v>
      </c>
      <c r="E96" s="60" t="s">
        <v>284</v>
      </c>
      <c r="F96" s="60">
        <v>4</v>
      </c>
      <c r="G96" s="62">
        <v>250</v>
      </c>
      <c r="H96" s="62">
        <f t="shared" si="15"/>
        <v>1000</v>
      </c>
      <c r="I96" s="51"/>
      <c r="J96" s="83">
        <f>F96*D96*5</f>
        <v>20</v>
      </c>
      <c r="K96" s="83"/>
    </row>
    <row r="97" spans="1:11" ht="12.75" customHeight="1" x14ac:dyDescent="0.2">
      <c r="A97" s="47" t="s">
        <v>318</v>
      </c>
      <c r="B97" s="66"/>
      <c r="C97" s="55" t="s">
        <v>205</v>
      </c>
      <c r="D97" s="60"/>
      <c r="E97" s="60"/>
      <c r="F97" s="82"/>
      <c r="G97" s="57"/>
      <c r="H97" s="53">
        <f>SUBTOTAL(9,H98:H99)</f>
        <v>3000</v>
      </c>
      <c r="I97" s="51"/>
      <c r="J97" s="83"/>
      <c r="K97" s="83"/>
    </row>
    <row r="98" spans="1:11" ht="12.75" customHeight="1" x14ac:dyDescent="0.2">
      <c r="A98" s="47"/>
      <c r="B98" s="66" t="s">
        <v>319</v>
      </c>
      <c r="C98" s="80" t="s">
        <v>320</v>
      </c>
      <c r="D98" s="60">
        <v>1</v>
      </c>
      <c r="E98" s="60" t="s">
        <v>284</v>
      </c>
      <c r="F98" s="60">
        <v>4</v>
      </c>
      <c r="G98" s="62">
        <v>500</v>
      </c>
      <c r="H98" s="62">
        <f t="shared" ref="H98:H99" si="16">G98*F98*D98</f>
        <v>2000</v>
      </c>
      <c r="I98" s="51"/>
      <c r="J98" s="83">
        <f>F98*D98*5</f>
        <v>20</v>
      </c>
      <c r="K98" s="83"/>
    </row>
    <row r="99" spans="1:11" ht="12.75" customHeight="1" x14ac:dyDescent="0.2">
      <c r="A99" s="47"/>
      <c r="B99" s="66" t="s">
        <v>321</v>
      </c>
      <c r="C99" s="59" t="s">
        <v>209</v>
      </c>
      <c r="D99" s="60">
        <v>1</v>
      </c>
      <c r="E99" s="60" t="s">
        <v>284</v>
      </c>
      <c r="F99" s="60">
        <v>4</v>
      </c>
      <c r="G99" s="62">
        <v>250</v>
      </c>
      <c r="H99" s="62">
        <f t="shared" si="16"/>
        <v>1000</v>
      </c>
      <c r="I99" s="51"/>
      <c r="J99" s="39">
        <f>F99*D99*5</f>
        <v>20</v>
      </c>
      <c r="K99" s="71"/>
    </row>
    <row r="100" spans="1:11" ht="12.75" customHeight="1" x14ac:dyDescent="0.2">
      <c r="A100" s="47" t="s">
        <v>322</v>
      </c>
      <c r="B100" s="54"/>
      <c r="C100" s="105" t="s">
        <v>212</v>
      </c>
      <c r="D100" s="89"/>
      <c r="E100" s="89"/>
      <c r="F100" s="89"/>
      <c r="G100" s="90"/>
      <c r="H100" s="53">
        <f>SUBTOTAL(9,H101:H104)</f>
        <v>10400</v>
      </c>
      <c r="I100" s="51"/>
      <c r="J100" s="83"/>
      <c r="K100" s="83"/>
    </row>
    <row r="101" spans="1:11" ht="12.75" customHeight="1" x14ac:dyDescent="0.2">
      <c r="A101" s="47"/>
      <c r="B101" s="54" t="s">
        <v>323</v>
      </c>
      <c r="C101" s="97" t="s">
        <v>214</v>
      </c>
      <c r="D101" s="70">
        <v>1</v>
      </c>
      <c r="E101" s="70" t="s">
        <v>189</v>
      </c>
      <c r="F101" s="70">
        <v>1</v>
      </c>
      <c r="G101" s="67">
        <v>5000</v>
      </c>
      <c r="H101" s="98">
        <f t="shared" ref="H101:H104" si="17">G101*F101*D101</f>
        <v>5000</v>
      </c>
      <c r="I101" s="51"/>
      <c r="J101" s="39">
        <f>F101*D101*5</f>
        <v>5</v>
      </c>
      <c r="K101" s="83"/>
    </row>
    <row r="102" spans="1:11" ht="12.75" customHeight="1" x14ac:dyDescent="0.2">
      <c r="A102" s="47"/>
      <c r="B102" s="54" t="s">
        <v>324</v>
      </c>
      <c r="C102" s="97" t="s">
        <v>325</v>
      </c>
      <c r="D102" s="70">
        <v>1</v>
      </c>
      <c r="E102" s="70" t="s">
        <v>284</v>
      </c>
      <c r="F102" s="70">
        <v>4</v>
      </c>
      <c r="G102" s="98">
        <v>500</v>
      </c>
      <c r="H102" s="98">
        <f t="shared" si="17"/>
        <v>2000</v>
      </c>
      <c r="I102" s="51"/>
      <c r="J102" s="39">
        <f>F102*D102*5</f>
        <v>20</v>
      </c>
      <c r="K102" s="83"/>
    </row>
    <row r="103" spans="1:11" ht="12.75" customHeight="1" x14ac:dyDescent="0.2">
      <c r="A103" s="47"/>
      <c r="B103" s="54"/>
      <c r="C103" s="97" t="s">
        <v>326</v>
      </c>
      <c r="D103" s="70">
        <v>1</v>
      </c>
      <c r="E103" s="70" t="s">
        <v>284</v>
      </c>
      <c r="F103" s="70">
        <v>4</v>
      </c>
      <c r="G103" s="98">
        <v>350</v>
      </c>
      <c r="H103" s="98">
        <f t="shared" si="17"/>
        <v>1400</v>
      </c>
      <c r="I103" s="51"/>
      <c r="J103" s="39">
        <f>F103*D103*5</f>
        <v>20</v>
      </c>
      <c r="K103" s="83"/>
    </row>
    <row r="104" spans="1:11" ht="12.75" customHeight="1" x14ac:dyDescent="0.2">
      <c r="A104" s="47"/>
      <c r="B104" s="54" t="s">
        <v>327</v>
      </c>
      <c r="C104" s="97" t="s">
        <v>328</v>
      </c>
      <c r="D104" s="70">
        <v>1</v>
      </c>
      <c r="E104" s="70" t="s">
        <v>284</v>
      </c>
      <c r="F104" s="70">
        <v>4</v>
      </c>
      <c r="G104" s="67">
        <v>500</v>
      </c>
      <c r="H104" s="98">
        <f t="shared" si="17"/>
        <v>2000</v>
      </c>
      <c r="I104" s="51"/>
      <c r="J104" s="39">
        <f>F104*D104*5</f>
        <v>20</v>
      </c>
      <c r="K104" s="83"/>
    </row>
    <row r="105" spans="1:11" ht="12.75" customHeight="1" x14ac:dyDescent="0.2">
      <c r="A105" s="47" t="s">
        <v>329</v>
      </c>
      <c r="B105" s="54"/>
      <c r="C105" s="55" t="s">
        <v>220</v>
      </c>
      <c r="D105" s="60"/>
      <c r="E105" s="60"/>
      <c r="F105" s="60"/>
      <c r="G105" s="57"/>
      <c r="H105" s="53">
        <f>SUBTOTAL(9,H106:H107)</f>
        <v>3400</v>
      </c>
      <c r="I105" s="51"/>
      <c r="J105" s="83"/>
      <c r="K105" s="83"/>
    </row>
    <row r="106" spans="1:11" ht="12.75" customHeight="1" x14ac:dyDescent="0.2">
      <c r="A106" s="47"/>
      <c r="B106" s="54" t="s">
        <v>330</v>
      </c>
      <c r="C106" s="59" t="s">
        <v>222</v>
      </c>
      <c r="D106" s="70">
        <v>1</v>
      </c>
      <c r="E106" s="70" t="s">
        <v>284</v>
      </c>
      <c r="F106" s="60">
        <v>4</v>
      </c>
      <c r="G106" s="67">
        <v>500</v>
      </c>
      <c r="H106" s="62">
        <f t="shared" ref="H106:H107" si="18">G106*F106*D106</f>
        <v>2000</v>
      </c>
      <c r="I106" s="51"/>
      <c r="J106" s="39">
        <f>F106*D106*5</f>
        <v>20</v>
      </c>
      <c r="K106" s="83"/>
    </row>
    <row r="107" spans="1:11" ht="12.75" customHeight="1" x14ac:dyDescent="0.2">
      <c r="A107" s="47"/>
      <c r="B107" s="54" t="s">
        <v>331</v>
      </c>
      <c r="C107" s="59" t="s">
        <v>332</v>
      </c>
      <c r="D107" s="70">
        <v>1</v>
      </c>
      <c r="E107" s="70" t="s">
        <v>284</v>
      </c>
      <c r="F107" s="60">
        <v>4</v>
      </c>
      <c r="G107" s="67">
        <v>350</v>
      </c>
      <c r="H107" s="62">
        <f t="shared" si="18"/>
        <v>1400</v>
      </c>
      <c r="I107" s="51"/>
      <c r="J107" s="39">
        <f>F107*D107*5</f>
        <v>20</v>
      </c>
      <c r="K107" s="83"/>
    </row>
    <row r="108" spans="1:11" ht="12.75" customHeight="1" x14ac:dyDescent="0.2">
      <c r="A108" s="47" t="s">
        <v>333</v>
      </c>
      <c r="B108" s="54"/>
      <c r="C108" s="55" t="s">
        <v>226</v>
      </c>
      <c r="D108" s="56"/>
      <c r="E108" s="56"/>
      <c r="F108" s="56"/>
      <c r="G108" s="57"/>
      <c r="H108" s="53">
        <f>SUBTOTAL(9,H109:H110)</f>
        <v>2000</v>
      </c>
      <c r="I108" s="51"/>
      <c r="J108" s="83"/>
      <c r="K108" s="83"/>
    </row>
    <row r="109" spans="1:11" ht="12.75" customHeight="1" x14ac:dyDescent="0.2">
      <c r="A109" s="47"/>
      <c r="B109" s="54" t="s">
        <v>334</v>
      </c>
      <c r="C109" s="59" t="s">
        <v>335</v>
      </c>
      <c r="D109" s="70">
        <v>1</v>
      </c>
      <c r="E109" s="60" t="s">
        <v>284</v>
      </c>
      <c r="F109" s="60">
        <v>4</v>
      </c>
      <c r="G109" s="67">
        <v>500</v>
      </c>
      <c r="H109" s="62">
        <f t="shared" ref="H109:H110" si="19">G109*F109*D109</f>
        <v>2000</v>
      </c>
      <c r="I109" s="51"/>
      <c r="J109" s="39">
        <f>F109*D109*5</f>
        <v>20</v>
      </c>
      <c r="K109" s="83"/>
    </row>
    <row r="110" spans="1:11" ht="12.75" customHeight="1" x14ac:dyDescent="0.2">
      <c r="A110" s="47"/>
      <c r="B110" s="54"/>
      <c r="C110" s="97" t="s">
        <v>231</v>
      </c>
      <c r="D110" s="70">
        <v>1</v>
      </c>
      <c r="E110" s="70" t="s">
        <v>284</v>
      </c>
      <c r="F110" s="70">
        <v>4</v>
      </c>
      <c r="G110" s="94"/>
      <c r="H110" s="62">
        <f t="shared" si="19"/>
        <v>0</v>
      </c>
      <c r="I110" s="51"/>
      <c r="J110" s="39">
        <f>F110*D110*5</f>
        <v>20</v>
      </c>
      <c r="K110" s="83"/>
    </row>
    <row r="111" spans="1:11" ht="12.75" customHeight="1" x14ac:dyDescent="0.2">
      <c r="A111" s="47" t="s">
        <v>336</v>
      </c>
      <c r="B111" s="54"/>
      <c r="C111" s="105" t="s">
        <v>337</v>
      </c>
      <c r="D111" s="70"/>
      <c r="E111" s="70"/>
      <c r="F111" s="70"/>
      <c r="G111" s="94"/>
      <c r="H111" s="53">
        <f>SUBTOTAL(9,H112:H114)</f>
        <v>3000</v>
      </c>
      <c r="I111" s="51"/>
      <c r="J111" s="83"/>
      <c r="K111" s="83"/>
    </row>
    <row r="112" spans="1:11" ht="12.75" customHeight="1" x14ac:dyDescent="0.2">
      <c r="A112" s="47"/>
      <c r="B112" s="54" t="s">
        <v>338</v>
      </c>
      <c r="C112" s="80" t="s">
        <v>339</v>
      </c>
      <c r="D112" s="70">
        <v>1</v>
      </c>
      <c r="E112" s="60" t="s">
        <v>340</v>
      </c>
      <c r="F112" s="60">
        <v>1</v>
      </c>
      <c r="G112" s="62"/>
      <c r="H112" s="62">
        <f t="shared" ref="H112:H114" si="20">G112*F112*D112</f>
        <v>0</v>
      </c>
      <c r="I112" s="51"/>
      <c r="J112" s="39">
        <f>F112*D112*5</f>
        <v>5</v>
      </c>
      <c r="K112" s="83"/>
    </row>
    <row r="113" spans="1:11" ht="12.75" customHeight="1" x14ac:dyDescent="0.2">
      <c r="A113" s="47"/>
      <c r="B113" s="54" t="s">
        <v>341</v>
      </c>
      <c r="C113" s="80" t="s">
        <v>342</v>
      </c>
      <c r="D113" s="70">
        <v>1</v>
      </c>
      <c r="E113" s="70" t="s">
        <v>284</v>
      </c>
      <c r="F113" s="60">
        <v>4</v>
      </c>
      <c r="G113" s="62">
        <v>500</v>
      </c>
      <c r="H113" s="62">
        <f t="shared" si="20"/>
        <v>2000</v>
      </c>
      <c r="I113" s="51"/>
      <c r="J113" s="39">
        <f>F113*D113*5</f>
        <v>20</v>
      </c>
      <c r="K113" s="83"/>
    </row>
    <row r="114" spans="1:11" ht="12.75" customHeight="1" x14ac:dyDescent="0.2">
      <c r="A114" s="47"/>
      <c r="B114" s="54"/>
      <c r="C114" s="59" t="s">
        <v>343</v>
      </c>
      <c r="D114" s="60">
        <v>1</v>
      </c>
      <c r="E114" s="70" t="s">
        <v>284</v>
      </c>
      <c r="F114" s="60">
        <v>4</v>
      </c>
      <c r="G114" s="62">
        <v>250</v>
      </c>
      <c r="H114" s="62">
        <f t="shared" si="20"/>
        <v>1000</v>
      </c>
      <c r="I114" s="51"/>
      <c r="J114" s="39">
        <f>F114*D114*5</f>
        <v>20</v>
      </c>
      <c r="K114" s="83"/>
    </row>
    <row r="115" spans="1:11" ht="12.75" customHeight="1" x14ac:dyDescent="0.2">
      <c r="A115" s="47" t="s">
        <v>344</v>
      </c>
      <c r="B115" s="54"/>
      <c r="C115" s="55" t="s">
        <v>241</v>
      </c>
      <c r="D115" s="60"/>
      <c r="E115" s="60"/>
      <c r="F115" s="60"/>
      <c r="G115" s="62"/>
      <c r="H115" s="53">
        <f>SUBTOTAL(9,H116)</f>
        <v>2000</v>
      </c>
      <c r="I115" s="51"/>
      <c r="J115" s="83"/>
      <c r="K115" s="83"/>
    </row>
    <row r="116" spans="1:11" ht="12.75" customHeight="1" x14ac:dyDescent="0.2">
      <c r="A116" s="47"/>
      <c r="B116" s="54" t="s">
        <v>345</v>
      </c>
      <c r="C116" s="95" t="s">
        <v>243</v>
      </c>
      <c r="D116" s="60">
        <v>1</v>
      </c>
      <c r="E116" s="60" t="s">
        <v>197</v>
      </c>
      <c r="F116" s="60">
        <v>1</v>
      </c>
      <c r="G116" s="67">
        <v>2000</v>
      </c>
      <c r="H116" s="62">
        <f>G116*F116*D116</f>
        <v>2000</v>
      </c>
      <c r="I116" s="86"/>
      <c r="J116" s="83"/>
      <c r="K116" s="83"/>
    </row>
    <row r="117" spans="1:11" ht="12.75" customHeight="1" x14ac:dyDescent="0.2">
      <c r="A117" s="47" t="s">
        <v>346</v>
      </c>
      <c r="B117" s="54"/>
      <c r="C117" s="105" t="s">
        <v>347</v>
      </c>
      <c r="D117" s="70"/>
      <c r="E117" s="70"/>
      <c r="F117" s="70"/>
      <c r="G117" s="98"/>
      <c r="H117" s="53">
        <f>SUBTOTAL(9,H118:H119)</f>
        <v>8000</v>
      </c>
      <c r="I117" s="51"/>
      <c r="J117" s="83"/>
      <c r="K117" s="83"/>
    </row>
    <row r="118" spans="1:11" ht="12.75" customHeight="1" x14ac:dyDescent="0.2">
      <c r="A118" s="47"/>
      <c r="B118" s="54" t="s">
        <v>348</v>
      </c>
      <c r="C118" s="97" t="s">
        <v>349</v>
      </c>
      <c r="D118" s="70">
        <v>2</v>
      </c>
      <c r="E118" s="70" t="s">
        <v>189</v>
      </c>
      <c r="F118" s="70">
        <v>1</v>
      </c>
      <c r="G118" s="98">
        <v>1500</v>
      </c>
      <c r="H118" s="98">
        <f t="shared" ref="H118:H119" si="21">G118*F118*D118</f>
        <v>3000</v>
      </c>
      <c r="I118" s="51"/>
      <c r="J118" s="39">
        <f>F118*D118*5</f>
        <v>10</v>
      </c>
      <c r="K118" s="83"/>
    </row>
    <row r="119" spans="1:11" ht="12.75" customHeight="1" x14ac:dyDescent="0.2">
      <c r="A119" s="47"/>
      <c r="B119" s="54"/>
      <c r="C119" s="97" t="s">
        <v>350</v>
      </c>
      <c r="D119" s="70">
        <v>2</v>
      </c>
      <c r="E119" s="70" t="s">
        <v>351</v>
      </c>
      <c r="F119" s="70">
        <v>1</v>
      </c>
      <c r="G119" s="98">
        <v>2500</v>
      </c>
      <c r="H119" s="98">
        <f t="shared" si="21"/>
        <v>5000</v>
      </c>
      <c r="I119" s="51"/>
      <c r="J119" s="39">
        <f>F119*D119</f>
        <v>2</v>
      </c>
      <c r="K119" s="83"/>
    </row>
    <row r="120" spans="1:11" ht="12.75" customHeight="1" x14ac:dyDescent="0.2">
      <c r="A120" s="47" t="s">
        <v>352</v>
      </c>
      <c r="B120" s="54"/>
      <c r="C120" s="105" t="s">
        <v>353</v>
      </c>
      <c r="D120" s="70"/>
      <c r="E120" s="70"/>
      <c r="F120" s="70"/>
      <c r="G120" s="98"/>
      <c r="H120" s="53">
        <f>SUBTOTAL(9,H121:H129)</f>
        <v>14500</v>
      </c>
      <c r="I120" s="51"/>
      <c r="J120" s="83"/>
      <c r="K120" s="83"/>
    </row>
    <row r="121" spans="1:11" ht="12.75" customHeight="1" x14ac:dyDescent="0.2">
      <c r="A121" s="47"/>
      <c r="B121" s="54" t="s">
        <v>354</v>
      </c>
      <c r="C121" s="97" t="s">
        <v>355</v>
      </c>
      <c r="D121" s="70">
        <v>1</v>
      </c>
      <c r="E121" s="70" t="s">
        <v>189</v>
      </c>
      <c r="F121" s="70">
        <v>1</v>
      </c>
      <c r="G121" s="98">
        <v>0</v>
      </c>
      <c r="H121" s="98">
        <f t="shared" ref="H121:H122" si="22">G121*F121*D121</f>
        <v>0</v>
      </c>
      <c r="I121" s="51"/>
      <c r="J121" s="83"/>
      <c r="K121" s="83"/>
    </row>
    <row r="122" spans="1:11" ht="12.75" customHeight="1" x14ac:dyDescent="0.2">
      <c r="A122" s="47"/>
      <c r="B122" s="54"/>
      <c r="C122" s="97" t="s">
        <v>356</v>
      </c>
      <c r="D122" s="70">
        <v>1</v>
      </c>
      <c r="E122" s="70" t="s">
        <v>269</v>
      </c>
      <c r="F122" s="70">
        <v>1</v>
      </c>
      <c r="G122" s="98">
        <v>0</v>
      </c>
      <c r="H122" s="98">
        <f t="shared" si="22"/>
        <v>0</v>
      </c>
      <c r="I122" s="51"/>
      <c r="J122" s="39"/>
      <c r="K122" s="83"/>
    </row>
    <row r="123" spans="1:11" ht="12.75" customHeight="1" x14ac:dyDescent="0.2">
      <c r="A123" s="47"/>
      <c r="B123" s="54"/>
      <c r="C123" s="97" t="s">
        <v>357</v>
      </c>
      <c r="D123" s="70"/>
      <c r="E123" s="70"/>
      <c r="F123" s="70"/>
      <c r="G123" s="61"/>
      <c r="H123" s="98"/>
      <c r="I123" s="51"/>
      <c r="J123" s="39"/>
      <c r="K123" s="83"/>
    </row>
    <row r="124" spans="1:11" ht="12.75" customHeight="1" x14ac:dyDescent="0.2">
      <c r="A124" s="47"/>
      <c r="B124" s="54" t="s">
        <v>358</v>
      </c>
      <c r="C124" s="97" t="s">
        <v>359</v>
      </c>
      <c r="D124" s="70">
        <v>1</v>
      </c>
      <c r="E124" s="70" t="s">
        <v>164</v>
      </c>
      <c r="F124" s="70">
        <v>1</v>
      </c>
      <c r="G124" s="98">
        <v>5500</v>
      </c>
      <c r="H124" s="98">
        <f t="shared" ref="H124:H129" si="23">G124*F124*D124</f>
        <v>5500</v>
      </c>
      <c r="I124" s="51"/>
      <c r="J124" s="39"/>
      <c r="K124" s="83"/>
    </row>
    <row r="125" spans="1:11" ht="12.75" customHeight="1" x14ac:dyDescent="0.2">
      <c r="A125" s="47"/>
      <c r="B125" s="54" t="s">
        <v>360</v>
      </c>
      <c r="C125" s="97" t="s">
        <v>361</v>
      </c>
      <c r="D125" s="70">
        <v>1</v>
      </c>
      <c r="E125" s="70" t="s">
        <v>189</v>
      </c>
      <c r="F125" s="70">
        <v>1</v>
      </c>
      <c r="G125" s="98">
        <v>0</v>
      </c>
      <c r="H125" s="98">
        <f t="shared" si="23"/>
        <v>0</v>
      </c>
      <c r="I125" s="51"/>
      <c r="J125" s="83"/>
      <c r="K125" s="83"/>
    </row>
    <row r="126" spans="1:11" ht="12.75" customHeight="1" x14ac:dyDescent="0.2">
      <c r="A126" s="47"/>
      <c r="B126" s="54"/>
      <c r="C126" s="97" t="s">
        <v>362</v>
      </c>
      <c r="D126" s="70">
        <v>1</v>
      </c>
      <c r="E126" s="70" t="s">
        <v>189</v>
      </c>
      <c r="F126" s="70">
        <v>1</v>
      </c>
      <c r="G126" s="98">
        <v>3000</v>
      </c>
      <c r="H126" s="98">
        <f t="shared" si="23"/>
        <v>3000</v>
      </c>
      <c r="I126" s="51"/>
      <c r="J126" s="39"/>
      <c r="K126" s="83"/>
    </row>
    <row r="127" spans="1:11" ht="12.75" customHeight="1" x14ac:dyDescent="0.2">
      <c r="A127" s="47"/>
      <c r="B127" s="54"/>
      <c r="C127" s="97" t="s">
        <v>363</v>
      </c>
      <c r="D127" s="70">
        <v>1</v>
      </c>
      <c r="E127" s="70" t="s">
        <v>189</v>
      </c>
      <c r="F127" s="70">
        <v>1</v>
      </c>
      <c r="G127" s="98">
        <v>2000</v>
      </c>
      <c r="H127" s="98">
        <f t="shared" si="23"/>
        <v>2000</v>
      </c>
      <c r="I127" s="51"/>
      <c r="J127" s="83"/>
      <c r="K127" s="83"/>
    </row>
    <row r="128" spans="1:11" ht="12.75" customHeight="1" x14ac:dyDescent="0.2">
      <c r="A128" s="47"/>
      <c r="B128" s="54"/>
      <c r="C128" s="97" t="s">
        <v>364</v>
      </c>
      <c r="D128" s="70">
        <v>1</v>
      </c>
      <c r="E128" s="70" t="s">
        <v>189</v>
      </c>
      <c r="F128" s="70">
        <v>1</v>
      </c>
      <c r="G128" s="98">
        <v>3000</v>
      </c>
      <c r="H128" s="98">
        <f t="shared" si="23"/>
        <v>3000</v>
      </c>
      <c r="I128" s="51"/>
      <c r="J128" s="83"/>
      <c r="K128" s="83"/>
    </row>
    <row r="129" spans="1:11" ht="12.75" customHeight="1" x14ac:dyDescent="0.2">
      <c r="A129" s="47"/>
      <c r="B129" s="54" t="s">
        <v>365</v>
      </c>
      <c r="C129" s="97" t="s">
        <v>366</v>
      </c>
      <c r="D129" s="70">
        <v>1</v>
      </c>
      <c r="E129" s="70" t="s">
        <v>284</v>
      </c>
      <c r="F129" s="70">
        <v>4</v>
      </c>
      <c r="G129" s="98">
        <v>250</v>
      </c>
      <c r="H129" s="98">
        <f t="shared" si="23"/>
        <v>1000</v>
      </c>
      <c r="I129" s="51"/>
      <c r="J129" s="83"/>
      <c r="K129" s="83"/>
    </row>
    <row r="130" spans="1:11" ht="12.75" customHeight="1" x14ac:dyDescent="0.2">
      <c r="A130" s="47" t="s">
        <v>367</v>
      </c>
      <c r="B130" s="54"/>
      <c r="C130" s="105" t="s">
        <v>368</v>
      </c>
      <c r="D130" s="70"/>
      <c r="E130" s="70"/>
      <c r="F130" s="70"/>
      <c r="G130" s="98"/>
      <c r="H130" s="53">
        <f>SUBTOTAL(9,H131)</f>
        <v>0</v>
      </c>
      <c r="I130" s="51"/>
      <c r="J130" s="83"/>
      <c r="K130" s="83"/>
    </row>
    <row r="131" spans="1:11" ht="12.75" customHeight="1" x14ac:dyDescent="0.2">
      <c r="A131" s="47"/>
      <c r="B131" s="54" t="s">
        <v>369</v>
      </c>
      <c r="C131" s="97" t="s">
        <v>370</v>
      </c>
      <c r="D131" s="70">
        <v>1</v>
      </c>
      <c r="E131" s="70" t="s">
        <v>210</v>
      </c>
      <c r="F131" s="70">
        <v>1</v>
      </c>
      <c r="G131" s="98">
        <v>0</v>
      </c>
      <c r="H131" s="98">
        <f>G131*F131*D131</f>
        <v>0</v>
      </c>
      <c r="I131" s="51"/>
      <c r="J131" s="83"/>
      <c r="K131" s="83"/>
    </row>
    <row r="132" spans="1:11" ht="12.75" customHeight="1" x14ac:dyDescent="0.2">
      <c r="A132" s="47" t="s">
        <v>371</v>
      </c>
      <c r="B132" s="54"/>
      <c r="C132" s="105" t="s">
        <v>372</v>
      </c>
      <c r="D132" s="70"/>
      <c r="E132" s="70"/>
      <c r="F132" s="70"/>
      <c r="G132" s="98"/>
      <c r="H132" s="53">
        <f>SUBTOTAL(9,H133)</f>
        <v>0</v>
      </c>
      <c r="I132" s="51"/>
      <c r="J132" s="83"/>
      <c r="K132" s="83"/>
    </row>
    <row r="133" spans="1:11" ht="12.75" customHeight="1" x14ac:dyDescent="0.2">
      <c r="A133" s="47"/>
      <c r="B133" s="54" t="s">
        <v>373</v>
      </c>
      <c r="C133" s="97" t="s">
        <v>372</v>
      </c>
      <c r="D133" s="70">
        <v>1</v>
      </c>
      <c r="E133" s="70" t="s">
        <v>210</v>
      </c>
      <c r="F133" s="70">
        <v>1</v>
      </c>
      <c r="G133" s="98">
        <v>0</v>
      </c>
      <c r="H133" s="98">
        <f>G133*F133*D133</f>
        <v>0</v>
      </c>
      <c r="I133" s="51"/>
      <c r="J133" s="83"/>
      <c r="K133" s="83"/>
    </row>
    <row r="134" spans="1:11" ht="12.75" customHeight="1" x14ac:dyDescent="0.2">
      <c r="A134" s="47" t="s">
        <v>374</v>
      </c>
      <c r="B134" s="54"/>
      <c r="C134" s="105" t="s">
        <v>375</v>
      </c>
      <c r="D134" s="70"/>
      <c r="E134" s="70"/>
      <c r="F134" s="70"/>
      <c r="G134" s="98"/>
      <c r="H134" s="53">
        <f>SUBTOTAL(9,H135:H137)</f>
        <v>3500</v>
      </c>
      <c r="I134" s="51"/>
      <c r="J134" s="39"/>
      <c r="K134" s="39"/>
    </row>
    <row r="135" spans="1:11" ht="12.75" customHeight="1" x14ac:dyDescent="0.2">
      <c r="A135" s="47"/>
      <c r="B135" s="54" t="s">
        <v>376</v>
      </c>
      <c r="C135" s="97" t="s">
        <v>377</v>
      </c>
      <c r="D135" s="70">
        <v>1</v>
      </c>
      <c r="E135" s="70" t="s">
        <v>210</v>
      </c>
      <c r="F135" s="70">
        <v>1</v>
      </c>
      <c r="G135" s="98">
        <v>500</v>
      </c>
      <c r="H135" s="98">
        <f t="shared" ref="H135:H137" si="24">G135*F135*D135</f>
        <v>500</v>
      </c>
      <c r="I135" s="51"/>
      <c r="J135" s="39"/>
      <c r="K135" s="39"/>
    </row>
    <row r="136" spans="1:11" ht="12.75" customHeight="1" x14ac:dyDescent="0.2">
      <c r="A136" s="47"/>
      <c r="B136" s="54"/>
      <c r="C136" s="97" t="s">
        <v>378</v>
      </c>
      <c r="D136" s="70">
        <v>1</v>
      </c>
      <c r="E136" s="70" t="s">
        <v>210</v>
      </c>
      <c r="F136" s="70">
        <v>1</v>
      </c>
      <c r="G136" s="98">
        <v>2500</v>
      </c>
      <c r="H136" s="98">
        <f t="shared" si="24"/>
        <v>2500</v>
      </c>
      <c r="I136" s="51"/>
      <c r="J136" s="39"/>
      <c r="K136" s="39"/>
    </row>
    <row r="137" spans="1:11" ht="12.75" customHeight="1" x14ac:dyDescent="0.2">
      <c r="A137" s="47"/>
      <c r="B137" s="54" t="s">
        <v>379</v>
      </c>
      <c r="C137" s="97" t="s">
        <v>380</v>
      </c>
      <c r="D137" s="70">
        <v>1</v>
      </c>
      <c r="E137" s="70" t="s">
        <v>210</v>
      </c>
      <c r="F137" s="70">
        <v>1</v>
      </c>
      <c r="G137" s="98">
        <v>500</v>
      </c>
      <c r="H137" s="98">
        <f t="shared" si="24"/>
        <v>500</v>
      </c>
      <c r="I137" s="51"/>
      <c r="J137" s="39"/>
      <c r="K137" s="39"/>
    </row>
    <row r="138" spans="1:11" ht="12.75" customHeight="1" x14ac:dyDescent="0.2">
      <c r="A138" s="47" t="s">
        <v>381</v>
      </c>
      <c r="B138" s="54"/>
      <c r="C138" s="105" t="s">
        <v>382</v>
      </c>
      <c r="D138" s="70"/>
      <c r="E138" s="70"/>
      <c r="F138" s="70"/>
      <c r="G138" s="98"/>
      <c r="H138" s="53">
        <f>SUBTOTAL(9,H139:H140)</f>
        <v>1500</v>
      </c>
      <c r="I138" s="51"/>
      <c r="J138" s="39"/>
      <c r="K138" s="39"/>
    </row>
    <row r="139" spans="1:11" ht="12.75" customHeight="1" x14ac:dyDescent="0.2">
      <c r="A139" s="47"/>
      <c r="B139" s="54" t="s">
        <v>383</v>
      </c>
      <c r="C139" s="97" t="s">
        <v>384</v>
      </c>
      <c r="D139" s="70">
        <v>1</v>
      </c>
      <c r="E139" s="70" t="s">
        <v>210</v>
      </c>
      <c r="F139" s="70">
        <v>1</v>
      </c>
      <c r="G139" s="98">
        <v>1000</v>
      </c>
      <c r="H139" s="98">
        <f t="shared" ref="H139:H140" si="25">G139*F139*D139</f>
        <v>1000</v>
      </c>
      <c r="I139" s="51"/>
      <c r="J139" s="39"/>
      <c r="K139" s="39"/>
    </row>
    <row r="140" spans="1:11" ht="12.75" customHeight="1" x14ac:dyDescent="0.2">
      <c r="A140" s="47"/>
      <c r="B140" s="54" t="s">
        <v>385</v>
      </c>
      <c r="C140" s="97" t="s">
        <v>386</v>
      </c>
      <c r="D140" s="70">
        <v>1</v>
      </c>
      <c r="E140" s="70" t="s">
        <v>210</v>
      </c>
      <c r="F140" s="70">
        <v>1</v>
      </c>
      <c r="G140" s="98">
        <v>500</v>
      </c>
      <c r="H140" s="98">
        <f t="shared" si="25"/>
        <v>500</v>
      </c>
      <c r="I140" s="51"/>
      <c r="J140" s="39"/>
      <c r="K140" s="39"/>
    </row>
    <row r="141" spans="1:11" ht="12.75" customHeight="1" x14ac:dyDescent="0.2">
      <c r="A141" s="106" t="s">
        <v>387</v>
      </c>
      <c r="B141" s="107"/>
      <c r="C141" s="108" t="s">
        <v>388</v>
      </c>
      <c r="D141" s="109"/>
      <c r="E141" s="109"/>
      <c r="F141" s="109"/>
      <c r="G141" s="94"/>
      <c r="H141" s="110">
        <f>SUBTOTAL(9,H142)</f>
        <v>500</v>
      </c>
      <c r="I141" s="111"/>
      <c r="J141" s="112"/>
      <c r="K141" s="112"/>
    </row>
    <row r="142" spans="1:11" ht="12.75" customHeight="1" x14ac:dyDescent="0.2">
      <c r="A142" s="47"/>
      <c r="B142" s="54" t="s">
        <v>389</v>
      </c>
      <c r="C142" s="97" t="s">
        <v>390</v>
      </c>
      <c r="D142" s="70">
        <v>1</v>
      </c>
      <c r="E142" s="70" t="s">
        <v>210</v>
      </c>
      <c r="F142" s="70">
        <v>1</v>
      </c>
      <c r="G142" s="98">
        <v>500</v>
      </c>
      <c r="H142" s="98">
        <f>G142*F142*D142</f>
        <v>500</v>
      </c>
      <c r="I142" s="51"/>
      <c r="J142" s="39"/>
      <c r="K142" s="39"/>
    </row>
    <row r="143" spans="1:11" ht="12.75" customHeight="1" x14ac:dyDescent="0.2">
      <c r="A143" s="47" t="s">
        <v>391</v>
      </c>
      <c r="B143" s="54"/>
      <c r="C143" s="105" t="s">
        <v>245</v>
      </c>
      <c r="D143" s="70"/>
      <c r="E143" s="70"/>
      <c r="F143" s="70"/>
      <c r="G143" s="98"/>
      <c r="H143" s="53">
        <f>SUBTOTAL(9,H144:H148)</f>
        <v>4710</v>
      </c>
      <c r="I143" s="51"/>
      <c r="J143" s="39"/>
      <c r="K143" s="39"/>
    </row>
    <row r="144" spans="1:11" ht="12.75" customHeight="1" x14ac:dyDescent="0.2">
      <c r="A144" s="47"/>
      <c r="B144" s="54" t="s">
        <v>392</v>
      </c>
      <c r="C144" s="97" t="s">
        <v>393</v>
      </c>
      <c r="D144" s="70">
        <v>1</v>
      </c>
      <c r="E144" s="70" t="s">
        <v>169</v>
      </c>
      <c r="F144" s="70">
        <v>1</v>
      </c>
      <c r="G144" s="98">
        <v>600</v>
      </c>
      <c r="H144" s="98">
        <f t="shared" ref="H144:H146" si="26">G144*F144*D144</f>
        <v>600</v>
      </c>
      <c r="I144" s="51"/>
      <c r="J144" s="39"/>
      <c r="K144" s="39"/>
    </row>
    <row r="145" spans="1:11" ht="12.75" customHeight="1" x14ac:dyDescent="0.2">
      <c r="A145" s="47"/>
      <c r="B145" s="54" t="s">
        <v>394</v>
      </c>
      <c r="C145" s="97" t="s">
        <v>286</v>
      </c>
      <c r="D145" s="70">
        <v>1</v>
      </c>
      <c r="E145" s="70" t="s">
        <v>169</v>
      </c>
      <c r="F145" s="70">
        <v>1</v>
      </c>
      <c r="G145" s="98">
        <v>1000</v>
      </c>
      <c r="H145" s="98">
        <f t="shared" si="26"/>
        <v>1000</v>
      </c>
      <c r="I145" s="51"/>
      <c r="J145" s="39">
        <f>F145*D145*5</f>
        <v>5</v>
      </c>
      <c r="K145" s="39"/>
    </row>
    <row r="146" spans="1:11" ht="12.75" customHeight="1" x14ac:dyDescent="0.2">
      <c r="A146" s="47"/>
      <c r="B146" s="54" t="s">
        <v>395</v>
      </c>
      <c r="C146" s="97" t="s">
        <v>396</v>
      </c>
      <c r="D146" s="70">
        <v>1</v>
      </c>
      <c r="E146" s="70" t="s">
        <v>169</v>
      </c>
      <c r="F146" s="70">
        <v>2</v>
      </c>
      <c r="G146" s="98">
        <v>500</v>
      </c>
      <c r="H146" s="98">
        <f t="shared" si="26"/>
        <v>1000</v>
      </c>
      <c r="I146" s="51"/>
      <c r="J146" s="39"/>
      <c r="K146" s="39"/>
    </row>
    <row r="147" spans="1:11" ht="12.75" customHeight="1" x14ac:dyDescent="0.2">
      <c r="A147" s="47"/>
      <c r="B147" s="54" t="s">
        <v>397</v>
      </c>
      <c r="C147" s="97" t="s">
        <v>398</v>
      </c>
      <c r="D147" s="70">
        <v>22</v>
      </c>
      <c r="E147" s="70" t="s">
        <v>284</v>
      </c>
      <c r="F147" s="70">
        <v>4</v>
      </c>
      <c r="G147" s="98">
        <v>20</v>
      </c>
      <c r="H147" s="96">
        <f t="shared" ref="H147:H148" si="27">D147*F147*G147</f>
        <v>1760</v>
      </c>
      <c r="I147" s="51"/>
      <c r="J147" s="39" t="s">
        <v>399</v>
      </c>
      <c r="K147" s="39"/>
    </row>
    <row r="148" spans="1:11" ht="12.75" customHeight="1" x14ac:dyDescent="0.2">
      <c r="A148" s="47"/>
      <c r="B148" s="54" t="s">
        <v>400</v>
      </c>
      <c r="C148" s="80" t="s">
        <v>401</v>
      </c>
      <c r="D148" s="70">
        <v>1</v>
      </c>
      <c r="E148" s="97" t="s">
        <v>210</v>
      </c>
      <c r="F148" s="70">
        <v>1</v>
      </c>
      <c r="G148" s="98">
        <v>350</v>
      </c>
      <c r="H148" s="96">
        <f t="shared" si="27"/>
        <v>350</v>
      </c>
      <c r="I148" s="51"/>
      <c r="K148" s="39"/>
    </row>
    <row r="149" spans="1:11" ht="12.75" customHeight="1" x14ac:dyDescent="0.2">
      <c r="A149" s="47" t="s">
        <v>387</v>
      </c>
      <c r="B149" s="54"/>
      <c r="C149" s="87" t="s">
        <v>148</v>
      </c>
      <c r="D149" s="70"/>
      <c r="E149" s="97"/>
      <c r="F149" s="70"/>
      <c r="G149" s="98"/>
      <c r="H149" s="53">
        <f>SUBTOTAL(9,H150:H151)</f>
        <v>6500</v>
      </c>
      <c r="I149" s="51"/>
      <c r="J149" s="39"/>
      <c r="K149" s="39"/>
    </row>
    <row r="150" spans="1:11" ht="12.75" customHeight="1" x14ac:dyDescent="0.2">
      <c r="A150" s="47"/>
      <c r="B150" s="54" t="s">
        <v>389</v>
      </c>
      <c r="C150" s="99" t="s">
        <v>402</v>
      </c>
      <c r="D150" s="70">
        <v>1</v>
      </c>
      <c r="E150" s="70" t="s">
        <v>273</v>
      </c>
      <c r="F150" s="70">
        <v>150</v>
      </c>
      <c r="G150" s="98">
        <v>40</v>
      </c>
      <c r="H150" s="94">
        <f t="shared" ref="H150:H151" si="28">G150*F150*D150</f>
        <v>6000</v>
      </c>
      <c r="I150" s="51"/>
      <c r="J150" s="232" t="s">
        <v>403</v>
      </c>
      <c r="K150" s="231" t="s">
        <v>404</v>
      </c>
    </row>
    <row r="151" spans="1:11" ht="12.75" customHeight="1" x14ac:dyDescent="0.2">
      <c r="A151" s="47"/>
      <c r="B151" s="54" t="s">
        <v>405</v>
      </c>
      <c r="C151" s="99" t="s">
        <v>406</v>
      </c>
      <c r="D151" s="70">
        <v>1</v>
      </c>
      <c r="E151" s="70" t="s">
        <v>210</v>
      </c>
      <c r="F151" s="70">
        <v>1</v>
      </c>
      <c r="G151" s="98">
        <v>500</v>
      </c>
      <c r="H151" s="94">
        <f t="shared" si="28"/>
        <v>500</v>
      </c>
      <c r="I151" s="51"/>
      <c r="J151" s="39"/>
      <c r="K151" s="39"/>
    </row>
    <row r="152" spans="1:11" ht="12.75" customHeight="1" x14ac:dyDescent="0.2">
      <c r="A152" s="47" t="s">
        <v>391</v>
      </c>
      <c r="B152" s="54"/>
      <c r="C152" s="87" t="s">
        <v>263</v>
      </c>
      <c r="D152" s="70"/>
      <c r="E152" s="97"/>
      <c r="F152" s="70"/>
      <c r="G152" s="98"/>
      <c r="H152" s="53">
        <f>SUBTOTAL(9,H153:H157)</f>
        <v>5650</v>
      </c>
      <c r="I152" s="51"/>
      <c r="J152" s="39"/>
      <c r="K152" s="39"/>
    </row>
    <row r="153" spans="1:11" ht="12.75" customHeight="1" x14ac:dyDescent="0.2">
      <c r="A153" s="47"/>
      <c r="B153" s="114"/>
      <c r="C153" s="115" t="s">
        <v>265</v>
      </c>
      <c r="D153" s="116"/>
      <c r="E153" s="85"/>
      <c r="F153" s="116"/>
      <c r="G153" s="61"/>
      <c r="H153" s="81">
        <f t="shared" ref="H153:H157" si="29">G153*F153*D153</f>
        <v>0</v>
      </c>
      <c r="I153" s="117"/>
      <c r="J153" s="113"/>
      <c r="K153" s="113"/>
    </row>
    <row r="154" spans="1:11" ht="12.75" customHeight="1" x14ac:dyDescent="0.2">
      <c r="A154" s="47"/>
      <c r="B154" s="54" t="s">
        <v>392</v>
      </c>
      <c r="C154" s="80" t="s">
        <v>407</v>
      </c>
      <c r="D154" s="100">
        <v>1</v>
      </c>
      <c r="E154" s="70" t="s">
        <v>169</v>
      </c>
      <c r="F154" s="118">
        <v>1</v>
      </c>
      <c r="G154" s="98"/>
      <c r="H154" s="94">
        <f t="shared" si="29"/>
        <v>0</v>
      </c>
      <c r="I154" s="51"/>
      <c r="J154" s="39"/>
      <c r="K154" s="39"/>
    </row>
    <row r="155" spans="1:11" ht="12.75" customHeight="1" x14ac:dyDescent="0.2">
      <c r="A155" s="47"/>
      <c r="B155" s="54" t="s">
        <v>394</v>
      </c>
      <c r="C155" s="80" t="s">
        <v>408</v>
      </c>
      <c r="D155" s="100">
        <v>1</v>
      </c>
      <c r="E155" s="70" t="s">
        <v>269</v>
      </c>
      <c r="F155" s="100">
        <v>2</v>
      </c>
      <c r="G155" s="98">
        <v>1000</v>
      </c>
      <c r="H155" s="94">
        <f t="shared" si="29"/>
        <v>2000</v>
      </c>
      <c r="I155" s="51"/>
      <c r="J155" s="39"/>
      <c r="K155" s="39"/>
    </row>
    <row r="156" spans="1:11" ht="12.75" customHeight="1" x14ac:dyDescent="0.2">
      <c r="A156" s="47"/>
      <c r="B156" s="54"/>
      <c r="C156" s="80" t="s">
        <v>409</v>
      </c>
      <c r="D156" s="100">
        <v>1</v>
      </c>
      <c r="E156" s="70" t="s">
        <v>169</v>
      </c>
      <c r="F156" s="118">
        <v>0.5</v>
      </c>
      <c r="G156" s="98">
        <v>2500</v>
      </c>
      <c r="H156" s="94">
        <f t="shared" si="29"/>
        <v>1250</v>
      </c>
      <c r="I156" s="51"/>
      <c r="J156" s="39"/>
      <c r="K156" s="39"/>
    </row>
    <row r="157" spans="1:11" ht="12.75" customHeight="1" x14ac:dyDescent="0.2">
      <c r="A157" s="47"/>
      <c r="B157" s="54" t="s">
        <v>395</v>
      </c>
      <c r="C157" s="80" t="s">
        <v>410</v>
      </c>
      <c r="D157" s="100">
        <v>1</v>
      </c>
      <c r="E157" s="70" t="s">
        <v>269</v>
      </c>
      <c r="F157" s="100">
        <v>2</v>
      </c>
      <c r="G157" s="61">
        <v>1200</v>
      </c>
      <c r="H157" s="94">
        <f t="shared" si="29"/>
        <v>2400</v>
      </c>
      <c r="I157" s="51"/>
      <c r="J157" s="39"/>
      <c r="K157" s="39"/>
    </row>
    <row r="158" spans="1:11" ht="12.75" customHeight="1" x14ac:dyDescent="0.2">
      <c r="A158" s="47"/>
      <c r="B158" s="54"/>
      <c r="C158" s="87" t="s">
        <v>411</v>
      </c>
      <c r="D158" s="70"/>
      <c r="E158" s="97"/>
      <c r="F158" s="70"/>
      <c r="G158" s="98"/>
      <c r="H158" s="53">
        <f>SUBTOTAL(9,H159)</f>
        <v>2600</v>
      </c>
      <c r="I158" s="51"/>
      <c r="J158" s="39"/>
      <c r="K158" s="39"/>
    </row>
    <row r="159" spans="1:11" ht="12.75" customHeight="1" x14ac:dyDescent="0.2">
      <c r="A159" s="47"/>
      <c r="B159" s="54" t="s">
        <v>412</v>
      </c>
      <c r="C159" s="80" t="s">
        <v>413</v>
      </c>
      <c r="D159" s="100">
        <v>1</v>
      </c>
      <c r="E159" s="70" t="s">
        <v>284</v>
      </c>
      <c r="F159" s="100">
        <v>2</v>
      </c>
      <c r="G159" s="98">
        <v>1300</v>
      </c>
      <c r="H159" s="94">
        <f>G159*F159*D159</f>
        <v>2600</v>
      </c>
      <c r="I159" s="51"/>
      <c r="J159" s="39"/>
      <c r="K159" s="39"/>
    </row>
    <row r="160" spans="1:11" ht="12.75" customHeight="1" x14ac:dyDescent="0.2">
      <c r="A160" s="47"/>
      <c r="B160" s="54"/>
      <c r="C160" s="87" t="s">
        <v>271</v>
      </c>
      <c r="D160" s="100"/>
      <c r="E160" s="70"/>
      <c r="F160" s="100"/>
      <c r="G160" s="98"/>
      <c r="H160" s="53">
        <f>SUBTOTAL(9,H161:H165)</f>
        <v>4350</v>
      </c>
      <c r="I160" s="51"/>
      <c r="J160" s="39"/>
      <c r="K160" s="39"/>
    </row>
    <row r="161" spans="1:11" ht="12.75" customHeight="1" x14ac:dyDescent="0.2">
      <c r="A161" s="47"/>
      <c r="B161" s="54" t="s">
        <v>414</v>
      </c>
      <c r="C161" s="80" t="s">
        <v>415</v>
      </c>
      <c r="D161" s="100">
        <v>1</v>
      </c>
      <c r="E161" s="70" t="s">
        <v>273</v>
      </c>
      <c r="F161" s="100">
        <v>22</v>
      </c>
      <c r="G161" s="98">
        <v>100</v>
      </c>
      <c r="H161" s="94">
        <f t="shared" ref="H161:H162" si="30">G161*F161*D161</f>
        <v>2200</v>
      </c>
      <c r="I161" s="51"/>
      <c r="J161" s="39"/>
      <c r="K161" s="39"/>
    </row>
    <row r="162" spans="1:11" ht="12.75" customHeight="1" x14ac:dyDescent="0.2">
      <c r="A162" s="47"/>
      <c r="B162" s="54" t="s">
        <v>416</v>
      </c>
      <c r="C162" s="80" t="s">
        <v>417</v>
      </c>
      <c r="D162" s="100">
        <v>1</v>
      </c>
      <c r="E162" s="70" t="s">
        <v>169</v>
      </c>
      <c r="F162" s="100">
        <v>1</v>
      </c>
      <c r="G162" s="98">
        <v>500</v>
      </c>
      <c r="H162" s="94">
        <f t="shared" si="30"/>
        <v>500</v>
      </c>
      <c r="I162" s="51"/>
      <c r="J162" s="39"/>
      <c r="K162" s="39"/>
    </row>
    <row r="163" spans="1:11" ht="12.75" customHeight="1" x14ac:dyDescent="0.2">
      <c r="A163" s="47"/>
      <c r="B163" s="54" t="s">
        <v>418</v>
      </c>
      <c r="C163" s="80" t="s">
        <v>419</v>
      </c>
      <c r="D163" s="100">
        <v>5</v>
      </c>
      <c r="E163" s="70" t="s">
        <v>273</v>
      </c>
      <c r="F163" s="100">
        <v>1</v>
      </c>
      <c r="G163" s="98">
        <v>40</v>
      </c>
      <c r="H163" s="96">
        <f>D163*F163*G163</f>
        <v>200</v>
      </c>
      <c r="I163" s="51"/>
      <c r="J163" s="39"/>
      <c r="K163" s="39"/>
    </row>
    <row r="164" spans="1:11" ht="12.75" customHeight="1" x14ac:dyDescent="0.2">
      <c r="A164" s="47"/>
      <c r="B164" s="54" t="s">
        <v>420</v>
      </c>
      <c r="C164" s="80" t="s">
        <v>279</v>
      </c>
      <c r="D164" s="100">
        <v>1</v>
      </c>
      <c r="E164" s="70" t="s">
        <v>210</v>
      </c>
      <c r="F164" s="100">
        <v>1</v>
      </c>
      <c r="G164" s="98">
        <v>200</v>
      </c>
      <c r="H164" s="94">
        <f t="shared" ref="H164:H165" si="31">G164*F164*D164</f>
        <v>200</v>
      </c>
      <c r="I164" s="51"/>
      <c r="J164" s="39"/>
      <c r="K164" s="39"/>
    </row>
    <row r="165" spans="1:11" ht="12.75" customHeight="1" x14ac:dyDescent="0.2">
      <c r="A165" s="47"/>
      <c r="B165" s="54"/>
      <c r="C165" s="80" t="s">
        <v>421</v>
      </c>
      <c r="D165" s="100">
        <v>1</v>
      </c>
      <c r="E165" s="70" t="s">
        <v>422</v>
      </c>
      <c r="F165" s="100">
        <v>500</v>
      </c>
      <c r="G165" s="98">
        <v>2.5</v>
      </c>
      <c r="H165" s="94">
        <f t="shared" si="31"/>
        <v>1250</v>
      </c>
      <c r="I165" s="51"/>
      <c r="J165" s="39"/>
      <c r="K165" s="39"/>
    </row>
    <row r="166" spans="1:11" ht="12.75" customHeight="1" x14ac:dyDescent="0.2">
      <c r="A166" s="47" t="s">
        <v>423</v>
      </c>
      <c r="B166" s="54"/>
      <c r="C166" s="87" t="s">
        <v>424</v>
      </c>
      <c r="D166" s="70"/>
      <c r="E166" s="97"/>
      <c r="F166" s="70"/>
      <c r="G166" s="98"/>
      <c r="H166" s="53">
        <f>SUBTOTAL(9,H167)</f>
        <v>15000</v>
      </c>
      <c r="I166" s="51"/>
      <c r="J166" s="39"/>
      <c r="K166" s="39"/>
    </row>
    <row r="167" spans="1:11" ht="12.75" customHeight="1" x14ac:dyDescent="0.2">
      <c r="A167" s="47"/>
      <c r="B167" s="54" t="s">
        <v>425</v>
      </c>
      <c r="C167" s="80" t="s">
        <v>281</v>
      </c>
      <c r="D167" s="70">
        <v>1</v>
      </c>
      <c r="E167" s="101" t="s">
        <v>284</v>
      </c>
      <c r="F167" s="70">
        <v>150</v>
      </c>
      <c r="G167" s="98">
        <v>100</v>
      </c>
      <c r="H167" s="94">
        <f>G167*F167*D167</f>
        <v>15000</v>
      </c>
      <c r="I167" s="51"/>
      <c r="J167" s="113"/>
      <c r="K167" s="39"/>
    </row>
    <row r="168" spans="1:11" ht="12.75" customHeight="1" x14ac:dyDescent="0.2">
      <c r="A168" s="47">
        <v>4</v>
      </c>
      <c r="B168" s="48"/>
      <c r="C168" s="49" t="s">
        <v>426</v>
      </c>
      <c r="D168" s="64"/>
      <c r="E168" s="64"/>
      <c r="F168" s="64"/>
      <c r="G168" s="52"/>
      <c r="H168" s="52"/>
      <c r="I168" s="53">
        <f>SUBTOTAL(9,H169:H185)</f>
        <v>49030</v>
      </c>
      <c r="J168" s="39"/>
      <c r="K168" s="39"/>
    </row>
    <row r="169" spans="1:11" ht="12.75" customHeight="1" x14ac:dyDescent="0.2">
      <c r="A169" s="119" t="s">
        <v>427</v>
      </c>
      <c r="B169" s="120"/>
      <c r="C169" s="121" t="s">
        <v>428</v>
      </c>
      <c r="D169" s="122"/>
      <c r="E169" s="123"/>
      <c r="F169" s="124"/>
      <c r="G169" s="125"/>
      <c r="H169" s="53">
        <f>SUBTOTAL(9,H170:H171)</f>
        <v>12500</v>
      </c>
      <c r="I169" s="51"/>
      <c r="J169" s="39"/>
      <c r="K169" s="39"/>
    </row>
    <row r="170" spans="1:11" ht="12.75" customHeight="1" x14ac:dyDescent="0.2">
      <c r="A170" s="119"/>
      <c r="B170" s="120" t="s">
        <v>429</v>
      </c>
      <c r="C170" s="124" t="s">
        <v>430</v>
      </c>
      <c r="D170" s="70">
        <v>1</v>
      </c>
      <c r="E170" s="70" t="s">
        <v>189</v>
      </c>
      <c r="F170" s="70">
        <v>1</v>
      </c>
      <c r="G170" s="98">
        <v>2500</v>
      </c>
      <c r="H170" s="94">
        <f t="shared" ref="H170:H171" si="32">G170*F170*D170</f>
        <v>2500</v>
      </c>
      <c r="I170" s="51"/>
      <c r="J170" s="39"/>
      <c r="K170" s="39"/>
    </row>
    <row r="171" spans="1:11" ht="12.75" customHeight="1" x14ac:dyDescent="0.2">
      <c r="A171" s="119"/>
      <c r="B171" s="120" t="s">
        <v>431</v>
      </c>
      <c r="C171" s="97" t="s">
        <v>432</v>
      </c>
      <c r="D171" s="70">
        <v>1</v>
      </c>
      <c r="E171" s="70" t="s">
        <v>189</v>
      </c>
      <c r="F171" s="70">
        <v>1</v>
      </c>
      <c r="G171" s="98">
        <v>10000</v>
      </c>
      <c r="H171" s="94">
        <f t="shared" si="32"/>
        <v>10000</v>
      </c>
      <c r="I171" s="51"/>
      <c r="J171" s="39"/>
      <c r="K171" s="39"/>
    </row>
    <row r="172" spans="1:11" ht="12.75" customHeight="1" x14ac:dyDescent="0.2">
      <c r="A172" s="119" t="s">
        <v>433</v>
      </c>
      <c r="B172" s="120"/>
      <c r="C172" s="121" t="s">
        <v>434</v>
      </c>
      <c r="D172" s="122"/>
      <c r="E172" s="123"/>
      <c r="F172" s="123"/>
      <c r="G172" s="125"/>
      <c r="H172" s="53">
        <f>SUBTOTAL(9,H173:H174)</f>
        <v>15000</v>
      </c>
      <c r="I172" s="51"/>
      <c r="J172" s="39"/>
      <c r="K172" s="39"/>
    </row>
    <row r="173" spans="1:11" ht="12.75" customHeight="1" x14ac:dyDescent="0.2">
      <c r="A173" s="119"/>
      <c r="B173" s="120" t="s">
        <v>435</v>
      </c>
      <c r="C173" s="124" t="s">
        <v>436</v>
      </c>
      <c r="D173" s="122">
        <v>1</v>
      </c>
      <c r="E173" s="123" t="s">
        <v>189</v>
      </c>
      <c r="F173" s="123">
        <v>1</v>
      </c>
      <c r="G173" s="125">
        <v>15000</v>
      </c>
      <c r="H173" s="94">
        <f t="shared" ref="H173:H174" si="33">G173*F173*D173</f>
        <v>15000</v>
      </c>
      <c r="I173" s="51"/>
      <c r="J173" s="39"/>
      <c r="K173" s="39"/>
    </row>
    <row r="174" spans="1:11" ht="12.75" customHeight="1" x14ac:dyDescent="0.2">
      <c r="A174" s="119"/>
      <c r="B174" s="120" t="s">
        <v>437</v>
      </c>
      <c r="C174" s="124" t="s">
        <v>438</v>
      </c>
      <c r="D174" s="122">
        <v>1</v>
      </c>
      <c r="E174" s="123" t="s">
        <v>189</v>
      </c>
      <c r="F174" s="123">
        <v>1</v>
      </c>
      <c r="G174" s="125"/>
      <c r="H174" s="94">
        <f t="shared" si="33"/>
        <v>0</v>
      </c>
      <c r="I174" s="51"/>
      <c r="J174" s="39"/>
      <c r="K174" s="39"/>
    </row>
    <row r="175" spans="1:11" ht="12.75" customHeight="1" x14ac:dyDescent="0.2">
      <c r="A175" s="119" t="s">
        <v>439</v>
      </c>
      <c r="B175" s="120"/>
      <c r="C175" s="121" t="s">
        <v>440</v>
      </c>
      <c r="D175" s="122"/>
      <c r="E175" s="123"/>
      <c r="F175" s="123"/>
      <c r="G175" s="125"/>
      <c r="H175" s="53">
        <f>SUBTOTAL(9,H176)</f>
        <v>10000</v>
      </c>
      <c r="I175" s="51"/>
      <c r="J175" s="39"/>
      <c r="K175" s="39"/>
    </row>
    <row r="176" spans="1:11" ht="12.75" customHeight="1" x14ac:dyDescent="0.2">
      <c r="A176" s="126"/>
      <c r="B176" s="120" t="s">
        <v>441</v>
      </c>
      <c r="C176" s="124" t="s">
        <v>440</v>
      </c>
      <c r="D176" s="122">
        <v>1</v>
      </c>
      <c r="E176" s="123" t="s">
        <v>293</v>
      </c>
      <c r="F176" s="123">
        <v>1</v>
      </c>
      <c r="G176" s="125">
        <v>10000</v>
      </c>
      <c r="H176" s="94">
        <f>G176*F176*D176</f>
        <v>10000</v>
      </c>
      <c r="I176" s="51"/>
      <c r="J176" s="39"/>
      <c r="K176" s="39"/>
    </row>
    <row r="177" spans="1:11" ht="12.75" customHeight="1" x14ac:dyDescent="0.2">
      <c r="A177" s="119" t="s">
        <v>442</v>
      </c>
      <c r="B177" s="120"/>
      <c r="C177" s="121" t="s">
        <v>443</v>
      </c>
      <c r="D177" s="122"/>
      <c r="E177" s="123"/>
      <c r="F177" s="123"/>
      <c r="G177" s="125"/>
      <c r="H177" s="53">
        <f>SUBTOTAL(9,H178)</f>
        <v>2000</v>
      </c>
      <c r="I177" s="51"/>
      <c r="J177" s="39"/>
      <c r="K177" s="39"/>
    </row>
    <row r="178" spans="1:11" ht="12.75" customHeight="1" x14ac:dyDescent="0.2">
      <c r="A178" s="126"/>
      <c r="B178" s="120" t="s">
        <v>444</v>
      </c>
      <c r="C178" s="124" t="s">
        <v>445</v>
      </c>
      <c r="D178" s="122">
        <v>1</v>
      </c>
      <c r="E178" s="123" t="s">
        <v>293</v>
      </c>
      <c r="F178" s="123">
        <v>1</v>
      </c>
      <c r="G178" s="125">
        <v>2000</v>
      </c>
      <c r="H178" s="94">
        <f>G178*F178*D178</f>
        <v>2000</v>
      </c>
      <c r="I178" s="51"/>
      <c r="J178" s="39"/>
      <c r="K178" s="39"/>
    </row>
    <row r="179" spans="1:11" ht="12.75" customHeight="1" x14ac:dyDescent="0.2">
      <c r="A179" s="119" t="s">
        <v>446</v>
      </c>
      <c r="B179" s="120"/>
      <c r="C179" s="121" t="s">
        <v>447</v>
      </c>
      <c r="D179" s="122"/>
      <c r="E179" s="123"/>
      <c r="F179" s="123"/>
      <c r="G179" s="125"/>
      <c r="H179" s="53">
        <f>SUBTOTAL(9,H180)</f>
        <v>3000</v>
      </c>
      <c r="I179" s="51"/>
      <c r="J179" s="39"/>
      <c r="K179" s="39"/>
    </row>
    <row r="180" spans="1:11" ht="12.75" customHeight="1" x14ac:dyDescent="0.2">
      <c r="A180" s="126"/>
      <c r="B180" s="120" t="s">
        <v>448</v>
      </c>
      <c r="C180" s="124" t="s">
        <v>449</v>
      </c>
      <c r="D180" s="122">
        <v>1</v>
      </c>
      <c r="E180" s="70" t="s">
        <v>450</v>
      </c>
      <c r="F180" s="123">
        <v>1</v>
      </c>
      <c r="G180" s="125">
        <v>3000</v>
      </c>
      <c r="H180" s="94">
        <f>G180*F180*D180</f>
        <v>3000</v>
      </c>
      <c r="I180" s="51"/>
      <c r="J180" s="39"/>
      <c r="K180" s="39"/>
    </row>
    <row r="181" spans="1:11" ht="12.75" customHeight="1" x14ac:dyDescent="0.2">
      <c r="A181" s="119" t="s">
        <v>451</v>
      </c>
      <c r="B181" s="120"/>
      <c r="C181" s="121" t="s">
        <v>452</v>
      </c>
      <c r="D181" s="122"/>
      <c r="E181" s="123"/>
      <c r="F181" s="123"/>
      <c r="G181" s="125"/>
      <c r="H181" s="53">
        <f>SUBTOTAL(9,H182:H183)</f>
        <v>6000</v>
      </c>
      <c r="I181" s="51"/>
      <c r="J181" s="39"/>
      <c r="K181" s="39"/>
    </row>
    <row r="182" spans="1:11" ht="12.75" customHeight="1" x14ac:dyDescent="0.2">
      <c r="A182" s="119"/>
      <c r="B182" s="120" t="s">
        <v>453</v>
      </c>
      <c r="C182" s="124" t="s">
        <v>454</v>
      </c>
      <c r="D182" s="122">
        <v>1</v>
      </c>
      <c r="E182" s="123" t="s">
        <v>210</v>
      </c>
      <c r="F182" s="123">
        <v>1</v>
      </c>
      <c r="G182" s="125">
        <v>2000</v>
      </c>
      <c r="H182" s="94">
        <f t="shared" ref="H182:H183" si="34">G182*F182*D182</f>
        <v>2000</v>
      </c>
      <c r="I182" s="51"/>
      <c r="J182" s="39"/>
      <c r="K182" s="39"/>
    </row>
    <row r="183" spans="1:11" ht="12.75" customHeight="1" x14ac:dyDescent="0.2">
      <c r="A183" s="119"/>
      <c r="B183" s="120" t="s">
        <v>455</v>
      </c>
      <c r="C183" s="124" t="s">
        <v>456</v>
      </c>
      <c r="D183" s="122">
        <v>1</v>
      </c>
      <c r="E183" s="123" t="s">
        <v>210</v>
      </c>
      <c r="F183" s="123">
        <v>1</v>
      </c>
      <c r="G183" s="125">
        <v>4000</v>
      </c>
      <c r="H183" s="94">
        <f t="shared" si="34"/>
        <v>4000</v>
      </c>
      <c r="I183" s="51"/>
      <c r="J183" s="39"/>
      <c r="K183" s="39"/>
    </row>
    <row r="184" spans="1:11" ht="12.75" customHeight="1" x14ac:dyDescent="0.2">
      <c r="A184" s="119" t="s">
        <v>457</v>
      </c>
      <c r="B184" s="120"/>
      <c r="C184" s="121" t="s">
        <v>458</v>
      </c>
      <c r="D184" s="122"/>
      <c r="E184" s="124"/>
      <c r="F184" s="123"/>
      <c r="G184" s="125"/>
      <c r="H184" s="53">
        <f>SUBTOTAL(9,H185)</f>
        <v>530</v>
      </c>
      <c r="I184" s="51"/>
      <c r="J184" s="39"/>
      <c r="K184" s="39"/>
    </row>
    <row r="185" spans="1:11" ht="12.75" customHeight="1" x14ac:dyDescent="0.2">
      <c r="A185" s="126"/>
      <c r="B185" s="120" t="s">
        <v>459</v>
      </c>
      <c r="C185" s="124" t="s">
        <v>460</v>
      </c>
      <c r="D185" s="122">
        <v>1</v>
      </c>
      <c r="E185" s="124" t="s">
        <v>210</v>
      </c>
      <c r="F185" s="123">
        <v>1</v>
      </c>
      <c r="G185" s="125">
        <v>530</v>
      </c>
      <c r="H185" s="94">
        <f>G185*F185*D185</f>
        <v>530</v>
      </c>
      <c r="I185" s="51"/>
      <c r="J185" s="39"/>
      <c r="K185" s="39"/>
    </row>
    <row r="186" spans="1:11" ht="12.75" customHeight="1" x14ac:dyDescent="0.3">
      <c r="A186" s="47">
        <v>5</v>
      </c>
      <c r="B186" s="48"/>
      <c r="C186" s="49" t="s">
        <v>461</v>
      </c>
      <c r="D186" s="64"/>
      <c r="E186" s="64"/>
      <c r="F186" s="64"/>
      <c r="G186" s="127"/>
      <c r="H186" s="127"/>
      <c r="I186" s="53">
        <f>SUBTOTAL(9,H187:H191)</f>
        <v>5000</v>
      </c>
      <c r="J186" s="128"/>
      <c r="K186" s="128"/>
    </row>
    <row r="187" spans="1:11" ht="12.75" customHeight="1" x14ac:dyDescent="0.2">
      <c r="A187" s="47" t="s">
        <v>462</v>
      </c>
      <c r="B187" s="66"/>
      <c r="C187" s="129" t="s">
        <v>463</v>
      </c>
      <c r="D187" s="129"/>
      <c r="E187" s="129"/>
      <c r="F187" s="129"/>
      <c r="G187" s="57"/>
      <c r="H187" s="53">
        <f>SUBTOTAL(9,H188:H189)</f>
        <v>3000</v>
      </c>
      <c r="I187" s="86"/>
      <c r="J187" s="39"/>
      <c r="K187" s="39"/>
    </row>
    <row r="188" spans="1:11" ht="12.75" customHeight="1" x14ac:dyDescent="0.2">
      <c r="A188" s="47"/>
      <c r="B188" s="66" t="s">
        <v>464</v>
      </c>
      <c r="C188" s="95" t="s">
        <v>465</v>
      </c>
      <c r="D188" s="60">
        <v>1</v>
      </c>
      <c r="E188" s="60" t="s">
        <v>189</v>
      </c>
      <c r="F188" s="60">
        <v>1</v>
      </c>
      <c r="G188" s="62">
        <v>1500</v>
      </c>
      <c r="H188" s="62">
        <f t="shared" ref="H188:H189" si="35">G188*F188*D188</f>
        <v>1500</v>
      </c>
      <c r="I188" s="86"/>
      <c r="J188" s="113"/>
      <c r="K188" s="39"/>
    </row>
    <row r="189" spans="1:11" ht="12.75" customHeight="1" x14ac:dyDescent="0.2">
      <c r="A189" s="47"/>
      <c r="B189" s="66" t="s">
        <v>466</v>
      </c>
      <c r="C189" s="95" t="s">
        <v>467</v>
      </c>
      <c r="D189" s="60">
        <v>1</v>
      </c>
      <c r="E189" s="60" t="s">
        <v>189</v>
      </c>
      <c r="F189" s="60">
        <v>1</v>
      </c>
      <c r="G189" s="62">
        <v>1500</v>
      </c>
      <c r="H189" s="62">
        <f t="shared" si="35"/>
        <v>1500</v>
      </c>
      <c r="I189" s="86"/>
      <c r="J189" s="39"/>
      <c r="K189" s="39"/>
    </row>
    <row r="190" spans="1:11" ht="12.75" customHeight="1" x14ac:dyDescent="0.2">
      <c r="A190" s="47" t="s">
        <v>468</v>
      </c>
      <c r="B190" s="66"/>
      <c r="C190" s="130" t="s">
        <v>469</v>
      </c>
      <c r="D190" s="56"/>
      <c r="E190" s="56"/>
      <c r="F190" s="56"/>
      <c r="G190" s="57"/>
      <c r="H190" s="53">
        <f>SUBTOTAL(9,H191)</f>
        <v>2000</v>
      </c>
      <c r="I190" s="86"/>
      <c r="J190" s="39"/>
      <c r="K190" s="39"/>
    </row>
    <row r="191" spans="1:11" ht="12.75" customHeight="1" x14ac:dyDescent="0.2">
      <c r="A191" s="47"/>
      <c r="B191" s="66" t="s">
        <v>470</v>
      </c>
      <c r="C191" s="95" t="s">
        <v>471</v>
      </c>
      <c r="D191" s="60">
        <v>1</v>
      </c>
      <c r="E191" s="60" t="s">
        <v>210</v>
      </c>
      <c r="F191" s="60">
        <v>1</v>
      </c>
      <c r="G191" s="62">
        <v>2000</v>
      </c>
      <c r="H191" s="62">
        <f>G191*F191*D191</f>
        <v>2000</v>
      </c>
      <c r="I191" s="86"/>
      <c r="J191" s="39"/>
      <c r="K191" s="39"/>
    </row>
    <row r="192" spans="1:11" ht="12.75" customHeight="1" x14ac:dyDescent="0.2">
      <c r="A192" s="47" t="s">
        <v>472</v>
      </c>
      <c r="B192" s="48"/>
      <c r="C192" s="49" t="s">
        <v>473</v>
      </c>
      <c r="D192" s="64"/>
      <c r="E192" s="64"/>
      <c r="F192" s="64"/>
      <c r="G192" s="127"/>
      <c r="H192" s="127"/>
      <c r="I192" s="53">
        <f>SUBTOTAL(9,H6:H191)</f>
        <v>248711.5</v>
      </c>
      <c r="J192" s="39"/>
      <c r="K192" s="39"/>
    </row>
    <row r="193" spans="1:11" ht="12.75" customHeight="1" x14ac:dyDescent="0.2">
      <c r="A193" s="47"/>
      <c r="B193" s="66"/>
      <c r="C193" s="95"/>
      <c r="D193" s="60"/>
      <c r="E193" s="60"/>
      <c r="F193" s="60"/>
      <c r="G193" s="62"/>
      <c r="H193" s="98"/>
      <c r="I193" s="86"/>
      <c r="J193" s="39"/>
      <c r="K193" s="39"/>
    </row>
    <row r="194" spans="1:11" ht="12.75" customHeight="1" x14ac:dyDescent="0.2">
      <c r="A194" s="47"/>
      <c r="B194" s="66"/>
      <c r="C194" s="95"/>
      <c r="D194" s="60"/>
      <c r="E194" s="60"/>
      <c r="F194" s="60"/>
      <c r="G194" s="62"/>
      <c r="H194" s="98"/>
      <c r="I194" s="86"/>
      <c r="J194" s="39"/>
      <c r="K194" s="39"/>
    </row>
    <row r="195" spans="1:11" ht="12.75" customHeight="1" x14ac:dyDescent="0.2">
      <c r="A195" s="47" t="s">
        <v>474</v>
      </c>
      <c r="B195" s="48"/>
      <c r="C195" s="102" t="s">
        <v>475</v>
      </c>
      <c r="D195" s="64"/>
      <c r="E195" s="64"/>
      <c r="F195" s="64"/>
      <c r="G195" s="127"/>
      <c r="H195" s="127"/>
      <c r="I195" s="53">
        <f>SUBTOTAL(9,H197:H1187)</f>
        <v>24871.15</v>
      </c>
      <c r="J195" s="39" t="s">
        <v>476</v>
      </c>
      <c r="K195" s="39"/>
    </row>
    <row r="196" spans="1:11" ht="12.75" customHeight="1" x14ac:dyDescent="0.2">
      <c r="A196" s="131" t="s">
        <v>477</v>
      </c>
      <c r="B196" s="132"/>
      <c r="C196" s="133" t="s">
        <v>478</v>
      </c>
      <c r="D196" s="134"/>
      <c r="E196" s="134"/>
      <c r="F196" s="134"/>
      <c r="G196" s="135"/>
      <c r="H196" s="136">
        <f>SUBTOTAL(9,H197)</f>
        <v>24871.15</v>
      </c>
      <c r="I196" s="86"/>
      <c r="J196" s="39" t="s">
        <v>479</v>
      </c>
      <c r="K196" s="39"/>
    </row>
    <row r="197" spans="1:11" ht="12.75" customHeight="1" x14ac:dyDescent="0.25">
      <c r="A197" s="137"/>
      <c r="B197" s="138" t="s">
        <v>480</v>
      </c>
      <c r="C197" s="139" t="s">
        <v>478</v>
      </c>
      <c r="D197" s="140">
        <v>1</v>
      </c>
      <c r="E197" s="141" t="s">
        <v>156</v>
      </c>
      <c r="F197" s="142">
        <v>0.1</v>
      </c>
      <c r="G197" s="125">
        <f>SUM(I192)</f>
        <v>248711.5</v>
      </c>
      <c r="H197" s="125">
        <f>G197*F197*D197</f>
        <v>24871.15</v>
      </c>
      <c r="I197" s="86"/>
      <c r="J197" s="39"/>
      <c r="K197" s="39"/>
    </row>
    <row r="198" spans="1:11" ht="12.75" customHeight="1" x14ac:dyDescent="0.2">
      <c r="A198" s="47"/>
      <c r="B198" s="66"/>
      <c r="C198" s="95"/>
      <c r="D198" s="60"/>
      <c r="E198" s="60"/>
      <c r="F198" s="60"/>
      <c r="G198" s="62"/>
      <c r="H198" s="98"/>
      <c r="I198" s="86"/>
      <c r="J198" s="39"/>
      <c r="K198" s="39"/>
    </row>
    <row r="199" spans="1:11" ht="12.75" customHeight="1" x14ac:dyDescent="0.2">
      <c r="A199" s="47"/>
      <c r="B199" s="66"/>
      <c r="C199" s="95"/>
      <c r="D199" s="60"/>
      <c r="E199" s="60"/>
      <c r="F199" s="60"/>
      <c r="G199" s="62"/>
      <c r="H199" s="98"/>
      <c r="I199" s="86"/>
      <c r="J199" s="39"/>
      <c r="K199" s="39"/>
    </row>
    <row r="200" spans="1:11" ht="12.75" customHeight="1" x14ac:dyDescent="0.2">
      <c r="A200" s="47"/>
      <c r="B200" s="48"/>
      <c r="C200" s="49" t="s">
        <v>481</v>
      </c>
      <c r="D200" s="64"/>
      <c r="E200" s="64"/>
      <c r="F200" s="64"/>
      <c r="G200" s="127"/>
      <c r="H200" s="127"/>
      <c r="I200" s="53">
        <f>SUBTOTAL(9,H6:H198)</f>
        <v>273582.65000000002</v>
      </c>
      <c r="J200" s="39"/>
      <c r="K200" s="39"/>
    </row>
    <row r="201" spans="1:11" ht="12.75" customHeight="1" x14ac:dyDescent="0.2">
      <c r="A201" s="143"/>
      <c r="B201" s="144"/>
      <c r="C201" s="38"/>
      <c r="D201" s="38"/>
      <c r="E201" s="38"/>
      <c r="F201" s="38"/>
      <c r="G201" s="38"/>
      <c r="H201" s="38"/>
      <c r="I201" s="145"/>
      <c r="J201" s="39"/>
      <c r="K201" s="39"/>
    </row>
    <row r="202" spans="1:11" ht="12.75" customHeight="1" x14ac:dyDescent="0.2">
      <c r="A202" s="143"/>
      <c r="B202" s="144"/>
      <c r="C202" s="38"/>
      <c r="D202" s="38"/>
      <c r="E202" s="38"/>
      <c r="F202" s="38"/>
      <c r="G202" s="38"/>
      <c r="H202" s="38"/>
      <c r="I202" s="38" t="s">
        <v>482</v>
      </c>
      <c r="J202" s="39"/>
      <c r="K202" s="39"/>
    </row>
    <row r="203" spans="1:11" ht="12.75" customHeight="1" x14ac:dyDescent="0.2">
      <c r="A203" s="143"/>
      <c r="B203" s="144"/>
      <c r="C203" s="38"/>
      <c r="D203" s="38"/>
      <c r="E203" s="38"/>
      <c r="F203" s="38"/>
      <c r="G203" s="38"/>
      <c r="H203" s="38"/>
      <c r="I203" s="38"/>
      <c r="J203" s="146"/>
      <c r="K203" s="39"/>
    </row>
    <row r="204" spans="1:11" ht="12.75" customHeight="1" x14ac:dyDescent="0.2">
      <c r="A204" s="143"/>
      <c r="B204" s="144"/>
      <c r="C204" s="38"/>
      <c r="D204" s="38"/>
      <c r="E204" s="38"/>
      <c r="F204" s="38"/>
      <c r="G204" s="38"/>
      <c r="H204" s="38"/>
      <c r="I204" s="38"/>
      <c r="J204" s="146"/>
      <c r="K204" s="39"/>
    </row>
    <row r="205" spans="1:11" ht="12.75" customHeight="1" x14ac:dyDescent="0.2">
      <c r="A205" s="143"/>
      <c r="B205" s="144"/>
      <c r="C205" s="38"/>
      <c r="D205" s="38"/>
      <c r="E205" s="38"/>
      <c r="F205" s="38"/>
      <c r="G205" s="38"/>
      <c r="H205" s="38"/>
      <c r="I205" s="38"/>
      <c r="J205" s="39"/>
      <c r="K205" s="39"/>
    </row>
    <row r="206" spans="1:11" ht="12.75" customHeight="1" x14ac:dyDescent="0.2">
      <c r="A206" s="143"/>
      <c r="B206" s="144"/>
      <c r="C206" s="38"/>
      <c r="D206" s="38"/>
      <c r="E206" s="38"/>
      <c r="F206" s="38"/>
      <c r="G206" s="38"/>
      <c r="H206" s="38"/>
      <c r="I206" s="38"/>
      <c r="J206" s="39"/>
      <c r="K206" s="39"/>
    </row>
    <row r="207" spans="1:11" s="230" customFormat="1" x14ac:dyDescent="0.2">
      <c r="A207" s="267" t="s">
        <v>520</v>
      </c>
      <c r="B207" s="267"/>
      <c r="C207" s="267"/>
      <c r="D207" s="267"/>
    </row>
    <row r="208" spans="1:11" x14ac:dyDescent="0.2">
      <c r="C208" s="33" t="str" cm="1">
        <f t="array" ref="C208:H208">'Preju ou Investimento'!A1:F1</f>
        <v>CUSTOS EXTRAOFICIAIS</v>
      </c>
      <c r="D208" s="33">
        <v>0</v>
      </c>
      <c r="E208" s="33">
        <v>0</v>
      </c>
      <c r="F208" s="33">
        <v>0</v>
      </c>
      <c r="G208" s="33">
        <v>0</v>
      </c>
      <c r="H208" s="33">
        <v>0</v>
      </c>
      <c r="I208" s="330">
        <f>'Preju ou Investimento'!C15</f>
        <v>300</v>
      </c>
    </row>
  </sheetData>
  <mergeCells count="3">
    <mergeCell ref="A1:I4"/>
    <mergeCell ref="A5:B5"/>
    <mergeCell ref="A207:D207"/>
  </mergeCells>
  <conditionalFormatting sqref="J1:J206 K13">
    <cfRule type="notContainsBlanks" dxfId="38" priority="1">
      <formula>LEN(TRIM(J1))&gt;0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CF5FC-4114-5643-880D-0649C252D243}">
  <dimension ref="A1:F25"/>
  <sheetViews>
    <sheetView workbookViewId="0">
      <selection activeCell="D15" sqref="D15"/>
    </sheetView>
  </sheetViews>
  <sheetFormatPr defaultColWidth="11.5546875" defaultRowHeight="14.25" customHeight="1" x14ac:dyDescent="0.2"/>
  <cols>
    <col min="1" max="1" width="23.33203125" customWidth="1"/>
    <col min="2" max="2" width="14.77734375" customWidth="1"/>
    <col min="3" max="3" width="13.6640625" style="227" customWidth="1"/>
    <col min="4" max="5" width="26.88671875" customWidth="1"/>
    <col min="6" max="6" width="32" customWidth="1"/>
  </cols>
  <sheetData>
    <row r="1" spans="1:6" s="225" customFormat="1" ht="26.1" customHeight="1" x14ac:dyDescent="0.2">
      <c r="A1" s="268" t="s">
        <v>483</v>
      </c>
      <c r="B1" s="268"/>
      <c r="C1" s="268"/>
      <c r="D1" s="268"/>
      <c r="E1" s="268"/>
      <c r="F1" s="268"/>
    </row>
    <row r="2" spans="1:6" s="225" customFormat="1" ht="24.95" customHeight="1" x14ac:dyDescent="0.2">
      <c r="A2" s="234" t="s">
        <v>484</v>
      </c>
      <c r="B2" s="234" t="s">
        <v>86</v>
      </c>
      <c r="C2" s="226" t="s">
        <v>114</v>
      </c>
      <c r="D2" s="234" t="s">
        <v>485</v>
      </c>
      <c r="E2" s="234" t="s">
        <v>486</v>
      </c>
      <c r="F2" s="234" t="s">
        <v>487</v>
      </c>
    </row>
    <row r="3" spans="1:6" ht="14.25" customHeight="1" x14ac:dyDescent="0.2">
      <c r="C3" s="227">
        <v>100</v>
      </c>
      <c r="E3" t="s">
        <v>9</v>
      </c>
    </row>
    <row r="4" spans="1:6" ht="14.25" customHeight="1" x14ac:dyDescent="0.2">
      <c r="C4" s="227">
        <v>200</v>
      </c>
      <c r="E4" t="s">
        <v>15</v>
      </c>
    </row>
    <row r="15" spans="1:6" x14ac:dyDescent="0.2">
      <c r="A15" s="235" t="s">
        <v>488</v>
      </c>
      <c r="B15" s="235"/>
      <c r="C15" s="228">
        <f>SUM(C3:C14)</f>
        <v>300</v>
      </c>
    </row>
    <row r="16" spans="1:6" ht="14.25" customHeight="1" x14ac:dyDescent="0.2">
      <c r="A16" t="s">
        <v>9</v>
      </c>
      <c r="C16">
        <f>IF(E3="Dique",C3,0)</f>
        <v>100</v>
      </c>
    </row>
    <row r="17" spans="1:3" ht="14.25" customHeight="1" x14ac:dyDescent="0.2">
      <c r="A17" t="s">
        <v>15</v>
      </c>
      <c r="C17">
        <f>IF(E4="A Grande Colheita",C4,0)</f>
        <v>200</v>
      </c>
    </row>
    <row r="18" spans="1:3" ht="14.25" customHeight="1" x14ac:dyDescent="0.2">
      <c r="A18" s="236" t="s">
        <v>521</v>
      </c>
    </row>
    <row r="19" spans="1:3" ht="14.25" customHeight="1" x14ac:dyDescent="0.2">
      <c r="A19" s="237" t="s">
        <v>484</v>
      </c>
    </row>
    <row r="20" spans="1:3" ht="14.25" customHeight="1" x14ac:dyDescent="0.2">
      <c r="A20" t="s">
        <v>105</v>
      </c>
    </row>
    <row r="21" spans="1:3" ht="14.25" customHeight="1" x14ac:dyDescent="0.2">
      <c r="A21" t="s">
        <v>111</v>
      </c>
    </row>
    <row r="22" spans="1:3" ht="14.25" customHeight="1" x14ac:dyDescent="0.2">
      <c r="A22" t="s">
        <v>148</v>
      </c>
    </row>
    <row r="23" spans="1:3" ht="14.25" customHeight="1" x14ac:dyDescent="0.2">
      <c r="A23" t="s">
        <v>263</v>
      </c>
    </row>
    <row r="24" spans="1:3" ht="14.25" customHeight="1" x14ac:dyDescent="0.2">
      <c r="A24" t="s">
        <v>522</v>
      </c>
    </row>
    <row r="25" spans="1:3" ht="14.25" customHeight="1" x14ac:dyDescent="0.2">
      <c r="A25" t="s">
        <v>523</v>
      </c>
    </row>
  </sheetData>
  <mergeCells count="1">
    <mergeCell ref="A1:F1"/>
  </mergeCells>
  <conditionalFormatting sqref="E3">
    <cfRule type="containsText" dxfId="6" priority="6" stopIfTrue="1" operator="containsText" text="Dique">
      <formula>NOT(ISERROR(SEARCH("Dique",E3)))</formula>
    </cfRule>
  </conditionalFormatting>
  <conditionalFormatting sqref="E4">
    <cfRule type="containsText" dxfId="5" priority="5" stopIfTrue="1" operator="containsText" text="A Grande Colheita">
      <formula>NOT(ISERROR(SEARCH("A Grande Colheita",E4)))</formula>
    </cfRule>
  </conditionalFormatting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06BE9-995D-8A4D-B02D-2B735BF300D1}">
  <sheetPr>
    <pageSetUpPr fitToPage="1"/>
  </sheetPr>
  <dimension ref="B1:J33"/>
  <sheetViews>
    <sheetView showGridLines="0" tabSelected="1" zoomScale="69" zoomScaleNormal="69" zoomScaleSheetLayoutView="70" zoomScalePageLayoutView="70" workbookViewId="0">
      <selection activeCell="D8" sqref="D8"/>
    </sheetView>
  </sheetViews>
  <sheetFormatPr defaultColWidth="7.88671875" defaultRowHeight="18" customHeight="1" x14ac:dyDescent="0.2"/>
  <cols>
    <col min="1" max="1" width="3.33203125" style="196" customWidth="1"/>
    <col min="2" max="2" width="10" style="196" customWidth="1"/>
    <col min="3" max="3" width="13.5546875" style="195" customWidth="1"/>
    <col min="4" max="8" width="29" style="196" customWidth="1"/>
    <col min="9" max="9" width="26.33203125" style="152" customWidth="1"/>
    <col min="10" max="10" width="2" style="152" customWidth="1"/>
    <col min="11" max="16384" width="7.88671875" style="196"/>
  </cols>
  <sheetData>
    <row r="1" spans="2:9" ht="24" customHeight="1" x14ac:dyDescent="0.2">
      <c r="B1" s="151"/>
      <c r="C1" s="151"/>
      <c r="D1" s="151"/>
      <c r="E1" s="151"/>
      <c r="F1" s="151"/>
      <c r="G1" s="151"/>
      <c r="H1" s="151"/>
      <c r="I1" s="151"/>
    </row>
    <row r="2" spans="2:9" ht="72" customHeight="1" x14ac:dyDescent="0.2">
      <c r="B2" s="281" t="s">
        <v>489</v>
      </c>
      <c r="C2" s="281"/>
      <c r="D2" s="281"/>
      <c r="E2" s="281"/>
      <c r="F2" s="281"/>
      <c r="G2" s="281"/>
      <c r="H2" s="281"/>
      <c r="I2" s="281"/>
    </row>
    <row r="3" spans="2:9" ht="24" customHeight="1" x14ac:dyDescent="0.2">
      <c r="B3" s="153"/>
      <c r="C3" s="153"/>
      <c r="D3" s="153"/>
      <c r="E3" s="153"/>
      <c r="F3" s="153"/>
      <c r="G3" s="153"/>
      <c r="H3" s="153"/>
      <c r="I3" s="153"/>
    </row>
    <row r="4" spans="2:9" ht="28.35" customHeight="1" x14ac:dyDescent="0.25">
      <c r="B4" s="154"/>
      <c r="C4" s="155"/>
      <c r="D4" s="156" t="s">
        <v>490</v>
      </c>
      <c r="E4" s="156" t="s">
        <v>491</v>
      </c>
      <c r="F4" s="156" t="s">
        <v>492</v>
      </c>
      <c r="G4" s="156" t="s">
        <v>493</v>
      </c>
      <c r="H4" s="156" t="s">
        <v>494</v>
      </c>
      <c r="I4" s="156" t="s">
        <v>495</v>
      </c>
    </row>
    <row r="5" spans="2:9" ht="30" customHeight="1" x14ac:dyDescent="0.2">
      <c r="B5" s="282" t="s">
        <v>496</v>
      </c>
      <c r="C5" s="269">
        <f ca="1">TODAY()-WEEKDAY(TODAY(),2)+1</f>
        <v>45306</v>
      </c>
      <c r="D5" s="157"/>
      <c r="E5" s="157"/>
      <c r="F5" s="157"/>
      <c r="G5" s="157"/>
      <c r="H5" s="157"/>
      <c r="I5" s="285"/>
    </row>
    <row r="6" spans="2:9" ht="30" customHeight="1" x14ac:dyDescent="0.2">
      <c r="B6" s="283"/>
      <c r="C6" s="270"/>
      <c r="D6" s="158"/>
      <c r="E6" s="159"/>
      <c r="F6" s="159"/>
      <c r="G6" s="159"/>
      <c r="H6" s="159"/>
      <c r="I6" s="286"/>
    </row>
    <row r="7" spans="2:9" ht="30" customHeight="1" x14ac:dyDescent="0.2">
      <c r="B7" s="283"/>
      <c r="C7" s="270"/>
      <c r="D7" s="160"/>
      <c r="E7" s="161"/>
      <c r="F7" s="161"/>
      <c r="G7" s="161"/>
      <c r="H7" s="161"/>
      <c r="I7" s="286"/>
    </row>
    <row r="8" spans="2:9" ht="30" customHeight="1" x14ac:dyDescent="0.2">
      <c r="B8" s="283"/>
      <c r="C8" s="270"/>
      <c r="D8" s="160"/>
      <c r="E8" s="161"/>
      <c r="F8" s="161"/>
      <c r="G8" s="161"/>
      <c r="H8" s="161"/>
      <c r="I8" s="286"/>
    </row>
    <row r="9" spans="2:9" ht="30" customHeight="1" x14ac:dyDescent="0.2">
      <c r="B9" s="284"/>
      <c r="C9" s="271"/>
      <c r="D9" s="162"/>
      <c r="E9" s="163"/>
      <c r="F9" s="163"/>
      <c r="G9" s="163"/>
      <c r="H9" s="163"/>
      <c r="I9" s="287"/>
    </row>
    <row r="10" spans="2:9" ht="30" customHeight="1" x14ac:dyDescent="0.2">
      <c r="B10" s="288" t="s">
        <v>497</v>
      </c>
      <c r="C10" s="311" t="str">
        <f ca="1">(TEXT(WeekStart+1,"mmm dd"))</f>
        <v>jan 16</v>
      </c>
      <c r="D10" s="164"/>
      <c r="E10" s="164"/>
      <c r="F10" s="164"/>
      <c r="G10" s="164"/>
      <c r="H10" s="164"/>
      <c r="I10" s="291"/>
    </row>
    <row r="11" spans="2:9" ht="30" customHeight="1" x14ac:dyDescent="0.2">
      <c r="B11" s="289"/>
      <c r="C11" s="312"/>
      <c r="D11" s="158"/>
      <c r="E11" s="159"/>
      <c r="F11" s="159"/>
      <c r="G11" s="159"/>
      <c r="H11" s="159"/>
      <c r="I11" s="292"/>
    </row>
    <row r="12" spans="2:9" ht="30" customHeight="1" x14ac:dyDescent="0.2">
      <c r="B12" s="289"/>
      <c r="C12" s="312"/>
      <c r="D12" s="160"/>
      <c r="E12" s="161"/>
      <c r="F12" s="161"/>
      <c r="G12" s="161"/>
      <c r="H12" s="161"/>
      <c r="I12" s="292"/>
    </row>
    <row r="13" spans="2:9" ht="30" customHeight="1" x14ac:dyDescent="0.2">
      <c r="B13" s="289"/>
      <c r="C13" s="312"/>
      <c r="D13" s="160"/>
      <c r="E13" s="161"/>
      <c r="F13" s="161"/>
      <c r="G13" s="161"/>
      <c r="H13" s="161"/>
      <c r="I13" s="292"/>
    </row>
    <row r="14" spans="2:9" ht="30" customHeight="1" x14ac:dyDescent="0.2">
      <c r="B14" s="290"/>
      <c r="C14" s="313"/>
      <c r="D14" s="162"/>
      <c r="E14" s="163"/>
      <c r="F14" s="163"/>
      <c r="G14" s="163"/>
      <c r="H14" s="163"/>
      <c r="I14" s="293"/>
    </row>
    <row r="15" spans="2:9" ht="30" customHeight="1" x14ac:dyDescent="0.2">
      <c r="B15" s="294" t="s">
        <v>498</v>
      </c>
      <c r="C15" s="272" t="str">
        <f ca="1">(TEXT(WeekStart+2,"mmm dd"))</f>
        <v>jan 17</v>
      </c>
      <c r="D15" s="165"/>
      <c r="E15" s="166"/>
      <c r="F15" s="166"/>
      <c r="G15" s="166"/>
      <c r="H15" s="166"/>
      <c r="I15" s="297"/>
    </row>
    <row r="16" spans="2:9" ht="30" customHeight="1" x14ac:dyDescent="0.2">
      <c r="B16" s="295"/>
      <c r="C16" s="273"/>
      <c r="D16" s="158"/>
      <c r="E16" s="167"/>
      <c r="F16" s="167"/>
      <c r="G16" s="167"/>
      <c r="H16" s="167"/>
      <c r="I16" s="298"/>
    </row>
    <row r="17" spans="2:9" ht="30" customHeight="1" x14ac:dyDescent="0.2">
      <c r="B17" s="295"/>
      <c r="C17" s="273"/>
      <c r="D17" s="160"/>
      <c r="E17" s="168"/>
      <c r="F17" s="168"/>
      <c r="G17" s="168"/>
      <c r="H17" s="168"/>
      <c r="I17" s="298"/>
    </row>
    <row r="18" spans="2:9" ht="30" customHeight="1" x14ac:dyDescent="0.2">
      <c r="B18" s="295"/>
      <c r="C18" s="273"/>
      <c r="D18" s="160"/>
      <c r="E18" s="168"/>
      <c r="F18" s="168"/>
      <c r="G18" s="168"/>
      <c r="H18" s="168"/>
      <c r="I18" s="298"/>
    </row>
    <row r="19" spans="2:9" ht="30" customHeight="1" x14ac:dyDescent="0.2">
      <c r="B19" s="296"/>
      <c r="C19" s="274"/>
      <c r="D19" s="162"/>
      <c r="E19" s="169"/>
      <c r="F19" s="169"/>
      <c r="G19" s="169"/>
      <c r="H19" s="169"/>
      <c r="I19" s="299"/>
    </row>
    <row r="20" spans="2:9" ht="30" customHeight="1" x14ac:dyDescent="0.2">
      <c r="B20" s="300" t="s">
        <v>499</v>
      </c>
      <c r="C20" s="275" t="str">
        <f ca="1">(TEXT(WeekStart+3,"mmm dd"))</f>
        <v>jan 18</v>
      </c>
      <c r="D20" s="170"/>
      <c r="E20" s="170"/>
      <c r="F20" s="170"/>
      <c r="G20" s="170"/>
      <c r="H20" s="170"/>
      <c r="I20" s="303"/>
    </row>
    <row r="21" spans="2:9" ht="30" customHeight="1" x14ac:dyDescent="0.2">
      <c r="B21" s="301"/>
      <c r="C21" s="276"/>
      <c r="D21" s="171"/>
      <c r="E21" s="172"/>
      <c r="F21" s="172"/>
      <c r="G21" s="173"/>
      <c r="H21" s="172"/>
      <c r="I21" s="304"/>
    </row>
    <row r="22" spans="2:9" ht="30" customHeight="1" x14ac:dyDescent="0.2">
      <c r="B22" s="301"/>
      <c r="C22" s="276"/>
      <c r="D22" s="174"/>
      <c r="E22" s="175"/>
      <c r="F22" s="175"/>
      <c r="G22" s="176"/>
      <c r="H22" s="175"/>
      <c r="I22" s="304"/>
    </row>
    <row r="23" spans="2:9" ht="30" customHeight="1" x14ac:dyDescent="0.2">
      <c r="B23" s="301"/>
      <c r="C23" s="276"/>
      <c r="D23" s="177"/>
      <c r="E23" s="178"/>
      <c r="F23" s="179"/>
      <c r="G23" s="176"/>
      <c r="H23" s="175"/>
      <c r="I23" s="304"/>
    </row>
    <row r="24" spans="2:9" ht="30" customHeight="1" x14ac:dyDescent="0.2">
      <c r="B24" s="302"/>
      <c r="C24" s="277"/>
      <c r="D24" s="180"/>
      <c r="E24" s="178"/>
      <c r="F24" s="178"/>
      <c r="G24" s="181"/>
      <c r="H24" s="179"/>
      <c r="I24" s="305"/>
    </row>
    <row r="25" spans="2:9" ht="30" customHeight="1" x14ac:dyDescent="0.2">
      <c r="B25" s="306" t="s">
        <v>500</v>
      </c>
      <c r="C25" s="278" t="str">
        <f ca="1">(TEXT(WeekStart+4,"mmm dd"))</f>
        <v>jan 19</v>
      </c>
      <c r="D25" s="182"/>
      <c r="E25" s="182"/>
      <c r="F25" s="182"/>
      <c r="G25" s="182"/>
      <c r="H25" s="182"/>
      <c r="I25" s="308"/>
    </row>
    <row r="26" spans="2:9" ht="30" customHeight="1" x14ac:dyDescent="0.2">
      <c r="B26" s="307"/>
      <c r="C26" s="279"/>
      <c r="D26" s="183"/>
      <c r="E26" s="184"/>
      <c r="F26" s="185"/>
      <c r="G26" s="185"/>
      <c r="H26" s="186"/>
      <c r="I26" s="309"/>
    </row>
    <row r="27" spans="2:9" ht="30" customHeight="1" x14ac:dyDescent="0.2">
      <c r="B27" s="307"/>
      <c r="C27" s="279"/>
      <c r="D27" s="187"/>
      <c r="E27" s="188"/>
      <c r="F27" s="189"/>
      <c r="G27" s="189"/>
      <c r="H27" s="190"/>
      <c r="I27" s="309"/>
    </row>
    <row r="28" spans="2:9" ht="30" customHeight="1" x14ac:dyDescent="0.2">
      <c r="B28" s="307"/>
      <c r="C28" s="279"/>
      <c r="D28" s="187"/>
      <c r="E28" s="188"/>
      <c r="F28" s="189"/>
      <c r="G28" s="189"/>
      <c r="H28" s="190"/>
      <c r="I28" s="309"/>
    </row>
    <row r="29" spans="2:9" ht="30" customHeight="1" x14ac:dyDescent="0.2">
      <c r="B29" s="307"/>
      <c r="C29" s="280"/>
      <c r="D29" s="191"/>
      <c r="E29" s="192"/>
      <c r="F29" s="193"/>
      <c r="G29" s="193"/>
      <c r="H29" s="158"/>
      <c r="I29" s="310"/>
    </row>
    <row r="30" spans="2:9" ht="13.35" customHeight="1" x14ac:dyDescent="0.2">
      <c r="B30" s="194"/>
    </row>
    <row r="31" spans="2:9" ht="18" customHeight="1" x14ac:dyDescent="0.2">
      <c r="D31" s="197"/>
    </row>
    <row r="32" spans="2:9" ht="18" customHeight="1" x14ac:dyDescent="0.2">
      <c r="B32" s="196" t="s">
        <v>501</v>
      </c>
    </row>
    <row r="33" spans="2:2" ht="18" customHeight="1" x14ac:dyDescent="0.2">
      <c r="B33" s="196" t="s">
        <v>502</v>
      </c>
    </row>
  </sheetData>
  <mergeCells count="16">
    <mergeCell ref="C5:C9"/>
    <mergeCell ref="C15:C19"/>
    <mergeCell ref="C20:C24"/>
    <mergeCell ref="C25:C29"/>
    <mergeCell ref="B2:I2"/>
    <mergeCell ref="B5:B9"/>
    <mergeCell ref="I5:I9"/>
    <mergeCell ref="B10:B14"/>
    <mergeCell ref="I10:I14"/>
    <mergeCell ref="B15:B19"/>
    <mergeCell ref="I15:I19"/>
    <mergeCell ref="B20:B24"/>
    <mergeCell ref="I20:I24"/>
    <mergeCell ref="B25:B29"/>
    <mergeCell ref="I25:I29"/>
    <mergeCell ref="C10:C14"/>
  </mergeCells>
  <dataValidations count="4">
    <dataValidation allowBlank="1" showInputMessage="1" showErrorMessage="1" promptTitle="Weekly Lesson Planner" prompt="This ready-to-print colorful weekly lesson planner template is designed to help plan a week of lessons for teachers._x000a__x000a_Enter Monday's date in cell C5 and class times in cells D4:H4." sqref="A1" xr:uid="{FABEAFD4-8420-E745-A576-CE3E282EE022}"/>
    <dataValidation allowBlank="1" showInputMessage="1" showErrorMessage="1" prompt="Enter Week Date (i-e Monday Date) in cell E4. Dates for this cell will be auto-calculated." sqref="C10 C15 C20 C25" xr:uid="{E05FCC79-6C73-F342-9067-F6D6C28E96F2}"/>
    <dataValidation allowBlank="1" showInputMessage="1" showErrorMessage="1" prompt="Enter Week Date (i-e Monday Date) in this cell. Dates for Grid below will be auto-calculated." sqref="C5" xr:uid="{C4E30FA7-6E65-7340-B800-ABCBE8884CE3}"/>
    <dataValidation allowBlank="1" showInputMessage="1" showErrorMessage="1" prompt="Enter Period time in this cell." sqref="D4:H4" xr:uid="{FDF8AA94-F063-FD47-9D0D-DF5FCD773579}"/>
  </dataValidations>
  <printOptions horizontalCentered="1"/>
  <pageMargins left="0.25" right="0.25" top="0.5" bottom="0.5" header="0.3" footer="0.3"/>
  <pageSetup scale="58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8" tint="0.59999389629810485"/>
    <pageSetUpPr autoPageBreaks="0" fitToPage="1"/>
  </sheetPr>
  <dimension ref="A1:L18"/>
  <sheetViews>
    <sheetView showGridLines="0" topLeftCell="A2" zoomScale="80" zoomScaleNormal="80" workbookViewId="0">
      <selection activeCell="F10" sqref="F10"/>
    </sheetView>
  </sheetViews>
  <sheetFormatPr defaultColWidth="8.88671875" defaultRowHeight="14.25" x14ac:dyDescent="0.2"/>
  <cols>
    <col min="1" max="1" width="1.88671875" style="1" customWidth="1"/>
    <col min="2" max="8" width="15.44140625" style="1" customWidth="1"/>
    <col min="9" max="9" width="1.88671875" style="1" customWidth="1"/>
    <col min="10" max="10" width="8.88671875" style="1" customWidth="1"/>
    <col min="11" max="12" width="12.33203125" style="1" customWidth="1"/>
    <col min="13" max="13" width="1.88671875" style="1" customWidth="1"/>
    <col min="14" max="16384" width="8.88671875" style="1"/>
  </cols>
  <sheetData>
    <row r="1" spans="1:12" ht="9" customHeight="1" x14ac:dyDescent="0.2">
      <c r="I1" s="1" t="s">
        <v>229</v>
      </c>
    </row>
    <row r="2" spans="1:12" ht="100.5" customHeight="1" x14ac:dyDescent="0.2">
      <c r="B2" s="314" t="str">
        <f>"January "&amp;CalendarYear</f>
        <v>January 2024</v>
      </c>
      <c r="C2" s="314"/>
      <c r="D2" s="314"/>
      <c r="E2" s="2"/>
      <c r="F2" s="2"/>
      <c r="G2" s="2"/>
      <c r="H2" s="3"/>
    </row>
    <row r="3" spans="1:12" s="4" customFormat="1" ht="19.5" customHeight="1" thickBot="1" x14ac:dyDescent="0.25">
      <c r="A3" s="1"/>
      <c r="B3" s="21" t="str">
        <f>WeekStart</f>
        <v>Monday</v>
      </c>
      <c r="C3" s="21" t="str">
        <f t="shared" ref="C3:H3" si="0">TEXT(C4,"dddd")</f>
        <v>terça-feira</v>
      </c>
      <c r="D3" s="21" t="str">
        <f t="shared" si="0"/>
        <v>quarta-feira</v>
      </c>
      <c r="E3" s="21" t="str">
        <f t="shared" si="0"/>
        <v>quinta-feira</v>
      </c>
      <c r="F3" s="21" t="str">
        <f t="shared" si="0"/>
        <v>sexta-feira</v>
      </c>
      <c r="G3" s="21" t="str">
        <f t="shared" si="0"/>
        <v>sábado</v>
      </c>
      <c r="H3" s="21" t="str">
        <f t="shared" si="0"/>
        <v>domingo</v>
      </c>
      <c r="K3" s="317" t="s">
        <v>503</v>
      </c>
      <c r="L3" s="317"/>
    </row>
    <row r="4" spans="1:12" s="6" customFormat="1" ht="19.5" customHeight="1" x14ac:dyDescent="0.2">
      <c r="B4" s="8">
        <f t="array" ref="B4:H4">DaysAndWeeks+DATE(CalendarYear,1,1)-WEEKDAY(DATE(CalendarYear,1,1),(WeekStart="Monday")+1)+1</f>
        <v>45292</v>
      </c>
      <c r="C4" s="8">
        <v>45293</v>
      </c>
      <c r="D4" s="8">
        <v>45294</v>
      </c>
      <c r="E4" s="8">
        <v>45295</v>
      </c>
      <c r="F4" s="8">
        <v>45296</v>
      </c>
      <c r="G4" s="8">
        <v>45297</v>
      </c>
      <c r="H4" s="8">
        <v>45298</v>
      </c>
      <c r="K4" s="12" t="s">
        <v>504</v>
      </c>
      <c r="L4" s="13" t="s">
        <v>505</v>
      </c>
    </row>
    <row r="5" spans="1:12" s="5" customFormat="1" ht="48" customHeight="1" x14ac:dyDescent="0.2">
      <c r="K5" s="10">
        <v>2024</v>
      </c>
      <c r="L5" s="11" t="s">
        <v>506</v>
      </c>
    </row>
    <row r="6" spans="1:12" s="6" customFormat="1" ht="19.5" customHeight="1" x14ac:dyDescent="0.2">
      <c r="B6" s="7">
        <f t="array" ref="B6:H6">DaysAndWeeks+DATE(CalendarYear,1,1)-WEEKDAY(DATE(CalendarYear,1,1),(WeekStart="Monday")+1)+8</f>
        <v>45299</v>
      </c>
      <c r="C6" s="7">
        <v>45300</v>
      </c>
      <c r="D6" s="7">
        <v>45301</v>
      </c>
      <c r="E6" s="7">
        <v>45302</v>
      </c>
      <c r="F6" s="7">
        <v>45303</v>
      </c>
      <c r="G6" s="7">
        <v>45304</v>
      </c>
      <c r="H6" s="7">
        <v>45305</v>
      </c>
    </row>
    <row r="7" spans="1:12" s="5" customFormat="1" ht="48" customHeight="1" x14ac:dyDescent="0.2">
      <c r="B7" s="9"/>
      <c r="C7" s="9"/>
      <c r="D7" s="9"/>
      <c r="E7" s="9"/>
      <c r="F7" s="9"/>
      <c r="G7" s="9"/>
      <c r="H7" s="9"/>
    </row>
    <row r="8" spans="1:12" s="6" customFormat="1" ht="19.5" customHeight="1" x14ac:dyDescent="0.2">
      <c r="B8" s="8">
        <f t="array" ref="B8:H8">DaysAndWeeks+DATE(CalendarYear,1,1)-WEEKDAY(DATE(CalendarYear,1,1),(WeekStart="Monday")+1)+15</f>
        <v>45306</v>
      </c>
      <c r="C8" s="8">
        <v>45307</v>
      </c>
      <c r="D8" s="8">
        <v>45308</v>
      </c>
      <c r="E8" s="8">
        <v>45309</v>
      </c>
      <c r="F8" s="8">
        <v>45310</v>
      </c>
      <c r="G8" s="8">
        <v>45311</v>
      </c>
      <c r="H8" s="8">
        <v>45312</v>
      </c>
    </row>
    <row r="9" spans="1:12" s="5" customFormat="1" ht="48" customHeight="1" x14ac:dyDescent="0.2"/>
    <row r="10" spans="1:12" s="6" customFormat="1" ht="19.5" customHeight="1" x14ac:dyDescent="0.2">
      <c r="B10" s="7">
        <f t="array" ref="B10:H10">DaysAndWeeks+DATE(CalendarYear,1,1)-WEEKDAY(DATE(CalendarYear,1,1),(WeekStart="Monday")+1)+22</f>
        <v>45313</v>
      </c>
      <c r="C10" s="7">
        <v>45314</v>
      </c>
      <c r="D10" s="7">
        <v>45315</v>
      </c>
      <c r="E10" s="7">
        <v>45316</v>
      </c>
      <c r="F10" s="7">
        <v>45317</v>
      </c>
      <c r="G10" s="7">
        <v>45318</v>
      </c>
      <c r="H10" s="7">
        <v>45319</v>
      </c>
    </row>
    <row r="11" spans="1:12" s="5" customFormat="1" ht="48" customHeight="1" x14ac:dyDescent="0.2">
      <c r="B11" s="9"/>
      <c r="C11" s="9"/>
      <c r="D11" s="9"/>
      <c r="E11" s="9"/>
      <c r="F11" s="9"/>
      <c r="G11" s="9"/>
      <c r="H11" s="9"/>
    </row>
    <row r="12" spans="1:12" s="6" customFormat="1" ht="19.5" customHeight="1" x14ac:dyDescent="0.2">
      <c r="B12" s="8">
        <f t="array" ref="B12:H12">DaysAndWeeks+DATE(CalendarYear,1,1)-WEEKDAY(DATE(CalendarYear,1,1),(WeekStart="Monday")+1)+29</f>
        <v>45320</v>
      </c>
      <c r="C12" s="8">
        <v>45321</v>
      </c>
      <c r="D12" s="8">
        <v>45322</v>
      </c>
      <c r="E12" s="8">
        <v>45323</v>
      </c>
      <c r="F12" s="8">
        <v>45324</v>
      </c>
      <c r="G12" s="8">
        <v>45325</v>
      </c>
      <c r="H12" s="8">
        <v>45326</v>
      </c>
    </row>
    <row r="13" spans="1:12" s="5" customFormat="1" ht="48" customHeight="1" x14ac:dyDescent="0.2"/>
    <row r="14" spans="1:12" s="6" customFormat="1" ht="19.5" customHeight="1" x14ac:dyDescent="0.2">
      <c r="B14" s="7">
        <f t="array" ref="B14:C14">DaysAndWeeks+DATE(CalendarYear,1,1)-WEEKDAY(DATE(CalendarYear,1,1),(WeekStart="Monday")+1)+36</f>
        <v>45327</v>
      </c>
      <c r="C14" s="7">
        <v>45328</v>
      </c>
      <c r="D14" s="315" t="s">
        <v>495</v>
      </c>
      <c r="E14" s="315"/>
      <c r="F14" s="315"/>
      <c r="G14" s="315"/>
      <c r="H14" s="315"/>
    </row>
    <row r="15" spans="1:12" s="5" customFormat="1" ht="48" customHeight="1" x14ac:dyDescent="0.2">
      <c r="B15" s="9"/>
      <c r="C15" s="9"/>
      <c r="D15" s="316"/>
      <c r="E15" s="316"/>
      <c r="F15" s="316"/>
      <c r="G15" s="316"/>
      <c r="H15" s="316"/>
    </row>
    <row r="18" spans="2:3" x14ac:dyDescent="0.2">
      <c r="B18" s="328">
        <f ca="1">TODAY()</f>
        <v>45310</v>
      </c>
      <c r="C18" s="328">
        <f ca="1">TODAY()+1</f>
        <v>45311</v>
      </c>
    </row>
  </sheetData>
  <mergeCells count="4">
    <mergeCell ref="B2:D2"/>
    <mergeCell ref="D14:H14"/>
    <mergeCell ref="D15:H15"/>
    <mergeCell ref="K3:L3"/>
  </mergeCells>
  <phoneticPr fontId="2" type="noConversion"/>
  <conditionalFormatting sqref="B4:G4">
    <cfRule type="expression" dxfId="37" priority="23">
      <formula>DAY(B4)&gt;8</formula>
    </cfRule>
  </conditionalFormatting>
  <conditionalFormatting sqref="B12:H12 B14:C14">
    <cfRule type="expression" dxfId="36" priority="24">
      <formula>AND(DAY(B12)&gt;=1,DAY(B12)&lt;=15)</formula>
    </cfRule>
  </conditionalFormatting>
  <dataValidations count="13">
    <dataValidation type="list" errorStyle="warning" allowBlank="1" showInputMessage="1" showErrorMessage="1" error="Select a day from the list. Select CANCEL, then press ALT+DOWN ARROW to pick day from the drop-down list" prompt="Select week start day in this cell. Press ALT+DOWN ARROW to open drop-down list, press DOWN ARROW then ENTER to make selection" sqref="L5" xr:uid="{00000000-0002-0000-0000-000000000000}">
      <formula1>"Sunday, Monday"</formula1>
    </dataValidation>
    <dataValidation allowBlank="1" showInputMessage="1" showErrorMessage="1" prompt="Create a custom one-month calendar in this workbook. Customize year and starting day of the week for all months with this January worksheet. Each month is on a separate worksheet." sqref="A1" xr:uid="{00000000-0002-0000-0000-000001000000}"/>
    <dataValidation allowBlank="1" showInputMessage="1" showErrorMessage="1" prompt="Enter year in cell below" sqref="K4" xr:uid="{00000000-0002-0000-0000-000002000000}"/>
    <dataValidation allowBlank="1" showInputMessage="1" showErrorMessage="1" prompt="Select week start day in cell below" sqref="L4" xr:uid="{00000000-0002-0000-0000-000003000000}"/>
    <dataValidation allowBlank="1" showInputMessage="1" showErrorMessage="1" prompt="Enter year in this cell" sqref="K5" xr:uid="{00000000-0002-0000-0000-000004000000}"/>
    <dataValidation allowBlank="1" showInputMessage="1" showErrorMessage="1" prompt="This row contains weekday names for this calendar. This cell contains the starting day of the week. To change week start day, enter a new weekday in cell L5, in this worksheet." sqref="B3" xr:uid="{00000000-0002-0000-0000-000005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000-000006000000}"/>
    <dataValidation allowBlank="1" showInputMessage="1" showErrorMessage="1" prompt="The year in this cell is automatically updated based on the year entered in cell K5. Calendar below has dates for previous and next month with lighter font shade." sqref="B2:D2" xr:uid="{00000000-0002-0000-0000-000007000000}"/>
    <dataValidation allowBlank="1" showInputMessage="1" showErrorMessage="1" prompt="Automatically determined weekday" sqref="C3:H3" xr:uid="{00000000-0002-0000-0000-000008000000}"/>
    <dataValidation allowBlank="1" showInputMessage="1" showErrorMessage="1" prompt="This row &amp; rows 7, 9, 11, 13, &amp; 15 are cells for entering daily notes related to the calendar day in the cell above." sqref="B5" xr:uid="{00000000-0002-0000-0000-000009000000}"/>
    <dataValidation allowBlank="1" showInputMessage="1" prompt="Enter monthly Notes in this cell" sqref="D15:H15" xr:uid="{00000000-0002-0000-0000-00000A000000}"/>
    <dataValidation allowBlank="1" showInputMessage="1" prompt="Enter monthly Notes in cell below" sqref="D14:H14" xr:uid="{00000000-0002-0000-0000-00000B000000}"/>
    <dataValidation allowBlank="1" showInputMessage="1" showErrorMessage="1" prompt="Enter year and select calendar start day in cells below. These Calendar Settings cells will not print" sqref="K3" xr:uid="{00000000-0002-0000-0000-00000C000000}"/>
  </dataValidations>
  <printOptions horizontalCentered="1"/>
  <pageMargins left="0.25" right="0.25" top="0.5" bottom="0.5" header="0.3" footer="0.3"/>
  <pageSetup orientation="landscape" r:id="rId1"/>
  <headerFooter differentFirst="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8" tint="0.59999389629810485"/>
    <pageSetUpPr fitToPage="1"/>
  </sheetPr>
  <dimension ref="A1:I15"/>
  <sheetViews>
    <sheetView showGridLines="0" zoomScaleNormal="100" workbookViewId="0"/>
  </sheetViews>
  <sheetFormatPr defaultColWidth="8.88671875" defaultRowHeight="14.25" x14ac:dyDescent="0.2"/>
  <cols>
    <col min="1" max="1" width="1.88671875" style="1" customWidth="1"/>
    <col min="2" max="8" width="15.44140625" style="1" customWidth="1"/>
    <col min="9" max="9" width="1.88671875" style="1" customWidth="1"/>
    <col min="10" max="16384" width="8.88671875" style="1"/>
  </cols>
  <sheetData>
    <row r="1" spans="1:9" ht="9" customHeight="1" x14ac:dyDescent="0.2">
      <c r="I1" s="1" t="s">
        <v>229</v>
      </c>
    </row>
    <row r="2" spans="1:9" ht="100.5" customHeight="1" x14ac:dyDescent="0.2">
      <c r="B2" s="314" t="str">
        <f>"February "&amp;CalendarYear</f>
        <v>February 2024</v>
      </c>
      <c r="C2" s="314"/>
      <c r="D2" s="314"/>
      <c r="E2" s="2"/>
      <c r="F2" s="2"/>
      <c r="G2" s="2"/>
      <c r="H2" s="3"/>
    </row>
    <row r="3" spans="1:9" s="4" customFormat="1" ht="19.5" customHeight="1" thickBot="1" x14ac:dyDescent="0.25">
      <c r="A3" s="1"/>
      <c r="B3" s="21" t="str">
        <f>WeekStart</f>
        <v>Monday</v>
      </c>
      <c r="C3" s="21" t="str">
        <f t="shared" ref="C3:H3" si="0">TEXT(C4,"dddd")</f>
        <v>terça-feira</v>
      </c>
      <c r="D3" s="21" t="str">
        <f t="shared" si="0"/>
        <v>quarta-feira</v>
      </c>
      <c r="E3" s="21" t="str">
        <f t="shared" si="0"/>
        <v>quinta-feira</v>
      </c>
      <c r="F3" s="21" t="str">
        <f t="shared" si="0"/>
        <v>sexta-feira</v>
      </c>
      <c r="G3" s="21" t="str">
        <f t="shared" si="0"/>
        <v>sábado</v>
      </c>
      <c r="H3" s="21" t="str">
        <f t="shared" si="0"/>
        <v>domingo</v>
      </c>
    </row>
    <row r="4" spans="1:9" s="6" customFormat="1" ht="19.5" customHeight="1" x14ac:dyDescent="0.2">
      <c r="B4" s="8">
        <f t="array" ref="B4:H4">DaysAndWeeks+DATE(CalendarYear,2,1)-WEEKDAY(DATE(CalendarYear,2,1),(WeekStart="Monday")+1)+1</f>
        <v>45320</v>
      </c>
      <c r="C4" s="8">
        <v>45321</v>
      </c>
      <c r="D4" s="8">
        <v>45322</v>
      </c>
      <c r="E4" s="8">
        <v>45323</v>
      </c>
      <c r="F4" s="8">
        <v>45324</v>
      </c>
      <c r="G4" s="8">
        <v>45325</v>
      </c>
      <c r="H4" s="8">
        <v>45326</v>
      </c>
    </row>
    <row r="5" spans="1:9" s="5" customFormat="1" ht="48" customHeight="1" x14ac:dyDescent="0.2"/>
    <row r="6" spans="1:9" s="6" customFormat="1" ht="19.5" customHeight="1" x14ac:dyDescent="0.2">
      <c r="B6" s="7">
        <f t="array" ref="B6:H6">DaysAndWeeks+DATE(CalendarYear,2,1)-WEEKDAY(DATE(CalendarYear,2,1),(WeekStart="Monday")+1)+8</f>
        <v>45327</v>
      </c>
      <c r="C6" s="7">
        <v>45328</v>
      </c>
      <c r="D6" s="7">
        <v>45329</v>
      </c>
      <c r="E6" s="7">
        <v>45330</v>
      </c>
      <c r="F6" s="7">
        <v>45331</v>
      </c>
      <c r="G6" s="7">
        <v>45332</v>
      </c>
      <c r="H6" s="7">
        <v>45333</v>
      </c>
    </row>
    <row r="7" spans="1:9" s="5" customFormat="1" ht="48" customHeight="1" x14ac:dyDescent="0.2">
      <c r="B7" s="9"/>
      <c r="C7" s="9"/>
      <c r="D7" s="9"/>
      <c r="E7" s="9"/>
      <c r="F7" s="9"/>
      <c r="G7" s="9"/>
      <c r="H7" s="9"/>
    </row>
    <row r="8" spans="1:9" s="6" customFormat="1" ht="19.5" customHeight="1" x14ac:dyDescent="0.2">
      <c r="B8" s="8">
        <f t="array" ref="B8:H8">DaysAndWeeks+DATE(CalendarYear,2,1)-WEEKDAY(DATE(CalendarYear,2,1),(WeekStart="Monday")+1)+15</f>
        <v>45334</v>
      </c>
      <c r="C8" s="8">
        <v>45335</v>
      </c>
      <c r="D8" s="8">
        <v>45336</v>
      </c>
      <c r="E8" s="8">
        <v>45337</v>
      </c>
      <c r="F8" s="8">
        <v>45338</v>
      </c>
      <c r="G8" s="8">
        <v>45339</v>
      </c>
      <c r="H8" s="8">
        <v>45340</v>
      </c>
    </row>
    <row r="9" spans="1:9" s="5" customFormat="1" ht="48" customHeight="1" x14ac:dyDescent="0.2"/>
    <row r="10" spans="1:9" s="6" customFormat="1" ht="19.5" customHeight="1" x14ac:dyDescent="0.2">
      <c r="B10" s="7">
        <f t="array" ref="B10:H10">DaysAndWeeks+DATE(CalendarYear,2,1)-WEEKDAY(DATE(CalendarYear,2,1),(WeekStart="Monday")+1)+22</f>
        <v>45341</v>
      </c>
      <c r="C10" s="7">
        <v>45342</v>
      </c>
      <c r="D10" s="7">
        <v>45343</v>
      </c>
      <c r="E10" s="7">
        <v>45344</v>
      </c>
      <c r="F10" s="7">
        <v>45345</v>
      </c>
      <c r="G10" s="7">
        <v>45346</v>
      </c>
      <c r="H10" s="7">
        <v>45347</v>
      </c>
    </row>
    <row r="11" spans="1:9" s="5" customFormat="1" ht="48" customHeight="1" x14ac:dyDescent="0.2">
      <c r="B11" s="9"/>
      <c r="C11" s="9"/>
      <c r="D11" s="9"/>
      <c r="E11" s="9"/>
      <c r="F11" s="9"/>
      <c r="G11" s="9"/>
      <c r="H11" s="9"/>
    </row>
    <row r="12" spans="1:9" s="6" customFormat="1" ht="19.5" customHeight="1" x14ac:dyDescent="0.2">
      <c r="B12" s="8">
        <f t="array" ref="B12:H12">DaysAndWeeks+DATE(CalendarYear,2,1)-WEEKDAY(DATE(CalendarYear,2,1),(WeekStart="Monday")+1)+29</f>
        <v>45348</v>
      </c>
      <c r="C12" s="8">
        <v>45349</v>
      </c>
      <c r="D12" s="8">
        <v>45350</v>
      </c>
      <c r="E12" s="8">
        <v>45351</v>
      </c>
      <c r="F12" s="8">
        <v>45352</v>
      </c>
      <c r="G12" s="8">
        <v>45353</v>
      </c>
      <c r="H12" s="8">
        <v>45354</v>
      </c>
    </row>
    <row r="13" spans="1:9" s="5" customFormat="1" ht="48" customHeight="1" x14ac:dyDescent="0.2"/>
    <row r="14" spans="1:9" s="6" customFormat="1" ht="19.5" customHeight="1" x14ac:dyDescent="0.2">
      <c r="B14" s="7">
        <f t="array" ref="B14:C14">DaysAndWeeks+DATE(CalendarYear,2,1)-WEEKDAY(DATE(CalendarYear,2,1),(WeekStart="Monday")+1)+36</f>
        <v>45355</v>
      </c>
      <c r="C14" s="7">
        <v>45356</v>
      </c>
      <c r="D14" s="315" t="s">
        <v>495</v>
      </c>
      <c r="E14" s="315"/>
      <c r="F14" s="315"/>
      <c r="G14" s="315"/>
      <c r="H14" s="315"/>
    </row>
    <row r="15" spans="1:9" s="5" customFormat="1" ht="48" customHeight="1" x14ac:dyDescent="0.2">
      <c r="B15" s="9"/>
      <c r="C15" s="9"/>
      <c r="D15" s="316"/>
      <c r="E15" s="316"/>
      <c r="F15" s="316"/>
      <c r="G15" s="316"/>
      <c r="H15" s="316"/>
    </row>
  </sheetData>
  <mergeCells count="3">
    <mergeCell ref="B2:D2"/>
    <mergeCell ref="D14:H14"/>
    <mergeCell ref="D15:H15"/>
  </mergeCells>
  <conditionalFormatting sqref="B4:G4">
    <cfRule type="expression" dxfId="35" priority="1">
      <formula>DAY(B4)&gt;8</formula>
    </cfRule>
  </conditionalFormatting>
  <conditionalFormatting sqref="B12:H12 B14:C14">
    <cfRule type="expression" dxfId="34" priority="2">
      <formula>AND(DAY(B12)&gt;=1,DAY(B12)&lt;=15)</formula>
    </cfRule>
  </conditionalFormatting>
  <dataValidations count="8">
    <dataValidation allowBlank="1" showInputMessage="1" showErrorMessage="1" prompt="Automatically determined weekday" sqref="C3:H3" xr:uid="{00000000-0002-0000-0100-000000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100-000001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100-000002000000}"/>
    <dataValidation allowBlank="1" showInputMessage="1" showErrorMessage="1" prompt="February month calendar" sqref="A1" xr:uid="{00000000-0002-0000-0100-000003000000}"/>
    <dataValidation allowBlank="1" showInputMessage="1" prompt="Enter monthly Notes in cell below" sqref="D14:H14" xr:uid="{00000000-0002-0000-0100-000004000000}"/>
    <dataValidation allowBlank="1" showInputMessage="1" prompt="Enter monthly Notes in this cell" sqref="D15:H15" xr:uid="{00000000-0002-0000-0100-000005000000}"/>
    <dataValidation allowBlank="1" showInputMessage="1" showErrorMessage="1" prompt="This row &amp; rows 7, 9, 11, 13, &amp; 15 are cells for entering daily notes related to the calendar day in the cell above." sqref="B5" xr:uid="{00000000-0002-0000-0100-000006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1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9" tint="0.59999389629810485"/>
    <pageSetUpPr fitToPage="1"/>
  </sheetPr>
  <dimension ref="A1:I15"/>
  <sheetViews>
    <sheetView showGridLines="0" zoomScaleNormal="100" workbookViewId="0"/>
  </sheetViews>
  <sheetFormatPr defaultColWidth="8.88671875" defaultRowHeight="14.25" x14ac:dyDescent="0.2"/>
  <cols>
    <col min="1" max="1" width="1.88671875" style="1" customWidth="1"/>
    <col min="2" max="8" width="15.44140625" style="1" customWidth="1"/>
    <col min="9" max="9" width="1.88671875" style="1" customWidth="1"/>
    <col min="10" max="10" width="10.6640625" style="14" customWidth="1"/>
    <col min="11" max="16384" width="8.88671875" style="14"/>
  </cols>
  <sheetData>
    <row r="1" spans="1:9" s="1" customFormat="1" ht="9" customHeight="1" x14ac:dyDescent="0.2">
      <c r="I1" s="1" t="s">
        <v>229</v>
      </c>
    </row>
    <row r="2" spans="1:9" s="1" customFormat="1" ht="100.5" customHeight="1" x14ac:dyDescent="0.2">
      <c r="B2" s="318" t="str">
        <f>"March "&amp;CalendarYear</f>
        <v>March 2024</v>
      </c>
      <c r="C2" s="318"/>
      <c r="D2" s="318"/>
      <c r="E2" s="2"/>
      <c r="F2" s="2"/>
      <c r="G2" s="2"/>
      <c r="H2" s="3"/>
    </row>
    <row r="3" spans="1:9" s="4" customFormat="1" ht="19.5" customHeight="1" thickBot="1" x14ac:dyDescent="0.25">
      <c r="A3" s="1"/>
      <c r="B3" s="22" t="str">
        <f>WeekStart</f>
        <v>Monday</v>
      </c>
      <c r="C3" s="22" t="str">
        <f t="shared" ref="C3:H3" si="0">TEXT(C4,"dddd")</f>
        <v>terça-feira</v>
      </c>
      <c r="D3" s="22" t="str">
        <f t="shared" si="0"/>
        <v>quarta-feira</v>
      </c>
      <c r="E3" s="22" t="str">
        <f t="shared" si="0"/>
        <v>quinta-feira</v>
      </c>
      <c r="F3" s="22" t="str">
        <f t="shared" si="0"/>
        <v>sexta-feira</v>
      </c>
      <c r="G3" s="22" t="str">
        <f t="shared" si="0"/>
        <v>sábado</v>
      </c>
      <c r="H3" s="22" t="str">
        <f t="shared" si="0"/>
        <v>domingo</v>
      </c>
    </row>
    <row r="4" spans="1:9" s="6" customFormat="1" ht="19.5" customHeight="1" x14ac:dyDescent="0.2">
      <c r="B4" s="8">
        <f t="array" ref="B4:H4">DaysAndWeeks+DATE(CalendarYear,3,1)-WEEKDAY(DATE(CalendarYear,3,1),(WeekStart="Monday")+1)+1</f>
        <v>45348</v>
      </c>
      <c r="C4" s="8">
        <v>45349</v>
      </c>
      <c r="D4" s="8">
        <v>45350</v>
      </c>
      <c r="E4" s="8">
        <v>45351</v>
      </c>
      <c r="F4" s="8">
        <v>45352</v>
      </c>
      <c r="G4" s="8">
        <v>45353</v>
      </c>
      <c r="H4" s="8">
        <v>45354</v>
      </c>
    </row>
    <row r="5" spans="1:9" s="5" customFormat="1" ht="48" customHeight="1" x14ac:dyDescent="0.2"/>
    <row r="6" spans="1:9" s="6" customFormat="1" ht="19.5" customHeight="1" x14ac:dyDescent="0.2">
      <c r="B6" s="15">
        <f t="array" ref="B6:H6">DaysAndWeeks+DATE(CalendarYear,3,1)-WEEKDAY(DATE(CalendarYear,3,1),(WeekStart="Monday")+1)+8</f>
        <v>45355</v>
      </c>
      <c r="C6" s="15">
        <v>45356</v>
      </c>
      <c r="D6" s="15">
        <v>45357</v>
      </c>
      <c r="E6" s="15">
        <v>45358</v>
      </c>
      <c r="F6" s="15">
        <v>45359</v>
      </c>
      <c r="G6" s="15">
        <v>45360</v>
      </c>
      <c r="H6" s="15">
        <v>45361</v>
      </c>
    </row>
    <row r="7" spans="1:9" s="5" customFormat="1" ht="48" customHeight="1" x14ac:dyDescent="0.2">
      <c r="B7" s="16"/>
      <c r="C7" s="16"/>
      <c r="D7" s="16"/>
      <c r="E7" s="16"/>
      <c r="F7" s="16"/>
      <c r="G7" s="16"/>
      <c r="H7" s="16"/>
    </row>
    <row r="8" spans="1:9" s="6" customFormat="1" ht="19.5" customHeight="1" x14ac:dyDescent="0.2">
      <c r="B8" s="8">
        <f t="array" ref="B8:H8">DaysAndWeeks+DATE(CalendarYear,3,1)-WEEKDAY(DATE(CalendarYear,3,1),(WeekStart="Monday")+1)+15</f>
        <v>45362</v>
      </c>
      <c r="C8" s="8">
        <v>45363</v>
      </c>
      <c r="D8" s="8">
        <v>45364</v>
      </c>
      <c r="E8" s="8">
        <v>45365</v>
      </c>
      <c r="F8" s="8">
        <v>45366</v>
      </c>
      <c r="G8" s="8">
        <v>45367</v>
      </c>
      <c r="H8" s="8">
        <v>45368</v>
      </c>
    </row>
    <row r="9" spans="1:9" s="5" customFormat="1" ht="48" customHeight="1" x14ac:dyDescent="0.2"/>
    <row r="10" spans="1:9" s="6" customFormat="1" ht="19.5" customHeight="1" x14ac:dyDescent="0.2">
      <c r="B10" s="15">
        <f t="array" ref="B10:H10">DaysAndWeeks+DATE(CalendarYear,3,1)-WEEKDAY(DATE(CalendarYear,3,1),(WeekStart="Monday")+1)+22</f>
        <v>45369</v>
      </c>
      <c r="C10" s="15">
        <v>45370</v>
      </c>
      <c r="D10" s="15">
        <v>45371</v>
      </c>
      <c r="E10" s="15">
        <v>45372</v>
      </c>
      <c r="F10" s="15">
        <v>45373</v>
      </c>
      <c r="G10" s="15">
        <v>45374</v>
      </c>
      <c r="H10" s="15">
        <v>45375</v>
      </c>
    </row>
    <row r="11" spans="1:9" s="5" customFormat="1" ht="48" customHeight="1" x14ac:dyDescent="0.2">
      <c r="B11" s="16"/>
      <c r="C11" s="16"/>
      <c r="D11" s="16"/>
      <c r="E11" s="16"/>
      <c r="F11" s="16"/>
      <c r="G11" s="16"/>
      <c r="H11" s="16"/>
    </row>
    <row r="12" spans="1:9" s="6" customFormat="1" ht="19.5" customHeight="1" x14ac:dyDescent="0.2">
      <c r="B12" s="8">
        <f t="array" ref="B12:H12">DaysAndWeeks+DATE(CalendarYear,3,1)-WEEKDAY(DATE(CalendarYear,3,1),(WeekStart="Monday")+1)+29</f>
        <v>45376</v>
      </c>
      <c r="C12" s="8">
        <v>45377</v>
      </c>
      <c r="D12" s="8">
        <v>45378</v>
      </c>
      <c r="E12" s="8">
        <v>45379</v>
      </c>
      <c r="F12" s="8">
        <v>45380</v>
      </c>
      <c r="G12" s="8">
        <v>45381</v>
      </c>
      <c r="H12" s="8">
        <v>45382</v>
      </c>
    </row>
    <row r="13" spans="1:9" s="5" customFormat="1" ht="48" customHeight="1" x14ac:dyDescent="0.2"/>
    <row r="14" spans="1:9" s="6" customFormat="1" ht="19.5" customHeight="1" x14ac:dyDescent="0.2">
      <c r="B14" s="15">
        <f t="array" ref="B14:C14">DaysAndWeeks+DATE(CalendarYear,3,1)-WEEKDAY(DATE(CalendarYear,3,1),(WeekStart="Monday")+1)+36</f>
        <v>45383</v>
      </c>
      <c r="C14" s="15">
        <v>45384</v>
      </c>
      <c r="D14" s="319" t="s">
        <v>495</v>
      </c>
      <c r="E14" s="319"/>
      <c r="F14" s="319"/>
      <c r="G14" s="319"/>
      <c r="H14" s="319"/>
    </row>
    <row r="15" spans="1:9" s="5" customFormat="1" ht="48" customHeight="1" x14ac:dyDescent="0.2">
      <c r="B15" s="16"/>
      <c r="C15" s="16"/>
      <c r="D15" s="320"/>
      <c r="E15" s="320"/>
      <c r="F15" s="320"/>
      <c r="G15" s="320"/>
      <c r="H15" s="320"/>
    </row>
  </sheetData>
  <mergeCells count="3">
    <mergeCell ref="B2:D2"/>
    <mergeCell ref="D14:H14"/>
    <mergeCell ref="D15:H15"/>
  </mergeCells>
  <conditionalFormatting sqref="B4:G4">
    <cfRule type="expression" dxfId="33" priority="1">
      <formula>DAY(B4)&gt;8</formula>
    </cfRule>
  </conditionalFormatting>
  <conditionalFormatting sqref="B12:H12 B14:C14">
    <cfRule type="expression" dxfId="32" priority="2">
      <formula>AND(DAY(B12)&gt;=1,DAY(B12)&lt;=15)</formula>
    </cfRule>
  </conditionalFormatting>
  <dataValidations count="8">
    <dataValidation allowBlank="1" showInputMessage="1" showErrorMessage="1" prompt="March month calendar" sqref="A1" xr:uid="{00000000-0002-0000-0200-000000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200-000001000000}"/>
    <dataValidation allowBlank="1" showInputMessage="1" showErrorMessage="1" prompt="Automatically determined weekday" sqref="C3:H3" xr:uid="{00000000-0002-0000-0200-000002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200-000003000000}"/>
    <dataValidation allowBlank="1" showInputMessage="1" showErrorMessage="1" prompt="This row &amp; rows 7, 9, 11, 13, &amp; 15 are cells for entering daily notes related to the calendar day in the cell above." sqref="B5" xr:uid="{00000000-0002-0000-0200-000004000000}"/>
    <dataValidation allowBlank="1" showInputMessage="1" prompt="Enter monthly Notes in this cell" sqref="D15:H15" xr:uid="{00000000-0002-0000-0200-000005000000}"/>
    <dataValidation allowBlank="1" showInputMessage="1" prompt="Enter monthly Notes in cell below" sqref="D14:H14" xr:uid="{00000000-0002-0000-0200-000006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2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9" tint="0.59999389629810485"/>
    <pageSetUpPr fitToPage="1"/>
  </sheetPr>
  <dimension ref="A1:I15"/>
  <sheetViews>
    <sheetView showGridLines="0" workbookViewId="0"/>
  </sheetViews>
  <sheetFormatPr defaultColWidth="8.88671875" defaultRowHeight="14.25" x14ac:dyDescent="0.2"/>
  <cols>
    <col min="1" max="1" width="1.88671875" style="1" customWidth="1"/>
    <col min="2" max="8" width="15.44140625" style="1" customWidth="1"/>
    <col min="9" max="9" width="1.88671875" style="1" customWidth="1"/>
    <col min="10" max="10" width="10.6640625" style="14" customWidth="1"/>
    <col min="11" max="16384" width="8.88671875" style="14"/>
  </cols>
  <sheetData>
    <row r="1" spans="1:9" s="1" customFormat="1" ht="9" customHeight="1" x14ac:dyDescent="0.2">
      <c r="I1" s="1" t="s">
        <v>229</v>
      </c>
    </row>
    <row r="2" spans="1:9" s="1" customFormat="1" ht="100.5" customHeight="1" x14ac:dyDescent="0.2">
      <c r="B2" s="318" t="str">
        <f>"April "&amp;CalendarYear</f>
        <v>April 2024</v>
      </c>
      <c r="C2" s="318"/>
      <c r="D2" s="318"/>
      <c r="E2" s="2"/>
      <c r="F2" s="2"/>
      <c r="G2" s="2"/>
      <c r="H2" s="3"/>
    </row>
    <row r="3" spans="1:9" s="4" customFormat="1" ht="19.5" customHeight="1" thickBot="1" x14ac:dyDescent="0.25">
      <c r="A3" s="1"/>
      <c r="B3" s="22" t="str">
        <f>WeekStart</f>
        <v>Monday</v>
      </c>
      <c r="C3" s="22" t="str">
        <f t="shared" ref="C3:H3" si="0">TEXT(C4,"dddd")</f>
        <v>terça-feira</v>
      </c>
      <c r="D3" s="22" t="str">
        <f t="shared" si="0"/>
        <v>quarta-feira</v>
      </c>
      <c r="E3" s="22" t="str">
        <f t="shared" si="0"/>
        <v>quinta-feira</v>
      </c>
      <c r="F3" s="22" t="str">
        <f t="shared" si="0"/>
        <v>sexta-feira</v>
      </c>
      <c r="G3" s="22" t="str">
        <f t="shared" si="0"/>
        <v>sábado</v>
      </c>
      <c r="H3" s="22" t="str">
        <f t="shared" si="0"/>
        <v>domingo</v>
      </c>
    </row>
    <row r="4" spans="1:9" s="6" customFormat="1" ht="19.5" customHeight="1" x14ac:dyDescent="0.2">
      <c r="B4" s="8">
        <f t="array" ref="B4:H4">DaysAndWeeks+DATE(CalendarYear,4,1)-WEEKDAY(DATE(CalendarYear,4,1),(WeekStart="Monday")+1)+1</f>
        <v>45383</v>
      </c>
      <c r="C4" s="8">
        <v>45384</v>
      </c>
      <c r="D4" s="8">
        <v>45385</v>
      </c>
      <c r="E4" s="8">
        <v>45386</v>
      </c>
      <c r="F4" s="8">
        <v>45387</v>
      </c>
      <c r="G4" s="8">
        <v>45388</v>
      </c>
      <c r="H4" s="8">
        <v>45389</v>
      </c>
    </row>
    <row r="5" spans="1:9" s="5" customFormat="1" ht="48" customHeight="1" x14ac:dyDescent="0.2"/>
    <row r="6" spans="1:9" s="6" customFormat="1" ht="19.5" customHeight="1" x14ac:dyDescent="0.2">
      <c r="B6" s="15">
        <f t="array" ref="B6:H6">DaysAndWeeks+DATE(CalendarYear,4,1)-WEEKDAY(DATE(CalendarYear,4,1),(WeekStart="Monday")+1)+8</f>
        <v>45390</v>
      </c>
      <c r="C6" s="15">
        <v>45391</v>
      </c>
      <c r="D6" s="15">
        <v>45392</v>
      </c>
      <c r="E6" s="15">
        <v>45393</v>
      </c>
      <c r="F6" s="15">
        <v>45394</v>
      </c>
      <c r="G6" s="15">
        <v>45395</v>
      </c>
      <c r="H6" s="15">
        <v>45396</v>
      </c>
    </row>
    <row r="7" spans="1:9" s="5" customFormat="1" ht="48" customHeight="1" x14ac:dyDescent="0.2">
      <c r="B7" s="16"/>
      <c r="C7" s="16"/>
      <c r="D7" s="16"/>
      <c r="E7" s="16"/>
      <c r="F7" s="16"/>
      <c r="G7" s="16"/>
      <c r="H7" s="16"/>
    </row>
    <row r="8" spans="1:9" s="6" customFormat="1" ht="19.5" customHeight="1" x14ac:dyDescent="0.2">
      <c r="B8" s="8">
        <f t="array" ref="B8:H8">DaysAndWeeks+DATE(CalendarYear,4,1)-WEEKDAY(DATE(CalendarYear,4,1),(WeekStart="Monday")+1)+15</f>
        <v>45397</v>
      </c>
      <c r="C8" s="8">
        <v>45398</v>
      </c>
      <c r="D8" s="8">
        <v>45399</v>
      </c>
      <c r="E8" s="8">
        <v>45400</v>
      </c>
      <c r="F8" s="8">
        <v>45401</v>
      </c>
      <c r="G8" s="8">
        <v>45402</v>
      </c>
      <c r="H8" s="8">
        <v>45403</v>
      </c>
    </row>
    <row r="9" spans="1:9" s="5" customFormat="1" ht="48" customHeight="1" x14ac:dyDescent="0.2"/>
    <row r="10" spans="1:9" s="6" customFormat="1" ht="19.5" customHeight="1" x14ac:dyDescent="0.2">
      <c r="B10" s="15">
        <f t="array" ref="B10:H10">DaysAndWeeks+DATE(CalendarYear,4,1)-WEEKDAY(DATE(CalendarYear,4,1),(WeekStart="Monday")+1)+22</f>
        <v>45404</v>
      </c>
      <c r="C10" s="15">
        <v>45405</v>
      </c>
      <c r="D10" s="15">
        <v>45406</v>
      </c>
      <c r="E10" s="15">
        <v>45407</v>
      </c>
      <c r="F10" s="15">
        <v>45408</v>
      </c>
      <c r="G10" s="15">
        <v>45409</v>
      </c>
      <c r="H10" s="15">
        <v>45410</v>
      </c>
    </row>
    <row r="11" spans="1:9" s="5" customFormat="1" ht="48" customHeight="1" x14ac:dyDescent="0.2">
      <c r="B11" s="16"/>
      <c r="C11" s="16"/>
      <c r="D11" s="16"/>
      <c r="E11" s="16"/>
      <c r="F11" s="16"/>
      <c r="G11" s="16"/>
      <c r="H11" s="16"/>
    </row>
    <row r="12" spans="1:9" s="6" customFormat="1" ht="19.5" customHeight="1" x14ac:dyDescent="0.2">
      <c r="B12" s="8">
        <f t="array" ref="B12:H12">DaysAndWeeks+DATE(CalendarYear,4,1)-WEEKDAY(DATE(CalendarYear,4,1),(WeekStart="Monday")+1)+29</f>
        <v>45411</v>
      </c>
      <c r="C12" s="8">
        <v>45412</v>
      </c>
      <c r="D12" s="8">
        <v>45413</v>
      </c>
      <c r="E12" s="8">
        <v>45414</v>
      </c>
      <c r="F12" s="8">
        <v>45415</v>
      </c>
      <c r="G12" s="8">
        <v>45416</v>
      </c>
      <c r="H12" s="8">
        <v>45417</v>
      </c>
    </row>
    <row r="13" spans="1:9" s="5" customFormat="1" ht="48" customHeight="1" x14ac:dyDescent="0.2"/>
    <row r="14" spans="1:9" s="6" customFormat="1" ht="19.5" customHeight="1" x14ac:dyDescent="0.2">
      <c r="B14" s="15">
        <f t="array" ref="B14:C14">DaysAndWeeks+DATE(CalendarYear,4,1)-WEEKDAY(DATE(CalendarYear,4,1),(WeekStart="Monday")+1)+36</f>
        <v>45418</v>
      </c>
      <c r="C14" s="15">
        <v>45419</v>
      </c>
      <c r="D14" s="319" t="s">
        <v>495</v>
      </c>
      <c r="E14" s="319"/>
      <c r="F14" s="319"/>
      <c r="G14" s="319"/>
      <c r="H14" s="319"/>
    </row>
    <row r="15" spans="1:9" s="5" customFormat="1" ht="48" customHeight="1" x14ac:dyDescent="0.2">
      <c r="B15" s="16"/>
      <c r="C15" s="16"/>
      <c r="D15" s="320"/>
      <c r="E15" s="320"/>
      <c r="F15" s="320"/>
      <c r="G15" s="320"/>
      <c r="H15" s="320"/>
    </row>
  </sheetData>
  <mergeCells count="3">
    <mergeCell ref="B2:D2"/>
    <mergeCell ref="D14:H14"/>
    <mergeCell ref="D15:H15"/>
  </mergeCells>
  <conditionalFormatting sqref="B4:G4">
    <cfRule type="expression" dxfId="31" priority="1">
      <formula>DAY(B4)&gt;8</formula>
    </cfRule>
  </conditionalFormatting>
  <conditionalFormatting sqref="B12:H12 B14:C14">
    <cfRule type="expression" dxfId="30" priority="2">
      <formula>AND(DAY(B12)&gt;=1,DAY(B12)&lt;=15)</formula>
    </cfRule>
  </conditionalFormatting>
  <dataValidations count="8">
    <dataValidation allowBlank="1" showInputMessage="1" showErrorMessage="1" prompt="Automatically determined weekday" sqref="C3:H3" xr:uid="{00000000-0002-0000-0300-000000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300-000001000000}"/>
    <dataValidation allowBlank="1" showInputMessage="1" showErrorMessage="1" prompt="April month calendar" sqref="A1" xr:uid="{00000000-0002-0000-0300-000002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300-000003000000}"/>
    <dataValidation allowBlank="1" showInputMessage="1" prompt="Enter monthly Notes in cell below" sqref="D14:H14" xr:uid="{00000000-0002-0000-0300-000004000000}"/>
    <dataValidation allowBlank="1" showInputMessage="1" prompt="Enter monthly Notes in this cell" sqref="D15:H15" xr:uid="{00000000-0002-0000-0300-000005000000}"/>
    <dataValidation allowBlank="1" showInputMessage="1" showErrorMessage="1" prompt="This row &amp; rows 7, 9, 11, 13, &amp; 15 are cells for entering daily notes related to the calendar day in the cell above." sqref="B5" xr:uid="{00000000-0002-0000-0300-000006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3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9" tint="0.59999389629810485"/>
    <pageSetUpPr fitToPage="1"/>
  </sheetPr>
  <dimension ref="A1:I15"/>
  <sheetViews>
    <sheetView showGridLines="0" workbookViewId="0"/>
  </sheetViews>
  <sheetFormatPr defaultColWidth="8.88671875" defaultRowHeight="14.25" x14ac:dyDescent="0.2"/>
  <cols>
    <col min="1" max="1" width="1.88671875" style="1" customWidth="1"/>
    <col min="2" max="8" width="15.44140625" style="1" customWidth="1"/>
    <col min="9" max="9" width="1.88671875" style="1" customWidth="1"/>
    <col min="10" max="10" width="10.6640625" style="14" customWidth="1"/>
    <col min="11" max="16384" width="8.88671875" style="14"/>
  </cols>
  <sheetData>
    <row r="1" spans="1:9" s="1" customFormat="1" ht="9" customHeight="1" x14ac:dyDescent="0.2">
      <c r="I1" s="1" t="s">
        <v>229</v>
      </c>
    </row>
    <row r="2" spans="1:9" s="1" customFormat="1" ht="100.5" customHeight="1" x14ac:dyDescent="0.2">
      <c r="B2" s="318" t="str">
        <f>"May "&amp;CalendarYear</f>
        <v>May 2024</v>
      </c>
      <c r="C2" s="318"/>
      <c r="D2" s="318"/>
      <c r="E2" s="2"/>
      <c r="F2" s="2"/>
      <c r="G2" s="2"/>
      <c r="H2" s="3"/>
    </row>
    <row r="3" spans="1:9" s="4" customFormat="1" ht="19.5" customHeight="1" thickBot="1" x14ac:dyDescent="0.25">
      <c r="A3" s="1"/>
      <c r="B3" s="22" t="str">
        <f>WeekStart</f>
        <v>Monday</v>
      </c>
      <c r="C3" s="22" t="str">
        <f t="shared" ref="C3:H3" si="0">TEXT(C4,"dddd")</f>
        <v>terça-feira</v>
      </c>
      <c r="D3" s="22" t="str">
        <f t="shared" si="0"/>
        <v>quarta-feira</v>
      </c>
      <c r="E3" s="22" t="str">
        <f t="shared" si="0"/>
        <v>quinta-feira</v>
      </c>
      <c r="F3" s="22" t="str">
        <f t="shared" si="0"/>
        <v>sexta-feira</v>
      </c>
      <c r="G3" s="22" t="str">
        <f t="shared" si="0"/>
        <v>sábado</v>
      </c>
      <c r="H3" s="22" t="str">
        <f t="shared" si="0"/>
        <v>domingo</v>
      </c>
    </row>
    <row r="4" spans="1:9" s="6" customFormat="1" ht="19.5" customHeight="1" x14ac:dyDescent="0.2">
      <c r="B4" s="8">
        <f t="array" ref="B4:H4">DaysAndWeeks+DATE(CalendarYear,5,1)-WEEKDAY(DATE(CalendarYear,5,1),(WeekStart="Monday")+1)+1</f>
        <v>45411</v>
      </c>
      <c r="C4" s="8">
        <v>45412</v>
      </c>
      <c r="D4" s="8">
        <v>45413</v>
      </c>
      <c r="E4" s="8">
        <v>45414</v>
      </c>
      <c r="F4" s="8">
        <v>45415</v>
      </c>
      <c r="G4" s="8">
        <v>45416</v>
      </c>
      <c r="H4" s="8">
        <v>45417</v>
      </c>
    </row>
    <row r="5" spans="1:9" s="5" customFormat="1" ht="48" customHeight="1" x14ac:dyDescent="0.2"/>
    <row r="6" spans="1:9" s="6" customFormat="1" ht="19.5" customHeight="1" x14ac:dyDescent="0.2">
      <c r="B6" s="15">
        <f t="array" ref="B6:H6">DaysAndWeeks+DATE(CalendarYear,5,1)-WEEKDAY(DATE(CalendarYear,5,1),(WeekStart="Monday")+1)+8</f>
        <v>45418</v>
      </c>
      <c r="C6" s="15">
        <v>45419</v>
      </c>
      <c r="D6" s="15">
        <v>45420</v>
      </c>
      <c r="E6" s="15">
        <v>45421</v>
      </c>
      <c r="F6" s="15">
        <v>45422</v>
      </c>
      <c r="G6" s="15">
        <v>45423</v>
      </c>
      <c r="H6" s="15">
        <v>45424</v>
      </c>
    </row>
    <row r="7" spans="1:9" s="5" customFormat="1" ht="48" customHeight="1" x14ac:dyDescent="0.2">
      <c r="B7" s="16"/>
      <c r="C7" s="16"/>
      <c r="D7" s="16"/>
      <c r="E7" s="16"/>
      <c r="F7" s="16"/>
      <c r="G7" s="16"/>
      <c r="H7" s="16"/>
    </row>
    <row r="8" spans="1:9" s="6" customFormat="1" ht="19.5" customHeight="1" x14ac:dyDescent="0.2">
      <c r="B8" s="8">
        <f t="array" ref="B8:H8">DaysAndWeeks+DATE(CalendarYear,5,1)-WEEKDAY(DATE(CalendarYear,5,1),(WeekStart="Monday")+1)+15</f>
        <v>45425</v>
      </c>
      <c r="C8" s="8">
        <v>45426</v>
      </c>
      <c r="D8" s="8">
        <v>45427</v>
      </c>
      <c r="E8" s="8">
        <v>45428</v>
      </c>
      <c r="F8" s="8">
        <v>45429</v>
      </c>
      <c r="G8" s="8">
        <v>45430</v>
      </c>
      <c r="H8" s="8">
        <v>45431</v>
      </c>
    </row>
    <row r="9" spans="1:9" s="5" customFormat="1" ht="48" customHeight="1" x14ac:dyDescent="0.2"/>
    <row r="10" spans="1:9" s="6" customFormat="1" ht="19.5" customHeight="1" x14ac:dyDescent="0.2">
      <c r="B10" s="15">
        <f t="array" ref="B10:H10">DaysAndWeeks+DATE(CalendarYear,5,1)-WEEKDAY(DATE(CalendarYear,5,1),(WeekStart="Monday")+1)+22</f>
        <v>45432</v>
      </c>
      <c r="C10" s="15">
        <v>45433</v>
      </c>
      <c r="D10" s="15">
        <v>45434</v>
      </c>
      <c r="E10" s="15">
        <v>45435</v>
      </c>
      <c r="F10" s="15">
        <v>45436</v>
      </c>
      <c r="G10" s="15">
        <v>45437</v>
      </c>
      <c r="H10" s="15">
        <v>45438</v>
      </c>
    </row>
    <row r="11" spans="1:9" s="5" customFormat="1" ht="48" customHeight="1" x14ac:dyDescent="0.2">
      <c r="B11" s="16"/>
      <c r="C11" s="16"/>
      <c r="D11" s="16"/>
      <c r="E11" s="16"/>
      <c r="F11" s="16"/>
      <c r="G11" s="16"/>
      <c r="H11" s="16"/>
    </row>
    <row r="12" spans="1:9" s="6" customFormat="1" ht="19.5" customHeight="1" x14ac:dyDescent="0.2">
      <c r="B12" s="8">
        <f t="array" ref="B12:H12">DaysAndWeeks+DATE(CalendarYear,5,1)-WEEKDAY(DATE(CalendarYear,5,1),(WeekStart="Monday")+1)+29</f>
        <v>45439</v>
      </c>
      <c r="C12" s="8">
        <v>45440</v>
      </c>
      <c r="D12" s="8">
        <v>45441</v>
      </c>
      <c r="E12" s="8">
        <v>45442</v>
      </c>
      <c r="F12" s="8">
        <v>45443</v>
      </c>
      <c r="G12" s="8">
        <v>45444</v>
      </c>
      <c r="H12" s="8">
        <v>45445</v>
      </c>
    </row>
    <row r="13" spans="1:9" s="5" customFormat="1" ht="48" customHeight="1" x14ac:dyDescent="0.2"/>
    <row r="14" spans="1:9" s="6" customFormat="1" ht="19.5" customHeight="1" x14ac:dyDescent="0.2">
      <c r="B14" s="15">
        <f t="array" ref="B14:C14">DaysAndWeeks+DATE(CalendarYear,5,1)-WEEKDAY(DATE(CalendarYear,5,1),(WeekStart="Monday")+1)+36</f>
        <v>45446</v>
      </c>
      <c r="C14" s="15">
        <v>45447</v>
      </c>
      <c r="D14" s="319" t="s">
        <v>495</v>
      </c>
      <c r="E14" s="319"/>
      <c r="F14" s="319"/>
      <c r="G14" s="319"/>
      <c r="H14" s="319"/>
    </row>
    <row r="15" spans="1:9" s="5" customFormat="1" ht="48" customHeight="1" x14ac:dyDescent="0.2">
      <c r="B15" s="16"/>
      <c r="C15" s="16"/>
      <c r="D15" s="320"/>
      <c r="E15" s="320"/>
      <c r="F15" s="320"/>
      <c r="G15" s="320"/>
      <c r="H15" s="320"/>
    </row>
  </sheetData>
  <mergeCells count="3">
    <mergeCell ref="B2:D2"/>
    <mergeCell ref="D14:H14"/>
    <mergeCell ref="D15:H15"/>
  </mergeCells>
  <conditionalFormatting sqref="B4:G4">
    <cfRule type="expression" dxfId="29" priority="1">
      <formula>DAY(B4)&gt;8</formula>
    </cfRule>
  </conditionalFormatting>
  <conditionalFormatting sqref="B12:H12 B14:C14">
    <cfRule type="expression" dxfId="28" priority="2">
      <formula>AND(DAY(B12)&gt;=1,DAY(B12)&lt;=15)</formula>
    </cfRule>
  </conditionalFormatting>
  <dataValidations count="8">
    <dataValidation allowBlank="1" showInputMessage="1" showErrorMessage="1" prompt="Automatically determined weekday" sqref="C3:H3" xr:uid="{00000000-0002-0000-0400-000000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400-000001000000}"/>
    <dataValidation allowBlank="1" showInputMessage="1" showErrorMessage="1" prompt="May month calendar" sqref="A1" xr:uid="{00000000-0002-0000-0400-000002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400-000003000000}"/>
    <dataValidation allowBlank="1" showInputMessage="1" showErrorMessage="1" prompt="This row &amp; rows 7, 9, 11, 13, &amp; 15 are cells for entering daily notes related to the calendar day in the cell above." sqref="B5" xr:uid="{00000000-0002-0000-0400-000004000000}"/>
    <dataValidation allowBlank="1" showInputMessage="1" prompt="Enter monthly Notes in this cell" sqref="D15:H15" xr:uid="{00000000-0002-0000-0400-000005000000}"/>
    <dataValidation allowBlank="1" showInputMessage="1" prompt="Enter monthly Notes in cell below" sqref="D14:H14" xr:uid="{00000000-0002-0000-0400-000006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4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theme="7" tint="0.59999389629810485"/>
    <pageSetUpPr fitToPage="1"/>
  </sheetPr>
  <dimension ref="A1:I15"/>
  <sheetViews>
    <sheetView showGridLines="0" workbookViewId="0"/>
  </sheetViews>
  <sheetFormatPr defaultColWidth="8.88671875" defaultRowHeight="14.25" x14ac:dyDescent="0.2"/>
  <cols>
    <col min="1" max="1" width="1.88671875" style="1" customWidth="1"/>
    <col min="2" max="8" width="15.44140625" style="1" customWidth="1"/>
    <col min="9" max="9" width="1.88671875" style="1" customWidth="1"/>
    <col min="10" max="10" width="10.6640625" style="14" customWidth="1"/>
    <col min="11" max="16384" width="8.88671875" style="14"/>
  </cols>
  <sheetData>
    <row r="1" spans="1:9" s="1" customFormat="1" ht="9" customHeight="1" x14ac:dyDescent="0.2">
      <c r="I1" s="1" t="s">
        <v>229</v>
      </c>
    </row>
    <row r="2" spans="1:9" s="1" customFormat="1" ht="100.5" customHeight="1" x14ac:dyDescent="0.2">
      <c r="B2" s="321" t="str">
        <f>"June "&amp;CalendarYear</f>
        <v>June 2024</v>
      </c>
      <c r="C2" s="321"/>
      <c r="D2" s="321"/>
      <c r="E2" s="2"/>
      <c r="F2" s="2"/>
      <c r="G2" s="2"/>
      <c r="H2" s="3"/>
    </row>
    <row r="3" spans="1:9" s="4" customFormat="1" ht="19.5" customHeight="1" thickBot="1" x14ac:dyDescent="0.25">
      <c r="A3" s="1"/>
      <c r="B3" s="23" t="str">
        <f>WeekStart</f>
        <v>Monday</v>
      </c>
      <c r="C3" s="23" t="str">
        <f t="shared" ref="C3:H3" si="0">TEXT(C4,"dddd")</f>
        <v>terça-feira</v>
      </c>
      <c r="D3" s="23" t="str">
        <f t="shared" si="0"/>
        <v>quarta-feira</v>
      </c>
      <c r="E3" s="23" t="str">
        <f t="shared" si="0"/>
        <v>quinta-feira</v>
      </c>
      <c r="F3" s="23" t="str">
        <f t="shared" si="0"/>
        <v>sexta-feira</v>
      </c>
      <c r="G3" s="23" t="str">
        <f t="shared" si="0"/>
        <v>sábado</v>
      </c>
      <c r="H3" s="23" t="str">
        <f t="shared" si="0"/>
        <v>domingo</v>
      </c>
    </row>
    <row r="4" spans="1:9" s="6" customFormat="1" ht="19.5" customHeight="1" x14ac:dyDescent="0.2">
      <c r="B4" s="8">
        <f t="array" ref="B4:H4">DaysAndWeeks+DATE(CalendarYear,6,1)-WEEKDAY(DATE(CalendarYear,6,1),(WeekStart="Monday")+1)+1</f>
        <v>45439</v>
      </c>
      <c r="C4" s="8">
        <v>45440</v>
      </c>
      <c r="D4" s="8">
        <v>45441</v>
      </c>
      <c r="E4" s="8">
        <v>45442</v>
      </c>
      <c r="F4" s="8">
        <v>45443</v>
      </c>
      <c r="G4" s="8">
        <v>45444</v>
      </c>
      <c r="H4" s="8">
        <v>45445</v>
      </c>
    </row>
    <row r="5" spans="1:9" s="5" customFormat="1" ht="48" customHeight="1" x14ac:dyDescent="0.2"/>
    <row r="6" spans="1:9" s="6" customFormat="1" ht="19.5" customHeight="1" x14ac:dyDescent="0.2">
      <c r="B6" s="19">
        <f t="array" ref="B6:H6">DaysAndWeeks+DATE(CalendarYear,6,1)-WEEKDAY(DATE(CalendarYear,6,1),(WeekStart="Monday")+1)+8</f>
        <v>45446</v>
      </c>
      <c r="C6" s="19">
        <v>45447</v>
      </c>
      <c r="D6" s="19">
        <v>45448</v>
      </c>
      <c r="E6" s="19">
        <v>45449</v>
      </c>
      <c r="F6" s="19">
        <v>45450</v>
      </c>
      <c r="G6" s="19">
        <v>45451</v>
      </c>
      <c r="H6" s="19">
        <v>45452</v>
      </c>
    </row>
    <row r="7" spans="1:9" s="5" customFormat="1" ht="48" customHeight="1" x14ac:dyDescent="0.2">
      <c r="B7" s="20"/>
      <c r="C7" s="20"/>
      <c r="D7" s="20"/>
      <c r="E7" s="20"/>
      <c r="F7" s="20"/>
      <c r="G7" s="20"/>
      <c r="H7" s="20"/>
    </row>
    <row r="8" spans="1:9" s="6" customFormat="1" ht="19.5" customHeight="1" x14ac:dyDescent="0.2">
      <c r="B8" s="8">
        <f t="array" ref="B8:H8">DaysAndWeeks+DATE(CalendarYear,6,1)-WEEKDAY(DATE(CalendarYear,6,1),(WeekStart="Monday")+1)+15</f>
        <v>45453</v>
      </c>
      <c r="C8" s="8">
        <v>45454</v>
      </c>
      <c r="D8" s="8">
        <v>45455</v>
      </c>
      <c r="E8" s="8">
        <v>45456</v>
      </c>
      <c r="F8" s="8">
        <v>45457</v>
      </c>
      <c r="G8" s="8">
        <v>45458</v>
      </c>
      <c r="H8" s="8">
        <v>45459</v>
      </c>
    </row>
    <row r="9" spans="1:9" s="5" customFormat="1" ht="48" customHeight="1" x14ac:dyDescent="0.2"/>
    <row r="10" spans="1:9" s="6" customFormat="1" ht="19.5" customHeight="1" x14ac:dyDescent="0.2">
      <c r="B10" s="19">
        <f t="array" ref="B10:H10">DaysAndWeeks+DATE(CalendarYear,6,1)-WEEKDAY(DATE(CalendarYear,6,1),(WeekStart="Monday")+1)+22</f>
        <v>45460</v>
      </c>
      <c r="C10" s="19">
        <v>45461</v>
      </c>
      <c r="D10" s="19">
        <v>45462</v>
      </c>
      <c r="E10" s="19">
        <v>45463</v>
      </c>
      <c r="F10" s="19">
        <v>45464</v>
      </c>
      <c r="G10" s="19">
        <v>45465</v>
      </c>
      <c r="H10" s="19">
        <v>45466</v>
      </c>
    </row>
    <row r="11" spans="1:9" s="5" customFormat="1" ht="48" customHeight="1" x14ac:dyDescent="0.2">
      <c r="B11" s="20"/>
      <c r="C11" s="20"/>
      <c r="D11" s="20"/>
      <c r="E11" s="20"/>
      <c r="F11" s="20"/>
      <c r="G11" s="20"/>
      <c r="H11" s="20"/>
    </row>
    <row r="12" spans="1:9" s="6" customFormat="1" ht="19.5" customHeight="1" x14ac:dyDescent="0.2">
      <c r="B12" s="8">
        <f t="array" ref="B12:H12">DaysAndWeeks+DATE(CalendarYear,6,1)-WEEKDAY(DATE(CalendarYear,6,1),(WeekStart="Monday")+1)+29</f>
        <v>45467</v>
      </c>
      <c r="C12" s="8">
        <v>45468</v>
      </c>
      <c r="D12" s="8">
        <v>45469</v>
      </c>
      <c r="E12" s="8">
        <v>45470</v>
      </c>
      <c r="F12" s="8">
        <v>45471</v>
      </c>
      <c r="G12" s="8">
        <v>45472</v>
      </c>
      <c r="H12" s="8">
        <v>45473</v>
      </c>
    </row>
    <row r="13" spans="1:9" s="5" customFormat="1" ht="48" customHeight="1" x14ac:dyDescent="0.2"/>
    <row r="14" spans="1:9" s="6" customFormat="1" ht="19.5" customHeight="1" x14ac:dyDescent="0.2">
      <c r="B14" s="19">
        <f t="array" ref="B14:C14">DaysAndWeeks+DATE(CalendarYear,6,1)-WEEKDAY(DATE(CalendarYear,6,1),(WeekStart="Monday")+1)+36</f>
        <v>45474</v>
      </c>
      <c r="C14" s="19">
        <v>45475</v>
      </c>
      <c r="D14" s="322" t="s">
        <v>495</v>
      </c>
      <c r="E14" s="322"/>
      <c r="F14" s="322"/>
      <c r="G14" s="322"/>
      <c r="H14" s="322"/>
    </row>
    <row r="15" spans="1:9" s="5" customFormat="1" ht="48" customHeight="1" x14ac:dyDescent="0.2">
      <c r="B15" s="20"/>
      <c r="C15" s="20"/>
      <c r="D15" s="323"/>
      <c r="E15" s="323"/>
      <c r="F15" s="323"/>
      <c r="G15" s="323"/>
      <c r="H15" s="323"/>
    </row>
  </sheetData>
  <mergeCells count="3">
    <mergeCell ref="B2:D2"/>
    <mergeCell ref="D14:H14"/>
    <mergeCell ref="D15:H15"/>
  </mergeCells>
  <conditionalFormatting sqref="B4:G4">
    <cfRule type="expression" dxfId="27" priority="1">
      <formula>DAY(B4)&gt;8</formula>
    </cfRule>
  </conditionalFormatting>
  <conditionalFormatting sqref="B12:H12 B14:C14">
    <cfRule type="expression" dxfId="26" priority="2">
      <formula>AND(DAY(B12)&gt;=1,DAY(B12)&lt;=15)</formula>
    </cfRule>
  </conditionalFormatting>
  <dataValidations count="8">
    <dataValidation allowBlank="1" showInputMessage="1" showErrorMessage="1" prompt="Automatically determined weekday" sqref="C3:H3" xr:uid="{00000000-0002-0000-0500-000000000000}"/>
    <dataValidation allowBlank="1" showInputMessage="1" showErrorMessage="1" prompt="June month calendar" sqref="A1" xr:uid="{00000000-0002-0000-0500-000001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500-000002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500-000003000000}"/>
    <dataValidation allowBlank="1" showInputMessage="1" prompt="Enter monthly Notes in cell below" sqref="D14:H14" xr:uid="{00000000-0002-0000-0500-000004000000}"/>
    <dataValidation allowBlank="1" showInputMessage="1" prompt="Enter monthly Notes in this cell" sqref="D15:H15" xr:uid="{00000000-0002-0000-0500-000005000000}"/>
    <dataValidation allowBlank="1" showInputMessage="1" showErrorMessage="1" prompt="This row &amp; rows 7, 9, 11, 13, &amp; 15 are cells for entering daily notes related to the calendar day in the cell above." sqref="B5" xr:uid="{00000000-0002-0000-0500-000006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5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0.59999389629810485"/>
    <pageSetUpPr fitToPage="1"/>
  </sheetPr>
  <dimension ref="A1:I15"/>
  <sheetViews>
    <sheetView showGridLines="0" zoomScaleNormal="100" workbookViewId="0"/>
  </sheetViews>
  <sheetFormatPr defaultColWidth="8.88671875" defaultRowHeight="14.25" x14ac:dyDescent="0.2"/>
  <cols>
    <col min="1" max="1" width="1.88671875" style="1" customWidth="1"/>
    <col min="2" max="8" width="15.44140625" style="1" customWidth="1"/>
    <col min="9" max="9" width="1.88671875" style="1" customWidth="1"/>
    <col min="10" max="10" width="10.6640625" style="14" customWidth="1"/>
    <col min="11" max="16384" width="8.88671875" style="14"/>
  </cols>
  <sheetData>
    <row r="1" spans="1:9" s="1" customFormat="1" ht="9" customHeight="1" x14ac:dyDescent="0.2">
      <c r="I1" s="1" t="s">
        <v>229</v>
      </c>
    </row>
    <row r="2" spans="1:9" s="1" customFormat="1" ht="100.5" customHeight="1" x14ac:dyDescent="0.2">
      <c r="B2" s="321" t="str">
        <f>"July "&amp;CalendarYear</f>
        <v>July 2024</v>
      </c>
      <c r="C2" s="321"/>
      <c r="D2" s="321"/>
      <c r="E2" s="2"/>
      <c r="F2" s="2"/>
      <c r="G2" s="2"/>
      <c r="H2" s="3"/>
    </row>
    <row r="3" spans="1:9" s="4" customFormat="1" ht="19.5" customHeight="1" thickBot="1" x14ac:dyDescent="0.25">
      <c r="A3" s="1"/>
      <c r="B3" s="23" t="str">
        <f>WeekStart</f>
        <v>Monday</v>
      </c>
      <c r="C3" s="23" t="str">
        <f t="shared" ref="C3:H3" si="0">TEXT(C4,"dddd")</f>
        <v>terça-feira</v>
      </c>
      <c r="D3" s="23" t="str">
        <f t="shared" si="0"/>
        <v>quarta-feira</v>
      </c>
      <c r="E3" s="23" t="str">
        <f t="shared" si="0"/>
        <v>quinta-feira</v>
      </c>
      <c r="F3" s="23" t="str">
        <f t="shared" si="0"/>
        <v>sexta-feira</v>
      </c>
      <c r="G3" s="23" t="str">
        <f t="shared" si="0"/>
        <v>sábado</v>
      </c>
      <c r="H3" s="23" t="str">
        <f t="shared" si="0"/>
        <v>domingo</v>
      </c>
    </row>
    <row r="4" spans="1:9" s="6" customFormat="1" ht="19.5" customHeight="1" x14ac:dyDescent="0.2">
      <c r="B4" s="8">
        <f t="array" ref="B4:H4">DaysAndWeeks+DATE(CalendarYear,7,1)-WEEKDAY(DATE(CalendarYear,7,1),(WeekStart="Monday")+1)+1</f>
        <v>45474</v>
      </c>
      <c r="C4" s="8">
        <v>45475</v>
      </c>
      <c r="D4" s="8">
        <v>45476</v>
      </c>
      <c r="E4" s="8">
        <v>45477</v>
      </c>
      <c r="F4" s="8">
        <v>45478</v>
      </c>
      <c r="G4" s="8">
        <v>45479</v>
      </c>
      <c r="H4" s="8">
        <v>45480</v>
      </c>
    </row>
    <row r="5" spans="1:9" s="5" customFormat="1" ht="48" customHeight="1" x14ac:dyDescent="0.2"/>
    <row r="6" spans="1:9" s="6" customFormat="1" ht="19.5" customHeight="1" x14ac:dyDescent="0.2">
      <c r="B6" s="19">
        <f t="array" ref="B6:H6">DaysAndWeeks+DATE(CalendarYear,7,1)-WEEKDAY(DATE(CalendarYear,7,1),(WeekStart="Monday")+1)+8</f>
        <v>45481</v>
      </c>
      <c r="C6" s="19">
        <v>45482</v>
      </c>
      <c r="D6" s="19">
        <v>45483</v>
      </c>
      <c r="E6" s="19">
        <v>45484</v>
      </c>
      <c r="F6" s="19">
        <v>45485</v>
      </c>
      <c r="G6" s="19">
        <v>45486</v>
      </c>
      <c r="H6" s="19">
        <v>45487</v>
      </c>
    </row>
    <row r="7" spans="1:9" s="5" customFormat="1" ht="48" customHeight="1" x14ac:dyDescent="0.2">
      <c r="B7" s="20"/>
      <c r="C7" s="20"/>
      <c r="D7" s="20"/>
      <c r="E7" s="20"/>
      <c r="F7" s="20"/>
      <c r="G7" s="20"/>
      <c r="H7" s="20"/>
    </row>
    <row r="8" spans="1:9" s="6" customFormat="1" ht="19.5" customHeight="1" x14ac:dyDescent="0.2">
      <c r="B8" s="8">
        <f t="array" ref="B8:H8">DaysAndWeeks+DATE(CalendarYear,7,1)-WEEKDAY(DATE(CalendarYear,7,1),(WeekStart="Monday")+1)+15</f>
        <v>45488</v>
      </c>
      <c r="C8" s="8">
        <v>45489</v>
      </c>
      <c r="D8" s="8">
        <v>45490</v>
      </c>
      <c r="E8" s="8">
        <v>45491</v>
      </c>
      <c r="F8" s="8">
        <v>45492</v>
      </c>
      <c r="G8" s="8">
        <v>45493</v>
      </c>
      <c r="H8" s="8">
        <v>45494</v>
      </c>
    </row>
    <row r="9" spans="1:9" s="5" customFormat="1" ht="48" customHeight="1" x14ac:dyDescent="0.2"/>
    <row r="10" spans="1:9" s="6" customFormat="1" ht="19.5" customHeight="1" x14ac:dyDescent="0.2">
      <c r="B10" s="19">
        <f t="array" ref="B10:H10">DaysAndWeeks+DATE(CalendarYear,7,1)-WEEKDAY(DATE(CalendarYear,7,1),(WeekStart="Monday")+1)+22</f>
        <v>45495</v>
      </c>
      <c r="C10" s="19">
        <v>45496</v>
      </c>
      <c r="D10" s="19">
        <v>45497</v>
      </c>
      <c r="E10" s="19">
        <v>45498</v>
      </c>
      <c r="F10" s="19">
        <v>45499</v>
      </c>
      <c r="G10" s="19">
        <v>45500</v>
      </c>
      <c r="H10" s="19">
        <v>45501</v>
      </c>
    </row>
    <row r="11" spans="1:9" s="5" customFormat="1" ht="48" customHeight="1" x14ac:dyDescent="0.2">
      <c r="B11" s="20"/>
      <c r="C11" s="20"/>
      <c r="D11" s="20"/>
      <c r="E11" s="20"/>
      <c r="F11" s="20"/>
      <c r="G11" s="20"/>
      <c r="H11" s="20"/>
    </row>
    <row r="12" spans="1:9" s="6" customFormat="1" ht="19.5" customHeight="1" x14ac:dyDescent="0.2">
      <c r="B12" s="8">
        <f t="array" ref="B12:H12">DaysAndWeeks+DATE(CalendarYear,7,1)-WEEKDAY(DATE(CalendarYear,7,1),(WeekStart="Monday")+1)+29</f>
        <v>45502</v>
      </c>
      <c r="C12" s="8">
        <v>45503</v>
      </c>
      <c r="D12" s="8">
        <v>45504</v>
      </c>
      <c r="E12" s="8">
        <v>45505</v>
      </c>
      <c r="F12" s="8">
        <v>45506</v>
      </c>
      <c r="G12" s="8">
        <v>45507</v>
      </c>
      <c r="H12" s="8">
        <v>45508</v>
      </c>
    </row>
    <row r="13" spans="1:9" s="5" customFormat="1" ht="48" customHeight="1" x14ac:dyDescent="0.2"/>
    <row r="14" spans="1:9" s="6" customFormat="1" ht="19.5" customHeight="1" x14ac:dyDescent="0.2">
      <c r="B14" s="19">
        <f t="array" ref="B14:C14">DaysAndWeeks+DATE(CalendarYear,7,1)-WEEKDAY(DATE(CalendarYear,7,1),(WeekStart="Monday")+1)+36</f>
        <v>45509</v>
      </c>
      <c r="C14" s="19">
        <v>45510</v>
      </c>
      <c r="D14" s="322" t="s">
        <v>495</v>
      </c>
      <c r="E14" s="322"/>
      <c r="F14" s="322"/>
      <c r="G14" s="322"/>
      <c r="H14" s="322"/>
    </row>
    <row r="15" spans="1:9" s="5" customFormat="1" ht="48" customHeight="1" x14ac:dyDescent="0.2">
      <c r="B15" s="20"/>
      <c r="C15" s="20"/>
      <c r="D15" s="323"/>
      <c r="E15" s="323"/>
      <c r="F15" s="323"/>
      <c r="G15" s="323"/>
      <c r="H15" s="323"/>
    </row>
  </sheetData>
  <mergeCells count="3">
    <mergeCell ref="B2:D2"/>
    <mergeCell ref="D14:H14"/>
    <mergeCell ref="D15:H15"/>
  </mergeCells>
  <conditionalFormatting sqref="B4:G4">
    <cfRule type="expression" dxfId="25" priority="1">
      <formula>DAY(B4)&gt;8</formula>
    </cfRule>
  </conditionalFormatting>
  <conditionalFormatting sqref="B12:H12 B14:C14">
    <cfRule type="expression" dxfId="24" priority="2">
      <formula>AND(DAY(B12)&gt;=1,DAY(B12)&lt;=15)</formula>
    </cfRule>
  </conditionalFormatting>
  <dataValidations count="8">
    <dataValidation allowBlank="1" showInputMessage="1" showErrorMessage="1" prompt="Automatically determined weekday" sqref="C3:H3" xr:uid="{00000000-0002-0000-0600-000000000000}"/>
    <dataValidation allowBlank="1" showInputMessage="1" showErrorMessage="1" prompt="July month calendar" sqref="A1" xr:uid="{00000000-0002-0000-0600-000001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600-000002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600-000003000000}"/>
    <dataValidation allowBlank="1" showInputMessage="1" showErrorMessage="1" prompt="This row &amp; rows 7, 9, 11, 13, &amp; 15 are cells for entering daily notes related to the calendar day in the cell above." sqref="B5" xr:uid="{00000000-0002-0000-0600-000004000000}"/>
    <dataValidation allowBlank="1" showInputMessage="1" prompt="Enter monthly Notes in this cell" sqref="D15:H15" xr:uid="{00000000-0002-0000-0600-000005000000}"/>
    <dataValidation allowBlank="1" showInputMessage="1" prompt="Enter monthly Notes in cell below" sqref="D14:H14" xr:uid="{00000000-0002-0000-0600-000006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6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0.59999389629810485"/>
    <pageSetUpPr fitToPage="1"/>
  </sheetPr>
  <dimension ref="A1:I15"/>
  <sheetViews>
    <sheetView showGridLines="0" workbookViewId="0"/>
  </sheetViews>
  <sheetFormatPr defaultColWidth="8.88671875" defaultRowHeight="14.25" x14ac:dyDescent="0.2"/>
  <cols>
    <col min="1" max="1" width="1.88671875" style="1" customWidth="1"/>
    <col min="2" max="8" width="15.44140625" style="1" customWidth="1"/>
    <col min="9" max="9" width="1.88671875" style="1" customWidth="1"/>
    <col min="10" max="10" width="10.6640625" style="14" customWidth="1"/>
    <col min="11" max="16384" width="8.88671875" style="14"/>
  </cols>
  <sheetData>
    <row r="1" spans="1:9" s="1" customFormat="1" ht="9" customHeight="1" x14ac:dyDescent="0.2">
      <c r="I1" s="1" t="s">
        <v>229</v>
      </c>
    </row>
    <row r="2" spans="1:9" s="1" customFormat="1" ht="100.5" customHeight="1" x14ac:dyDescent="0.2">
      <c r="B2" s="321" t="str">
        <f>"August "&amp;CalendarYear</f>
        <v>August 2024</v>
      </c>
      <c r="C2" s="321"/>
      <c r="D2" s="321"/>
      <c r="E2" s="2"/>
      <c r="F2" s="2"/>
      <c r="G2" s="2"/>
      <c r="H2" s="3"/>
    </row>
    <row r="3" spans="1:9" s="4" customFormat="1" ht="19.5" customHeight="1" thickBot="1" x14ac:dyDescent="0.25">
      <c r="A3" s="1"/>
      <c r="B3" s="23" t="str">
        <f>WeekStart</f>
        <v>Monday</v>
      </c>
      <c r="C3" s="23" t="str">
        <f t="shared" ref="C3:H3" si="0">TEXT(C4,"dddd")</f>
        <v>terça-feira</v>
      </c>
      <c r="D3" s="23" t="str">
        <f t="shared" si="0"/>
        <v>quarta-feira</v>
      </c>
      <c r="E3" s="23" t="str">
        <f t="shared" si="0"/>
        <v>quinta-feira</v>
      </c>
      <c r="F3" s="23" t="str">
        <f t="shared" si="0"/>
        <v>sexta-feira</v>
      </c>
      <c r="G3" s="23" t="str">
        <f t="shared" si="0"/>
        <v>sábado</v>
      </c>
      <c r="H3" s="23" t="str">
        <f t="shared" si="0"/>
        <v>domingo</v>
      </c>
    </row>
    <row r="4" spans="1:9" s="6" customFormat="1" ht="19.5" customHeight="1" x14ac:dyDescent="0.2">
      <c r="B4" s="8">
        <f t="array" ref="B4:H4">DaysAndWeeks+DATE(CalendarYear,8,1)-WEEKDAY(DATE(CalendarYear,8,1),(WeekStart="Monday")+1)+1</f>
        <v>45502</v>
      </c>
      <c r="C4" s="8">
        <v>45503</v>
      </c>
      <c r="D4" s="8">
        <v>45504</v>
      </c>
      <c r="E4" s="8">
        <v>45505</v>
      </c>
      <c r="F4" s="8">
        <v>45506</v>
      </c>
      <c r="G4" s="8">
        <v>45507</v>
      </c>
      <c r="H4" s="8">
        <v>45508</v>
      </c>
    </row>
    <row r="5" spans="1:9" s="5" customFormat="1" ht="48" customHeight="1" x14ac:dyDescent="0.2"/>
    <row r="6" spans="1:9" s="6" customFormat="1" ht="19.5" customHeight="1" x14ac:dyDescent="0.2">
      <c r="B6" s="19">
        <f t="array" ref="B6:H6">DaysAndWeeks+DATE(CalendarYear,8,1)-WEEKDAY(DATE(CalendarYear,8,1),(WeekStart="Monday")+1)+8</f>
        <v>45509</v>
      </c>
      <c r="C6" s="19">
        <v>45510</v>
      </c>
      <c r="D6" s="19">
        <v>45511</v>
      </c>
      <c r="E6" s="19">
        <v>45512</v>
      </c>
      <c r="F6" s="19">
        <v>45513</v>
      </c>
      <c r="G6" s="19">
        <v>45514</v>
      </c>
      <c r="H6" s="19">
        <v>45515</v>
      </c>
    </row>
    <row r="7" spans="1:9" s="5" customFormat="1" ht="48" customHeight="1" x14ac:dyDescent="0.2">
      <c r="B7" s="20"/>
      <c r="C7" s="20"/>
      <c r="D7" s="20"/>
      <c r="E7" s="20"/>
      <c r="F7" s="20"/>
      <c r="G7" s="20"/>
      <c r="H7" s="20"/>
    </row>
    <row r="8" spans="1:9" s="6" customFormat="1" ht="19.5" customHeight="1" x14ac:dyDescent="0.2">
      <c r="B8" s="8">
        <f t="array" ref="B8:H8">DaysAndWeeks+DATE(CalendarYear,8,1)-WEEKDAY(DATE(CalendarYear,8,1),(WeekStart="Monday")+1)+15</f>
        <v>45516</v>
      </c>
      <c r="C8" s="8">
        <v>45517</v>
      </c>
      <c r="D8" s="8">
        <v>45518</v>
      </c>
      <c r="E8" s="8">
        <v>45519</v>
      </c>
      <c r="F8" s="8">
        <v>45520</v>
      </c>
      <c r="G8" s="8">
        <v>45521</v>
      </c>
      <c r="H8" s="8">
        <v>45522</v>
      </c>
    </row>
    <row r="9" spans="1:9" s="5" customFormat="1" ht="48" customHeight="1" x14ac:dyDescent="0.2"/>
    <row r="10" spans="1:9" s="6" customFormat="1" ht="19.5" customHeight="1" x14ac:dyDescent="0.2">
      <c r="B10" s="19">
        <f t="array" ref="B10:H10">DaysAndWeeks+DATE(CalendarYear,8,1)-WEEKDAY(DATE(CalendarYear,8,1),(WeekStart="Monday")+1)+22</f>
        <v>45523</v>
      </c>
      <c r="C10" s="19">
        <v>45524</v>
      </c>
      <c r="D10" s="19">
        <v>45525</v>
      </c>
      <c r="E10" s="19">
        <v>45526</v>
      </c>
      <c r="F10" s="19">
        <v>45527</v>
      </c>
      <c r="G10" s="19">
        <v>45528</v>
      </c>
      <c r="H10" s="19">
        <v>45529</v>
      </c>
    </row>
    <row r="11" spans="1:9" s="5" customFormat="1" ht="48" customHeight="1" x14ac:dyDescent="0.2">
      <c r="B11" s="20"/>
      <c r="C11" s="20"/>
      <c r="D11" s="20"/>
      <c r="E11" s="20"/>
      <c r="F11" s="20"/>
      <c r="G11" s="20"/>
      <c r="H11" s="20"/>
    </row>
    <row r="12" spans="1:9" s="6" customFormat="1" ht="19.5" customHeight="1" x14ac:dyDescent="0.2">
      <c r="B12" s="8">
        <f t="array" ref="B12:H12">DaysAndWeeks+DATE(CalendarYear,8,1)-WEEKDAY(DATE(CalendarYear,8,1),(WeekStart="Monday")+1)+29</f>
        <v>45530</v>
      </c>
      <c r="C12" s="8">
        <v>45531</v>
      </c>
      <c r="D12" s="8">
        <v>45532</v>
      </c>
      <c r="E12" s="8">
        <v>45533</v>
      </c>
      <c r="F12" s="8">
        <v>45534</v>
      </c>
      <c r="G12" s="8">
        <v>45535</v>
      </c>
      <c r="H12" s="8">
        <v>45536</v>
      </c>
    </row>
    <row r="13" spans="1:9" s="5" customFormat="1" ht="48" customHeight="1" x14ac:dyDescent="0.2"/>
    <row r="14" spans="1:9" s="6" customFormat="1" ht="19.5" customHeight="1" x14ac:dyDescent="0.2">
      <c r="B14" s="19">
        <f t="array" ref="B14:C14">DaysAndWeeks+DATE(CalendarYear,8,1)-WEEKDAY(DATE(CalendarYear,8,1),(WeekStart="Monday")+1)+36</f>
        <v>45537</v>
      </c>
      <c r="C14" s="19">
        <v>45538</v>
      </c>
      <c r="D14" s="322" t="s">
        <v>495</v>
      </c>
      <c r="E14" s="322"/>
      <c r="F14" s="322"/>
      <c r="G14" s="322"/>
      <c r="H14" s="322"/>
    </row>
    <row r="15" spans="1:9" s="5" customFormat="1" ht="48" customHeight="1" x14ac:dyDescent="0.2">
      <c r="B15" s="20"/>
      <c r="C15" s="20"/>
      <c r="D15" s="323"/>
      <c r="E15" s="323"/>
      <c r="F15" s="323"/>
      <c r="G15" s="323"/>
      <c r="H15" s="323"/>
    </row>
  </sheetData>
  <mergeCells count="3">
    <mergeCell ref="B2:D2"/>
    <mergeCell ref="D14:H14"/>
    <mergeCell ref="D15:H15"/>
  </mergeCells>
  <conditionalFormatting sqref="B4:G4">
    <cfRule type="expression" dxfId="23" priority="1">
      <formula>DAY(B4)&gt;8</formula>
    </cfRule>
  </conditionalFormatting>
  <conditionalFormatting sqref="B12:H12 B14:C14">
    <cfRule type="expression" dxfId="22" priority="2">
      <formula>AND(DAY(B12)&gt;=1,DAY(B12)&lt;=15)</formula>
    </cfRule>
  </conditionalFormatting>
  <dataValidations count="8">
    <dataValidation allowBlank="1" showInputMessage="1" showErrorMessage="1" prompt="Automatically determined weekday" sqref="C3:H3" xr:uid="{00000000-0002-0000-0700-000000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700-000001000000}"/>
    <dataValidation allowBlank="1" showInputMessage="1" showErrorMessage="1" prompt="August month calendar" sqref="A1" xr:uid="{00000000-0002-0000-0700-000002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700-000003000000}"/>
    <dataValidation allowBlank="1" showInputMessage="1" prompt="Enter monthly Notes in cell below" sqref="D14:H14" xr:uid="{00000000-0002-0000-0700-000004000000}"/>
    <dataValidation allowBlank="1" showInputMessage="1" prompt="Enter monthly Notes in this cell" sqref="D15:H15" xr:uid="{00000000-0002-0000-0700-000005000000}"/>
    <dataValidation allowBlank="1" showInputMessage="1" showErrorMessage="1" prompt="This row &amp; rows 7, 9, 11, 13, &amp; 15 are cells for entering daily notes related to the calendar day in the cell above." sqref="B5" xr:uid="{00000000-0002-0000-0700-000006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7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5" tint="0.59999389629810485"/>
    <pageSetUpPr fitToPage="1"/>
  </sheetPr>
  <dimension ref="A1:I15"/>
  <sheetViews>
    <sheetView showGridLines="0" zoomScaleNormal="100" workbookViewId="0"/>
  </sheetViews>
  <sheetFormatPr defaultColWidth="8.88671875" defaultRowHeight="14.25" x14ac:dyDescent="0.2"/>
  <cols>
    <col min="1" max="1" width="1.88671875" style="1" customWidth="1"/>
    <col min="2" max="8" width="15.44140625" style="1" customWidth="1"/>
    <col min="9" max="9" width="1.88671875" style="1" customWidth="1"/>
    <col min="10" max="10" width="10.6640625" style="14" customWidth="1"/>
    <col min="11" max="16384" width="8.88671875" style="14"/>
  </cols>
  <sheetData>
    <row r="1" spans="1:9" s="1" customFormat="1" ht="9" customHeight="1" x14ac:dyDescent="0.2">
      <c r="I1" s="1" t="s">
        <v>229</v>
      </c>
    </row>
    <row r="2" spans="1:9" s="1" customFormat="1" ht="100.5" customHeight="1" x14ac:dyDescent="0.2">
      <c r="B2" s="324" t="str">
        <f>"September "&amp;CalendarYear</f>
        <v>September 2024</v>
      </c>
      <c r="C2" s="324"/>
      <c r="D2" s="324"/>
      <c r="E2" s="2"/>
      <c r="F2" s="2"/>
      <c r="G2" s="2"/>
      <c r="H2" s="3"/>
    </row>
    <row r="3" spans="1:9" s="4" customFormat="1" ht="19.5" customHeight="1" thickBot="1" x14ac:dyDescent="0.25">
      <c r="A3" s="1"/>
      <c r="B3" s="24" t="str">
        <f>WeekStart</f>
        <v>Monday</v>
      </c>
      <c r="C3" s="24" t="str">
        <f t="shared" ref="C3:H3" si="0">TEXT(C4,"dddd")</f>
        <v>terça-feira</v>
      </c>
      <c r="D3" s="24" t="str">
        <f t="shared" si="0"/>
        <v>quarta-feira</v>
      </c>
      <c r="E3" s="24" t="str">
        <f t="shared" si="0"/>
        <v>quinta-feira</v>
      </c>
      <c r="F3" s="24" t="str">
        <f t="shared" si="0"/>
        <v>sexta-feira</v>
      </c>
      <c r="G3" s="24" t="str">
        <f t="shared" si="0"/>
        <v>sábado</v>
      </c>
      <c r="H3" s="24" t="str">
        <f t="shared" si="0"/>
        <v>domingo</v>
      </c>
    </row>
    <row r="4" spans="1:9" s="6" customFormat="1" ht="19.5" customHeight="1" x14ac:dyDescent="0.2">
      <c r="B4" s="8">
        <f t="array" ref="B4:H4">DaysAndWeeks+DATE(CalendarYear,9,1)-WEEKDAY(DATE(CalendarYear,9,1),(WeekStart="Monday")+1)+1</f>
        <v>45530</v>
      </c>
      <c r="C4" s="8">
        <v>45531</v>
      </c>
      <c r="D4" s="8">
        <v>45532</v>
      </c>
      <c r="E4" s="8">
        <v>45533</v>
      </c>
      <c r="F4" s="8">
        <v>45534</v>
      </c>
      <c r="G4" s="8">
        <v>45535</v>
      </c>
      <c r="H4" s="8">
        <v>45536</v>
      </c>
    </row>
    <row r="5" spans="1:9" s="5" customFormat="1" ht="48" customHeight="1" x14ac:dyDescent="0.2"/>
    <row r="6" spans="1:9" s="6" customFormat="1" ht="19.5" customHeight="1" x14ac:dyDescent="0.2">
      <c r="B6" s="17">
        <f t="array" ref="B6:H6">DaysAndWeeks+DATE(CalendarYear,9,1)-WEEKDAY(DATE(CalendarYear,9,1),(WeekStart="Monday")+1)+8</f>
        <v>45537</v>
      </c>
      <c r="C6" s="17">
        <v>45538</v>
      </c>
      <c r="D6" s="17">
        <v>45539</v>
      </c>
      <c r="E6" s="17">
        <v>45540</v>
      </c>
      <c r="F6" s="17">
        <v>45541</v>
      </c>
      <c r="G6" s="17">
        <v>45542</v>
      </c>
      <c r="H6" s="17">
        <v>45543</v>
      </c>
    </row>
    <row r="7" spans="1:9" s="5" customFormat="1" ht="48" customHeight="1" x14ac:dyDescent="0.2">
      <c r="B7" s="18"/>
      <c r="C7" s="18"/>
      <c r="D7" s="18"/>
      <c r="E7" s="18"/>
      <c r="F7" s="18"/>
      <c r="G7" s="18"/>
      <c r="H7" s="18"/>
    </row>
    <row r="8" spans="1:9" s="6" customFormat="1" ht="19.5" customHeight="1" x14ac:dyDescent="0.2">
      <c r="B8" s="8">
        <f t="array" ref="B8:H8">DaysAndWeeks+DATE(CalendarYear,9,1)-WEEKDAY(DATE(CalendarYear,9,1),(WeekStart="Monday")+1)+15</f>
        <v>45544</v>
      </c>
      <c r="C8" s="8">
        <v>45545</v>
      </c>
      <c r="D8" s="8">
        <v>45546</v>
      </c>
      <c r="E8" s="8">
        <v>45547</v>
      </c>
      <c r="F8" s="8">
        <v>45548</v>
      </c>
      <c r="G8" s="8">
        <v>45549</v>
      </c>
      <c r="H8" s="8">
        <v>45550</v>
      </c>
    </row>
    <row r="9" spans="1:9" s="5" customFormat="1" ht="48" customHeight="1" x14ac:dyDescent="0.2"/>
    <row r="10" spans="1:9" s="6" customFormat="1" ht="19.5" customHeight="1" x14ac:dyDescent="0.2">
      <c r="B10" s="17">
        <f t="array" ref="B10:H10">DaysAndWeeks+DATE(CalendarYear,9,1)-WEEKDAY(DATE(CalendarYear,9,1),(WeekStart="Monday")+1)+22</f>
        <v>45551</v>
      </c>
      <c r="C10" s="17">
        <v>45552</v>
      </c>
      <c r="D10" s="17">
        <v>45553</v>
      </c>
      <c r="E10" s="17">
        <v>45554</v>
      </c>
      <c r="F10" s="17">
        <v>45555</v>
      </c>
      <c r="G10" s="17">
        <v>45556</v>
      </c>
      <c r="H10" s="17">
        <v>45557</v>
      </c>
    </row>
    <row r="11" spans="1:9" s="5" customFormat="1" ht="48" customHeight="1" x14ac:dyDescent="0.2">
      <c r="B11" s="18"/>
      <c r="C11" s="18"/>
      <c r="D11" s="18"/>
      <c r="E11" s="18"/>
      <c r="F11" s="18"/>
      <c r="G11" s="18"/>
      <c r="H11" s="18"/>
    </row>
    <row r="12" spans="1:9" s="6" customFormat="1" ht="19.5" customHeight="1" x14ac:dyDescent="0.2">
      <c r="B12" s="8">
        <f t="array" ref="B12:H12">DaysAndWeeks+DATE(CalendarYear,9,1)-WEEKDAY(DATE(CalendarYear,9,1),(WeekStart="Monday")+1)+29</f>
        <v>45558</v>
      </c>
      <c r="C12" s="8">
        <v>45559</v>
      </c>
      <c r="D12" s="8">
        <v>45560</v>
      </c>
      <c r="E12" s="8">
        <v>45561</v>
      </c>
      <c r="F12" s="8">
        <v>45562</v>
      </c>
      <c r="G12" s="8">
        <v>45563</v>
      </c>
      <c r="H12" s="8">
        <v>45564</v>
      </c>
    </row>
    <row r="13" spans="1:9" s="5" customFormat="1" ht="48" customHeight="1" x14ac:dyDescent="0.2"/>
    <row r="14" spans="1:9" s="6" customFormat="1" ht="19.5" customHeight="1" x14ac:dyDescent="0.2">
      <c r="B14" s="17">
        <f t="array" ref="B14:C14">DaysAndWeeks+DATE(CalendarYear,9,1)-WEEKDAY(DATE(CalendarYear,9,1),(WeekStart="Monday")+1)+36</f>
        <v>45565</v>
      </c>
      <c r="C14" s="17">
        <v>45566</v>
      </c>
      <c r="D14" s="325" t="s">
        <v>495</v>
      </c>
      <c r="E14" s="325"/>
      <c r="F14" s="325"/>
      <c r="G14" s="325"/>
      <c r="H14" s="325"/>
    </row>
    <row r="15" spans="1:9" s="5" customFormat="1" ht="48" customHeight="1" x14ac:dyDescent="0.2">
      <c r="B15" s="18"/>
      <c r="C15" s="18"/>
      <c r="D15" s="326"/>
      <c r="E15" s="326"/>
      <c r="F15" s="326"/>
      <c r="G15" s="326"/>
      <c r="H15" s="326"/>
    </row>
  </sheetData>
  <mergeCells count="3">
    <mergeCell ref="B2:D2"/>
    <mergeCell ref="D14:H14"/>
    <mergeCell ref="D15:H15"/>
  </mergeCells>
  <conditionalFormatting sqref="B4:G4">
    <cfRule type="expression" dxfId="21" priority="1">
      <formula>DAY(B4)&gt;8</formula>
    </cfRule>
  </conditionalFormatting>
  <conditionalFormatting sqref="B12:H12 B14:C14">
    <cfRule type="expression" dxfId="20" priority="2">
      <formula>AND(DAY(B12)&gt;=1,DAY(B12)&lt;=15)</formula>
    </cfRule>
  </conditionalFormatting>
  <dataValidations count="8">
    <dataValidation allowBlank="1" showInputMessage="1" showErrorMessage="1" prompt="Automatically determined weekday" sqref="C3:H3" xr:uid="{00000000-0002-0000-0800-000000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800-000001000000}"/>
    <dataValidation allowBlank="1" showInputMessage="1" showErrorMessage="1" prompt="September month calendar" sqref="A1" xr:uid="{00000000-0002-0000-0800-000002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800-000003000000}"/>
    <dataValidation allowBlank="1" showInputMessage="1" showErrorMessage="1" prompt="This row &amp; rows 7, 9, 11, 13, &amp; 15 are cells for entering daily notes related to the calendar day in the cell above." sqref="B5" xr:uid="{00000000-0002-0000-0800-000004000000}"/>
    <dataValidation allowBlank="1" showInputMessage="1" prompt="Enter monthly Notes in this cell" sqref="D15:H15" xr:uid="{00000000-0002-0000-0800-000005000000}"/>
    <dataValidation allowBlank="1" showInputMessage="1" prompt="Enter monthly Notes in cell below" sqref="D14:H14" xr:uid="{00000000-0002-0000-0800-000006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8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5" tint="0.59999389629810485"/>
    <pageSetUpPr fitToPage="1"/>
  </sheetPr>
  <dimension ref="A1:I15"/>
  <sheetViews>
    <sheetView showGridLines="0" workbookViewId="0"/>
  </sheetViews>
  <sheetFormatPr defaultColWidth="8.88671875" defaultRowHeight="14.25" x14ac:dyDescent="0.2"/>
  <cols>
    <col min="1" max="1" width="1.88671875" style="1" customWidth="1"/>
    <col min="2" max="8" width="15.44140625" style="1" customWidth="1"/>
    <col min="9" max="9" width="1.88671875" style="1" customWidth="1"/>
    <col min="10" max="10" width="10.6640625" style="14" customWidth="1"/>
    <col min="11" max="16384" width="8.88671875" style="14"/>
  </cols>
  <sheetData>
    <row r="1" spans="1:9" s="1" customFormat="1" ht="9" customHeight="1" x14ac:dyDescent="0.2">
      <c r="I1" s="1" t="s">
        <v>229</v>
      </c>
    </row>
    <row r="2" spans="1:9" s="1" customFormat="1" ht="100.5" customHeight="1" x14ac:dyDescent="0.2">
      <c r="B2" s="324" t="str">
        <f>"October "&amp;CalendarYear</f>
        <v>October 2024</v>
      </c>
      <c r="C2" s="324"/>
      <c r="D2" s="324"/>
      <c r="E2" s="2"/>
      <c r="F2" s="2"/>
      <c r="G2" s="2"/>
      <c r="H2" s="3"/>
    </row>
    <row r="3" spans="1:9" s="4" customFormat="1" ht="19.5" customHeight="1" thickBot="1" x14ac:dyDescent="0.25">
      <c r="A3" s="1"/>
      <c r="B3" s="24" t="str">
        <f>WeekStart</f>
        <v>Monday</v>
      </c>
      <c r="C3" s="24" t="str">
        <f t="shared" ref="C3:H3" si="0">TEXT(C4,"dddd")</f>
        <v>terça-feira</v>
      </c>
      <c r="D3" s="24" t="str">
        <f t="shared" si="0"/>
        <v>quarta-feira</v>
      </c>
      <c r="E3" s="24" t="str">
        <f t="shared" si="0"/>
        <v>quinta-feira</v>
      </c>
      <c r="F3" s="24" t="str">
        <f t="shared" si="0"/>
        <v>sexta-feira</v>
      </c>
      <c r="G3" s="24" t="str">
        <f t="shared" si="0"/>
        <v>sábado</v>
      </c>
      <c r="H3" s="24" t="str">
        <f t="shared" si="0"/>
        <v>domingo</v>
      </c>
    </row>
    <row r="4" spans="1:9" s="6" customFormat="1" ht="19.5" customHeight="1" x14ac:dyDescent="0.2">
      <c r="B4" s="8">
        <f t="array" ref="B4:H4">DaysAndWeeks+DATE(CalendarYear,10,1)-WEEKDAY(DATE(CalendarYear,10,1),(WeekStart="Monday")+1)+1</f>
        <v>45565</v>
      </c>
      <c r="C4" s="8">
        <v>45566</v>
      </c>
      <c r="D4" s="8">
        <v>45567</v>
      </c>
      <c r="E4" s="8">
        <v>45568</v>
      </c>
      <c r="F4" s="8">
        <v>45569</v>
      </c>
      <c r="G4" s="8">
        <v>45570</v>
      </c>
      <c r="H4" s="8">
        <v>45571</v>
      </c>
    </row>
    <row r="5" spans="1:9" s="5" customFormat="1" ht="48" customHeight="1" x14ac:dyDescent="0.2"/>
    <row r="6" spans="1:9" s="6" customFormat="1" ht="19.5" customHeight="1" x14ac:dyDescent="0.2">
      <c r="B6" s="17">
        <f t="array" ref="B6:H6">DaysAndWeeks+DATE(CalendarYear,10,1)-WEEKDAY(DATE(CalendarYear,10,1),(WeekStart="Monday")+1)+8</f>
        <v>45572</v>
      </c>
      <c r="C6" s="17">
        <v>45573</v>
      </c>
      <c r="D6" s="17">
        <v>45574</v>
      </c>
      <c r="E6" s="17">
        <v>45575</v>
      </c>
      <c r="F6" s="17">
        <v>45576</v>
      </c>
      <c r="G6" s="17">
        <v>45577</v>
      </c>
      <c r="H6" s="17">
        <v>45578</v>
      </c>
    </row>
    <row r="7" spans="1:9" s="5" customFormat="1" ht="48" customHeight="1" x14ac:dyDescent="0.2">
      <c r="B7" s="18"/>
      <c r="C7" s="18"/>
      <c r="D7" s="18"/>
      <c r="E7" s="18"/>
      <c r="F7" s="18"/>
      <c r="G7" s="18"/>
      <c r="H7" s="18"/>
    </row>
    <row r="8" spans="1:9" s="6" customFormat="1" ht="19.5" customHeight="1" x14ac:dyDescent="0.2">
      <c r="B8" s="8">
        <f t="array" ref="B8:H8">DaysAndWeeks+DATE(CalendarYear,10,1)-WEEKDAY(DATE(CalendarYear,10,1),(WeekStart="Monday")+1)+15</f>
        <v>45579</v>
      </c>
      <c r="C8" s="8">
        <v>45580</v>
      </c>
      <c r="D8" s="8">
        <v>45581</v>
      </c>
      <c r="E8" s="8">
        <v>45582</v>
      </c>
      <c r="F8" s="8">
        <v>45583</v>
      </c>
      <c r="G8" s="8">
        <v>45584</v>
      </c>
      <c r="H8" s="8">
        <v>45585</v>
      </c>
    </row>
    <row r="9" spans="1:9" s="5" customFormat="1" ht="48" customHeight="1" x14ac:dyDescent="0.2"/>
    <row r="10" spans="1:9" s="6" customFormat="1" ht="19.5" customHeight="1" x14ac:dyDescent="0.2">
      <c r="B10" s="17">
        <f t="array" ref="B10:H10">DaysAndWeeks+DATE(CalendarYear,10,1)-WEEKDAY(DATE(CalendarYear,10,1),(WeekStart="Monday")+1)+22</f>
        <v>45586</v>
      </c>
      <c r="C10" s="17">
        <v>45587</v>
      </c>
      <c r="D10" s="17">
        <v>45588</v>
      </c>
      <c r="E10" s="17">
        <v>45589</v>
      </c>
      <c r="F10" s="17">
        <v>45590</v>
      </c>
      <c r="G10" s="17">
        <v>45591</v>
      </c>
      <c r="H10" s="17">
        <v>45592</v>
      </c>
    </row>
    <row r="11" spans="1:9" s="5" customFormat="1" ht="48" customHeight="1" x14ac:dyDescent="0.2">
      <c r="B11" s="18"/>
      <c r="C11" s="18"/>
      <c r="D11" s="18"/>
      <c r="E11" s="18"/>
      <c r="F11" s="18"/>
      <c r="G11" s="18"/>
      <c r="H11" s="18"/>
    </row>
    <row r="12" spans="1:9" s="6" customFormat="1" ht="19.5" customHeight="1" x14ac:dyDescent="0.2">
      <c r="B12" s="8">
        <f t="array" ref="B12:H12">DaysAndWeeks+DATE(CalendarYear,10,1)-WEEKDAY(DATE(CalendarYear,10,1),(WeekStart="Monday")+1)+29</f>
        <v>45593</v>
      </c>
      <c r="C12" s="8">
        <v>45594</v>
      </c>
      <c r="D12" s="8">
        <v>45595</v>
      </c>
      <c r="E12" s="8">
        <v>45596</v>
      </c>
      <c r="F12" s="8">
        <v>45597</v>
      </c>
      <c r="G12" s="8">
        <v>45598</v>
      </c>
      <c r="H12" s="8">
        <v>45599</v>
      </c>
    </row>
    <row r="13" spans="1:9" s="5" customFormat="1" ht="48" customHeight="1" x14ac:dyDescent="0.2"/>
    <row r="14" spans="1:9" s="6" customFormat="1" ht="19.5" customHeight="1" x14ac:dyDescent="0.2">
      <c r="B14" s="17">
        <f t="array" ref="B14:C14">DaysAndWeeks+DATE(CalendarYear,10,1)-WEEKDAY(DATE(CalendarYear,10,1),(WeekStart="Monday")+1)+36</f>
        <v>45600</v>
      </c>
      <c r="C14" s="17">
        <v>45601</v>
      </c>
      <c r="D14" s="325" t="s">
        <v>495</v>
      </c>
      <c r="E14" s="325"/>
      <c r="F14" s="325"/>
      <c r="G14" s="325"/>
      <c r="H14" s="325"/>
    </row>
    <row r="15" spans="1:9" s="5" customFormat="1" ht="48" customHeight="1" x14ac:dyDescent="0.2">
      <c r="B15" s="18"/>
      <c r="C15" s="18"/>
      <c r="D15" s="326"/>
      <c r="E15" s="326"/>
      <c r="F15" s="326"/>
      <c r="G15" s="326"/>
      <c r="H15" s="326"/>
    </row>
  </sheetData>
  <mergeCells count="3">
    <mergeCell ref="B2:D2"/>
    <mergeCell ref="D14:H14"/>
    <mergeCell ref="D15:H15"/>
  </mergeCells>
  <conditionalFormatting sqref="B4:G4">
    <cfRule type="expression" dxfId="19" priority="1">
      <formula>DAY(B4)&gt;8</formula>
    </cfRule>
  </conditionalFormatting>
  <conditionalFormatting sqref="B12:H12 B14:C14">
    <cfRule type="expression" dxfId="18" priority="2">
      <formula>AND(DAY(B12)&gt;=1,DAY(B12)&lt;=15)</formula>
    </cfRule>
  </conditionalFormatting>
  <dataValidations count="8">
    <dataValidation allowBlank="1" showInputMessage="1" showErrorMessage="1" prompt="Automatically determined weekday" sqref="C3:H3" xr:uid="{00000000-0002-0000-0900-000000000000}"/>
    <dataValidation allowBlank="1" showInputMessage="1" showErrorMessage="1" prompt="October month calendar" sqref="A1" xr:uid="{00000000-0002-0000-0900-000001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900-000002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900-000003000000}"/>
    <dataValidation allowBlank="1" showInputMessage="1" prompt="Enter monthly Notes in cell below" sqref="D14:H14" xr:uid="{00000000-0002-0000-0900-000004000000}"/>
    <dataValidation allowBlank="1" showInputMessage="1" prompt="Enter monthly Notes in this cell" sqref="D15:H15" xr:uid="{00000000-0002-0000-0900-000005000000}"/>
    <dataValidation allowBlank="1" showInputMessage="1" showErrorMessage="1" prompt="This row &amp; rows 7, 9, 11, 13, &amp; 15 are cells for entering daily notes related to the calendar day in the cell above." sqref="B5" xr:uid="{00000000-0002-0000-0900-000006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9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5" tint="0.59999389629810485"/>
    <pageSetUpPr fitToPage="1"/>
  </sheetPr>
  <dimension ref="A1:I15"/>
  <sheetViews>
    <sheetView showGridLines="0" workbookViewId="0"/>
  </sheetViews>
  <sheetFormatPr defaultColWidth="8.88671875" defaultRowHeight="14.25" x14ac:dyDescent="0.2"/>
  <cols>
    <col min="1" max="1" width="1.88671875" style="1" customWidth="1"/>
    <col min="2" max="8" width="15.44140625" style="1" customWidth="1"/>
    <col min="9" max="9" width="1.88671875" style="1" customWidth="1"/>
    <col min="10" max="10" width="10.6640625" style="14" customWidth="1"/>
    <col min="11" max="16384" width="8.88671875" style="14"/>
  </cols>
  <sheetData>
    <row r="1" spans="1:9" s="1" customFormat="1" ht="9" customHeight="1" x14ac:dyDescent="0.2">
      <c r="I1" s="1" t="s">
        <v>229</v>
      </c>
    </row>
    <row r="2" spans="1:9" s="1" customFormat="1" ht="100.5" customHeight="1" x14ac:dyDescent="0.2">
      <c r="B2" s="324" t="str">
        <f>"November "&amp;CalendarYear</f>
        <v>November 2024</v>
      </c>
      <c r="C2" s="324"/>
      <c r="D2" s="324"/>
      <c r="E2" s="2"/>
      <c r="F2" s="2"/>
      <c r="G2" s="2"/>
      <c r="H2" s="3"/>
    </row>
    <row r="3" spans="1:9" s="4" customFormat="1" ht="19.5" customHeight="1" thickBot="1" x14ac:dyDescent="0.25">
      <c r="A3" s="1"/>
      <c r="B3" s="24" t="str">
        <f>WeekStart</f>
        <v>Monday</v>
      </c>
      <c r="C3" s="24" t="str">
        <f t="shared" ref="C3:H3" si="0">TEXT(C4,"dddd")</f>
        <v>terça-feira</v>
      </c>
      <c r="D3" s="24" t="str">
        <f t="shared" si="0"/>
        <v>quarta-feira</v>
      </c>
      <c r="E3" s="24" t="str">
        <f t="shared" si="0"/>
        <v>quinta-feira</v>
      </c>
      <c r="F3" s="24" t="str">
        <f t="shared" si="0"/>
        <v>sexta-feira</v>
      </c>
      <c r="G3" s="24" t="str">
        <f t="shared" si="0"/>
        <v>sábado</v>
      </c>
      <c r="H3" s="24" t="str">
        <f t="shared" si="0"/>
        <v>domingo</v>
      </c>
    </row>
    <row r="4" spans="1:9" s="6" customFormat="1" ht="19.5" customHeight="1" x14ac:dyDescent="0.2">
      <c r="B4" s="8">
        <f t="array" ref="B4:H4">DaysAndWeeks+DATE(CalendarYear,11,1)-WEEKDAY(DATE(CalendarYear,11,1),(WeekStart="Monday")+1)+1</f>
        <v>45593</v>
      </c>
      <c r="C4" s="8">
        <v>45594</v>
      </c>
      <c r="D4" s="8">
        <v>45595</v>
      </c>
      <c r="E4" s="8">
        <v>45596</v>
      </c>
      <c r="F4" s="8">
        <v>45597</v>
      </c>
      <c r="G4" s="8">
        <v>45598</v>
      </c>
      <c r="H4" s="8">
        <v>45599</v>
      </c>
    </row>
    <row r="5" spans="1:9" s="5" customFormat="1" ht="48" customHeight="1" x14ac:dyDescent="0.2"/>
    <row r="6" spans="1:9" s="6" customFormat="1" ht="19.5" customHeight="1" x14ac:dyDescent="0.2">
      <c r="B6" s="17">
        <f t="array" ref="B6:H6">DaysAndWeeks+DATE(CalendarYear,11,1)-WEEKDAY(DATE(CalendarYear,11,1),(WeekStart="Monday")+1)+8</f>
        <v>45600</v>
      </c>
      <c r="C6" s="17">
        <v>45601</v>
      </c>
      <c r="D6" s="17">
        <v>45602</v>
      </c>
      <c r="E6" s="17">
        <v>45603</v>
      </c>
      <c r="F6" s="17">
        <v>45604</v>
      </c>
      <c r="G6" s="17">
        <v>45605</v>
      </c>
      <c r="H6" s="17">
        <v>45606</v>
      </c>
    </row>
    <row r="7" spans="1:9" s="5" customFormat="1" ht="48" customHeight="1" x14ac:dyDescent="0.2">
      <c r="B7" s="18"/>
      <c r="C7" s="18"/>
      <c r="D7" s="18"/>
      <c r="E7" s="18"/>
      <c r="F7" s="18"/>
      <c r="G7" s="18"/>
      <c r="H7" s="18"/>
    </row>
    <row r="8" spans="1:9" s="6" customFormat="1" ht="19.5" customHeight="1" x14ac:dyDescent="0.2">
      <c r="B8" s="8">
        <f t="array" ref="B8:H8">DaysAndWeeks+DATE(CalendarYear,11,1)-WEEKDAY(DATE(CalendarYear,11,1),(WeekStart="Monday")+1)+15</f>
        <v>45607</v>
      </c>
      <c r="C8" s="8">
        <v>45608</v>
      </c>
      <c r="D8" s="8">
        <v>45609</v>
      </c>
      <c r="E8" s="8">
        <v>45610</v>
      </c>
      <c r="F8" s="8">
        <v>45611</v>
      </c>
      <c r="G8" s="8">
        <v>45612</v>
      </c>
      <c r="H8" s="8">
        <v>45613</v>
      </c>
    </row>
    <row r="9" spans="1:9" s="5" customFormat="1" ht="48" customHeight="1" x14ac:dyDescent="0.2"/>
    <row r="10" spans="1:9" s="6" customFormat="1" ht="19.5" customHeight="1" x14ac:dyDescent="0.2">
      <c r="B10" s="17">
        <f t="array" ref="B10:H10">DaysAndWeeks+DATE(CalendarYear,11,1)-WEEKDAY(DATE(CalendarYear,11,1),(WeekStart="Monday")+1)+22</f>
        <v>45614</v>
      </c>
      <c r="C10" s="17">
        <v>45615</v>
      </c>
      <c r="D10" s="17">
        <v>45616</v>
      </c>
      <c r="E10" s="17">
        <v>45617</v>
      </c>
      <c r="F10" s="17">
        <v>45618</v>
      </c>
      <c r="G10" s="17">
        <v>45619</v>
      </c>
      <c r="H10" s="17">
        <v>45620</v>
      </c>
    </row>
    <row r="11" spans="1:9" s="5" customFormat="1" ht="48" customHeight="1" x14ac:dyDescent="0.2">
      <c r="B11" s="18"/>
      <c r="C11" s="18"/>
      <c r="D11" s="18"/>
      <c r="E11" s="18"/>
      <c r="F11" s="18"/>
      <c r="G11" s="18"/>
      <c r="H11" s="18"/>
    </row>
    <row r="12" spans="1:9" s="6" customFormat="1" ht="19.5" customHeight="1" x14ac:dyDescent="0.2">
      <c r="B12" s="8">
        <f t="array" ref="B12:H12">DaysAndWeeks+DATE(CalendarYear,11,1)-WEEKDAY(DATE(CalendarYear,11,1),(WeekStart="Monday")+1)+29</f>
        <v>45621</v>
      </c>
      <c r="C12" s="8">
        <v>45622</v>
      </c>
      <c r="D12" s="8">
        <v>45623</v>
      </c>
      <c r="E12" s="8">
        <v>45624</v>
      </c>
      <c r="F12" s="8">
        <v>45625</v>
      </c>
      <c r="G12" s="8">
        <v>45626</v>
      </c>
      <c r="H12" s="8">
        <v>45627</v>
      </c>
    </row>
    <row r="13" spans="1:9" s="5" customFormat="1" ht="48" customHeight="1" x14ac:dyDescent="0.2"/>
    <row r="14" spans="1:9" s="6" customFormat="1" ht="19.5" customHeight="1" x14ac:dyDescent="0.2">
      <c r="B14" s="17">
        <f t="array" ref="B14:C14">DaysAndWeeks+DATE(CalendarYear,11,1)-WEEKDAY(DATE(CalendarYear,11,1),(WeekStart="Monday")+1)+36</f>
        <v>45628</v>
      </c>
      <c r="C14" s="17">
        <v>45629</v>
      </c>
      <c r="D14" s="325" t="s">
        <v>495</v>
      </c>
      <c r="E14" s="325"/>
      <c r="F14" s="325"/>
      <c r="G14" s="325"/>
      <c r="H14" s="325"/>
    </row>
    <row r="15" spans="1:9" s="5" customFormat="1" ht="48" customHeight="1" x14ac:dyDescent="0.2">
      <c r="B15" s="18"/>
      <c r="C15" s="18"/>
      <c r="D15" s="326"/>
      <c r="E15" s="326"/>
      <c r="F15" s="326"/>
      <c r="G15" s="326"/>
      <c r="H15" s="326"/>
    </row>
  </sheetData>
  <mergeCells count="3">
    <mergeCell ref="B2:D2"/>
    <mergeCell ref="D14:H14"/>
    <mergeCell ref="D15:H15"/>
  </mergeCells>
  <conditionalFormatting sqref="B4:G4">
    <cfRule type="expression" dxfId="17" priority="1">
      <formula>DAY(B4)&gt;8</formula>
    </cfRule>
  </conditionalFormatting>
  <conditionalFormatting sqref="B12:H12 B14:C14">
    <cfRule type="expression" dxfId="16" priority="2">
      <formula>AND(DAY(B12)&gt;=1,DAY(B12)&lt;=15)</formula>
    </cfRule>
  </conditionalFormatting>
  <dataValidations count="8">
    <dataValidation allowBlank="1" showInputMessage="1" showErrorMessage="1" prompt="Automatically determined weekday" sqref="C3:H3" xr:uid="{00000000-0002-0000-0A00-000000000000}"/>
    <dataValidation allowBlank="1" showInputMessage="1" showErrorMessage="1" prompt="November month calendar" sqref="A1" xr:uid="{00000000-0002-0000-0A00-000001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A00-000002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A00-000003000000}"/>
    <dataValidation allowBlank="1" showInputMessage="1" showErrorMessage="1" prompt="This row &amp; rows 7, 9, 11, 13, &amp; 15 are cells for entering daily notes related to the calendar day in the cell above." sqref="B5" xr:uid="{00000000-0002-0000-0A00-000004000000}"/>
    <dataValidation allowBlank="1" showInputMessage="1" prompt="Enter monthly Notes in this cell" sqref="D15:H15" xr:uid="{00000000-0002-0000-0A00-000005000000}"/>
    <dataValidation allowBlank="1" showInputMessage="1" prompt="Enter monthly Notes in cell below" sqref="D14:H14" xr:uid="{00000000-0002-0000-0A00-000006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A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8" tint="0.59999389629810485"/>
    <pageSetUpPr fitToPage="1"/>
  </sheetPr>
  <dimension ref="A1:I15"/>
  <sheetViews>
    <sheetView showGridLines="0" workbookViewId="0"/>
  </sheetViews>
  <sheetFormatPr defaultColWidth="8.88671875" defaultRowHeight="14.25" x14ac:dyDescent="0.2"/>
  <cols>
    <col min="1" max="1" width="1.88671875" style="1" customWidth="1"/>
    <col min="2" max="8" width="15.44140625" style="1" customWidth="1"/>
    <col min="9" max="9" width="1.88671875" style="1" customWidth="1"/>
    <col min="10" max="16384" width="8.88671875" style="14"/>
  </cols>
  <sheetData>
    <row r="1" spans="1:9" s="1" customFormat="1" ht="9" customHeight="1" x14ac:dyDescent="0.2">
      <c r="I1" s="1" t="s">
        <v>229</v>
      </c>
    </row>
    <row r="2" spans="1:9" s="1" customFormat="1" ht="100.5" customHeight="1" x14ac:dyDescent="0.2">
      <c r="B2" s="314" t="str">
        <f>"December "&amp;CalendarYear</f>
        <v>December 2024</v>
      </c>
      <c r="C2" s="314"/>
      <c r="D2" s="314"/>
      <c r="E2" s="2"/>
      <c r="F2" s="2"/>
      <c r="G2" s="2"/>
      <c r="H2" s="3"/>
    </row>
    <row r="3" spans="1:9" s="4" customFormat="1" ht="19.5" customHeight="1" thickBot="1" x14ac:dyDescent="0.25">
      <c r="A3" s="1"/>
      <c r="B3" s="21" t="str">
        <f>WeekStart</f>
        <v>Monday</v>
      </c>
      <c r="C3" s="21" t="str">
        <f t="shared" ref="C3:H3" si="0">TEXT(C4,"dddd")</f>
        <v>terça-feira</v>
      </c>
      <c r="D3" s="21" t="str">
        <f t="shared" si="0"/>
        <v>quarta-feira</v>
      </c>
      <c r="E3" s="21" t="str">
        <f t="shared" si="0"/>
        <v>quinta-feira</v>
      </c>
      <c r="F3" s="21" t="str">
        <f t="shared" si="0"/>
        <v>sexta-feira</v>
      </c>
      <c r="G3" s="21" t="str">
        <f t="shared" si="0"/>
        <v>sábado</v>
      </c>
      <c r="H3" s="21" t="str">
        <f t="shared" si="0"/>
        <v>domingo</v>
      </c>
    </row>
    <row r="4" spans="1:9" s="6" customFormat="1" ht="19.5" customHeight="1" x14ac:dyDescent="0.2">
      <c r="B4" s="8">
        <f t="array" ref="B4:H4">DaysAndWeeks+DATE(CalendarYear,12,1)-WEEKDAY(DATE(CalendarYear,12,1),(WeekStart="Monday")+1)+1</f>
        <v>45621</v>
      </c>
      <c r="C4" s="8">
        <v>45622</v>
      </c>
      <c r="D4" s="8">
        <v>45623</v>
      </c>
      <c r="E4" s="8">
        <v>45624</v>
      </c>
      <c r="F4" s="8">
        <v>45625</v>
      </c>
      <c r="G4" s="8">
        <v>45626</v>
      </c>
      <c r="H4" s="8">
        <v>45627</v>
      </c>
    </row>
    <row r="5" spans="1:9" s="5" customFormat="1" ht="48" customHeight="1" x14ac:dyDescent="0.2"/>
    <row r="6" spans="1:9" s="6" customFormat="1" ht="19.5" customHeight="1" x14ac:dyDescent="0.2">
      <c r="B6" s="7">
        <f t="array" ref="B6:H6">DaysAndWeeks+DATE(CalendarYear,12,1)-WEEKDAY(DATE(CalendarYear,12,1),(WeekStart="Monday")+1)+8</f>
        <v>45628</v>
      </c>
      <c r="C6" s="7">
        <v>45629</v>
      </c>
      <c r="D6" s="7">
        <v>45630</v>
      </c>
      <c r="E6" s="7">
        <v>45631</v>
      </c>
      <c r="F6" s="7">
        <v>45632</v>
      </c>
      <c r="G6" s="7">
        <v>45633</v>
      </c>
      <c r="H6" s="7">
        <v>45634</v>
      </c>
    </row>
    <row r="7" spans="1:9" s="5" customFormat="1" ht="48" customHeight="1" x14ac:dyDescent="0.2">
      <c r="B7" s="9"/>
      <c r="C7" s="9"/>
      <c r="D7" s="9"/>
      <c r="E7" s="9"/>
      <c r="F7" s="9"/>
      <c r="G7" s="9"/>
      <c r="H7" s="9"/>
    </row>
    <row r="8" spans="1:9" s="6" customFormat="1" ht="19.5" customHeight="1" x14ac:dyDescent="0.2">
      <c r="B8" s="8">
        <f t="array" ref="B8:H8">DaysAndWeeks+DATE(CalendarYear,12,1)-WEEKDAY(DATE(CalendarYear,12,1),(WeekStart="Monday")+1)+15</f>
        <v>45635</v>
      </c>
      <c r="C8" s="8">
        <v>45636</v>
      </c>
      <c r="D8" s="8">
        <v>45637</v>
      </c>
      <c r="E8" s="8">
        <v>45638</v>
      </c>
      <c r="F8" s="8">
        <v>45639</v>
      </c>
      <c r="G8" s="8">
        <v>45640</v>
      </c>
      <c r="H8" s="8">
        <v>45641</v>
      </c>
    </row>
    <row r="9" spans="1:9" s="5" customFormat="1" ht="48" customHeight="1" x14ac:dyDescent="0.2"/>
    <row r="10" spans="1:9" s="6" customFormat="1" ht="19.5" customHeight="1" x14ac:dyDescent="0.2">
      <c r="B10" s="7">
        <f t="array" ref="B10:H10">DaysAndWeeks+DATE(CalendarYear,12,1)-WEEKDAY(DATE(CalendarYear,12,1),(WeekStart="Monday")+1)+22</f>
        <v>45642</v>
      </c>
      <c r="C10" s="7">
        <v>45643</v>
      </c>
      <c r="D10" s="7">
        <v>45644</v>
      </c>
      <c r="E10" s="7">
        <v>45645</v>
      </c>
      <c r="F10" s="7">
        <v>45646</v>
      </c>
      <c r="G10" s="7">
        <v>45647</v>
      </c>
      <c r="H10" s="7">
        <v>45648</v>
      </c>
    </row>
    <row r="11" spans="1:9" s="5" customFormat="1" ht="48" customHeight="1" x14ac:dyDescent="0.2">
      <c r="B11" s="9"/>
      <c r="C11" s="9"/>
      <c r="D11" s="9"/>
      <c r="E11" s="9"/>
      <c r="F11" s="9"/>
      <c r="G11" s="9"/>
      <c r="H11" s="9"/>
    </row>
    <row r="12" spans="1:9" s="6" customFormat="1" ht="19.5" customHeight="1" x14ac:dyDescent="0.2">
      <c r="B12" s="8">
        <f t="array" ref="B12:H12">DaysAndWeeks+DATE(CalendarYear,12,1)-WEEKDAY(DATE(CalendarYear,12,1),(WeekStart="Monday")+1)+29</f>
        <v>45649</v>
      </c>
      <c r="C12" s="8">
        <v>45650</v>
      </c>
      <c r="D12" s="8">
        <v>45651</v>
      </c>
      <c r="E12" s="8">
        <v>45652</v>
      </c>
      <c r="F12" s="8">
        <v>45653</v>
      </c>
      <c r="G12" s="8">
        <v>45654</v>
      </c>
      <c r="H12" s="8">
        <v>45655</v>
      </c>
    </row>
    <row r="13" spans="1:9" s="5" customFormat="1" ht="48" customHeight="1" x14ac:dyDescent="0.2"/>
    <row r="14" spans="1:9" s="6" customFormat="1" ht="19.5" customHeight="1" x14ac:dyDescent="0.2">
      <c r="B14" s="7">
        <f t="array" ref="B14:C14">DaysAndWeeks+DATE(CalendarYear,12,1)-WEEKDAY(DATE(CalendarYear,12,1),(WeekStart="Monday")+1)+36</f>
        <v>45656</v>
      </c>
      <c r="C14" s="7">
        <v>45657</v>
      </c>
      <c r="D14" s="315" t="s">
        <v>495</v>
      </c>
      <c r="E14" s="315"/>
      <c r="F14" s="315"/>
      <c r="G14" s="315"/>
      <c r="H14" s="315"/>
    </row>
    <row r="15" spans="1:9" s="5" customFormat="1" ht="48" customHeight="1" x14ac:dyDescent="0.2">
      <c r="B15" s="9"/>
      <c r="C15" s="9"/>
      <c r="D15" s="316"/>
      <c r="E15" s="316"/>
      <c r="F15" s="316"/>
      <c r="G15" s="316"/>
      <c r="H15" s="316"/>
    </row>
  </sheetData>
  <mergeCells count="3">
    <mergeCell ref="B2:D2"/>
    <mergeCell ref="D14:H14"/>
    <mergeCell ref="D15:H15"/>
  </mergeCells>
  <conditionalFormatting sqref="B4:G4">
    <cfRule type="expression" dxfId="15" priority="1">
      <formula>DAY(B4)&gt;8</formula>
    </cfRule>
  </conditionalFormatting>
  <conditionalFormatting sqref="B12:H12 B14:C14">
    <cfRule type="expression" dxfId="14" priority="2">
      <formula>AND(DAY(B12)&gt;=1,DAY(B12)&lt;=15)</formula>
    </cfRule>
  </conditionalFormatting>
  <dataValidations count="8">
    <dataValidation allowBlank="1" showInputMessage="1" showErrorMessage="1" prompt="Automatically determined weekday" sqref="C3:H3" xr:uid="{00000000-0002-0000-0B00-000000000000}"/>
    <dataValidation allowBlank="1" showInputMessage="1" showErrorMessage="1" prompt="December month calendar" sqref="A1" xr:uid="{00000000-0002-0000-0B00-000001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B00-000002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B00-000003000000}"/>
    <dataValidation allowBlank="1" showInputMessage="1" prompt="Enter monthly Notes in cell below" sqref="D14:H14" xr:uid="{00000000-0002-0000-0B00-000004000000}"/>
    <dataValidation allowBlank="1" showInputMessage="1" prompt="Enter monthly Notes in this cell" sqref="D15:H15" xr:uid="{00000000-0002-0000-0B00-000005000000}"/>
    <dataValidation allowBlank="1" showInputMessage="1" showErrorMessage="1" prompt="This row &amp; rows 7, 9, 11, 13, &amp; 15 are cells for entering daily notes related to the calendar day in the cell above." sqref="B5" xr:uid="{00000000-0002-0000-0B00-000006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B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8" ma:contentTypeDescription="Create a new document." ma:contentTypeScope="" ma:versionID="60f5a4f2d2b0abadcf532d48ebf9cb71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7dd78129e6a1811f84807ad11c651531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  <xsd:element ref="ns2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3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3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41711A-14E7-411C-A3D2-992C0184A0D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C89767E-1328-40C6-9203-B1A04AEC6BD2}">
  <ds:schemaRefs>
    <ds:schemaRef ds:uri="http://schemas.microsoft.com/office/2006/metadata/properties"/>
    <ds:schemaRef ds:uri="http://www.w3.org/2000/xmlns/"/>
    <ds:schemaRef ds:uri="http://schemas.microsoft.com/sharepoint/v3"/>
    <ds:schemaRef ds:uri="http://www.w3.org/2001/XMLSchema-instance"/>
    <ds:schemaRef ds:uri="71af3243-3dd4-4a8d-8c0d-dd76da1f02a5"/>
    <ds:schemaRef ds:uri="http://schemas.microsoft.com/office/infopath/2007/PartnerControls"/>
    <ds:schemaRef ds:uri="230e9df3-be65-4c73-a93b-d1236ebd677e"/>
  </ds:schemaRefs>
</ds:datastoreItem>
</file>

<file path=customXml/itemProps3.xml><?xml version="1.0" encoding="utf-8"?>
<ds:datastoreItem xmlns:ds="http://schemas.openxmlformats.org/officeDocument/2006/customXml" ds:itemID="{C81313E7-A55B-4652-8201-2BC6B09FAB67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Template>TM34128371</Templat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18</vt:i4>
      </vt:variant>
      <vt:variant>
        <vt:lpstr>Intervalos Nomeados</vt:lpstr>
      </vt:variant>
      <vt:variant>
        <vt:i4>41</vt:i4>
      </vt:variant>
    </vt:vector>
  </HeadingPairs>
  <TitlesOfParts>
    <vt:vector size="59" baseType="lpstr">
      <vt:lpstr>Projetos - Índice</vt:lpstr>
      <vt:lpstr>Mecanismos de Incentivo</vt:lpstr>
      <vt:lpstr>Dique</vt:lpstr>
      <vt:lpstr>Orçamento - Dique</vt:lpstr>
      <vt:lpstr>Preju ou Investimento</vt:lpstr>
      <vt:lpstr>Planejamento Semanal</vt:lpstr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  <vt:lpstr>April!Area_de_impressao</vt:lpstr>
      <vt:lpstr>August!Area_de_impressao</vt:lpstr>
      <vt:lpstr>December!Area_de_impressao</vt:lpstr>
      <vt:lpstr>February!Area_de_impressao</vt:lpstr>
      <vt:lpstr>January!Area_de_impressao</vt:lpstr>
      <vt:lpstr>July!Area_de_impressao</vt:lpstr>
      <vt:lpstr>June!Area_de_impressao</vt:lpstr>
      <vt:lpstr>March!Area_de_impressao</vt:lpstr>
      <vt:lpstr>May!Area_de_impressao</vt:lpstr>
      <vt:lpstr>November!Area_de_impressao</vt:lpstr>
      <vt:lpstr>October!Area_de_impressao</vt:lpstr>
      <vt:lpstr>'Planejamento Semanal'!Area_de_impressao</vt:lpstr>
      <vt:lpstr>September!Area_de_impressao</vt:lpstr>
      <vt:lpstr>CalendarYear</vt:lpstr>
      <vt:lpstr>ColumnTitleRegion1..H12.1</vt:lpstr>
      <vt:lpstr>ColumnTitleRegion1..H12.10</vt:lpstr>
      <vt:lpstr>ColumnTitleRegion1..H12.11</vt:lpstr>
      <vt:lpstr>ColumnTitleRegion1..H12.12</vt:lpstr>
      <vt:lpstr>ColumnTitleRegion1..H12.2</vt:lpstr>
      <vt:lpstr>ColumnTitleRegion1..H12.3</vt:lpstr>
      <vt:lpstr>ColumnTitleRegion1..H12.4</vt:lpstr>
      <vt:lpstr>ColumnTitleRegion1..H12.5</vt:lpstr>
      <vt:lpstr>ColumnTitleRegion1..H12.6</vt:lpstr>
      <vt:lpstr>ColumnTitleRegion1..H12.7</vt:lpstr>
      <vt:lpstr>ColumnTitleRegion1..H12.8</vt:lpstr>
      <vt:lpstr>ColumnTitleRegion1..H12.9</vt:lpstr>
      <vt:lpstr>ColumnTitleRegion2..C14.1</vt:lpstr>
      <vt:lpstr>ColumnTitleRegion2..C14.10</vt:lpstr>
      <vt:lpstr>ColumnTitleRegion2..C14.11</vt:lpstr>
      <vt:lpstr>ColumnTitleRegion2..C14.12</vt:lpstr>
      <vt:lpstr>ColumnTitleRegion2..C14.2</vt:lpstr>
      <vt:lpstr>ColumnTitleRegion2..C14.3</vt:lpstr>
      <vt:lpstr>ColumnTitleRegion2..C14.4</vt:lpstr>
      <vt:lpstr>ColumnTitleRegion2..C14.5</vt:lpstr>
      <vt:lpstr>ColumnTitleRegion2..C14.6</vt:lpstr>
      <vt:lpstr>ColumnTitleRegion2..C14.7</vt:lpstr>
      <vt:lpstr>ColumnTitleRegion2..C14.8</vt:lpstr>
      <vt:lpstr>ColumnTitleRegion2..C14.9</vt:lpstr>
      <vt:lpstr>RowTitleRegion1..K3</vt:lpstr>
      <vt:lpstr>'Planejamento Semanal'!WeekStart</vt:lpstr>
      <vt:lpstr>WeekStart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2022-12-28T23:54:15Z</dcterms:created>
  <dcterms:modified xsi:type="dcterms:W3CDTF">2024-01-19T19:04:22Z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