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LY BUITRAGO\Downloads\"/>
    </mc:Choice>
  </mc:AlternateContent>
  <bookViews>
    <workbookView xWindow="0" yWindow="0" windowWidth="20490" windowHeight="7800" firstSheet="5" activeTab="7"/>
  </bookViews>
  <sheets>
    <sheet name="Ejercicio 1 - Con solver" sheetId="1" r:id="rId1"/>
    <sheet name="Tuberia en serie" sheetId="4" r:id="rId2"/>
    <sheet name="Ejercicio de comprobación" sheetId="2" state="hidden" r:id="rId3"/>
    <sheet name="Tuberia cuadrada" sheetId="7" state="hidden" r:id="rId4"/>
    <sheet name="Tubería en serie + accesorios" sheetId="8" r:id="rId5"/>
    <sheet name="Ejercicio de Diseño" sheetId="3" r:id="rId6"/>
    <sheet name="Paralelo sin accesorios 3 o +" sheetId="9" r:id="rId7"/>
    <sheet name="Paralelo con accesorios 3 o +" sheetId="10" r:id="rId8"/>
  </sheets>
  <definedNames>
    <definedName name="solver_adj" localSheetId="0" hidden="1">'Ejercicio 1 - Con solver'!$F$3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'Ejercicio 1 - Con solver'!$F$2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0" l="1"/>
  <c r="C50" i="10"/>
  <c r="C51" i="10"/>
  <c r="C52" i="10"/>
  <c r="C53" i="10"/>
  <c r="C54" i="10"/>
  <c r="C55" i="10"/>
  <c r="C56" i="10"/>
  <c r="C57" i="10"/>
  <c r="C58" i="10"/>
  <c r="C48" i="10"/>
  <c r="B49" i="10"/>
  <c r="B50" i="10" s="1"/>
  <c r="B51" i="10" s="1"/>
  <c r="B52" i="10" s="1"/>
  <c r="B53" i="10" s="1"/>
  <c r="B54" i="10" s="1"/>
  <c r="B55" i="10" s="1"/>
  <c r="B56" i="10" s="1"/>
  <c r="B57" i="10" s="1"/>
  <c r="B58" i="10" s="1"/>
  <c r="E48" i="10"/>
  <c r="B4" i="10"/>
  <c r="E18" i="3" l="1"/>
  <c r="E17" i="3"/>
  <c r="B18" i="3"/>
  <c r="D18" i="3"/>
  <c r="I6" i="8"/>
  <c r="H4" i="1"/>
  <c r="C45" i="10"/>
  <c r="C44" i="10"/>
  <c r="C43" i="10"/>
  <c r="C42" i="10"/>
  <c r="C41" i="10"/>
  <c r="C40" i="10"/>
  <c r="C39" i="10"/>
  <c r="C38" i="10"/>
  <c r="C37" i="10"/>
  <c r="C36" i="10"/>
  <c r="B36" i="10"/>
  <c r="B37" i="10" s="1"/>
  <c r="B38" i="10" s="1"/>
  <c r="B39" i="10" s="1"/>
  <c r="B40" i="10" s="1"/>
  <c r="B41" i="10" s="1"/>
  <c r="B42" i="10" s="1"/>
  <c r="B43" i="10" s="1"/>
  <c r="B44" i="10" s="1"/>
  <c r="B45" i="10" s="1"/>
  <c r="C35" i="10"/>
  <c r="E35" i="10" s="1"/>
  <c r="C32" i="10"/>
  <c r="C31" i="10"/>
  <c r="C30" i="10"/>
  <c r="C29" i="10"/>
  <c r="C28" i="10"/>
  <c r="C27" i="10"/>
  <c r="C26" i="10"/>
  <c r="C25" i="10"/>
  <c r="C24" i="10"/>
  <c r="C23" i="10"/>
  <c r="C22" i="10"/>
  <c r="E22" i="10" s="1"/>
  <c r="C19" i="10"/>
  <c r="C18" i="10"/>
  <c r="C17" i="10"/>
  <c r="C16" i="10"/>
  <c r="C15" i="10"/>
  <c r="C14" i="10"/>
  <c r="C13" i="10"/>
  <c r="C12" i="10"/>
  <c r="C11" i="10"/>
  <c r="C10" i="10"/>
  <c r="C9" i="10"/>
  <c r="E9" i="10" s="1"/>
  <c r="B6" i="10"/>
  <c r="E35" i="9"/>
  <c r="E22" i="9"/>
  <c r="F22" i="9" s="1"/>
  <c r="H9" i="9"/>
  <c r="F9" i="9"/>
  <c r="G9" i="9" s="1"/>
  <c r="E9" i="9"/>
  <c r="B6" i="9"/>
  <c r="B4" i="9"/>
  <c r="F48" i="10" l="1"/>
  <c r="G48" i="10" s="1"/>
  <c r="H48" i="10" s="1"/>
  <c r="I48" i="10" s="1"/>
  <c r="D49" i="10" s="1"/>
  <c r="E49" i="10" s="1"/>
  <c r="F9" i="10"/>
  <c r="G9" i="10" s="1"/>
  <c r="H9" i="10" s="1"/>
  <c r="I9" i="10" s="1"/>
  <c r="F35" i="10"/>
  <c r="G35" i="10" s="1"/>
  <c r="H35" i="10" s="1"/>
  <c r="I35" i="10" s="1"/>
  <c r="D36" i="10" s="1"/>
  <c r="E36" i="10" s="1"/>
  <c r="F22" i="10"/>
  <c r="G22" i="10" s="1"/>
  <c r="H22" i="10" s="1"/>
  <c r="I22" i="10" s="1"/>
  <c r="D23" i="10" s="1"/>
  <c r="E23" i="10" s="1"/>
  <c r="I9" i="9"/>
  <c r="D10" i="9" s="1"/>
  <c r="E10" i="9" s="1"/>
  <c r="G22" i="9"/>
  <c r="H22" i="9" s="1"/>
  <c r="I22" i="9" s="1"/>
  <c r="D23" i="9" s="1"/>
  <c r="E23" i="9" s="1"/>
  <c r="F35" i="9"/>
  <c r="G35" i="9" s="1"/>
  <c r="H35" i="9" s="1"/>
  <c r="I35" i="9" s="1"/>
  <c r="D36" i="9" s="1"/>
  <c r="E36" i="9" s="1"/>
  <c r="F49" i="10" l="1"/>
  <c r="G49" i="10" s="1"/>
  <c r="H49" i="10" s="1"/>
  <c r="I49" i="10" s="1"/>
  <c r="D50" i="10" s="1"/>
  <c r="E50" i="10" s="1"/>
  <c r="D10" i="10"/>
  <c r="E10" i="10" s="1"/>
  <c r="G23" i="9"/>
  <c r="H23" i="9" s="1"/>
  <c r="I23" i="9" s="1"/>
  <c r="D24" i="9" s="1"/>
  <c r="E24" i="9" s="1"/>
  <c r="F36" i="9"/>
  <c r="G36" i="9" s="1"/>
  <c r="H36" i="9" s="1"/>
  <c r="I36" i="9" s="1"/>
  <c r="D37" i="9" s="1"/>
  <c r="E37" i="9" s="1"/>
  <c r="F23" i="9"/>
  <c r="F10" i="9"/>
  <c r="G10" i="9" s="1"/>
  <c r="H10" i="9" s="1"/>
  <c r="I10" i="9" s="1"/>
  <c r="D11" i="9" s="1"/>
  <c r="E11" i="9" s="1"/>
  <c r="F23" i="10" l="1"/>
  <c r="G23" i="10" s="1"/>
  <c r="H23" i="10" s="1"/>
  <c r="I23" i="10" s="1"/>
  <c r="D24" i="10" s="1"/>
  <c r="E24" i="10" s="1"/>
  <c r="F36" i="10"/>
  <c r="G36" i="10" s="1"/>
  <c r="H36" i="10" s="1"/>
  <c r="I36" i="10" s="1"/>
  <c r="D37" i="10" s="1"/>
  <c r="E37" i="10" s="1"/>
  <c r="F10" i="10"/>
  <c r="G10" i="10" s="1"/>
  <c r="H10" i="10" s="1"/>
  <c r="I10" i="10" s="1"/>
  <c r="D11" i="10" s="1"/>
  <c r="E11" i="10" s="1"/>
  <c r="G37" i="9"/>
  <c r="H37" i="9" s="1"/>
  <c r="I37" i="9" s="1"/>
  <c r="D38" i="9" s="1"/>
  <c r="E38" i="9" s="1"/>
  <c r="F24" i="9"/>
  <c r="G24" i="9" s="1"/>
  <c r="H24" i="9" s="1"/>
  <c r="I24" i="9" s="1"/>
  <c r="D25" i="9" s="1"/>
  <c r="E25" i="9" s="1"/>
  <c r="F37" i="9"/>
  <c r="F11" i="9"/>
  <c r="G11" i="9" s="1"/>
  <c r="H11" i="9" s="1"/>
  <c r="I11" i="9" s="1"/>
  <c r="D12" i="9" s="1"/>
  <c r="E12" i="9" s="1"/>
  <c r="F37" i="10" l="1"/>
  <c r="G37" i="10" s="1"/>
  <c r="H37" i="10" s="1"/>
  <c r="I37" i="10" s="1"/>
  <c r="D38" i="10" s="1"/>
  <c r="E38" i="10" s="1"/>
  <c r="F50" i="10"/>
  <c r="G50" i="10" s="1"/>
  <c r="H50" i="10" s="1"/>
  <c r="I50" i="10" s="1"/>
  <c r="D51" i="10" s="1"/>
  <c r="E51" i="10" s="1"/>
  <c r="F24" i="10"/>
  <c r="G24" i="10" s="1"/>
  <c r="H24" i="10" s="1"/>
  <c r="I24" i="10" s="1"/>
  <c r="D25" i="10" s="1"/>
  <c r="E25" i="10" s="1"/>
  <c r="F11" i="10"/>
  <c r="G11" i="10" s="1"/>
  <c r="H11" i="10" s="1"/>
  <c r="I11" i="10" s="1"/>
  <c r="D12" i="10" s="1"/>
  <c r="E12" i="10" s="1"/>
  <c r="G25" i="9"/>
  <c r="H25" i="9" s="1"/>
  <c r="I25" i="9" s="1"/>
  <c r="D26" i="9" s="1"/>
  <c r="E26" i="9" s="1"/>
  <c r="F38" i="9"/>
  <c r="F25" i="9"/>
  <c r="F12" i="9"/>
  <c r="G12" i="9" s="1"/>
  <c r="H12" i="9" s="1"/>
  <c r="I12" i="9" s="1"/>
  <c r="D13" i="9" s="1"/>
  <c r="E13" i="9" s="1"/>
  <c r="G38" i="9"/>
  <c r="H38" i="9" s="1"/>
  <c r="I38" i="9" s="1"/>
  <c r="D39" i="9" s="1"/>
  <c r="E39" i="9" s="1"/>
  <c r="F25" i="10" l="1"/>
  <c r="G25" i="10" s="1"/>
  <c r="H25" i="10" s="1"/>
  <c r="I25" i="10" s="1"/>
  <c r="D26" i="10" s="1"/>
  <c r="E26" i="10" s="1"/>
  <c r="F51" i="10"/>
  <c r="G51" i="10" s="1"/>
  <c r="H51" i="10" s="1"/>
  <c r="I51" i="10" s="1"/>
  <c r="D52" i="10" s="1"/>
  <c r="E52" i="10" s="1"/>
  <c r="F38" i="10"/>
  <c r="G38" i="10" s="1"/>
  <c r="H38" i="10" s="1"/>
  <c r="I38" i="10" s="1"/>
  <c r="D39" i="10" s="1"/>
  <c r="E39" i="10" s="1"/>
  <c r="F12" i="10"/>
  <c r="G12" i="10" s="1"/>
  <c r="H12" i="10" s="1"/>
  <c r="I12" i="10" s="1"/>
  <c r="D13" i="10" s="1"/>
  <c r="E13" i="10" s="1"/>
  <c r="F26" i="9"/>
  <c r="G13" i="9"/>
  <c r="H13" i="9" s="1"/>
  <c r="I13" i="9" s="1"/>
  <c r="D14" i="9" s="1"/>
  <c r="E14" i="9" s="1"/>
  <c r="F39" i="9"/>
  <c r="G39" i="9" s="1"/>
  <c r="H39" i="9" s="1"/>
  <c r="I39" i="9" s="1"/>
  <c r="D40" i="9" s="1"/>
  <c r="E40" i="9" s="1"/>
  <c r="F13" i="9"/>
  <c r="G26" i="9"/>
  <c r="H26" i="9" s="1"/>
  <c r="I26" i="9" s="1"/>
  <c r="D27" i="9" s="1"/>
  <c r="E27" i="9" s="1"/>
  <c r="F52" i="10" l="1"/>
  <c r="G52" i="10" s="1"/>
  <c r="H52" i="10" s="1"/>
  <c r="I52" i="10" s="1"/>
  <c r="D53" i="10" s="1"/>
  <c r="E53" i="10" s="1"/>
  <c r="F26" i="10"/>
  <c r="G26" i="10" s="1"/>
  <c r="H26" i="10" s="1"/>
  <c r="I26" i="10" s="1"/>
  <c r="D27" i="10" s="1"/>
  <c r="E27" i="10" s="1"/>
  <c r="F39" i="10"/>
  <c r="G39" i="10" s="1"/>
  <c r="H39" i="10" s="1"/>
  <c r="I39" i="10" s="1"/>
  <c r="D40" i="10" s="1"/>
  <c r="E40" i="10" s="1"/>
  <c r="F13" i="10"/>
  <c r="G13" i="10" s="1"/>
  <c r="H13" i="10" s="1"/>
  <c r="I13" i="10" s="1"/>
  <c r="D14" i="10" s="1"/>
  <c r="E14" i="10" s="1"/>
  <c r="G27" i="9"/>
  <c r="H27" i="9" s="1"/>
  <c r="I27" i="9" s="1"/>
  <c r="D28" i="9" s="1"/>
  <c r="E28" i="9" s="1"/>
  <c r="F40" i="9"/>
  <c r="G40" i="9" s="1"/>
  <c r="H40" i="9" s="1"/>
  <c r="I40" i="9" s="1"/>
  <c r="D41" i="9" s="1"/>
  <c r="E41" i="9" s="1"/>
  <c r="F27" i="9"/>
  <c r="F14" i="9"/>
  <c r="G14" i="9" s="1"/>
  <c r="H14" i="9" s="1"/>
  <c r="I14" i="9" s="1"/>
  <c r="D15" i="9" s="1"/>
  <c r="E15" i="9" s="1"/>
  <c r="F53" i="10" l="1"/>
  <c r="G53" i="10" s="1"/>
  <c r="H53" i="10" s="1"/>
  <c r="I53" i="10" s="1"/>
  <c r="D54" i="10" s="1"/>
  <c r="E54" i="10" s="1"/>
  <c r="F40" i="10"/>
  <c r="G40" i="10" s="1"/>
  <c r="H40" i="10" s="1"/>
  <c r="I40" i="10" s="1"/>
  <c r="D41" i="10" s="1"/>
  <c r="E41" i="10" s="1"/>
  <c r="F27" i="10"/>
  <c r="G27" i="10" s="1"/>
  <c r="H27" i="10" s="1"/>
  <c r="I27" i="10" s="1"/>
  <c r="D28" i="10" s="1"/>
  <c r="E28" i="10" s="1"/>
  <c r="F14" i="10"/>
  <c r="G14" i="10" s="1"/>
  <c r="H14" i="10" s="1"/>
  <c r="I14" i="10" s="1"/>
  <c r="D15" i="10" s="1"/>
  <c r="E15" i="10" s="1"/>
  <c r="G41" i="9"/>
  <c r="H41" i="9" s="1"/>
  <c r="I41" i="9" s="1"/>
  <c r="D42" i="9" s="1"/>
  <c r="E42" i="9" s="1"/>
  <c r="F28" i="9"/>
  <c r="F41" i="9"/>
  <c r="F15" i="9"/>
  <c r="G15" i="9" s="1"/>
  <c r="H15" i="9" s="1"/>
  <c r="I15" i="9" s="1"/>
  <c r="D16" i="9" s="1"/>
  <c r="E16" i="9" s="1"/>
  <c r="G28" i="9"/>
  <c r="H28" i="9" s="1"/>
  <c r="I28" i="9" s="1"/>
  <c r="D29" i="9" s="1"/>
  <c r="E29" i="9" s="1"/>
  <c r="F54" i="10" l="1"/>
  <c r="G54" i="10" s="1"/>
  <c r="H54" i="10" s="1"/>
  <c r="I54" i="10" s="1"/>
  <c r="D55" i="10" s="1"/>
  <c r="E55" i="10" s="1"/>
  <c r="F15" i="10"/>
  <c r="G15" i="10" s="1"/>
  <c r="H15" i="10" s="1"/>
  <c r="I15" i="10" s="1"/>
  <c r="D16" i="10" s="1"/>
  <c r="E16" i="10" s="1"/>
  <c r="F41" i="10"/>
  <c r="G41" i="10" s="1"/>
  <c r="H41" i="10" s="1"/>
  <c r="I41" i="10" s="1"/>
  <c r="D42" i="10" s="1"/>
  <c r="E42" i="10" s="1"/>
  <c r="F28" i="10"/>
  <c r="G28" i="10" s="1"/>
  <c r="H28" i="10" s="1"/>
  <c r="I28" i="10" s="1"/>
  <c r="D29" i="10" s="1"/>
  <c r="E29" i="10" s="1"/>
  <c r="F42" i="9"/>
  <c r="F29" i="9"/>
  <c r="G29" i="9" s="1"/>
  <c r="H29" i="9" s="1"/>
  <c r="I29" i="9" s="1"/>
  <c r="D30" i="9" s="1"/>
  <c r="E30" i="9" s="1"/>
  <c r="F16" i="9"/>
  <c r="G16" i="9" s="1"/>
  <c r="H16" i="9" s="1"/>
  <c r="I16" i="9" s="1"/>
  <c r="D17" i="9" s="1"/>
  <c r="E17" i="9" s="1"/>
  <c r="G42" i="9"/>
  <c r="H42" i="9" s="1"/>
  <c r="I42" i="9" s="1"/>
  <c r="D43" i="9" s="1"/>
  <c r="E43" i="9" s="1"/>
  <c r="F29" i="10" l="1"/>
  <c r="G29" i="10" s="1"/>
  <c r="H29" i="10" s="1"/>
  <c r="I29" i="10" s="1"/>
  <c r="D30" i="10" s="1"/>
  <c r="E30" i="10" s="1"/>
  <c r="F55" i="10"/>
  <c r="G55" i="10" s="1"/>
  <c r="H55" i="10" s="1"/>
  <c r="I55" i="10" s="1"/>
  <c r="D56" i="10" s="1"/>
  <c r="E56" i="10" s="1"/>
  <c r="F42" i="10"/>
  <c r="G42" i="10" s="1"/>
  <c r="H42" i="10" s="1"/>
  <c r="I42" i="10" s="1"/>
  <c r="D43" i="10" s="1"/>
  <c r="E43" i="10" s="1"/>
  <c r="F16" i="10"/>
  <c r="G16" i="10" s="1"/>
  <c r="H16" i="10" s="1"/>
  <c r="I16" i="10" s="1"/>
  <c r="D17" i="10" s="1"/>
  <c r="E17" i="10" s="1"/>
  <c r="F30" i="9"/>
  <c r="G30" i="9" s="1"/>
  <c r="H30" i="9" s="1"/>
  <c r="I30" i="9" s="1"/>
  <c r="D31" i="9" s="1"/>
  <c r="E31" i="9" s="1"/>
  <c r="F17" i="9"/>
  <c r="G17" i="9" s="1"/>
  <c r="H17" i="9" s="1"/>
  <c r="I17" i="9" s="1"/>
  <c r="D18" i="9" s="1"/>
  <c r="E18" i="9" s="1"/>
  <c r="F43" i="9"/>
  <c r="G43" i="9" s="1"/>
  <c r="H43" i="9" s="1"/>
  <c r="I43" i="9" s="1"/>
  <c r="D44" i="9" s="1"/>
  <c r="E44" i="9" s="1"/>
  <c r="F56" i="10" l="1"/>
  <c r="G56" i="10" s="1"/>
  <c r="H56" i="10" s="1"/>
  <c r="I56" i="10" s="1"/>
  <c r="D57" i="10" s="1"/>
  <c r="E57" i="10" s="1"/>
  <c r="F43" i="10"/>
  <c r="G43" i="10" s="1"/>
  <c r="H43" i="10" s="1"/>
  <c r="I43" i="10" s="1"/>
  <c r="D44" i="10" s="1"/>
  <c r="E44" i="10" s="1"/>
  <c r="F17" i="10"/>
  <c r="G17" i="10" s="1"/>
  <c r="H17" i="10" s="1"/>
  <c r="I17" i="10" s="1"/>
  <c r="D18" i="10" s="1"/>
  <c r="E18" i="10" s="1"/>
  <c r="F30" i="10"/>
  <c r="G30" i="10" s="1"/>
  <c r="H30" i="10" s="1"/>
  <c r="I30" i="10" s="1"/>
  <c r="D31" i="10" s="1"/>
  <c r="E31" i="10" s="1"/>
  <c r="F44" i="9"/>
  <c r="G44" i="9" s="1"/>
  <c r="H44" i="9" s="1"/>
  <c r="I44" i="9" s="1"/>
  <c r="D45" i="9" s="1"/>
  <c r="E45" i="9" s="1"/>
  <c r="F31" i="9"/>
  <c r="G31" i="9" s="1"/>
  <c r="H31" i="9" s="1"/>
  <c r="I31" i="9" s="1"/>
  <c r="D32" i="9" s="1"/>
  <c r="E32" i="9" s="1"/>
  <c r="G18" i="9"/>
  <c r="H18" i="9" s="1"/>
  <c r="I18" i="9" s="1"/>
  <c r="D19" i="9" s="1"/>
  <c r="E19" i="9" s="1"/>
  <c r="F18" i="9"/>
  <c r="F57" i="10" l="1"/>
  <c r="G57" i="10" s="1"/>
  <c r="H57" i="10" s="1"/>
  <c r="I57" i="10" s="1"/>
  <c r="D58" i="10" s="1"/>
  <c r="E58" i="10" s="1"/>
  <c r="F31" i="10"/>
  <c r="G31" i="10" s="1"/>
  <c r="H31" i="10" s="1"/>
  <c r="I31" i="10" s="1"/>
  <c r="D32" i="10" s="1"/>
  <c r="E32" i="10" s="1"/>
  <c r="F44" i="10"/>
  <c r="G44" i="10" s="1"/>
  <c r="H44" i="10" s="1"/>
  <c r="I44" i="10" s="1"/>
  <c r="D45" i="10" s="1"/>
  <c r="E45" i="10" s="1"/>
  <c r="F18" i="10"/>
  <c r="G18" i="10" s="1"/>
  <c r="H18" i="10" s="1"/>
  <c r="I18" i="10" s="1"/>
  <c r="D19" i="10" s="1"/>
  <c r="E19" i="10" s="1"/>
  <c r="G32" i="9"/>
  <c r="H32" i="9" s="1"/>
  <c r="I32" i="9" s="1"/>
  <c r="F32" i="9"/>
  <c r="F19" i="9"/>
  <c r="G19" i="9" s="1"/>
  <c r="F45" i="9"/>
  <c r="G45" i="9" s="1"/>
  <c r="H45" i="9" s="1"/>
  <c r="I45" i="9" s="1"/>
  <c r="F45" i="10" l="1"/>
  <c r="G45" i="10" s="1"/>
  <c r="H45" i="10" s="1"/>
  <c r="I45" i="10" s="1"/>
  <c r="F58" i="10"/>
  <c r="G58" i="10" s="1"/>
  <c r="H58" i="10" s="1"/>
  <c r="I58" i="10" s="1"/>
  <c r="F32" i="10"/>
  <c r="G32" i="10" s="1"/>
  <c r="H32" i="10" s="1"/>
  <c r="I32" i="10" s="1"/>
  <c r="F19" i="10"/>
  <c r="G19" i="10" s="1"/>
  <c r="H19" i="10" s="1"/>
  <c r="I19" i="10" s="1"/>
  <c r="H19" i="9"/>
  <c r="I19" i="9" s="1"/>
  <c r="C2" i="9"/>
  <c r="C2" i="10" l="1"/>
  <c r="G3" i="8"/>
  <c r="F3" i="8"/>
  <c r="E3" i="8"/>
  <c r="I17" i="3"/>
  <c r="D17" i="3"/>
  <c r="B17" i="3"/>
  <c r="I16" i="3"/>
  <c r="F16" i="3"/>
  <c r="G17" i="3" s="1"/>
  <c r="D16" i="3"/>
  <c r="B16" i="3"/>
  <c r="F17" i="3" l="1"/>
  <c r="D3" i="4"/>
  <c r="D5" i="4" s="1"/>
  <c r="D6" i="4" s="1"/>
  <c r="B4" i="4"/>
  <c r="B3" i="4"/>
  <c r="J8" i="2"/>
  <c r="D2" i="1"/>
  <c r="B2" i="7"/>
  <c r="E24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43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D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B6" i="8"/>
  <c r="J24" i="8"/>
  <c r="F18" i="3" l="1"/>
  <c r="J6" i="8"/>
  <c r="K7" i="8" s="1"/>
  <c r="I56" i="8" l="1"/>
  <c r="I57" i="8"/>
  <c r="I35" i="8"/>
  <c r="I36" i="8"/>
  <c r="I37" i="8"/>
  <c r="I38" i="8"/>
  <c r="H20" i="8"/>
  <c r="B20" i="8"/>
  <c r="H19" i="8"/>
  <c r="B19" i="8"/>
  <c r="H38" i="8"/>
  <c r="B38" i="8"/>
  <c r="H37" i="8"/>
  <c r="B37" i="8"/>
  <c r="H57" i="8"/>
  <c r="B57" i="8"/>
  <c r="H56" i="8"/>
  <c r="B56" i="8"/>
  <c r="H55" i="8"/>
  <c r="B55" i="8"/>
  <c r="H54" i="8"/>
  <c r="B54" i="8"/>
  <c r="H53" i="8"/>
  <c r="B53" i="8"/>
  <c r="H18" i="8"/>
  <c r="B18" i="8"/>
  <c r="H17" i="8"/>
  <c r="B17" i="8"/>
  <c r="H16" i="8"/>
  <c r="B16" i="8"/>
  <c r="H36" i="8"/>
  <c r="B36" i="8"/>
  <c r="H35" i="8"/>
  <c r="B35" i="8"/>
  <c r="H34" i="8"/>
  <c r="B34" i="8"/>
  <c r="H52" i="8"/>
  <c r="B52" i="8"/>
  <c r="B51" i="8"/>
  <c r="H51" i="8"/>
  <c r="B32" i="8"/>
  <c r="H32" i="8"/>
  <c r="B33" i="8"/>
  <c r="H33" i="8"/>
  <c r="B14" i="8"/>
  <c r="H14" i="8"/>
  <c r="B15" i="8"/>
  <c r="H15" i="8"/>
  <c r="H44" i="8"/>
  <c r="H45" i="8"/>
  <c r="H46" i="8"/>
  <c r="H47" i="8"/>
  <c r="H48" i="8"/>
  <c r="H49" i="8"/>
  <c r="H50" i="8"/>
  <c r="H43" i="8"/>
  <c r="H25" i="8"/>
  <c r="H26" i="8"/>
  <c r="H27" i="8"/>
  <c r="H28" i="8"/>
  <c r="H29" i="8"/>
  <c r="H30" i="8"/>
  <c r="H31" i="8"/>
  <c r="H24" i="8"/>
  <c r="H7" i="8"/>
  <c r="I44" i="8" s="1"/>
  <c r="H8" i="8"/>
  <c r="I45" i="8" s="1"/>
  <c r="H9" i="8"/>
  <c r="I46" i="8" s="1"/>
  <c r="H10" i="8"/>
  <c r="I47" i="8" s="1"/>
  <c r="H11" i="8"/>
  <c r="I29" i="8" s="1"/>
  <c r="H12" i="8"/>
  <c r="I49" i="8" s="1"/>
  <c r="H13" i="8"/>
  <c r="I50" i="8" s="1"/>
  <c r="H6" i="8"/>
  <c r="B7" i="8"/>
  <c r="B8" i="8"/>
  <c r="B9" i="8"/>
  <c r="B10" i="8"/>
  <c r="B11" i="8"/>
  <c r="B12" i="8"/>
  <c r="B13" i="8"/>
  <c r="B50" i="8"/>
  <c r="B49" i="8"/>
  <c r="B48" i="8"/>
  <c r="B47" i="8"/>
  <c r="B46" i="8"/>
  <c r="B45" i="8"/>
  <c r="B44" i="8"/>
  <c r="B4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B24" i="8"/>
  <c r="F10" i="7"/>
  <c r="C10" i="7" s="1"/>
  <c r="D10" i="7" s="1"/>
  <c r="E10" i="7" s="1"/>
  <c r="B10" i="7"/>
  <c r="F9" i="7"/>
  <c r="C9" i="7" s="1"/>
  <c r="D9" i="7" s="1"/>
  <c r="E9" i="7" s="1"/>
  <c r="B9" i="7"/>
  <c r="F8" i="7"/>
  <c r="C8" i="7" s="1"/>
  <c r="D8" i="7" s="1"/>
  <c r="E8" i="7" s="1"/>
  <c r="B8" i="7"/>
  <c r="F7" i="7"/>
  <c r="C7" i="7" s="1"/>
  <c r="D7" i="7" s="1"/>
  <c r="E7" i="7" s="1"/>
  <c r="B7" i="7"/>
  <c r="F6" i="7"/>
  <c r="C6" i="7" s="1"/>
  <c r="D6" i="7" s="1"/>
  <c r="E6" i="7" s="1"/>
  <c r="B6" i="7"/>
  <c r="F5" i="7"/>
  <c r="C5" i="7"/>
  <c r="D5" i="7" s="1"/>
  <c r="E5" i="7" s="1"/>
  <c r="B5" i="7"/>
  <c r="F4" i="7"/>
  <c r="C4" i="7" s="1"/>
  <c r="D4" i="7" s="1"/>
  <c r="E4" i="7" s="1"/>
  <c r="B4" i="7"/>
  <c r="F3" i="7"/>
  <c r="C3" i="7"/>
  <c r="D3" i="7" s="1"/>
  <c r="E3" i="7" s="1"/>
  <c r="B3" i="7"/>
  <c r="C2" i="7"/>
  <c r="D2" i="7"/>
  <c r="E2" i="7" s="1"/>
  <c r="I11" i="3"/>
  <c r="D11" i="3"/>
  <c r="B11" i="3"/>
  <c r="I10" i="3"/>
  <c r="D10" i="3"/>
  <c r="B10" i="3"/>
  <c r="I9" i="3"/>
  <c r="D9" i="3"/>
  <c r="B9" i="3"/>
  <c r="I8" i="3"/>
  <c r="D8" i="3"/>
  <c r="B8" i="3"/>
  <c r="I7" i="3"/>
  <c r="D7" i="3"/>
  <c r="B7" i="3"/>
  <c r="I6" i="3"/>
  <c r="D6" i="3"/>
  <c r="B6" i="3"/>
  <c r="I5" i="3"/>
  <c r="D5" i="3"/>
  <c r="B5" i="3"/>
  <c r="I4" i="3"/>
  <c r="D4" i="3"/>
  <c r="B4" i="3"/>
  <c r="E4" i="3" s="1"/>
  <c r="F4" i="3" s="1"/>
  <c r="G5" i="3" s="1"/>
  <c r="J3" i="2"/>
  <c r="J4" i="2"/>
  <c r="J5" i="2"/>
  <c r="J6" i="2"/>
  <c r="J7" i="2"/>
  <c r="J2" i="2"/>
  <c r="I7" i="2"/>
  <c r="F8" i="2"/>
  <c r="C8" i="2"/>
  <c r="G7" i="2"/>
  <c r="H7" i="2" s="1"/>
  <c r="I8" i="2" s="1"/>
  <c r="G8" i="2" s="1"/>
  <c r="H8" i="2" s="1"/>
  <c r="F7" i="2"/>
  <c r="C7" i="2"/>
  <c r="G6" i="2"/>
  <c r="H6" i="2" s="1"/>
  <c r="F6" i="2"/>
  <c r="C6" i="2"/>
  <c r="G5" i="2"/>
  <c r="H5" i="2" s="1"/>
  <c r="I6" i="2" s="1"/>
  <c r="F5" i="2"/>
  <c r="C5" i="2"/>
  <c r="I4" i="2"/>
  <c r="G4" i="2" s="1"/>
  <c r="H4" i="2" s="1"/>
  <c r="I5" i="2" s="1"/>
  <c r="F4" i="2"/>
  <c r="F3" i="2"/>
  <c r="C3" i="2"/>
  <c r="H3" i="2"/>
  <c r="G3" i="2"/>
  <c r="C4" i="2"/>
  <c r="I3" i="2"/>
  <c r="H2" i="2"/>
  <c r="F2" i="2"/>
  <c r="G2" i="2"/>
  <c r="E5" i="3" l="1"/>
  <c r="F5" i="3" s="1"/>
  <c r="G6" i="3" s="1"/>
  <c r="E6" i="3" s="1"/>
  <c r="F6" i="3" s="1"/>
  <c r="G7" i="3" s="1"/>
  <c r="I34" i="8"/>
  <c r="I53" i="8"/>
  <c r="I32" i="8"/>
  <c r="I52" i="8"/>
  <c r="I55" i="8"/>
  <c r="I33" i="8"/>
  <c r="I54" i="8"/>
  <c r="I48" i="8"/>
  <c r="I51" i="8"/>
  <c r="I25" i="8"/>
  <c r="I28" i="8"/>
  <c r="I24" i="8"/>
  <c r="I31" i="8"/>
  <c r="I27" i="8"/>
  <c r="I43" i="8"/>
  <c r="I30" i="8"/>
  <c r="I26" i="8"/>
  <c r="F3" i="4"/>
  <c r="D2" i="4"/>
  <c r="E7" i="3" l="1"/>
  <c r="F7" i="3" s="1"/>
  <c r="G8" i="3" s="1"/>
  <c r="C2" i="2"/>
  <c r="E8" i="3" l="1"/>
  <c r="F8" i="3" s="1"/>
  <c r="G9" i="3" s="1"/>
  <c r="M6" i="8"/>
  <c r="J43" i="8"/>
  <c r="B9" i="1"/>
  <c r="B6" i="1"/>
  <c r="B3" i="1"/>
  <c r="B7" i="1" s="1"/>
  <c r="B11" i="1" l="1"/>
  <c r="D4" i="1"/>
  <c r="F2" i="1" s="1"/>
  <c r="H2" i="1"/>
  <c r="E9" i="3"/>
  <c r="F9" i="3" s="1"/>
  <c r="G10" i="3" s="1"/>
  <c r="M24" i="8"/>
  <c r="K24" i="8"/>
  <c r="L25" i="8" s="1"/>
  <c r="M43" i="8"/>
  <c r="K43" i="8"/>
  <c r="L44" i="8" s="1"/>
  <c r="H3" i="1"/>
  <c r="I7" i="8" l="1"/>
  <c r="J7" i="8" s="1"/>
  <c r="K8" i="8" s="1"/>
  <c r="E10" i="3"/>
  <c r="F10" i="3" s="1"/>
  <c r="G11" i="3" s="1"/>
  <c r="E11" i="3" l="1"/>
  <c r="F11" i="3" s="1"/>
  <c r="J25" i="8"/>
  <c r="M25" i="8" s="1"/>
  <c r="M7" i="8"/>
  <c r="J44" i="8"/>
  <c r="M44" i="8" s="1"/>
  <c r="K44" i="8" l="1"/>
  <c r="L45" i="8" s="1"/>
  <c r="K25" i="8"/>
  <c r="L26" i="8" s="1"/>
  <c r="I8" i="8" l="1"/>
  <c r="J26" i="8" s="1"/>
  <c r="M8" i="8" l="1"/>
  <c r="K26" i="8"/>
  <c r="L27" i="8" s="1"/>
  <c r="M26" i="8"/>
  <c r="J8" i="8"/>
  <c r="K9" i="8" s="1"/>
  <c r="J45" i="8"/>
  <c r="M45" i="8" s="1"/>
  <c r="K45" i="8" l="1"/>
  <c r="L46" i="8" s="1"/>
  <c r="I9" i="8" l="1"/>
  <c r="J9" i="8" s="1"/>
  <c r="K10" i="8" s="1"/>
  <c r="M9" i="8" l="1"/>
  <c r="J27" i="8"/>
  <c r="M27" i="8" s="1"/>
  <c r="J46" i="8"/>
  <c r="K46" i="8" s="1"/>
  <c r="L47" i="8" s="1"/>
  <c r="M46" i="8" l="1"/>
  <c r="K27" i="8"/>
  <c r="L28" i="8" s="1"/>
  <c r="I10" i="8" l="1"/>
  <c r="J47" i="8" l="1"/>
  <c r="J28" i="8"/>
  <c r="M10" i="8"/>
  <c r="J10" i="8"/>
  <c r="K11" i="8" s="1"/>
  <c r="M28" i="8" l="1"/>
  <c r="K28" i="8"/>
  <c r="L29" i="8" s="1"/>
  <c r="M47" i="8"/>
  <c r="K47" i="8"/>
  <c r="L48" i="8" s="1"/>
  <c r="I11" i="8" l="1"/>
  <c r="J11" i="8" s="1"/>
  <c r="K12" i="8" s="1"/>
  <c r="J48" i="8" l="1"/>
  <c r="M48" i="8" s="1"/>
  <c r="J29" i="8"/>
  <c r="K29" i="8" s="1"/>
  <c r="L30" i="8" s="1"/>
  <c r="M11" i="8"/>
  <c r="K48" i="8" l="1"/>
  <c r="L49" i="8" s="1"/>
  <c r="I12" i="8" s="1"/>
  <c r="M12" i="8" s="1"/>
  <c r="M29" i="8"/>
  <c r="J49" i="8" l="1"/>
  <c r="J12" i="8"/>
  <c r="K13" i="8" s="1"/>
  <c r="J30" i="8"/>
  <c r="M30" i="8" s="1"/>
  <c r="K49" i="8"/>
  <c r="L50" i="8" s="1"/>
  <c r="M49" i="8"/>
  <c r="K30" i="8" l="1"/>
  <c r="L31" i="8" s="1"/>
  <c r="I13" i="8" s="1"/>
  <c r="J13" i="8" s="1"/>
  <c r="K14" i="8" s="1"/>
  <c r="J31" i="8" l="1"/>
  <c r="K31" i="8" s="1"/>
  <c r="L32" i="8" s="1"/>
  <c r="M13" i="8"/>
  <c r="J50" i="8"/>
  <c r="K50" i="8" s="1"/>
  <c r="L51" i="8" s="1"/>
  <c r="M31" i="8" l="1"/>
  <c r="I14" i="8"/>
  <c r="J14" i="8" s="1"/>
  <c r="K15" i="8" s="1"/>
  <c r="M50" i="8"/>
  <c r="M14" i="8" l="1"/>
  <c r="J32" i="8"/>
  <c r="K32" i="8" s="1"/>
  <c r="L33" i="8" s="1"/>
  <c r="J51" i="8"/>
  <c r="M51" i="8" s="1"/>
  <c r="M32" i="8" l="1"/>
  <c r="K51" i="8"/>
  <c r="L52" i="8" s="1"/>
  <c r="I15" i="8" s="1"/>
  <c r="J15" i="8" s="1"/>
  <c r="K16" i="8" s="1"/>
  <c r="J33" i="8" l="1"/>
  <c r="K33" i="8" s="1"/>
  <c r="L34" i="8" s="1"/>
  <c r="M15" i="8"/>
  <c r="J52" i="8"/>
  <c r="M52" i="8" s="1"/>
  <c r="M33" i="8"/>
  <c r="K52" i="8" l="1"/>
  <c r="L53" i="8" s="1"/>
  <c r="I16" i="8" s="1"/>
  <c r="M16" i="8" s="1"/>
  <c r="J16" i="8" l="1"/>
  <c r="K17" i="8" s="1"/>
  <c r="J34" i="8"/>
  <c r="M34" i="8" s="1"/>
  <c r="J53" i="8"/>
  <c r="M53" i="8" s="1"/>
  <c r="K53" i="8" l="1"/>
  <c r="L54" i="8" s="1"/>
  <c r="K34" i="8"/>
  <c r="L35" i="8" s="1"/>
  <c r="I17" i="8" s="1"/>
  <c r="J17" i="8" s="1"/>
  <c r="K18" i="8" s="1"/>
  <c r="J35" i="8" l="1"/>
  <c r="K35" i="8" s="1"/>
  <c r="L36" i="8" s="1"/>
  <c r="J54" i="8"/>
  <c r="M54" i="8" s="1"/>
  <c r="M17" i="8"/>
  <c r="M35" i="8" l="1"/>
  <c r="K54" i="8"/>
  <c r="L55" i="8" s="1"/>
  <c r="I18" i="8" l="1"/>
  <c r="M18" i="8" s="1"/>
  <c r="J55" i="8" l="1"/>
  <c r="M55" i="8" s="1"/>
  <c r="J18" i="8"/>
  <c r="K19" i="8" s="1"/>
  <c r="J36" i="8"/>
  <c r="K36" i="8" s="1"/>
  <c r="L37" i="8" s="1"/>
  <c r="K55" i="8" l="1"/>
  <c r="L56" i="8" s="1"/>
  <c r="M36" i="8"/>
  <c r="I19" i="8"/>
  <c r="J19" i="8" s="1"/>
  <c r="K20" i="8" s="1"/>
  <c r="J37" i="8" l="1"/>
  <c r="K37" i="8" s="1"/>
  <c r="L38" i="8" s="1"/>
  <c r="J56" i="8"/>
  <c r="K56" i="8" s="1"/>
  <c r="L57" i="8" s="1"/>
  <c r="M19" i="8"/>
  <c r="M56" i="8" l="1"/>
  <c r="I20" i="8"/>
  <c r="J20" i="8" s="1"/>
  <c r="M37" i="8"/>
  <c r="M20" i="8" l="1"/>
  <c r="J38" i="8"/>
  <c r="K38" i="8" s="1"/>
  <c r="J57" i="8"/>
  <c r="M57" i="8" s="1"/>
  <c r="M38" i="8" l="1"/>
  <c r="K57" i="8"/>
</calcChain>
</file>

<file path=xl/comments1.xml><?xml version="1.0" encoding="utf-8"?>
<comments xmlns="http://schemas.openxmlformats.org/spreadsheetml/2006/main">
  <authors>
    <author>tc={67521EC0-731E-4449-9648-6B3B64A7ABB4}</author>
    <author>tc={C318B4B1-E332-4A4E-97A1-303A3C43CA08}</author>
  </authors>
  <commentList>
    <comment ref="I5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friccion y accesorios de la siguiente tuberia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Haland</t>
        </r>
      </text>
    </comment>
  </commentList>
</comments>
</file>

<file path=xl/comments2.xml><?xml version="1.0" encoding="utf-8"?>
<comments xmlns="http://schemas.openxmlformats.org/spreadsheetml/2006/main">
  <authors>
    <author>tc={1778951E-F6BD-47B5-B6F9-B4976EC55D0E}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Sumatoria de los caudales</t>
        </r>
      </text>
    </comment>
  </commentList>
</comments>
</file>

<file path=xl/comments3.xml><?xml version="1.0" encoding="utf-8"?>
<comments xmlns="http://schemas.openxmlformats.org/spreadsheetml/2006/main">
  <authors>
    <author>tc={BAB5058A-8B37-4C19-A3C9-9790E99DF20D}</author>
  </authors>
  <commentList>
    <comment ref="F8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 CON EL # DE RAMAS</t>
        </r>
      </text>
    </comment>
  </commentList>
</comments>
</file>

<file path=xl/sharedStrings.xml><?xml version="1.0" encoding="utf-8"?>
<sst xmlns="http://schemas.openxmlformats.org/spreadsheetml/2006/main" count="269" uniqueCount="114">
  <si>
    <t>1. Parámetros Iniciales</t>
  </si>
  <si>
    <t>2. Parámetros del flujo</t>
  </si>
  <si>
    <t>3. Factor de fricción</t>
  </si>
  <si>
    <t>4. Cálculo de pérdidas</t>
  </si>
  <si>
    <t>Q (L/s)</t>
  </si>
  <si>
    <t>Viscosidad cinemática (m2/s)</t>
  </si>
  <si>
    <t>f CW =0</t>
  </si>
  <si>
    <t>1. hf DW (m)</t>
  </si>
  <si>
    <t>Q (m3/s)</t>
  </si>
  <si>
    <t>Peso específico (N/m3)</t>
  </si>
  <si>
    <r>
      <rPr>
        <sz val="11"/>
        <color rgb="FF00B0F0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supuesto</t>
    </r>
  </si>
  <si>
    <t>2. hf HW (m)</t>
  </si>
  <si>
    <t>Longitud (m)</t>
  </si>
  <si>
    <t>NR</t>
  </si>
  <si>
    <t>3.deltaP (Pa)</t>
  </si>
  <si>
    <t>D (pulg.)</t>
  </si>
  <si>
    <t>D (m)</t>
  </si>
  <si>
    <t>V (m/s)</t>
  </si>
  <si>
    <t>Rugosidad Abs (mm)</t>
  </si>
  <si>
    <t>Rugosidad abs (m)</t>
  </si>
  <si>
    <t>Rugosidad rel (adim)</t>
  </si>
  <si>
    <t>Material</t>
  </si>
  <si>
    <t>Diámetro (pg)</t>
  </si>
  <si>
    <t>Diámetro (m)</t>
  </si>
  <si>
    <t>f</t>
  </si>
  <si>
    <t>Caudal l/s</t>
  </si>
  <si>
    <t>Caudal (m3/s)</t>
  </si>
  <si>
    <t>L (m)</t>
  </si>
  <si>
    <t>Propiedades de la Tubería</t>
  </si>
  <si>
    <t>Características del sistema</t>
  </si>
  <si>
    <t>D (pies)</t>
  </si>
  <si>
    <t>Energía (pie)</t>
  </si>
  <si>
    <t>Rugosidad absoluta (pie)</t>
  </si>
  <si>
    <t>Vb</t>
  </si>
  <si>
    <t>Q</t>
  </si>
  <si>
    <t>Rugosidad relativa</t>
  </si>
  <si>
    <t>f supuesto</t>
  </si>
  <si>
    <t>f CW</t>
  </si>
  <si>
    <t>hierro dúctil</t>
  </si>
  <si>
    <t>viscosidad cinemática (m2/s)</t>
  </si>
  <si>
    <t>hf (m)</t>
  </si>
  <si>
    <t>viscosidad (m2/s)</t>
  </si>
  <si>
    <r>
      <rPr>
        <sz val="11"/>
        <color theme="1"/>
        <rFont val="Calibri"/>
        <family val="2"/>
      </rPr>
      <t>ᵋ</t>
    </r>
    <r>
      <rPr>
        <sz val="11"/>
        <color theme="1"/>
        <rFont val="Calibri"/>
        <family val="2"/>
        <scheme val="minor"/>
      </rPr>
      <t xml:space="preserve"> rugosidad absoluta (m)</t>
    </r>
  </si>
  <si>
    <t>viscosidad c.</t>
  </si>
  <si>
    <t>V</t>
  </si>
  <si>
    <t>Caudal</t>
  </si>
  <si>
    <t>a (m)</t>
  </si>
  <si>
    <t>Accesorio</t>
  </si>
  <si>
    <t>k</t>
  </si>
  <si>
    <t>Entrada</t>
  </si>
  <si>
    <t>Tubería 1</t>
  </si>
  <si>
    <t>Reducción</t>
  </si>
  <si>
    <t>Temperatura</t>
  </si>
  <si>
    <t>VC *10-6</t>
  </si>
  <si>
    <t>Viscosidad (m2/s)</t>
  </si>
  <si>
    <t>V1 (m/s)</t>
  </si>
  <si>
    <t>hT</t>
  </si>
  <si>
    <t>Tubería 2</t>
  </si>
  <si>
    <t>(D1/D2)^4</t>
  </si>
  <si>
    <t>V2</t>
  </si>
  <si>
    <t>Tubería 3</t>
  </si>
  <si>
    <t>(D1/D3)^4</t>
  </si>
  <si>
    <t>V3</t>
  </si>
  <si>
    <t>Ampliación</t>
  </si>
  <si>
    <t>Salida</t>
  </si>
  <si>
    <t>D (cm)</t>
  </si>
  <si>
    <t>NR2</t>
  </si>
  <si>
    <t>f2</t>
  </si>
  <si>
    <t>NR1</t>
  </si>
  <si>
    <t>f1</t>
  </si>
  <si>
    <t>Sin accesorios</t>
  </si>
  <si>
    <t>Con accesorios</t>
  </si>
  <si>
    <t>Uniones 1</t>
  </si>
  <si>
    <t>Uniones 2</t>
  </si>
  <si>
    <t>Uniones 3</t>
  </si>
  <si>
    <t>Datos de entrada</t>
  </si>
  <si>
    <t>Verificación</t>
  </si>
  <si>
    <t>Q (m3/s) (entrada y salida)</t>
  </si>
  <si>
    <t>PVC</t>
  </si>
  <si>
    <t>Rugosidad absoluta (m)</t>
  </si>
  <si>
    <t>Temperatura ºC</t>
  </si>
  <si>
    <t>RAMA</t>
  </si>
  <si>
    <t>Xa</t>
  </si>
  <si>
    <t>hf</t>
  </si>
  <si>
    <t>Qa (m3/s)</t>
  </si>
  <si>
    <t>Va (m/s)</t>
  </si>
  <si>
    <t>a</t>
  </si>
  <si>
    <t>Xb</t>
  </si>
  <si>
    <t>Qb (m3/s)</t>
  </si>
  <si>
    <t>Vb (m/s)</t>
  </si>
  <si>
    <t>b</t>
  </si>
  <si>
    <t>Xc</t>
  </si>
  <si>
    <t>Qc (m3/s)</t>
  </si>
  <si>
    <t>Vc (m/s)</t>
  </si>
  <si>
    <t>c</t>
  </si>
  <si>
    <t>Hierro forjado</t>
  </si>
  <si>
    <t>ka</t>
  </si>
  <si>
    <t>Da</t>
  </si>
  <si>
    <t>kb</t>
  </si>
  <si>
    <t>Db</t>
  </si>
  <si>
    <t>kc</t>
  </si>
  <si>
    <t>Dc</t>
  </si>
  <si>
    <t>Ht</t>
  </si>
  <si>
    <t>Ingresar</t>
  </si>
  <si>
    <t>CH (Hazen Wiliams)</t>
  </si>
  <si>
    <t xml:space="preserve">Hazen Wiliams </t>
  </si>
  <si>
    <t>Darcy Weisbach</t>
  </si>
  <si>
    <t>UNICAMENTE PARA DIAMETROS IGUALES Y TUBERIAS HORIZONTALES</t>
  </si>
  <si>
    <t>Celda que debo igualar a 0</t>
  </si>
  <si>
    <t>1/raiz(Za)</t>
  </si>
  <si>
    <t>1 / raiz(Zc)</t>
  </si>
  <si>
    <t>1/ raiz(Zb)</t>
  </si>
  <si>
    <t>kd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</si>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</sst>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000"/>
    <numFmt numFmtId="165" formatCode="0.0000000"/>
    <numFmt numFmtId="166" formatCode="0.0000"/>
    <numFmt numFmtId="167" formatCode="0.00000"/>
    <numFmt numFmtId="168" formatCode="0.000E+00"/>
    <numFmt numFmtId="169" formatCode="0.000000000"/>
    <numFmt numFmtId="170" formatCode="0.0"/>
    <numFmt numFmtId="171" formatCode="0.0000000000"/>
    <numFmt numFmtId="172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7" xfId="0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0" borderId="9" xfId="0" applyBorder="1"/>
    <xf numFmtId="166" fontId="0" fillId="0" borderId="10" xfId="0" applyNumberFormat="1" applyBorder="1"/>
    <xf numFmtId="0" fontId="0" fillId="2" borderId="11" xfId="0" applyFill="1" applyBorder="1"/>
    <xf numFmtId="0" fontId="0" fillId="2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0" fillId="5" borderId="12" xfId="0" applyFill="1" applyBorder="1"/>
    <xf numFmtId="0" fontId="0" fillId="5" borderId="15" xfId="0" applyFill="1" applyBorder="1"/>
    <xf numFmtId="0" fontId="0" fillId="2" borderId="9" xfId="0" applyFill="1" applyBorder="1"/>
    <xf numFmtId="0" fontId="0" fillId="0" borderId="16" xfId="0" applyBorder="1"/>
    <xf numFmtId="0" fontId="0" fillId="0" borderId="17" xfId="0" applyBorder="1"/>
    <xf numFmtId="165" fontId="0" fillId="0" borderId="15" xfId="0" applyNumberFormat="1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0" xfId="0" applyNumberFormat="1"/>
    <xf numFmtId="0" fontId="0" fillId="5" borderId="0" xfId="0" applyFill="1"/>
    <xf numFmtId="0" fontId="0" fillId="2" borderId="0" xfId="0" applyFill="1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0" borderId="14" xfId="0" applyBorder="1" applyAlignment="1">
      <alignment horizontal="center" vertical="center"/>
    </xf>
    <xf numFmtId="0" fontId="4" fillId="0" borderId="14" xfId="0" applyFont="1" applyBorder="1" applyAlignment="1">
      <alignment wrapText="1"/>
    </xf>
    <xf numFmtId="0" fontId="0" fillId="0" borderId="0" xfId="0" applyAlignment="1">
      <alignment horizontal="right"/>
    </xf>
    <xf numFmtId="168" fontId="0" fillId="0" borderId="0" xfId="0" quotePrefix="1" applyNumberFormat="1"/>
    <xf numFmtId="11" fontId="0" fillId="0" borderId="0" xfId="0" quotePrefix="1" applyNumberFormat="1"/>
    <xf numFmtId="0" fontId="5" fillId="0" borderId="0" xfId="0" applyFont="1"/>
    <xf numFmtId="166" fontId="0" fillId="0" borderId="0" xfId="0" applyNumberFormat="1"/>
    <xf numFmtId="166" fontId="0" fillId="0" borderId="0" xfId="0" applyNumberFormat="1" applyFill="1"/>
    <xf numFmtId="3" fontId="0" fillId="0" borderId="0" xfId="0" quotePrefix="1" applyNumberFormat="1"/>
    <xf numFmtId="0" fontId="0" fillId="6" borderId="0" xfId="0" applyFill="1"/>
    <xf numFmtId="166" fontId="0" fillId="2" borderId="0" xfId="0" applyNumberFormat="1" applyFill="1"/>
    <xf numFmtId="1" fontId="0" fillId="0" borderId="0" xfId="0" quotePrefix="1" applyNumberFormat="1"/>
    <xf numFmtId="169" fontId="0" fillId="0" borderId="0" xfId="0" quotePrefix="1" applyNumberFormat="1"/>
    <xf numFmtId="1" fontId="0" fillId="0" borderId="0" xfId="0" applyNumberFormat="1"/>
    <xf numFmtId="0" fontId="0" fillId="0" borderId="14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169" fontId="0" fillId="2" borderId="0" xfId="0" applyNumberFormat="1" applyFill="1"/>
    <xf numFmtId="0" fontId="8" fillId="0" borderId="14" xfId="0" applyFont="1" applyBorder="1" applyAlignment="1">
      <alignment horizontal="center"/>
    </xf>
    <xf numFmtId="0" fontId="9" fillId="0" borderId="0" xfId="0" applyFont="1"/>
    <xf numFmtId="0" fontId="9" fillId="0" borderId="14" xfId="0" applyFont="1" applyBorder="1"/>
    <xf numFmtId="1" fontId="9" fillId="4" borderId="14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 readingOrder="1"/>
    </xf>
    <xf numFmtId="0" fontId="7" fillId="8" borderId="14" xfId="0" applyFont="1" applyFill="1" applyBorder="1" applyAlignment="1">
      <alignment horizontal="right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8" fillId="0" borderId="0" xfId="0" applyFont="1"/>
    <xf numFmtId="0" fontId="9" fillId="0" borderId="14" xfId="0" applyFont="1" applyBorder="1" applyAlignment="1">
      <alignment horizontal="right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horizontal="center"/>
    </xf>
    <xf numFmtId="0" fontId="9" fillId="9" borderId="14" xfId="0" applyFont="1" applyFill="1" applyBorder="1" applyAlignment="1">
      <alignment horizontal="right" vertical="center" wrapText="1" readingOrder="1"/>
    </xf>
    <xf numFmtId="0" fontId="9" fillId="9" borderId="14" xfId="0" applyFont="1" applyFill="1" applyBorder="1" applyAlignment="1">
      <alignment horizontal="center" vertical="center" wrapText="1" readingOrder="1"/>
    </xf>
    <xf numFmtId="0" fontId="9" fillId="9" borderId="14" xfId="0" applyFont="1" applyFill="1" applyBorder="1" applyAlignment="1">
      <alignment horizontal="center"/>
    </xf>
    <xf numFmtId="0" fontId="9" fillId="9" borderId="14" xfId="0" applyFont="1" applyFill="1" applyBorder="1" applyAlignment="1">
      <alignment vertical="center"/>
    </xf>
    <xf numFmtId="0" fontId="9" fillId="9" borderId="14" xfId="0" applyFont="1" applyFill="1" applyBorder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170" fontId="9" fillId="4" borderId="14" xfId="0" applyNumberFormat="1" applyFont="1" applyFill="1" applyBorder="1" applyAlignment="1">
      <alignment horizontal="center"/>
    </xf>
    <xf numFmtId="171" fontId="9" fillId="0" borderId="14" xfId="0" applyNumberFormat="1" applyFont="1" applyBorder="1" applyAlignment="1">
      <alignment vertical="center"/>
    </xf>
    <xf numFmtId="172" fontId="9" fillId="0" borderId="14" xfId="0" applyNumberFormat="1" applyFont="1" applyBorder="1"/>
    <xf numFmtId="172" fontId="9" fillId="9" borderId="14" xfId="0" applyNumberFormat="1" applyFont="1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14" xfId="0" applyFill="1" applyBorder="1" applyAlignment="1">
      <alignment horizontal="center"/>
    </xf>
    <xf numFmtId="0" fontId="0" fillId="2" borderId="0" xfId="0" quotePrefix="1" applyFill="1"/>
    <xf numFmtId="1" fontId="0" fillId="2" borderId="0" xfId="0" quotePrefix="1" applyNumberFormat="1" applyFill="1"/>
    <xf numFmtId="3" fontId="0" fillId="2" borderId="0" xfId="0" quotePrefix="1" applyNumberFormat="1" applyFill="1"/>
    <xf numFmtId="169" fontId="0" fillId="10" borderId="0" xfId="0" applyNumberFormat="1" applyFill="1"/>
    <xf numFmtId="0" fontId="0" fillId="10" borderId="0" xfId="0" applyFill="1"/>
    <xf numFmtId="0" fontId="9" fillId="2" borderId="14" xfId="0" applyFont="1" applyFill="1" applyBorder="1" applyAlignment="1">
      <alignment horizontal="right" vertical="center"/>
    </xf>
    <xf numFmtId="0" fontId="9" fillId="2" borderId="14" xfId="0" applyFont="1" applyFill="1" applyBorder="1" applyAlignment="1">
      <alignment horizontal="right" vertical="center" wrapText="1" readingOrder="1"/>
    </xf>
    <xf numFmtId="0" fontId="9" fillId="2" borderId="14" xfId="0" applyFont="1" applyFill="1" applyBorder="1" applyAlignment="1">
      <alignment horizontal="center" vertical="center" wrapText="1" readingOrder="1"/>
    </xf>
    <xf numFmtId="0" fontId="9" fillId="2" borderId="14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18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9" fillId="0" borderId="21" xfId="0" applyFont="1" applyBorder="1" applyAlignment="1">
      <alignment horizontal="center" vertical="center" wrapText="1" readingOrder="1"/>
    </xf>
    <xf numFmtId="0" fontId="9" fillId="0" borderId="2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72" Type="http://schemas.openxmlformats.org/officeDocument/2006/relationships/image" Target="../media/image36.png"/><Relationship Id="rId93" Type="http://schemas.openxmlformats.org/officeDocument/2006/relationships/image" Target="../media/image47.png"/><Relationship Id="rId109" Type="http://schemas.openxmlformats.org/officeDocument/2006/relationships/image" Target="../media/image55.png"/><Relationship Id="rId3" Type="http://schemas.openxmlformats.org/officeDocument/2006/relationships/customXml" Target="../ink/ink2.xml"/><Relationship Id="rId84" Type="http://schemas.openxmlformats.org/officeDocument/2006/relationships/customXml" Target="../ink/ink5.xml"/><Relationship Id="rId104" Type="http://schemas.openxmlformats.org/officeDocument/2006/relationships/customXml" Target="../ink/ink8.xml"/><Relationship Id="rId112" Type="http://schemas.openxmlformats.org/officeDocument/2006/relationships/customXml" Target="../ink/ink12.xml"/><Relationship Id="rId103" Type="http://schemas.openxmlformats.org/officeDocument/2006/relationships/image" Target="../media/image52.png"/><Relationship Id="rId108" Type="http://schemas.openxmlformats.org/officeDocument/2006/relationships/customXml" Target="../ink/ink9.xml"/><Relationship Id="rId2" Type="http://schemas.openxmlformats.org/officeDocument/2006/relationships/image" Target="../media/image1.png"/><Relationship Id="rId83" Type="http://schemas.openxmlformats.org/officeDocument/2006/relationships/image" Target="../media/image42.png"/><Relationship Id="rId88" Type="http://schemas.openxmlformats.org/officeDocument/2006/relationships/customXml" Target="../ink/ink6.xml"/><Relationship Id="rId107" Type="http://schemas.openxmlformats.org/officeDocument/2006/relationships/image" Target="../media/image54.png"/><Relationship Id="rId111" Type="http://schemas.openxmlformats.org/officeDocument/2006/relationships/customXml" Target="../ink/ink11.xml"/><Relationship Id="rId1" Type="http://schemas.openxmlformats.org/officeDocument/2006/relationships/customXml" Target="../ink/ink1.xml"/><Relationship Id="rId74" Type="http://schemas.openxmlformats.org/officeDocument/2006/relationships/customXml" Target="../ink/ink3.xml"/><Relationship Id="rId87" Type="http://schemas.openxmlformats.org/officeDocument/2006/relationships/image" Target="../media/image44.png"/><Relationship Id="rId110" Type="http://schemas.openxmlformats.org/officeDocument/2006/relationships/customXml" Target="../ink/ink10.xml"/><Relationship Id="rId73" Type="http://schemas.openxmlformats.org/officeDocument/2006/relationships/image" Target="../media/image2.png"/><Relationship Id="rId78" Type="http://schemas.openxmlformats.org/officeDocument/2006/relationships/customXml" Target="../ink/ink4.xml"/><Relationship Id="rId94" Type="http://schemas.openxmlformats.org/officeDocument/2006/relationships/customXml" Target="../ink/ink7.xml"/><Relationship Id="rId77" Type="http://schemas.openxmlformats.org/officeDocument/2006/relationships/image" Target="../media/image3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6.png"/><Relationship Id="rId1" Type="http://schemas.openxmlformats.org/officeDocument/2006/relationships/customXml" Target="../ink/ink13.xml"/><Relationship Id="rId5" Type="http://schemas.openxmlformats.org/officeDocument/2006/relationships/image" Target="../media/image68.png"/><Relationship Id="rId4" Type="http://schemas.openxmlformats.org/officeDocument/2006/relationships/customXml" Target="../ink/ink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920160</xdr:colOff>
      <xdr:row>12</xdr:row>
      <xdr:rowOff>122852</xdr:rowOff>
    </xdr:from>
    <xdr:to>
      <xdr:col>0</xdr:col>
      <xdr:colOff>920520</xdr:colOff>
      <xdr:row>12</xdr:row>
      <xdr:rowOff>123212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FF54F15-9D15-40F4-8424-30785FF46C6C}"/>
                </a:ext>
              </a:extLst>
            </xdr14:cNvPr>
            <xdr14:cNvContentPartPr/>
          </xdr14:nvContentPartPr>
          <xdr14:nvPr macro=""/>
          <xdr14:xfrm>
            <a:off x="920160" y="236196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FF54F15-9D15-40F4-8424-30785FF46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1160" y="2352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281188</xdr:colOff>
      <xdr:row>15</xdr:row>
      <xdr:rowOff>44132</xdr:rowOff>
    </xdr:from>
    <xdr:to>
      <xdr:col>4</xdr:col>
      <xdr:colOff>300628</xdr:colOff>
      <xdr:row>15</xdr:row>
      <xdr:rowOff>68252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617759E7-A799-4423-A52D-AED536082ACC}"/>
                </a:ext>
              </a:extLst>
            </xdr14:cNvPr>
            <xdr14:cNvContentPartPr/>
          </xdr14:nvContentPartPr>
          <xdr14:nvPr macro=""/>
          <xdr14:xfrm>
            <a:off x="4976280" y="2816640"/>
            <a:ext cx="19440" cy="241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617759E7-A799-4423-A52D-AED536082AC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967280" y="2808000"/>
              <a:ext cx="37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256309</xdr:colOff>
      <xdr:row>4</xdr:row>
      <xdr:rowOff>148018</xdr:rowOff>
    </xdr:from>
    <xdr:to>
      <xdr:col>10</xdr:col>
      <xdr:colOff>647965</xdr:colOff>
      <xdr:row>21</xdr:row>
      <xdr:rowOff>115453</xdr:rowOff>
    </xdr:to>
    <xdr:pic>
      <xdr:nvPicPr>
        <xdr:cNvPr id="43" name="Imagen 42" descr="Diagrama&#10;&#10;Descripción generada automáticamente con confianza media">
          <a:extLst>
            <a:ext uri="{FF2B5EF4-FFF2-40B4-BE49-F238E27FC236}">
              <a16:creationId xmlns:a16="http://schemas.microsoft.com/office/drawing/2014/main" id="{53225529-F9F0-4150-9A0F-65B7B2341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5735782" y="910018"/>
          <a:ext cx="4991365" cy="3043144"/>
        </a:xfrm>
        <a:prstGeom prst="rect">
          <a:avLst/>
        </a:prstGeom>
      </xdr:spPr>
    </xdr:pic>
    <xdr:clientData/>
  </xdr:twoCellAnchor>
  <xdr:twoCellAnchor editAs="oneCell">
    <xdr:from>
      <xdr:col>3</xdr:col>
      <xdr:colOff>216646</xdr:colOff>
      <xdr:row>20</xdr:row>
      <xdr:rowOff>99332</xdr:rowOff>
    </xdr:from>
    <xdr:to>
      <xdr:col>3</xdr:col>
      <xdr:colOff>217006</xdr:colOff>
      <xdr:row>20</xdr:row>
      <xdr:rowOff>99692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A8498A1F-743D-427C-B5D3-3701B9F63B2D}"/>
                </a:ext>
              </a:extLst>
            </xdr14:cNvPr>
            <xdr14:cNvContentPartPr/>
          </xdr14:nvContentPartPr>
          <xdr14:nvPr macro=""/>
          <xdr14:xfrm>
            <a:off x="4003200" y="3780378"/>
            <a:ext cx="360" cy="36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A8498A1F-743D-427C-B5D3-3701B9F63B2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3998880" y="377605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484920</xdr:colOff>
      <xdr:row>19</xdr:row>
      <xdr:rowOff>58560</xdr:rowOff>
    </xdr:from>
    <xdr:to>
      <xdr:col>5</xdr:col>
      <xdr:colOff>498600</xdr:colOff>
      <xdr:row>19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904AC689-4091-498C-8974-8DA35CE3D17F}"/>
                </a:ext>
              </a:extLst>
            </xdr14:cNvPr>
            <xdr14:cNvContentPartPr/>
          </xdr14:nvContentPartPr>
          <xdr14:nvPr macro=""/>
          <xdr14:xfrm>
            <a:off x="5971320" y="3557898"/>
            <a:ext cx="13680" cy="36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904AC689-4091-498C-8974-8DA35CE3D17F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967000" y="3553578"/>
              <a:ext cx="2232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237526</xdr:colOff>
      <xdr:row>20</xdr:row>
      <xdr:rowOff>58292</xdr:rowOff>
    </xdr:from>
    <xdr:to>
      <xdr:col>3</xdr:col>
      <xdr:colOff>263806</xdr:colOff>
      <xdr:row>20</xdr:row>
      <xdr:rowOff>64772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9251029C-26F8-4393-9BB1-AF1CEA7ABDF8}"/>
                </a:ext>
              </a:extLst>
            </xdr14:cNvPr>
            <xdr14:cNvContentPartPr/>
          </xdr14:nvContentPartPr>
          <xdr14:nvPr macro=""/>
          <xdr14:xfrm>
            <a:off x="4024080" y="3739338"/>
            <a:ext cx="26280" cy="648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9251029C-26F8-4393-9BB1-AF1CEA7ABDF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019760" y="3735018"/>
              <a:ext cx="3492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691486</xdr:colOff>
      <xdr:row>16</xdr:row>
      <xdr:rowOff>45683</xdr:rowOff>
    </xdr:from>
    <xdr:to>
      <xdr:col>3</xdr:col>
      <xdr:colOff>691846</xdr:colOff>
      <xdr:row>16</xdr:row>
      <xdr:rowOff>74483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EB67283A-5EC4-4236-B239-BC0E14483FF0}"/>
                </a:ext>
              </a:extLst>
            </xdr14:cNvPr>
            <xdr14:cNvContentPartPr/>
          </xdr14:nvContentPartPr>
          <xdr14:nvPr macro=""/>
          <xdr14:xfrm>
            <a:off x="4478040" y="2999898"/>
            <a:ext cx="360" cy="2880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EB67283A-5EC4-4236-B239-BC0E14483FF0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473720" y="2995578"/>
              <a:ext cx="90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767520</xdr:colOff>
      <xdr:row>22</xdr:row>
      <xdr:rowOff>69129</xdr:rowOff>
    </xdr:from>
    <xdr:to>
      <xdr:col>5</xdr:col>
      <xdr:colOff>770400</xdr:colOff>
      <xdr:row>22</xdr:row>
      <xdr:rowOff>70569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557C6F34-16BC-4FE8-89C1-EC35DCDFF332}"/>
                </a:ext>
              </a:extLst>
            </xdr14:cNvPr>
            <xdr14:cNvContentPartPr/>
          </xdr14:nvContentPartPr>
          <xdr14:nvPr macro=""/>
          <xdr14:xfrm>
            <a:off x="6253920" y="4113591"/>
            <a:ext cx="2880" cy="144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557C6F34-16BC-4FE8-89C1-EC35DCDFF332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249600" y="4109271"/>
              <a:ext cx="11520" cy="1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509760</xdr:colOff>
      <xdr:row>21</xdr:row>
      <xdr:rowOff>11437</xdr:rowOff>
    </xdr:from>
    <xdr:to>
      <xdr:col>5</xdr:col>
      <xdr:colOff>510120</xdr:colOff>
      <xdr:row>21</xdr:row>
      <xdr:rowOff>12877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C54A5EBD-56F5-4D33-9D2D-FBD67687886D}"/>
                </a:ext>
              </a:extLst>
            </xdr14:cNvPr>
            <xdr14:cNvContentPartPr/>
          </xdr14:nvContentPartPr>
          <xdr14:nvPr macro=""/>
          <xdr14:xfrm>
            <a:off x="5996160" y="3874191"/>
            <a:ext cx="360" cy="144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C54A5EBD-56F5-4D33-9D2D-FBD67687886D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5991840" y="3869871"/>
              <a:ext cx="9000" cy="1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855360</xdr:colOff>
      <xdr:row>22</xdr:row>
      <xdr:rowOff>11529</xdr:rowOff>
    </xdr:from>
    <xdr:to>
      <xdr:col>5</xdr:col>
      <xdr:colOff>855720</xdr:colOff>
      <xdr:row>22</xdr:row>
      <xdr:rowOff>12969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95D3091D-7FE4-4358-988E-364B8D74BBC5}"/>
                </a:ext>
              </a:extLst>
            </xdr14:cNvPr>
            <xdr14:cNvContentPartPr/>
          </xdr14:nvContentPartPr>
          <xdr14:nvPr macro=""/>
          <xdr14:xfrm>
            <a:off x="6341760" y="4055991"/>
            <a:ext cx="360" cy="144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95D3091D-7FE4-4358-988E-364B8D74BBC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6337440" y="4051671"/>
              <a:ext cx="9000" cy="1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292966</xdr:colOff>
      <xdr:row>20</xdr:row>
      <xdr:rowOff>46892</xdr:rowOff>
    </xdr:from>
    <xdr:to>
      <xdr:col>3</xdr:col>
      <xdr:colOff>293326</xdr:colOff>
      <xdr:row>20</xdr:row>
      <xdr:rowOff>47252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D57C6434-26EE-44D2-9808-425ADA7D75B0}"/>
                </a:ext>
              </a:extLst>
            </xdr14:cNvPr>
            <xdr14:cNvContentPartPr/>
          </xdr14:nvContentPartPr>
          <xdr14:nvPr macro=""/>
          <xdr14:xfrm>
            <a:off x="4079520" y="3727938"/>
            <a:ext cx="360" cy="36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D57C6434-26EE-44D2-9808-425ADA7D75B0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075200" y="372361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175615</xdr:colOff>
      <xdr:row>25</xdr:row>
      <xdr:rowOff>169753</xdr:rowOff>
    </xdr:from>
    <xdr:to>
      <xdr:col>8</xdr:col>
      <xdr:colOff>175975</xdr:colOff>
      <xdr:row>25</xdr:row>
      <xdr:rowOff>170113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5FCC61D2-84CC-467A-8C3A-613FE5698936}"/>
                </a:ext>
              </a:extLst>
            </xdr14:cNvPr>
            <xdr14:cNvContentPartPr/>
          </xdr14:nvContentPartPr>
          <xdr14:nvPr macro=""/>
          <xdr14:xfrm>
            <a:off x="8346600" y="4759338"/>
            <a:ext cx="360" cy="360"/>
          </xdr14:xfrm>
        </xdr:contentPart>
      </mc:Choice>
      <mc:Fallback xmlns=""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5FCC61D2-84CC-467A-8C3A-613FE5698936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342280" y="475501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767788</xdr:colOff>
      <xdr:row>24</xdr:row>
      <xdr:rowOff>157781</xdr:rowOff>
    </xdr:from>
    <xdr:to>
      <xdr:col>6</xdr:col>
      <xdr:colOff>768148</xdr:colOff>
      <xdr:row>24</xdr:row>
      <xdr:rowOff>158141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EE010C27-54DF-4061-8C07-5A5C630314BB}"/>
                </a:ext>
              </a:extLst>
            </xdr14:cNvPr>
            <xdr14:cNvContentPartPr/>
          </xdr14:nvContentPartPr>
          <xdr14:nvPr macro=""/>
          <xdr14:xfrm>
            <a:off x="7215480" y="4565658"/>
            <a:ext cx="360" cy="36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EE010C27-54DF-4061-8C07-5A5C630314BB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211160" y="456133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28923</xdr:colOff>
      <xdr:row>7</xdr:row>
      <xdr:rowOff>17585</xdr:rowOff>
    </xdr:from>
    <xdr:to>
      <xdr:col>1</xdr:col>
      <xdr:colOff>820617</xdr:colOff>
      <xdr:row>13</xdr:row>
      <xdr:rowOff>175578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ADAE36-A933-4899-A42D-DF27FC06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23" y="1324708"/>
          <a:ext cx="2292248" cy="1248239"/>
        </a:xfrm>
        <a:prstGeom prst="rect">
          <a:avLst/>
        </a:prstGeom>
      </xdr:spPr>
    </xdr:pic>
    <xdr:clientData/>
  </xdr:twoCellAnchor>
  <xdr:twoCellAnchor>
    <xdr:from>
      <xdr:col>2</xdr:col>
      <xdr:colOff>266700</xdr:colOff>
      <xdr:row>6</xdr:row>
      <xdr:rowOff>159203</xdr:rowOff>
    </xdr:from>
    <xdr:to>
      <xdr:col>4</xdr:col>
      <xdr:colOff>290416</xdr:colOff>
      <xdr:row>10</xdr:row>
      <xdr:rowOff>48890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A6DF4882-C6F9-4A25-BC35-4B6E903C0A5F}"/>
                </a:ext>
              </a:extLst>
            </xdr:cNvPr>
            <xdr:cNvSpPr txBox="1"/>
          </xdr:nvSpPr>
          <xdr:spPr>
            <a:xfrm>
              <a:off x="2613660" y="1279343"/>
              <a:ext cx="2043016" cy="62120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0" fontAlgn="base" hangingPunct="0">
                <a:spcBef>
                  <a:spcPct val="0"/>
                </a:spcBef>
                <a:spcAft>
                  <a:spcPct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7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7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CA" sz="7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7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</m:rad>
                      </m:den>
                    </m:f>
                    <m:r>
                      <a:rPr lang="en-CA" sz="7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05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s-CO" sz="105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𝑙𝑜𝑔</m:t>
                    </m:r>
                    <m:d>
                      <m:dPr>
                        <m:ctrlPr>
                          <a:rPr lang="es-CO" sz="105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05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05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2,51</m:t>
                            </m:r>
                          </m:num>
                          <m:den>
                            <m:r>
                              <a:rPr lang="es-CO" sz="105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𝑁𝑅</m:t>
                            </m:r>
                            <m:rad>
                              <m:radPr>
                                <m:degHide m:val="on"/>
                                <m:ctrlPr>
                                  <a:rPr lang="en-CA" sz="105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05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</m:rad>
                          </m:den>
                        </m:f>
                        <m:r>
                          <a:rPr lang="es-CO" sz="105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CO" sz="105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05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num>
                          <m:den>
                            <m:r>
                              <a:rPr lang="es-CO" sz="105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3,7</m:t>
                            </m:r>
                            <m:r>
                              <a:rPr lang="es-CO" sz="105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den>
                        </m:f>
                      </m:e>
                    </m:d>
                    <m:r>
                      <a:rPr lang="es-CO" sz="7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7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en-CA" sz="700" b="0">
                <a:solidFill>
                  <a:srgbClr val="000000"/>
                </a:solidFill>
                <a:latin typeface="Verdan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A6DF4882-C6F9-4A25-BC35-4B6E903C0A5F}"/>
                </a:ext>
              </a:extLst>
            </xdr:cNvPr>
            <xdr:cNvSpPr txBox="1"/>
          </xdr:nvSpPr>
          <xdr:spPr>
            <a:xfrm>
              <a:off x="2613660" y="1279343"/>
              <a:ext cx="2043016" cy="62120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0" fontAlgn="base" hangingPunct="0">
                <a:spcBef>
                  <a:spcPct val="0"/>
                </a:spcBef>
                <a:spcAft>
                  <a:spcPct val="0"/>
                </a:spcAft>
              </a:pPr>
              <a:r>
                <a:rPr lang="es-CO" sz="7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CA" sz="7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/√</a:t>
              </a:r>
              <a:r>
                <a:rPr lang="es-CO" sz="7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𝑓</a:t>
              </a:r>
              <a:r>
                <a:rPr lang="en-CA" sz="7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es-CO" sz="105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2𝑙𝑜𝑔(2,51/(𝑁𝑅</a:t>
              </a:r>
              <a:r>
                <a:rPr lang="en-CA" sz="105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s-CO" sz="105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𝑓)+𝜀/3,7</a:t>
              </a:r>
              <a:r>
                <a:rPr lang="es-CO" sz="105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</a:t>
              </a:r>
              <a:r>
                <a:rPr lang="es-CO" sz="7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CA" sz="7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endParaRPr lang="en-CA" sz="700" b="0">
                <a:solidFill>
                  <a:srgbClr val="000000"/>
                </a:solidFill>
                <a:latin typeface="Verdan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309120</xdr:colOff>
      <xdr:row>8</xdr:row>
      <xdr:rowOff>57600</xdr:rowOff>
    </xdr:from>
    <xdr:to>
      <xdr:col>1</xdr:col>
      <xdr:colOff>312360</xdr:colOff>
      <xdr:row>8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C85ED125-7F08-4141-8A6D-001984AA92E2}"/>
                </a:ext>
              </a:extLst>
            </xdr14:cNvPr>
            <xdr14:cNvContentPartPr/>
          </xdr14:nvContentPartPr>
          <xdr14:nvPr macro=""/>
          <xdr14:xfrm>
            <a:off x="1101600" y="1520640"/>
            <a:ext cx="3240" cy="324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C85ED125-7F08-4141-8A6D-001984AA92E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7280" y="1516320"/>
              <a:ext cx="11880" cy="1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739140</xdr:colOff>
      <xdr:row>11</xdr:row>
      <xdr:rowOff>79229</xdr:rowOff>
    </xdr:from>
    <xdr:to>
      <xdr:col>11</xdr:col>
      <xdr:colOff>533400</xdr:colOff>
      <xdr:row>18</xdr:row>
      <xdr:rowOff>170883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291D07-74C8-45A6-B753-8D7EECD34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7120" y="2090909"/>
          <a:ext cx="3756660" cy="1371814"/>
        </a:xfrm>
        <a:prstGeom prst="rect">
          <a:avLst/>
        </a:prstGeom>
      </xdr:spPr>
    </xdr:pic>
    <xdr:clientData/>
  </xdr:twoCellAnchor>
  <xdr:twoCellAnchor>
    <xdr:from>
      <xdr:col>0</xdr:col>
      <xdr:colOff>701040</xdr:colOff>
      <xdr:row>11</xdr:row>
      <xdr:rowOff>106680</xdr:rowOff>
    </xdr:from>
    <xdr:to>
      <xdr:col>11</xdr:col>
      <xdr:colOff>636540</xdr:colOff>
      <xdr:row>45</xdr:row>
      <xdr:rowOff>124680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C07A365-07FB-4A25-93FC-92B52C840ED3}"/>
                </a:ext>
              </a:extLst>
            </xdr14:cNvPr>
            <xdr14:cNvContentPartPr/>
          </xdr14:nvContentPartPr>
          <xdr14:nvPr macro=""/>
          <xdr14:xfrm>
            <a:off x="701040" y="2118360"/>
            <a:ext cx="9544320" cy="62359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C07A365-07FB-4A25-93FC-92B52C840ED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2609" y="2109000"/>
              <a:ext cx="9561182" cy="625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129540</xdr:colOff>
      <xdr:row>0</xdr:row>
      <xdr:rowOff>83820</xdr:rowOff>
    </xdr:from>
    <xdr:to>
      <xdr:col>20</xdr:col>
      <xdr:colOff>414264</xdr:colOff>
      <xdr:row>28</xdr:row>
      <xdr:rowOff>106037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7ADCB4-D3B6-498A-8590-9A54F5396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83820"/>
          <a:ext cx="8209524" cy="514285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4:46.2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49:03.611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0 0 24575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13:24:00.710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0 0 24575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13:24:22.504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0 1 24575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13:29:34.513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9 9 24575,'-4'-4'0,"-1"-1"-8191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5.81395" units="1/cm"/>
          <inkml:channelProperty channel="Y" name="resolution" value="55.95855" units="1/cm"/>
          <inkml:channelProperty channel="T" name="resolution" value="1" units="1/dev"/>
        </inkml:channelProperties>
      </inkml:inkSource>
      <inkml:timestamp xml:id="ts0" timeString="2021-08-11T15:34:16.416"/>
    </inkml:context>
    <inkml:brush xml:id="br0">
      <inkml:brushProperty name="width" value="0.05292" units="cm"/>
      <inkml:brushProperty name="height" value="0.05292" units="cm"/>
    </inkml:brush>
    <inkml:brush xml:id="br1">
      <inkml:brushProperty name="width" value="0.05292" units="cm"/>
      <inkml:brushProperty name="height" value="0.05292" units="cm"/>
      <inkml:brushProperty name="color" value="#FFC000"/>
    </inkml:brush>
    <inkml:brush xml:id="br2">
      <inkml:brushProperty name="width" value="0.05292" units="cm"/>
      <inkml:brushProperty name="height" value="0.05292" units="cm"/>
      <inkml:brushProperty name="color" value="#FF0000"/>
    </inkml:brush>
    <inkml:brush xml:id="br3">
      <inkml:brushProperty name="width" value="0.05292" units="cm"/>
      <inkml:brushProperty name="height" value="0.05292" units="cm"/>
      <inkml:brushProperty name="color" value="#00B050"/>
    </inkml:brush>
  </inkml:definitions>
  <inkml:trace contextRef="#ctx0" brushRef="#br0">902 2646 0,'0'17'32,"0"-34"15,77-71-32,-37 35-15,38-106 16,-19 71 15,-39 176 16,-40 18-47,1 35 16,19-88-1</inkml:trace>
  <inkml:trace contextRef="#ctx0" brushRef="#br0" timeOffset="485.54">1176 1940 0,'0'0'0,"-20"0"16,1 0-16,-1 0 15,0 18-15,-254 176 16,20 88 0,117-17-1,117-89 16,40-52-15,156-71 0,59-36-1,-20-34 1,21-125 0,-139 1-1,-77-35 1,-20 0-1,-79-54 1,-58 89 0,-20 123-1,-77 36 1,136 35 0</inkml:trace>
  <inkml:trace contextRef="#ctx0" brushRef="#br0" timeOffset="1617.8699">2312 2452 0,'0'17'0,"0"-34"16,0-1 15,0 1-15,39-142-16,-39-141 31,0 212-15,-78 70-1,19 53 1,19 1-16,-77 211 16,0 35-1,58-35 1,59-71 0,19-70-1,21-53 16,57-53-15,1-53 0,0-53-1,-39-53 1,0 1 0,-59 122-1,-19 125 16,-1 16-15,20 1 0,0-35-1,39-18 1,19-53 15,21 0-31,-20-53 16,-40-35 15,-19-106-15,-19 141-1,-21 0 1,1 53-16,-58-18 16,58 53-16</inkml:trace>
  <inkml:trace contextRef="#ctx0" brushRef="#br0" timeOffset="2048.15">2704 2575 0,'0'18'32,"0"0"-17,0-1-15,0 124 16,-20-53-16,20-35 16,-20-17-1,20-19 1,0-34-1,20-19 1,18-87 0,41-71 15,-59 159-31,-20-18 16,39 70-1,-39 89 16,0 18-15,0-1-16</inkml:trace>
  <inkml:trace contextRef="#ctx0" brushRef="#br0" timeOffset="2464.25">3330 2699 0,'0'-18'16,"0"0"-16,0-17 15,-20-71 1,-19 71 0,-39 35-1,-1 53 1,40 35 15,19-17-15,20 35-1,39-36 1,60 18 0,-80-70-1,-4483 0 1,8948-1-1,-4504-17-15,-19 0 16,-59 0 0,40 0-1</inkml:trace>
  <inkml:trace contextRef="#ctx0" brushRef="#br0" timeOffset="2896.98">3389 2787 0,'0'0'0,"0"-18"32,20 18-32,-2 0 15,2 0 1,98-53-1,-99 18 1,-19 17 0,0 1-1,-78 17 1,39 0 0,-39 70-1,39 19 1,39-19 15,0 1-15,19-54-16,39 1 15,21-18 1,-20-35 0,0-18-1,-40 17 1</inkml:trace>
  <inkml:trace contextRef="#ctx0" brushRef="#br0" timeOffset="3631.22">3858 2769 0,'0'0'0,"20"0"31,-20 88 16,0 18-31,0-35 15,0-106 16,0-1-32,20-70 1,39-17 0,39-36-1,-40 142 1,-39 17-16</inkml:trace>
  <inkml:trace contextRef="#ctx0" brushRef="#br0" timeOffset="4312.35">4191 2752 0,'0'0'0,"0"-18"32,40 36 14,-40 35-46,0-1 16,19 54 0,1-17 15,78-160 0,-19-158 16,-61 123-47,-18 53 16</inkml:trace>
  <inkml:trace contextRef="#ctx0" brushRef="#br0" timeOffset="4778.99">4701 2681 0,'19'0'15,"-97"53"48,19 0-48,39-18-15,1 0 16,-1 1 0,20 34-1,0-17 1,20-53 0,39 0-1,-40 0-15,1-17 16,39-72-1,-40-16 1,1 16 0,0 72-1,-20-1 1,-20 71 0,20 35-1,0 36 1,0-89-1</inkml:trace>
  <inkml:trace contextRef="#ctx0" brushRef="#br0" timeOffset="5295.17">5034 2910 0,'0'0'15,"19"0"-15,-19-35 16,0 17 0,20-52-1,-20-1 1,0 54 0,-39 17-1,-1 35 1,-18 71-1,58-18 1,-20 18 15,40-71-15,58-17 0,20-18-1,-40-18 1,21-35-1,-20-35 1,-20 35 0,-39-17-1,20 70 1,-20 17 0,0 1-1,-40 70 1,40-35-16,-39 18 15,39-19 1</inkml:trace>
  <inkml:trace contextRef="#ctx0" brushRef="#br0" timeOffset="5678.92">5601 2805 0,'0'0'0,"-19"0"63,-60 88-48,59-18 1,2-34-16,18 17 15,18-36 1,61 1 0,0-53-1,-1-18 17,-58-18-17,-1-35 1,-58 53-1,-59 53 1,-20 0-16</inkml:trace>
  <inkml:trace contextRef="#ctx0" brushRef="#br0" timeOffset="6128.12">5875 2805 0,'0'0'0,"0"17"47,0 1-32,-19 105 1,19-70-16,-20 0 15,0-35 1,20-1 0,20-34 15,0-1-15,-1-35-16,40-35 15,-20-18 1,20 18-1,-39 88 1,0 18 0,-1-1-1,-19 89 1,0 18 0,0-54-1,0-35-15</inkml:trace>
  <inkml:trace contextRef="#ctx0" brushRef="#br0" timeOffset="6363.4799">5856 2452 0,'0'0'0,"0"-18"31,-20 36 0,0 52-31,2 19 16,-2-1 0,0-35-16</inkml:trace>
  <inkml:trace contextRef="#ctx0" brushRef="#br0" timeOffset="8042.67">6698 2963 0,'0'-17'15,"0"-1"1,0 0 15,0-17-31,-79 106 47,40 17-31,39-18-1,0-17 1,20-35-1,19-18-15,20 0 16,0-53 0,-20-70-1,-19-1 1,-1-88 0,1 1-1,-20 87 1,19 142 15</inkml:trace>
  <inkml:trace contextRef="#ctx0" brushRef="#br0" timeOffset="8441.78">6972 3104 0,'0'0'0,"20"0"32,-20-17-32,19 17 15,60-106 1,-60 18-1,1 88 1,-20-18-16,-78 53 31,38 54-31,21-1 16,19-18 15,19-34-15,40-19-1,20-17 1,18-35 0,-38 0-1</inkml:trace>
  <inkml:trace contextRef="#ctx0" brushRef="#br0" timeOffset="9359.12">7931 2999 0,'0'0'0,"98"0"78,-58-18-78,-21 0 16,1-17-16,-20 0 15,0 17-15,0-17 16,-39 17 0,-20 36 15,-20 88-16,41 52 1,38-122 0,38 17-1,80-36 1,-20-17 0,-19-17-1,-21-54 1,1-17-1,-59 35 1,19 18-16,1-18 16,-20 35 31,0 53-47,-20 1 0,1 52 31,-21 0-16,40-53-15,0 1 16,0-19 15,0-34-15,20-36 0,19-53-1,1 18 1,19-18-1,-20 71 1,-20 35 0,1 35-1,-20 106 1,0 35 0</inkml:trace>
  <inkml:trace contextRef="#ctx0" brushRef="#br0" timeOffset="10024.34">8793 2999 0,'0'0'0,"0"-18"31,20 18-15,-20-18-16,59-52 16,-39-1-1,-40 71 17,-19 0-32,-40 71 31,1 17-16,58 18 1,0-53 0,60-18-1,38-35 1,20 0 0,-1-35-1,-18-36 1,-59 36-16,19-36 15,-19 36 1,-20 17 15,0 89-15,-20 0 0,0-1 15,1-17-16,19-35 1,0-1 0,0-34 15,0-19-31,0-17 16,78-70-1,-19 35 1,0 35-1</inkml:trace>
  <inkml:trace contextRef="#ctx0" brushRef="#br0" timeOffset="10940.54">9636 2910 0,'0'0'0,"-79"-17"79,20 17-79,0 17 15,20 1-15,0 17 16,0 89 15,117-71 0,-39-53-31,40-18 16,-20 0 0,-39-34-1,-1-37 16,1 19-15,-20 34 0,18 36-1,-18 53 17,0 89-17,0-1 1,-18 0-1,18-53-15,-59 18 16,-20-18 0,-38-17-1,-20-54 1,19 1 0,40-18-1,-1-35 1,59-36 15,2 0-15,56 18-16</inkml:trace>
  <inkml:trace contextRef="#ctx0" brushRef="#br0" timeOffset="11206.43">9929 2910 0,'0'0'0,"0"-17"31,0 34 0,0 1-15,-39 106-16,39-72 16,-19 54-1,-1-88-15</inkml:trace>
  <inkml:trace contextRef="#ctx0" brushRef="#br0" timeOffset="11425.72">9910 2575 0,'0'0'16,"0"-17"-16,19-1 31,-19 0-31,0-17 16,0 141 15,0 17-15</inkml:trace>
  <inkml:trace contextRef="#ctx0" brushRef="#br0" timeOffset="11972.39">10458 2893 0,'0'0'0,"19"0"15,-19-18 17,-19 18-17,-80 0 1,-37 53-16,57 0 15,40 35 17,20-35-17,19 0 1,58-35 0,21-18-1,18-53 1,-77 17-1,-1-52 1,21 18 0,-40 34-16,19 19 31,-38 87-15,19 1-1,0-1 16,59-17-15,39-35 0,58 0-1,-38-1 1,-59-34-16,-20 17 0</inkml:trace>
  <inkml:trace contextRef="#ctx0" brushRef="#br0" timeOffset="12151.11">11123 3175 0,'20'0'31</inkml:trace>
  <inkml:trace contextRef="#ctx0" brushRef="#br0" timeOffset="13720.88">19916 2064 0,'0'0'0,"-19"0"16,19-18 77,19 18-93,1-35 16,19-18-16,-19 35 16,-2-17-1,2 0-15,0 52 31,-40 124 16,0-52-31,2-19-16</inkml:trace>
  <inkml:trace contextRef="#ctx0" brushRef="#br0" timeOffset="14172.59">20072 1711 0,'-19'0'16,"-1"0"-1,0 0 1,-18 0 0,-119 88-1,1 71 1,136-36 0,20 1-1,137-18 1,59-53-1,-20-36 1,-78-17-16,19-53 16,-58-53-1,-39-35 1,-20-17 0,-99-1-1,-37 88 1,-41 54-1,80 17 1</inkml:trace>
  <inkml:trace contextRef="#ctx0" brushRef="#br0" timeOffset="15152.84">25047 2716 0,'59'-35'78,"-20"17"-62,0 1-16,19-1 31,-58 36 0,-58 88 0,-20-1 1,58-69-17,20-19 1,20 1 0,38 0-1,0-36 1,1 18-1</inkml:trace>
  <inkml:trace contextRef="#ctx0" brushRef="#br0" timeOffset="15669.33">25380 2487 0,'0'0'15,"-20"0"32,0 0-31,-136 35-16,38 1 15,40 34-15,-40 18 16,60 71 15,58-124-31,20 54 32,18-54-32,60 35 15,98-34 1,-39-36-1,-40 0 1,-38-88 0,18-89-1,-97 107 1,20-89 0,-40 71-1,-136 17 1,78 71-1,-1 0-15</inkml:trace>
  <inkml:trace contextRef="#ctx0" brushRef="#br0" timeOffset="20864.59">863 3969 0,'0'-18'15,"39"18"16,78-35 1,-58 35-32,-20 35 31,-137 53-15,1 18-1,-21 0 1,78-71-1,21 18 1,19-18 0,39-17-1,59-18 1,-19 0 0,-41 0-16</inkml:trace>
  <inkml:trace contextRef="#ctx0" brushRef="#br0" timeOffset="21088.23">745 4198 0,'-20'0'16,"40"0"31,-1 0-47,119 0 15,-79 0 1,-1 0-16</inkml:trace>
  <inkml:trace contextRef="#ctx0" brushRef="#br0" timeOffset="21514.32">1117 4339 0,'0'18'31,"98"-71"32,-39 18-63,-39-1 0,-1 19 15,0 17 1,-19 17 15,0 36-31,0-17 16,0-1-16,-38 53 16,18-17-1,0-54 1</inkml:trace>
  <inkml:trace contextRef="#ctx0" brushRef="#br0" timeOffset="21980.55">1627 4304 0,'-20'0'15,"40"0"32,96 0-31,-37 0-16,-20 0 15,59 0 1</inkml:trace>
  <inkml:trace contextRef="#ctx0" brushRef="#br0" timeOffset="22213.97">1861 4180 0,'0'-17'16,"-19"17"-1,19 17 32,-20 72-47,0-19 16,1 54-1,19-54 1</inkml:trace>
  <inkml:trace contextRef="#ctx0" brushRef="#br0" timeOffset="22746.29">2586 3969 0,'0'0'16,"0"-18"-1,0 53 32,0 89-31,0-18-16,-20 52 31</inkml:trace>
  <inkml:trace contextRef="#ctx0" brushRef="#br0" timeOffset="23048.7">2312 3933 0,'0'0'0,"0"-17"31,20-1-31,-1 18 16,157-53 0,59 36-1,-118 52 1,-97 35 0,-59 1-16,0-18 15,-98 17 1,-20 1-1,118-71 1</inkml:trace>
  <inkml:trace contextRef="#ctx0" brushRef="#br0" timeOffset="23463.48">2762 4322 0,'19'0'62,"40"-18"-46,-20 0-16,-19-17 15,0 17 1,-1-35 0,1 36-1,-20-1 1,20 53-1,-40 36 1,20 0 0,0-36-16,-20 53 15,20-70 1</inkml:trace>
  <inkml:trace contextRef="#ctx0" brushRef="#br0" timeOffset="24012.25">2332 4586 0,'-20'0'15,"40"0"16,-1 0-15,196 0-16,-59 0 16,-18 0-16,39 0 15,-41 0 1,-18 0-16,0 0 0,-41 0 16,-37-18 15</inkml:trace>
  <inkml:trace contextRef="#ctx0" brushRef="#br0" timeOffset="24561.79">2762 4851 0,'0'0'0,"0"-18"16,0 0 15,19 18-15,1 36-1,0 17 1,-1 52 0,-19 1-1,0 0 1,-19-53-1,-21-18 1,1-35 0,-19 0-1,58-17 1,-20-1-16,20-35 16,58-53-1,21 0 1,-1 18-1,1 35 1,-20 36 0</inkml:trace>
  <inkml:trace contextRef="#ctx0" brushRef="#br0" timeOffset="27510.98">3760 4339 0,'20'0'47,"-1"0"-32,1 0-15,137 0 16,-1-17 0,-57 17-1</inkml:trace>
  <inkml:trace contextRef="#ctx0" brushRef="#br0" timeOffset="27777.69">4035 4163 0,'0'0'16,"-20"0"15,1 106 16,19-36-47,0-17 16,0 0-16,0 35 15</inkml:trace>
  <inkml:trace contextRef="#ctx0" brushRef="#br0" timeOffset="29057.5">4740 4004 0,'0'-18'31,"0"36"0,0 88-15,0-18-1,20 88 17,38-158-1,-19-18-31,-19-35 16,-1-36-1,1-35 1,0-17-1,-1 35 1,-19 52 0</inkml:trace>
  <inkml:trace contextRef="#ctx0" brushRef="#br0" timeOffset="29642.46">4994 4304 0,'79'-53'78,"-59"18"-62,-1-1-16,1 36 16,-20-17-16,19 17 15,0 53 1,-19 35 0,-19 0-1,19-53 1</inkml:trace>
  <inkml:trace contextRef="#ctx0" brushRef="#br0" timeOffset="30110.5">5288 3792 0,'20'0'47,"58"-17"-31,-58 17-1,-20 17 1,-20 72 0,1-19-1,-1-35 1,0-17-1,40-18 1,-20 18 0,20-18-16,58 0 15,0-18 1,-59 18 0</inkml:trace>
  <inkml:trace contextRef="#ctx0" brushRef="#br0" timeOffset="30640.44">4407 4692 0,'20'0'16,"18"0"-1,1 0-15,20 0 16,274-71-16,-97 54 16,-80-1-16,118 0 15,-58 1 17</inkml:trace>
  <inkml:trace contextRef="#ctx0" brushRef="#br0" timeOffset="31921.76">5327 4992 0,'0'0'0,"0"-18"15,-59 18 48,20 0-63,19 0 15,1 35-15,19-17 16,-20 35 0,40 0-1,-1-53 1,-19 18-16,79-18 16,-40 0-1,-19-18 16,0-35-31,-20 0 32,0 0-17,0 36 1,0-1 0,0 36 15,0 70-16,0-35-15,0 0 16,0 70 0,19 36-1,-19-71 1,0-35 0,-59 0-1,-39-18 1,20-17 15,20-18-31</inkml:trace>
  <inkml:trace contextRef="#ctx0" brushRef="#br0" timeOffset="43711.86">6346 4322 0,'98'-18'93,"-21"0"-93,-37 18 16,97 0 15</inkml:trace>
  <inkml:trace contextRef="#ctx0" brushRef="#br0" timeOffset="43927.45">6424 4410 0,'-20'17'16,"40"-17"15,0 0-31,136 0 16,-78 0-1,1 0 1,-59 0 0</inkml:trace>
  <inkml:trace contextRef="#ctx0" brushRef="#br0" timeOffset="45094.1599">7344 4180 0,'0'0'0,"0"-17"16,20 17 15,137-53 0,-80 106 0,-174 141 1,38-88-17,0-53 1,59-1-1,20-16 1,39-36 0,38 0-1,-18-18 17,-40 18-32</inkml:trace>
  <inkml:trace contextRef="#ctx0" brushRef="#br0" timeOffset="45344.47">7168 4445 0,'0'0'16,"40"0"15,-22 0-15,120-18-1,-1 1-15,-59 17 16</inkml:trace>
  <inkml:trace contextRef="#ctx0" brushRef="#br0" timeOffset="46126.81">7893 4568 0,'0'0'0,"20"-52"94,-2 34-78,2 0-1,0 18 1,-20-17-16,19 17 31,1 0-15,-20 17 31,0 19-32,0 34 1,-20 36 0,-19-53-1,1 0 1,18-36 0,0 1-1,20 0 1,20-18 15,18 0-15,-18-18-16,39 18 15,-20 0 1,-19 0 15,-20-18-31</inkml:trace>
  <inkml:trace contextRef="#ctx0" brushRef="#br0" timeOffset="46792.15">8303 4392 0,'20'0'63,"196"-18"-32,-138 18-15,-59 0-1</inkml:trace>
  <inkml:trace contextRef="#ctx0" brushRef="#br0" timeOffset="47042.04">8519 4216 0,'0'0'0,"-19"0"16,19 17 31,-20 72-32,20-19 1,-19 1-16,19-1 15,0-17 1</inkml:trace>
  <inkml:trace contextRef="#ctx0" brushRef="#br0" timeOffset="47542.85">9146 4039 0,'0'0'0,"-20"0"16,40 106 46,-20-35-46,0 17-16,0-35 15,20 0-15,-20 35 16</inkml:trace>
  <inkml:trace contextRef="#ctx0" brushRef="#br0" timeOffset="47875.0899">9008 4004 0,'0'0'0,"0"-18"16,20 1 0,0 17-1,254-36 1,-196 54-1,-58 53 1,-59 34 0,-40-16-1,1-54 1,20 0 0,38-35-1</inkml:trace>
  <inkml:trace contextRef="#ctx0" brushRef="#br0" timeOffset="48441.25">9381 4410 0,'0'0'0,"0"-18"62,39-17-46,-39 17-16,19 18 16,1 0-16,19 0 15,-39-17 1,20 34-1,-20 18 1,-59 36 0,0-36-1,20 1 1,39-19 0,0 1-1,20-18 16,19 17-15,0-17 0,-19-17-1</inkml:trace>
  <inkml:trace contextRef="#ctx0" brushRef="#br0" timeOffset="49056.83">8911 4762 0,'0'0'0,"0"-17"15,20 17 32,18 0-31,159 0-16,331-35 31,-293 35 0,-215 0-15,-20-18 0</inkml:trace>
  <inkml:trace contextRef="#ctx0" brushRef="#br0" timeOffset="49672.5899">9498 4957 0,'0'0'0,"59"52"94,-19 19-94,-1-18 15,-39 0-15,0 17 16,18 19 0,-18-37-1,-38-16 1,-1-19-1,19-17 1,1-17 0,19-19-1,39-105 1,20 18 0,-1 35-1,-19 17 1,0 18 15,1 36-31</inkml:trace>
  <inkml:trace contextRef="#ctx0" brushRef="#br0" timeOffset="50505.11">10144 4551 0,'20'0'63,"0"0"-48,136-18-15,-58 18 16,40-17 0,-99-1-1</inkml:trace>
  <inkml:trace contextRef="#ctx0" brushRef="#br0" timeOffset="50771.64">10359 4410 0,'0'0'0,"0"-18"15,0 36 48,0 70-47,0 0-16,0-35 0,0 18 15,0-19 1,0 1-16</inkml:trace>
  <inkml:trace contextRef="#ctx0" brushRef="#br0" timeOffset="52404.41">11339 4427 0,'0'-17'78,"19"-19"-78,1 19 16,19 17-16,0-18 31,20 18-15,-39 18 0,-20 35-1,-20 0 1,-39 35-1,40-35 1,-1 0 0,40-53 15,-1 0-15,21 0-1,-1-18-15,0 0 16,-39 1-1</inkml:trace>
  <inkml:trace contextRef="#ctx0" brushRef="#br0" timeOffset="53256.21">11554 3828 0,'0'0'0,"0"-18"16,20 18 15,0 0 0,39-35-31,-20 35 16,-19 0 0,-40 106-1,-19 17 16,39-105-15,0-1 15,39-17-15,-1 0 0,60 0-1,1 0-15</inkml:trace>
  <inkml:trace contextRef="#ctx0" brushRef="#br0" timeOffset="54001.98">10732 4886 0,'19'0'62,"99"-18"-46,-20 18-16,196-17 15,19-19 17,-78 19-32,-78-1 31,-137 18-15,-1 0-1</inkml:trace>
  <inkml:trace contextRef="#ctx0" brushRef="#br0" timeOffset="54585.59">11123 5168 0,'0'0'15,"0"-17"-15,0-1 47,20 18-31,157-88 15,-216 246 16,-1-105-47,-58 53 31,59-88-31,58 52 31,40-52-15,40-18 0,-2-18-1,-38 1 1</inkml:trace>
  <inkml:trace contextRef="#ctx0" brushRef="#br0" timeOffset="55201.88">11672 5186 0,'0'-18'16,"20"18"15,-40 0 0,-58 18-31,19 17 16,39 0-16,1-17 16,-1 35-1,20-18 1,0-17 0,59-18-1,-20 0 1,-19-18-1,-1-17-15,1 0 16,0-18 0,-1 0-1,-19 35 32,0 36-31,20 52-1,0 19 1,18 34 0,-19-35-1,-19 18 1,0-71-16,-57 36 16,-2-18-1,0-36 1,-20-17-1,1-52 1,38-19 0,21 0-1</inkml:trace>
  <inkml:trace contextRef="#ctx0" brushRef="#br0" timeOffset="55717">12201 4604 0,'0'17'31,"0"-34"-15,19 17-16,20 0 15,137 0 1,-78 0-1,1 0-15,37-36 32</inkml:trace>
  <inkml:trace contextRef="#ctx0" brushRef="#br0" timeOffset="55984.59">12455 4445 0,'0'-18'31,"0"36"0,0 105-15,0-52-16,0 0 16,0-1-16,39 1 15,-19-36 1,-1-35 0</inkml:trace>
  <inkml:trace contextRef="#ctx0" brushRef="#br0" timeOffset="56916.5">12945 4286 0,'0'0'0,"19"0"31,-19-17-15,40-36 0,-21 194 15,1 123 0,18-123 0,-38-105-15,0-19 0,20-17-1,0-17 1,-1-54 0,-19 36-1,59-53 1,-20 17-1,1 18 1,-1 36 0,-19 17-1,-20 70 1,19 36 0,-19-18-1,0-17 1,0-54-1</inkml:trace>
  <inkml:trace contextRef="#ctx0" brushRef="#br0" timeOffset="57616.14">13630 4657 0,'0'0'0,"20"-53"79,-20 17-64,0 1-15,0 18 16,19-19-1,-19 19 1,-19 17 0,19 17-1,-39 71 1,-1 89 0,21-18 15,-1-36-16,0 1 1,1-36 0,-1-53-16,0 0 15,20-17 1,0 0 0,-18-18-1</inkml:trace>
  <inkml:trace contextRef="#ctx0" brushRef="#br0" timeOffset="57882.28">13415 4992 0,'0'-18'15,"20"18"17,-2 0-17,100-17 1,-39-1 0,-40-17-1</inkml:trace>
  <inkml:trace contextRef="#ctx0" brushRef="#br0" timeOffset="68090.19">4662 5098 0,'-20'0'16,"20"-36"62,0 19-63,0-1 1,0 0 0,0-17-16,59-18 31,-20 36-16,-19 17 17,-20 17-32,18 36 15,-18 0 1,0 35 0,-18 18-1,-2-18 16,-19-17-15,39-54 0,0 1-1,-20-18 1,20 18 0,20-36-16,19 18 15,19-35 1,1 17-1,-20 1 1,1-1 0,-1 0-1</inkml:trace>
  <inkml:trace contextRef="#ctx0" brushRef="#br0" timeOffset="69222.92">10889 4145 0,'0'0'0,"0"18"47,0 88-32,19-1 1,1 19-1,19-54 1,1-17 0,-22-35-1,21-18 1,-19-18 0,0-35-1,-1-52 1,-19-36 15,0-1-15,20-16-1,0 105-15,-1 0 16</inkml:trace>
  <inkml:trace contextRef="#ctx0" brushRef="#br0" timeOffset="78681.39">2116 6509 0,'-20'0'63,"0"0"-63,-97-18 16,-99 124 15,197-53-16,19-18 1,39-17 0,40-1-1,19-17 1,-39-17 0,-1-19-1,-39 1 16,1 18-31,-20-19 16,20 1 0,-40 35-1,20-18 1,0 71 0,20-17-1,19 16 1,39-34-1,-38-18 1,-21 0-16</inkml:trace>
  <inkml:trace contextRef="#ctx0" brushRef="#br0" timeOffset="79249.39">1646 6209 0,'0'0'0,"-19"0"31,-1 0-31,0 18 16,-117 299 0,137-211-1,0-36-15,78 72 16,60-54 15,38-53-15,98-35-1,-58-18 1,-80-17 0,-18-71-1,-99-35 1,-19 0-1,-78-35 1,-196-18 0,58 141-1,21 53 1,-1 158 0,137-69-1</inkml:trace>
  <inkml:trace contextRef="#ctx0" brushRef="#br0" timeOffset="80296.35">3389 6403 0,'0'-18'31,"0"36"1,0 246-17,0 107 16,20-301-15</inkml:trace>
  <inkml:trace contextRef="#ctx0" brushRef="#br0" timeOffset="80648.48">3232 6350 0,'0'0'0,"20"-18"31,-1 18-15,1-17-16,293-1 15,-137 71 17,-98 35-17,-78 36 1,-98-36 0,1-18-1,-21-34 1,79-36-16,-20 17 15</inkml:trace>
  <inkml:trace contextRef="#ctx0" brushRef="#br0" timeOffset="82061.39">3742 7038 0,'0'0'0,"0"18"0,18-54 109,-18 19-109,20 17 16,19-53-1,0-18 17,1 89-1,-21 193 0,-19-140-15,0-36-1,0-17 1,0 0 0</inkml:trace>
  <inkml:trace contextRef="#ctx0" brushRef="#br0" timeOffset="84175.64">4447 6826 0,'0'0'0,"-20"0"0,40 0 63,-2 0-63,120-17 15,-60 17-15,-39 0 16,1 0-16</inkml:trace>
  <inkml:trace contextRef="#ctx0" brushRef="#br0" timeOffset="84426.38">4524 6932 0,'0'18'16,"20"-18"31,-1 0-47,99 0 15,-39 0-15,-41 0 16</inkml:trace>
  <inkml:trace contextRef="#ctx0" brushRef="#br0" timeOffset="84792.68">5347 6438 0,'0'0'16,"-20"0"-16,20-17 31,0 34 1,0 124-32,0 71 15,20-71 1,0-17-1,-1-89 1</inkml:trace>
  <inkml:trace contextRef="#ctx0" brushRef="#br0" timeOffset="85125.4299">5112 6368 0,'0'0'0,"20"-18"32,18 18-32,-18-18 15,352-17 1,-176 53-1,-138 105 1,-96 18 0,-60-53-1,-40-17 1,21-36 0,78-17-1</inkml:trace>
  <inkml:trace contextRef="#ctx0" brushRef="#br0" timeOffset="85991.67">5719 7003 0,'20'-18'79,"19"-17"-79,-19-1 15,-2 19-15,22 17 16,-21 0-16,1 0 15,19 0-15,-39 35 16,-20 106 15,-78-35 1,60-53 14,38-35-30,38-18 0,21 0-1,-20 0-15,20-18 16,0-17 0,-39 35-1</inkml:trace>
  <inkml:trace contextRef="#ctx0" brushRef="#br0" timeOffset="86489.77">6404 6791 0,'-19'0'31,"38"0"16,1 0-47,117 0 16,-59 0-16,-19 0 15,0 0-15,-20 0 16,0 0-16</inkml:trace>
  <inkml:trace contextRef="#ctx0" brushRef="#br0" timeOffset="86774.26">6521 6932 0,'0'0'0,"0"18"15,20-18 32,98 0-31,-40 0 0,-19 0-16,-39 0 15,38 0 1,-39-18-16</inkml:trace>
  <inkml:trace contextRef="#ctx0" brushRef="#br0" timeOffset="87523.7399">7462 6562 0,'0'0'0,"0"17"62,-59 124-46,39-17-16,20-36 15,20 53 1,19-53 0,58-52-1,-57-36 1,58 17-1,-19-70 1,-60-17 0,1-71-1,-20 0 1,-39 17 0,-20 18-1,19 89 1,-19 17-1</inkml:trace>
  <inkml:trace contextRef="#ctx0" brushRef="#br0" timeOffset="90072.47">1999 7638 0,'0'-18'16,"0"36"15,0-1-15,38 230 15,-38-176-15,0-18-1</inkml:trace>
  <inkml:trace contextRef="#ctx0" brushRef="#br0" timeOffset="90487.35">2076 7885 0,'0'0'0,"0"17"31,0 1-16,-19-1 1,-1 72-16,20-19 16,20 18-1,39-70 1,19-18 0,20 0-1,-39-35 1,-39-18-1,-20-18 1,-59 18 15,39 36-31,-78-1 16,20 36 0,19-1-1</inkml:trace>
  <inkml:trace contextRef="#ctx0" brushRef="#br0" timeOffset="91054.06">1979 7444 0,'0'0'0,"-20"0"16,1 0 0,-1 0-1,-137 88 1,21 123-1,96-17 1,40 18 0,59-35-1,78-54 1,97-52 0,138-36-1,-175-70 1,-61-18-1,-57-71 1,-59-52 0,-20-1 15,-79-52-15,-38 53-1,-20 88 1,-78 70-1,38 18 1,21 70 0</inkml:trace>
  <inkml:trace contextRef="#ctx0" brushRef="#br0" timeOffset="143691.91">3486 7779 0,'0'0'0,"0"17"62,20 1-46,39 141-16,0-53 15,116 211 17,-135-299-1,-21-71-15,21-53 15,-21-70-16,1-18 1,0 52 0,-20 107-1</inkml:trace>
  <inkml:trace contextRef="#ctx0" brushRef="#br0" timeOffset="144423.76">4074 8361 0,'0'17'31,"-19"-17"-31,38 0 16,-19-17 15,58-54-31,21-35 31,-59 71-15,-1 35 15,-19 18-31,0 17 16,0 18-16,0 88 15,0-17 16,-19-36-15,19-53-16</inkml:trace>
  <inkml:trace contextRef="#ctx0" brushRef="#br0" timeOffset="144923.17">4681 8079 0,'0'0'0,"20"0"78,77-18-78,1 18 16,-39-18-1,59 1 1</inkml:trace>
  <inkml:trace contextRef="#ctx0" brushRef="#br0" timeOffset="145206.54">4701 8290 0,'19'0'47,"1"0"-47,97-17 15,-38-1 1,-21 18 0,21 0-1,-40-18-15,-19 18 0</inkml:trace>
  <inkml:trace contextRef="#ctx0" brushRef="#br0" timeOffset="146637.94">5621 7920 0,'0'0'0,"0"-18"47,0 36-16,39 70-15,-19-17-16,19 34 15,78 89 17,-19-158-1,-59-36-16,-39-71 1,20 1 0,0-71-1,-20-1 1,19 19 0,1 35-1</inkml:trace>
  <inkml:trace contextRef="#ctx0" brushRef="#br0" timeOffset="147588.73">6267 8290 0,'0'-53'78,"20"36"-78,-1-1 16,21-17-1,-21 17 1,20 18-1,-39 18 1,20 52 0,-40 19-1,-38-1 1,-21 0 0,40-53-1,19 0 1,20-17-1,-20-18 1,40 0 15,19 0-15,1-18 0,19 1-1,-20 17 1,-20-18-1,1 18 1,0 0 0,-1 0-1,-19-17 1</inkml:trace>
  <inkml:trace contextRef="#ctx0" brushRef="#br0" timeOffset="148004.17">6874 8114 0,'98'0'78,"-39"0"-78,19 0 16,-19 0-16,-39 0 16,38 0-1,-19-18-15</inkml:trace>
  <inkml:trace contextRef="#ctx0" brushRef="#br0" timeOffset="148270.94">6874 8308 0,'19'0'47,"1"0"-47,0 0 16,117 0-16,-39 0 15,19-18 1,-97 18-16</inkml:trace>
  <inkml:trace contextRef="#ctx0" brushRef="#br0" timeOffset="148987.34">7756 7885 0,'0'0'0,"-20"0"16,20 17 31,-20-17-31,1 124-16,-1-54 15,20 71 1,79 36 15,58-124 0,-40-71 1,-77 0-32,-20-70 15,19 0 1,-38-71-1,-1 36 1,-19 70 0,-19 18 15,-40 52-15,19 18-16</inkml:trace>
  <inkml:trace contextRef="#ctx0" brushRef="#br0" timeOffset="155897.31">2409 9507 0,'0'0'0,"20"0"15,-20 18 63,0 0-46,19-18-17,-19-36 1,0-17-1,-19-17 1,-1 35 0,-18 17-1,-21 18 1,0 35 0,-20 71-1,21 70 16,58-123-31,0 36 32,58-54-17,119-35 1,-99 0 0,-19-35-1,-40-1 1,1 19-1</inkml:trace>
  <inkml:trace contextRef="#ctx0" brushRef="#br0" timeOffset="157445.57">2273 9066 0,'-40'0'63,"21"0"-63,-119 0 15,21 53 1,-20 35 0,19 71-1,41 18 1,57-1-1,40-17 1,57-53 0,61-1-1,77-34 1,20-53 0,-138-18-16,100 0 15,-41-18 1,-19-35-1,-58-35 17,-40-18-17,-39-70 1,0-18 0,-78 0-1,-99 0 1,1 88-1,-39 88 1,-137 159 0,234-53-1</inkml:trace>
  <inkml:trace contextRef="#ctx0" brushRef="#br0" timeOffset="162192.17">3760 9560 0,'0'0'0,"0"-17"32,20 17-32,-1 0 15,158-36 1,38 36 15,-254 124 0,-137 35 1,137-89-17,39-17 1,20-18 0,19-17 15,97-18-16,-37 0 1,-60-18 0,-20 18-16</inkml:trace>
  <inkml:trace contextRef="#ctx0" brushRef="#br0" timeOffset="162474.68">3742 9772 0,'0'0'0,"18"0"46,2 0-30,117 0 0,-19 0-16,-60 0 15,1 0-15,-20 0 16,1 0-16</inkml:trace>
  <inkml:trace contextRef="#ctx0" brushRef="#br0" timeOffset="163225.04">4388 10037 0,'19'0'62,"59"-53"-46,-19 0-1,-40 17-15,40-17 16,-59 18 0,20 35-1,-20 18 16,0 105-15,0-34 0,0-19-1,0-17 1</inkml:trace>
  <inkml:trace contextRef="#ctx0" brushRef="#br0" timeOffset="163607.63">5073 9719 0,'0'0'0,"-20"0"15,40 0 48,97 0-63,-39 0 15,-19 0-15,20-18 16,-60 18 0</inkml:trace>
  <inkml:trace contextRef="#ctx0" brushRef="#br0" timeOffset="163856.54">5053 9878 0,'0'0'0,"20"17"63,116-17-48,-57 0-15,-20 0 16,-20 0-16,40 0 16</inkml:trace>
  <inkml:trace contextRef="#ctx0" brushRef="#br0" timeOffset="164539.67">6052 9490 0,'0'0'16,"-20"0"30,-98 106-30,20 70 0,60-35-1,38-17 1,78-19 0,-39-87-1,79 0 1,-20-18 15,-59-36-15,-19-17-1,-20-17 1,-20 17 0,-19 35-1,-79 36 1,20 17-1,19 18 1</inkml:trace>
  <inkml:trace contextRef="#ctx0" brushRef="#br0" timeOffset="165389.01">6404 9507 0,'0'0'0,"-19"18"47,19 0-31,-79 352 15,119-229 0,18-106-31,1 1 16,39-36 0,-20-36-1,-19 1 1,-39-53-1,-1-36 1,-19-17 0,-39-17-1,-40 105 1,21 35 0,-40 36-1,0 35 1</inkml:trace>
  <inkml:trace contextRef="#ctx0" brushRef="#br0" timeOffset="166224.6">6913 9895 0,'0'0'0,"0"-17"31,0 34-15,0 54 15,0-36-15,0 1 0,0-1-1,0-18 1,0-34 15,0-1-15,20-35-1,19-35 1,-19 17 0,19 36-1,-19 0 1,-1 35-1,20 35 17,-19 36-17,-20-1 1,0-34-16,20-1 16,-20 18-1,0-36 1,39-17 15,-19-35-15,18 0-1,1-53 1,-19 52 0,19-17-16,20 18 15,-20 18 1,-19 34-1,0 54 17,-1 35-17,-19-36 1,20 1-16</inkml:trace>
  <inkml:trace contextRef="#ctx0" brushRef="#br0" timeOffset="194746.8">18546 4639 0,'0'-53'94,"-20"18"-94,20 17 15,0-70 1,-20-18 0,1 0-1,-21-17 1,21 35-1,19-1 1,-20 1 0,40 0-1,-20 18 1,0-36 0,0 0 15,0 71-31,0-18 31,0 35-31,-20-35 16,20 0-1,-20 0 1,20 18 0,0 0-1,20-1 1,-20 1-1,0 18 1,0-19 0,0 19-1,0-1 1,0-17 0,0 17-1,0-17 16,0-1-15,0 19 0,0-1 15,0 1-15,0-1-1,0 0 1,20 1-1,-20-1-15,0 0 16,0 1 0,19-1-1,-19 0 1,0 1 15,0-1 16,0 1 16,0-1-32,0-17-31,0 17 31,20 18-15,-20-18-1,0 1 32,-20 34-16,20 1-15,0 0-16,-39 17 16,39-17-1,-20 17 1,1-18 0,-1 1-1,20 0 1,-19-18-1,19 17 1,-20-17 0,20-17 187,0-1-188,0 0 1,0 1 15,0-1-15,20 18 0,-20-17 15,19 17 0,1-18 0,-1 18-15,1 0-16,0 0 31,-1-18-31,1 18 31,-40 0 63,1 0-78,-21 0-1,21 0 32,58 0 0,-39 18-31,20-18-16,-1 0 47,-38 0-16,-1 0-15,0 18-16,1-18 15,-20 0-15,-1 0 16,40 17-1,-38-17 17,58 0-1,-2 0-15,22 0-1,-1 0-15,39 0 16,-58 0-1,19-17 1,-58-1 47,-1 18-48</inkml:trace>
  <inkml:trace contextRef="#ctx0" brushRef="#br0" timeOffset="195629.41">18369 4604 0,'19'0'46,"1"0"-30,98 0-16,-40 0 16,-59-18-1,20 18 17,-19 0-17</inkml:trace>
  <inkml:trace contextRef="#ctx0" brushRef="#br0" timeOffset="196479.37">17625 3616 0,'0'-18'0,"0"36"16,0-36 31,117 1-32,-77 17-15,-1-18 16,-19 18-16,-1-18 31,-19 54 0,-59 52-15,20-18 0,0 1-1,19-18 1,0-35-1,20-1 1,20-17 0,59 0-1,-20 0 1,-20-17-16,0-1 16</inkml:trace>
  <inkml:trace contextRef="#ctx0" brushRef="#br0" timeOffset="196761.97">17488 3757 0,'20'0'62,"-1"-18"-62,98 18 16,40-35 0,-78 18-1,-40-19 1</inkml:trace>
  <inkml:trace contextRef="#ctx0" brushRef="#br0" timeOffset="197211.31">18016 3757 0,'40'-53'78,"-21"36"-62,1-19-16,-1 1 15,-19 17 1,20 1 0,-20 52 15,0 0-16,0 53 1,20 1 0,-20-19-1,0-17 1</inkml:trace>
  <inkml:trace contextRef="#ctx0" brushRef="#br0" timeOffset="198833.63">26711 3193 0,'-39'0'79,"58"0"-1,1 0-78,19 0 15,1 0-15,-1 0 16,0 0-16,0 0 31,-20 0 0,-38 0-15,0 0 0,-21 0-1,21 0-15,-20 0 16,-1 17 0,21-17-1,-1 0 1</inkml:trace>
  <inkml:trace contextRef="#ctx0" brushRef="#br0" timeOffset="200022.87">26731 4480 0,'19'0'63,"79"0"-48,-39 0-15,-40 18 16,1-18 15,-40 0 0,1 0-15,-20 0 0,19 0-1,1 0 1</inkml:trace>
  <inkml:trace contextRef="#ctx0" brushRef="#br0" timeOffset="201872.76">26809 3210 0,'59'71'94,"-59"-18"-94,20 0 16,-1 17-1,-19 212 16,19-105 1,-19-107-17,0-17 1,0 0 0,20-18 15,-20 1-16,0-1 1,0-17 0,0 17-1,19-17 1,-19-1 0,0 1-1,0 17 1,0 0 31,0-17-32,0 0 1,0-1 15,0 1 0,0 0 110,0-36-125,0 36 15,-19-18 78,-1 0-77,1 0-17,0 0-15,-1 0 16,0 0-1,20 17 1,-19-17 0,-1 0-16,1 0 15,-1 0 17,0 0-17,1 0 16,38 0 16,21 0-31,-21 0-16,1 18 16,-1-18-1,59 0 1,-39 0-1,-19 0-15,39 0 16,-40 0 0,1 0-1,0-18 17</inkml:trace>
  <inkml:trace contextRef="#ctx0" brushRef="#br0" timeOffset="202756.43">27142 3845 0,'0'-17'31,"20"17"-16,78 0 17,-40 0-17,-78 88 17,-38 53-1,19-88 0,19-18-15,20 0-1,20-17 1,19-18 0,-1 0-1,2 0-15</inkml:trace>
  <inkml:trace contextRef="#ctx0" brushRef="#br0" timeOffset="203105.69">27122 4039 0,'0'-17'0,"79"17"78,-20 0-62,-21 0-1,1 0-15,-39-18 16,20 18-16</inkml:trace>
  <inkml:trace contextRef="#ctx0" brushRef="#br0" timeOffset="204254.94">27455 4180 0,'0'-17'94,"0"-1"-78,0 0-16,20 1 15,0 17 17,-20-18-32,19 18 15,1 0 1,-1 18 0,-19-1-1,20 19 1,-20-1-1,-20 0 17,1 1-17,-20-19 1,39 1 0,-20-18-1,20 18 1,-20-18-1,20 17 17,20-17 15,19-17-16,-19 17-16,-1 0-15,21 0 32,-22 0-17,2 0 1,19 0 0,-39-18-16,20 18 15</inkml:trace>
  <inkml:trace contextRef="#ctx0" brushRef="#br1" timeOffset="-170017.9499">21443 2540 0,'0'0'0,"59"0"78,-39 18-63,-1-18 1,1 0-16,-20 17 16,20-17-1,-1 0 1,1 0 0,-1 18 15,21-18 0,-21 18-15,1-18-1,0 0 1,-2 0 0,2 0-1,0 0-15,-1 17 16,21-17 15,-40 18-15,39-18 15,-20 17-31,1-17 16,0 0 15,19 0-16,-39 18 1,20-18 0,-1 0-1,1 18-15,0-18 16,-2 17 0,21-17-1,1 18 16,-1-18-15,0 18 0,-19-18-1,19 17 1,0-17 0,-19 0-1,0 18 16,-1-18-31,1 0 16,-1 0 0,20 0-1,0 18 1,1-1 0,-1-17-1,-20 0 1,1 0-1,19 18 1,-19-18 0,0 0-1,-1 0 1,39 17 0,-38-17 15,19 0-16,-19 18 1,-1-18 0,21 0-1,-1 18 1,0-18 0,-19 0-1,-1 0 1,21 0-1,-22 17 1,22-17 0,-1 18 15,0-18-15,-19 0-1,0 18 16,-1-18-15,1 17 0,-1-17-1,1 0 1,0 0 0,-20 18-1,19-18 1,1 0-16,19 18 15,-19-18 1,0 17 0,18-17-1,1 0 1,20 0 15,-39 18 0,-1-18-15,1 0 0,0 18 15,-1-18-15,1 0-1,-20 17 1,19-17-1,1 0 1,0 0 15,-20 18-31,18-18 16,2 0 0,-20 17-1,20-17 16,-1 0-15,1 0 15,0 0 32,-20 18-63,19-18 15,1 0 1,0 0 15,-20 18-15,19-18 46</inkml:trace>
  <inkml:trace contextRef="#ctx0" brushRef="#br1" timeOffset="-168418.4499">21287 2487 0,'20'0'0,"-1"0"79,39 18-79,-38-18 15,19 17 1,-19-17-1,-1 0 1,1 0 0,0 0 15,-20 18-15,19-18-1,1 0 16,-20 18 16,20-18-31</inkml:trace>
  <inkml:trace contextRef="#ctx0" brushRef="#br0" timeOffset="-158890.04">21307 2452 0</inkml:trace>
  <inkml:trace contextRef="#ctx0" brushRef="#br0" timeOffset="-158557.8299">21502 2452 0,'20'0'15</inkml:trace>
  <inkml:trace contextRef="#ctx0" brushRef="#br0" timeOffset="-157592.8499">21894 2452 0</inkml:trace>
  <inkml:trace contextRef="#ctx0" brushRef="#br0" timeOffset="-157361.28">22051 2452 0,'0'0'0,"20"0"63</inkml:trace>
  <inkml:trace contextRef="#ctx0" brushRef="#br0" timeOffset="-156929.75">22423 2469 0,'19'0'16</inkml:trace>
  <inkml:trace contextRef="#ctx0" brushRef="#br0" timeOffset="-156721.52">22638 2469 0,'0'0'0</inkml:trace>
  <inkml:trace contextRef="#ctx0" brushRef="#br0" timeOffset="-156250.78">23049 2487 0,'20'0'32,"0"0"-1,38 0-15</inkml:trace>
  <inkml:trace contextRef="#ctx0" brushRef="#br0" timeOffset="-156036.05">23304 2505 0,'0'0'0,"19"0"47,80 0-16,-40 0-31,-41 0 16,2 0-1</inkml:trace>
  <inkml:trace contextRef="#ctx0" brushRef="#br0" timeOffset="-155753.12">23696 2505 0,'0'0'16,"19"0"47,20 0-48</inkml:trace>
  <inkml:trace contextRef="#ctx0" brushRef="#br0" timeOffset="-155440.28">23891 2522 0,'20'0'0</inkml:trace>
  <inkml:trace contextRef="#ctx0" brushRef="#br0" timeOffset="-154553.5799">22794 2469 0,'20'0'31,"39"0"16</inkml:trace>
  <inkml:trace contextRef="#ctx0" brushRef="#br0" timeOffset="-153529.49">22246 2434 0,'59'0'78,"-39"0"-62,-20 18-16</inkml:trace>
  <inkml:trace contextRef="#ctx0" brushRef="#br0" timeOffset="-152650.3">21718 2452 0,'58'0'78,"-38"0"-63,-1 0 17</inkml:trace>
  <inkml:trace contextRef="#ctx0" brushRef="#br2" timeOffset="-144395.16">24087 2593 0,'0'-18'78,"0"1"-63,0-1 1,40 106 31,-2 18-16,-18-53-15,-20-35-1,19-18 1,-19 17 0,0-34 46,0-1-62,20 18 16,-20-18-16,0-17 15,19 17 1,-19 1 15,20-1-15,0 53 15,19 1-15,-39-1-1,39-17 1,-39-1 0</inkml:trace>
  <inkml:trace contextRef="#ctx0" brushRef="#br2" timeOffset="-143579.87">24517 2628 0,'0'-35'94,"-18"35"-94,-2 0 16,0 0-1,20 18 17,0 17-17,-19 18 1,38-18-1,1 0 1,18 1 0,-18-1-1,-20 0 1,20 0 0,-20 1-1,0-19 1,19 1-1</inkml:trace>
  <inkml:trace contextRef="#ctx0" brushRef="#br2" timeOffset="-143098.78">24459 2840 0,'20'-18'79,"18"1"-79,-18-1 15,0 18 1,-20-18-16,19 18 15</inkml:trace>
  <inkml:trace contextRef="#ctx0" brushRef="#br2" timeOffset="-141633.8599">23911 2522 0,'59'-17'78,"-1"-1"-62,-38 18-16,0-18 16,-1 18-16,-19-17 46,-39 34 17,19 19-47,-19-36-16,20 17 15,-1-17-15,-39 18 31,59 0-15,-20-18 0,20 17-1,20-17 32,19-17-47,-19 17 16,0-18-1,-20 0 1,19 18 15,-19-17 1,-19 34-32,-1-17 15,-19 18 1,-1 0-1,21-1 1,-1-17 15</inkml:trace>
  <inkml:trace contextRef="#ctx0" brushRef="#br2" timeOffset="-140133.22">23911 3193 0,'0'0'0,"78"-53"78,-39 35-62,-19 0-16,0 1 15,19 17 1,-39-18 15,0 36 16,-20-18-31,-39 35 15,20-17-15,20-1-16,-1 1 15,0-18 1,40 0 62,0 0-62,-1 0-1,1-18-15,-1 18 16,-19-17 0</inkml:trace>
  <inkml:trace contextRef="#ctx0" brushRef="#br0" timeOffset="-132789.3599">9126 9419 0,'0'0'0,"20"0"63,0 0-48,273-53 1,-136 36 0,-119 17-1,-38 53 1,-57 70-1,-42-17 1,60-53-16,-20 53 16,0-36-1,40 1 1,-1-18 0,59-36 15,20 1-16,39-18 1,1-18 0,-2-17-1,-58 0-15</inkml:trace>
  <inkml:trace contextRef="#ctx0" brushRef="#br0" timeOffset="-132523.3499">9146 9790 0,'0'-18'15,"20"18"16,-1 0-15,157-18 0,20 1-1,-59-1 1,-59 0-16</inkml:trace>
  <inkml:trace contextRef="#ctx0" brushRef="#br0" timeOffset="-131856.8499">9772 9948 0,'99'-53'78,"-60"36"-63,0 17 1,-1 0-16,-38-18 16,20 18-16,0 0 15,-20 18 1,0 17-1,-20 18 1,-18 0 0,-2 0-1,1-36 1,20 19 0,-1-36-1,20 17 1,20-17 15,-1 0-15,40 0-1,-21-17-15,2 17 16,-21-18 0,21 18-1,-21 0 1</inkml:trace>
  <inkml:trace contextRef="#ctx0" brushRef="#br0" timeOffset="-131504.8899">10438 9754 0,'0'0'0,"20"0"46,98-17-30,-2-1 0,-57 18-1,39-18 1,-78 18 0</inkml:trace>
  <inkml:trace contextRef="#ctx0" brushRef="#br0" timeOffset="-131257.62">10438 9860 0,'0'18'31,"39"-18"0,-19 0-31,157-18 16,-2 0-1,-116 18 1,-19 0 0</inkml:trace>
  <inkml:trace contextRef="#ctx0" brushRef="#br0" timeOffset="-122343.48">11202 9560 0,'0'0'0,"-20"0"0,40 0 79,59-17-64,-2 17-15,-18 0 16,78 35 15,-137-17-15,-39 17-1,-20 0 1,-19 0 0,20-17-1,38 0 1,1-1-1,-1-17 1,40 18 0,38-18-1,0 18 1,41 52 15,-80 1-31,-19-18 31,0-18-15,-59-35 0,0 18-1,-38-1 1,38-17 0,0 0-1,40-17 1</inkml:trace>
  <inkml:trace contextRef="#ctx0" brushRef="#br0" timeOffset="-122015.85">11769 9631 0,'20'0'63,"0"0"-48,78 0-15,-39-18 16,-20 18-16</inkml:trace>
  <inkml:trace contextRef="#ctx0" brushRef="#br0" timeOffset="-121481.97">11769 9666 0,'0'0'0,"-19"0"31,19 18-16,0-1 17,-58 36-32,19 18 15,39-54 17,19-17-17,1 0 1,0 0-1,18 0 1,1-17-16,0 17 16,40 0-1,-20 17 1,0 1 0,-21 35-1,-38-18 1,20 18-1,-60-35 1,-17 0 0,-2-1-1,-40-17 1,1 0 15,60 0-31</inkml:trace>
  <inkml:trace contextRef="#ctx0" brushRef="#br0" timeOffset="-120682.85">12259 9878 0,'0'17'62,"-19"36"-62,19 0 16,0-35 0,0 0-1,0-1 17,0-34-17,0-36 1,19 17-1,-19 19-15,40-72 16,-1 19 0,-19 70-1,-1-18 1,1 36 0,-1 17-1,0 36 16,1-18-15,-20-18 0,0-17-1,0-1 1,19 1 0,1-18-1,0-35 1,-1-18-1,1 0 1,19-35 0,1 35-1,-1 53 17,-39 53-17,0 17 1,20 54 15,-20-71-15,0-1-16</inkml:trace>
  <inkml:trace contextRef="#ctx0" brushRef="#br0" timeOffset="-119268.18">4113 10813 0,'19'0'63,"-19"-18"-47,157-35-1,-39 18-15,-21 17 16,-77 18-1,-59 71 17,-78 17-17,-1 18 1,40-18 0,19 0-1,39-35 1,-18-18-1,76-17 1,100 0 0,-99-18-1,39-18 1,-58 0 0</inkml:trace>
  <inkml:trace contextRef="#ctx0" brushRef="#br0" timeOffset="-118984.4">3996 11007 0,'19'0'31,"1"0"-31,19 0 16,118-18 0,-79 18-16,20 0 15</inkml:trace>
  <inkml:trace contextRef="#ctx0" brushRef="#br0" timeOffset="-118201.33">4681 11271 0,'39'-53'94,"-19"18"-94,18 0 15,2-36 1,-21 36 15,1 123 1,-20 106-1,0-141-31,-20-18 15</inkml:trace>
  <inkml:trace contextRef="#ctx0" brushRef="#br0" timeOffset="-117772.41">5209 11060 0,'0'0'0,"20"17"78,118-17-78,-60 0 16,0 0-16,-19 0 15,-20 0-15,-19 0 16</inkml:trace>
  <inkml:trace contextRef="#ctx0" brushRef="#br0" timeOffset="-117086.13">5954 10936 0,'0'0'0,"19"0"62,-19-18-62,118-17 16,-39 35-16,-41 0 16,1 0-16,-19-17 15,-20 34-15,20-17 16,-79 141 15,-39 18 0,79-124-31,-1 36 16,20-36 15,0-17-31,39-1 32,19-17-17,1-17 1,20-36-1,-79 35-15</inkml:trace>
  <inkml:trace contextRef="#ctx0" brushRef="#br0" timeOffset="-116802.83">5914 11130 0,'20'0'31,"0"0"-15,-1 0-16,119 0 15,-61-18-15,-18 18 16,-19 0 0,-21 0-16</inkml:trace>
  <inkml:trace contextRef="#ctx0" brushRef="#br0" timeOffset="-115637.22">6463 11201 0,'20'0'78,"38"-36"-78,1 36 16,0 0-16,0-17 31,0 17-15,-59 35-1,0-17-15,-20-1 16,-19 36 0,-40-17-1,40-1 1,0-18 0,39 1 15,19-18-16,20 0 1,40 0 0,0-18-1,-1 18 17,-20-17-32</inkml:trace>
  <inkml:trace contextRef="#ctx0" brushRef="#br0" timeOffset="-115271.18">7168 11060 0,'0'0'0,"-19"0"0,38 0 62,98 0-46,-19 0-16,-39 0 15,-19 0-15,-1 0 16,-1-18 0</inkml:trace>
  <inkml:trace contextRef="#ctx0" brushRef="#br0" timeOffset="-114986.86">7188 11201 0,'0'17'16,"0"-34"0,0 34-16,20-17 15,-2 0 1,218-17 0,-119 17-1,-78 0 1</inkml:trace>
  <inkml:trace contextRef="#ctx0" brushRef="#br0" timeOffset="-113855.36">8244 10936 0,'0'0'15,"-77"35"64,38 18-79,-1 0 15,21-18 1,-1 177 15,79-88 0,20-107-15,-22 1 0,2-36-1,-19-17 1,-40 17-16,19-17 15,-19-18 1,-39 0 0,0 36-1,-19 34 1,-40 19 0,39-1 15,19 0-31</inkml:trace>
  <inkml:trace contextRef="#ctx0" brushRef="#br0" timeOffset="-113306.18">8597 11024 0,'0'0'0,"-19"0"15,19 18 32,-19 0-47,-60 87 16,60-16-16,-1-19 15,20-35 1,0 18-16,39 0 16,40 0-1,18-35 1,-19-18-1,21-35 1,-60-18 0,-19 0-1,-20-53 1,-20-18 0,-19 36 15,-60 53-16,-18 17 1,39 54 0,58-1-16</inkml:trace>
  <inkml:trace contextRef="#ctx0" brushRef="#br0" timeOffset="-112307.64">9126 11395 0,'0'0'0,"0"53"93,0-18-93,20 0 16,-20-17 0,0-1 15,20-17 0,-20-35-15,0 0-1,0 0-15,19-36 16,1 18 0,-20 36-1,19-1 1,21 18 0,-22 35-1,22 0 16,-21 18-15,1 0 0,-20-17 15,20-36-15,-20-18 15,19-35-16,1 0 1,19 0 0,-19 0-1,19 53 1,-19 18 0,-20 52-1,39 19 1,-39-36 15,20-18-15</inkml:trace>
  <inkml:trace contextRef="#ctx0" brushRef="#br0" timeOffset="-111974.24">9910 11289 0,'0'-18'31,"19"18"32,79 0-63,0 0 16,-20-17-16,-38 17 15,19 0 1</inkml:trace>
  <inkml:trace contextRef="#ctx0" brushRef="#br0" timeOffset="-111009.18">10556 11042 0,'20'0'78,"195"-18"-63,-98 18 1,-97 0 0,0 36-1,-60-1 1,-77 0-1,38 0 17,21 1-17,38-36 1,20 17-16,20-17 31,38 0-15,40 18-1,-19 0 1,-1 17 0,-58 0-1,-20 18 1,-39-18 0,-20-17-1,-20 0 1,20-18-1,-58 0 17,98 0-17,-1 0 1,1-36 0</inkml:trace>
  <inkml:trace contextRef="#ctx0" brushRef="#br0" timeOffset="-110741.7">11281 11112 0,'19'0'15,"1"0"1,-1 0 0,0 0-1,177-52 1,-117 52 0,-79-18-1</inkml:trace>
  <inkml:trace contextRef="#ctx0" brushRef="#br0" timeOffset="-110257.85">11222 11130 0,'0'0'0,"-20"0"16,20 18 31,0 17-32,0 0-15,39-35 16,-19 18 0,0-18-1,19 18 1,19-18-1,-39 17-15,40 1 16,-19 0 0,-21 17-1,1 0 1,-20 0 0,0-17-1,-59 17 1,-20-17-1,21-18 17,-20 0-17,39 0 1,19 0 0,0-35-16</inkml:trace>
  <inkml:trace contextRef="#ctx0" brushRef="#br0" timeOffset="-109143.05">11750 11377 0,'0'0'0,"0"-18"31,0 36 0,39 88-15,-19-36 15,-20-52 0,0-36 1,0 1-17,19-54 1,1 1 0,0 17-1,-1 18 1,1 35-1,39 35 1,-59 18 0,20 17-1,-20-17 1,19-53 0,1 18-1,-2-18 16,2 0-15,0-18 0,19-17-16,0-18 31,1-18-15,18 36-1,-58 18 1,20 34-1,0 71 1,-20 1 0,19-37-1,-19-16 1,20-19 0</inkml:trace>
  <inkml:trace contextRef="#ctx0" brushRef="#br0" timeOffset="-108809.97">12807 11218 0,'0'0'0,"20"-17"78,78 17-62,0 0-16,-40 0 15,-18-18-15,-21 18 16</inkml:trace>
  <inkml:trace contextRef="#ctx0" brushRef="#br0" timeOffset="-108593.39">12691 11395 0,'19'0'31,"1"0"-31,-2 0 16,2 0-16,255-18 15,-158 18 1</inkml:trace>
  <inkml:trace contextRef="#ctx0" brushRef="#br0" timeOffset="-107610.84">13473 11148 0,'20'0'78,"98"-53"-62,19 0-1,-59 53 16,-78 35-15,0 18-16,-20 18 16,-58 35 15,-20-18-15,39 0-1,40-53 1,19-17-1,0-1 1,78-17 0,1 0-1,-2-17 1,2-1 0,-40 18-16,-19-17 15,-1 17 1</inkml:trace>
  <inkml:trace contextRef="#ctx0" brushRef="#br0" timeOffset="-107326.77">14158 11112 0,'20'-17'32,"0"17"-17,-1 0-15,275-18 16,-196 18-1,-98-17 1</inkml:trace>
  <inkml:trace contextRef="#ctx0" brushRef="#br0" timeOffset="-106793.6">14158 11095 0,'0'0'0,"0"17"31,0 1-15,-57 70 0,37-52-16,20-1 15,-39-17 16,58-18-31,21 35 16,-2-35 0,40 0-1,-19-18 1,20 18 15,39 0-15,-41 18-1,-57 35 1,-1 0 0,-38-18-1,-20 0 1,-1-17 0,-57-18-1,19 17 1,19-17-1,0-17 1,39 17 0,20-18-1</inkml:trace>
  <inkml:trace contextRef="#ctx0" brushRef="#br0" timeOffset="-106046.42">14707 11377 0,'20'0'31,"-20"18"16,20 52-47,-20-17 16,0-35-16,19-1 15,-19 1 1,20-36 31,-20 1-47,0-1 15,0 1 1,20-36 0,18-18-1,-19 36 1,40 35 0,-39 17-1,0 36 1,-20 0-1,19-17 1,-19-1 0,20-35 31,0 0-32,-20-18 1,19 1-1,20-36 1,40-53 0,-59 88-1,-2 1-15,2 17 16,0 17 0,-20 36-1,19 35 1,-19-17-1,0-18 1,0 0 0,20-53-1</inkml:trace>
  <inkml:trace contextRef="#ctx0" brushRef="#br0" timeOffset="-105680.2">15588 11271 0,'0'0'16,"-20"0"-16,40 0 78,78 0-78,-19 0 15,-20 0-15,-21-17 16,1 17 0</inkml:trace>
  <inkml:trace contextRef="#ctx0" brushRef="#br0" timeOffset="-105462.2">15529 11448 0,'39'0'47,"-19"0"-47,0 0 15,176 0 1,19-18-1,-136 0-15</inkml:trace>
  <inkml:trace contextRef="#ctx0" brushRef="#br0" timeOffset="-92924.26">16332 10866 0,'0'0'0,"0"-18"47,0 36-32,20 176 1,-20 70-1,0-105 1,0-71 0,20-35-1,-20-35 17,19-36-32,-19 0 15,20-17-15,0-53 31,19-18-15,-20 36 0,21 17-1,-22 53 1,2-18 0,0 53-1,19 36 1,-39 35-1,20-18 1,-20-35 0</inkml:trace>
  <inkml:trace contextRef="#ctx0" brushRef="#br0" timeOffset="-92358.38">16939 11271 0,'0'-17'94,"0"-1"-79,0 0 1,-19 1-16,19-1 16,-20 18-1,1 0 1,19 18 0,0 17-16,-19 18 15,19 70 1,0 18-1,0 18 1,0-53 0,0 0-1,0-53 1,-20 0 0,0-53-1</inkml:trace>
  <inkml:trace contextRef="#ctx0" brushRef="#br0" timeOffset="-92059.11">16763 11606 0,'20'-17'47,"0"17"-32,97-36 1,-59 19-16,-18-1 15,-21 1 1</inkml:trace>
  <inkml:trace contextRef="#ctx0" brushRef="#br2" timeOffset="-68478.06">882 12524 0,'0'0'0,"-19"-53"79,19 0-79,19 17 15,1 1 1,39-18-1,-1 36 1,1 17 0,-40 53-1,1 17 1,-20 18 0,-59 18-1,-20-35 1,22-18-1,37-36-15,0 19 16,40-36 15,77 0-15,1 0 15,0 0-15,-58 0-16</inkml:trace>
  <inkml:trace contextRef="#ctx0" brushRef="#br2" timeOffset="-67961.53">784 11906 0,'0'0'0,"-20"0"0,1 0 16,-20 18-16,-1-18 16,2 18-1,-354 193 1,274-34-1,99 52 1,97-35 0,196 35-1,-39-141 1,78-70 0,-38-71-1,-80-53 1,-57-70-1,-99 0 1,-19-19 0,-79-34-1,-79 18 1,-57 87 15,-157 124-15,214 35-16,-195 142 15,235-89-15</inkml:trace>
  <inkml:trace contextRef="#ctx0" brushRef="#br2" timeOffset="-66863.42">2253 12171 0,'0'0'0,"0"-18"32,0 36-17,39 105 1,20 371 15,-21-176 0,2-301-15,-40-34 15,39-19-15,-39 1-16,59-124 16,-20 18 15,-19 35-16,39 54 1,-20 87 0,-1 71-1,-18 17 1,0 18 0,-20-70-1,0-36-15</inkml:trace>
  <inkml:trace contextRef="#ctx0" brushRef="#br2" timeOffset="-66380.86">2938 12876 0,'0'0'0,"20"0"46,-20-17-30,59-1 0,-39 18-16,-2 0 31,-18-18-15,0 1-1,0-18 1,0 17-16,0 0 15,-58-35 1,39 18 0,-21 17-1,21 142 17,19 88-1,-20-1-16,40-17 1,-20-53 0,0-35-1,0-35 1,0-36 0,-20-17-1</inkml:trace>
  <inkml:trace contextRef="#ctx0" brushRef="#br2" timeOffset="-66114.51">2801 13212 0,'0'-18'31,"20"18"-15,-1 0-1,119-18 1,-61 1-16,-38 17 16,20-18-1,-39 18-15</inkml:trace>
  <inkml:trace contextRef="#ctx0" brushRef="#br2" timeOffset="-65760.86">3506 12771 0,'0'0'0,"-20"0"31,40 0 1,313-36 30</inkml:trace>
  <inkml:trace contextRef="#ctx0" brushRef="#br2" timeOffset="-65514.14">3506 12912 0,'0'0'0,"0"17"15,20-17 17,-1 0-32,1 0 15,117 0-15,-59 0 16,-19 0-16,-40 0 16</inkml:trace>
  <inkml:trace contextRef="#ctx0" brushRef="#br2" timeOffset="-64165.2199">4662 12753 0,'0'0'15,"19"0"32,-38 0-31,38 0-1,-19-18 1,0-17-16,0-36 31,-39 19-15,-20-37-1,20 19 1,19 52 0,-19 0-1,39 124 1,0 106 0,0 0-1,19 35 1,-19-53 15,-39-89-15,-19-16-1,39-72-15</inkml:trace>
  <inkml:trace contextRef="#ctx0" brushRef="#br2" timeOffset="-63898.43">4407 12965 0,'0'0'0,"40"0"47,-22 0-47,100-18 16,-59 18-1,19-18 1,-58 1-16</inkml:trace>
  <inkml:trace contextRef="#ctx0" brushRef="#br2" timeOffset="-60835.16">5582 12418 0,'0'0'0,"0"17"78,19 89-78,-19-18 16,0-17-16,0 17 16,20 0 15,39-52-15,-20-36-1,78 0 1,1-18-1,-59 0 1</inkml:trace>
  <inkml:trace contextRef="#ctx0" brushRef="#br2" timeOffset="-60436.34">5209 13176 0,'20'0'78,"176"0"-78,-39 0 16,-20 0-16,19-17 16,80-1-1,-41 0 1,-38 1-1,-99 17 1</inkml:trace>
  <inkml:trace contextRef="#ctx0" brushRef="#br2" timeOffset="-59852.76">5699 13441 0,'0'-18'31,"20"142"16,0-54-31,19 71 15,-39-88-31</inkml:trace>
  <inkml:trace contextRef="#ctx0" brushRef="#br2" timeOffset="-59420.16">5582 13458 0,'0'0'0,"0"-17"16,39 17 15,-19 0-15,214-18-1,-96 36 1,-99 17-16,59 71 15,-78-18 1,-20 0 0,-40 1-1,1-19 1,-59-35 0,0 1-1,1-19 1,-2-17-1,21-17 1,19-19 0,20-17-1</inkml:trace>
  <inkml:trace contextRef="#ctx0" brushRef="#br2" timeOffset="-57188.23">7051 12471 0,'0'0'16,"0"-18"0,0 36 31,0 17-47,78 106 15,98 247 16,-117-335-15,-20-35 0,0-36-1,1-53 1,-21-52 0,19-36-1,-18 1 1,-20-19-1,20 71 1,-20 89 0</inkml:trace>
  <inkml:trace contextRef="#ctx0" brushRef="#br2" timeOffset="-55989.12">7893 12277 0,'0'0'0,"0"-18"47,20 18-32,96-35 1,-57 17-16,0 18 31,-39 0-31,-79 124 32,-20-54-1,40-17-16,20-35 1,-1-18 0,40 17-1,19-17 1,59 0 0,-19-17-1,-2-1 1</inkml:trace>
  <inkml:trace contextRef="#ctx0" brushRef="#br2" timeOffset="-54457.11">7462 13529 0,'0'0'0,"-20"0"16,-39 0 46,59-18-46,0 1 0,20-1-1,39 0 1,0-17 0,-1 18-1,-39 17-15,1 17 16,0 18-1,-20 89 1,-40-18 0,-37-18-1,-41 0 1,59-35 0,20-18 15,39-17-16,39-18 17,-19 0-17,39-18 1,39 18 0,19 0-1,-78 0-15,40 0 16,-60 0-1,1 0 1</inkml:trace>
  <inkml:trace contextRef="#ctx0" brushRef="#br2" timeOffset="-53591.41">8147 13705 0,'0'-17'31,"0"-1"16,-78 0-47,19 18 15,0 36 1,21 17 0,18 17-1,20-17 1,20-18-1,18-17 1,21-18 0,-20 0-1,20-35 1,-39-53 0,-1 17-1,-19 18 16,0 35-31,0 36 32,-19 17-17,19 1 1,19 52 0,1 0-1,0 36 1,-1 17-1,-19 0 1,-39-35 0,19-71-16,-39 18 15,-39-36 1,1-17 0,-21-17 15,20-18-31,0 17 15</inkml:trace>
  <inkml:trace contextRef="#ctx0" brushRef="#br2" timeOffset="-46330.44">7011 13194 0,'0'0'0,"40"0"79,38 0-64,19-18-15,159 18 31,252-35 1,-155 17-1,-275 1 0,-58 17-15</inkml:trace>
  <inkml:trace contextRef="#ctx0" brushRef="#br2" timeOffset="-43501.13">15216 12647 0,'0'0'0,"0"18"79,0 70-79,0-18 15,0 89 1,20-53-1,19-35 1,39-54 0,21-17-1,-2 0 1,1-35 0</inkml:trace>
  <inkml:trace contextRef="#ctx0" brushRef="#br2" timeOffset="-43234.42">15999 12788 0,'0'0'0,"-19"0"16,38 0 15,1 0-15,234 0 0,-155 0-1,-60-17 1</inkml:trace>
  <inkml:trace contextRef="#ctx0" brushRef="#br2" timeOffset="-43000.7">16058 12929 0,'0'0'15,"0"18"1,20-18 0,0 0-1,-1 0-15,255 0 16,-156-18 0,-98 18-1</inkml:trace>
  <inkml:trace contextRef="#ctx0" brushRef="#br2" timeOffset="-42451.05">16842 12577 0,'0'0'0,"39"105"79,-39-34-64,19 17-15,-19-35 16,20 106 15,-1-142-31,-19 19 0</inkml:trace>
  <inkml:trace contextRef="#ctx0" brushRef="#br2" timeOffset="-42018.5199">17136 12629 0,'0'0'0,"19"0"31,-19 18 16,20 106-47,-20-36 15,19-35-15,39 35 16,21-53 15,-20-17-15,19-36 0,-58-35-1,0-17 1,-20-36-1,-40 0 1,1 18 0,-98 35-1,59 53 1,19 18-16,20-1 16</inkml:trace>
  <inkml:trace contextRef="#ctx0" brushRef="#br2" timeOffset="-41568.74">17762 12612 0,'0'0'15,"-20"88"48,-19 0-63,19 0 16,20-35-1,0 18-15,40 17 16,38-53-1,40-35 1,-40-17 0,-39-72 15,0-34-15,-39 0-1,-78-36 1,-39 106-1,19 53 1,19 0 0</inkml:trace>
  <inkml:trace contextRef="#ctx0" brushRef="#br2" timeOffset="-40867.7699">18193 12876 0,'0'18'31,"0"0"-31,0-1 15,0 89 1,0-53-16,0-35 16,0 17-1,20-35 1,-20-18 0,0-17-16,0 17 15,19-87 1,39-54-1,-38 106 1,-20 35 0,39 18-1,-39 53 17,20 53-17,-20 17 1,19-52-1,1-36 1,0-17 0,-1-36-1,1 1 1,0-107 0,19 18-1,20-17 16,-59 88-31,38 35 16,-18 53 15,-1 52-15,-19 36 0,0-17-1,0-53-15</inkml:trace>
  <inkml:trace contextRef="#ctx0" brushRef="#br2" timeOffset="-39600.89">15334 13688 0,'0'0'15,"19"0"1,1-18 0,19 18-1,255 53 1,-196 35 0,-78 36-1,-40-18 1,-58-1-1,-40-16 1,39-37 0,2-34 15,-2-18-31,40-18 31,-1-17-15,21 0-1</inkml:trace>
  <inkml:trace contextRef="#ctx0" brushRef="#br2" timeOffset="-38537.06">16176 13970 0,'-19'0'31,"38"0"0,98 0-15,-38 0-16,-60-18 16,21 18-1</inkml:trace>
  <inkml:trace contextRef="#ctx0" brushRef="#br2" timeOffset="-38271.04">16078 14111 0,'20'0'31,"-1"0"-15,118 0 0,-78-18-16,-20 18 15,0 0 1,-19 0-16</inkml:trace>
  <inkml:trace contextRef="#ctx0" brushRef="#br2" timeOffset="-36589.36">16978 13847 0,'0'0'16,"0"17"46,-19 54-46,19 17-16,0-18 15,0-17-15,39 0 16,-19-17-16,-1-1 16,40-18-1,117-69 16,-156-160 1,-40 106-17,-58 0 1,0 36 0,-1 70-1,1 35 16,58 71-31</inkml:trace>
  <inkml:trace contextRef="#ctx0" brushRef="#br2" timeOffset="-36135.7899">17488 14305 0,'0'0'0,"-20"0"15,20-18 16,-19 18-15,19 18 0,-40 70-1,40 1 1,0-19 0</inkml:trace>
  <inkml:trace contextRef="#ctx0" brushRef="#br2" timeOffset="-35491.11">17605 13970 0,'0'18'15,"-20"-18"1,40-18 15,39-70-15,-20 17 0,-39 36-16,59-53 46,-20 176-14,-39 88-17,0 54 1,20-177 0,0 52-1,19-69-15</inkml:trace>
  <inkml:trace contextRef="#ctx0" brushRef="#br2" timeOffset="-34606.01">18213 14076 0,'0'0'0,"-20"0"32,20 70 14,20-34-30,-1-19 0,-19 1-16,0 0 15,0-1 1,20 1 0,-20-71 15,20-88 0,38 17 0,-39 107-31,-19-1 16,59 36 0,-20 17-1,-19 53 1,0 18-1,-20-53 17,19 0-17,-19-36 17,20-34-17,0-71 1,-20 52-1,19-52 1,20 18 0,-39 52-16,19 18 15,-19 53 1,20 106 0,-20-36-1,0-35 1</inkml:trace>
  <inkml:trace contextRef="#ctx0" brushRef="#br2" timeOffset="-25977.14">15432 13723 0,'0'18'79,"0"70"-79,-20-35 15,20-18-15,0 53 47,20-52-31,-20-19-1,20 18 1,-20 1 0,0-19-1,0 1 1,0 0 15,0-1 16,0 1 47,0 0-63,0-1-15,0 1-1,-20-1 1,20 1 31</inkml:trace>
  <inkml:trace contextRef="#ctx0" brushRef="#br2" timeOffset="-1750.86">2448 15169 0,'0'0'0,"-19"0"16,-39 71 30,58 52-30,0-34-16,0-1 16,38 18-16,21 17 15,20-17 32,-60-106-47,20-35 31,60-406 1,-61 229-17,1 0 1,20 124 0,-59 71-1</inkml:trace>
  <inkml:trace contextRef="#ctx0" brushRef="#br2" timeOffset="-1270.42">3173 15505 0,'0'0'0,"20"0"62,117 0-46,117-18 15,-234 18-15</inkml:trace>
  <inkml:trace contextRef="#ctx0" brushRef="#br2" timeOffset="-1037.22">3232 15734 0,'20'0'46,"-1"0"-30,1 0-16,175 0 16,-77 0-16,-39 0 15,-2 0-15</inkml:trace>
  <inkml:trace contextRef="#ctx0" brushRef="#br2" timeOffset="-201.1">4055 15434 0,'0'0'0,"0"18"46,-20-1-46,20 19 16,0 211 0,0-89-16,20 283 31,57-264 16,-37-160-32,-21-52 1,-19-106 0,0-53-1,20-18 1,-20-70 0,0-36-1,20 54 1,38 17-1,-58 123 1</inkml:trace>
  <inkml:trace contextRef="#ctx0" brushRef="#br2" timeOffset="1261.26">4368 14781 0,'20'0'63,"-1"0"-63,98 0 15,-38 0-15,-20 0 16,19 0-1,235 0 17,-254 0-32,312 18 31,-194-18-15,19 18-1,-20-18 1,-20 17-1,21 1 1,-21 0 0,-18-18-1,19 0 17,-40 0-32,1 17 31,39-17-16,77 18 1,-78-18 0,-18 0-1,-20 0 1,-21 0 0,-19 17-1,40-17 1,-21 0-1,-18 0 1,0 0 0,-1 0-1,-19 0 1,38 0 15,-18 0-15,-40-17-1,-19 17 1,-1 0 15,1 0 79,-40 0-95,40 17 95,-20 1-95,0 0-15,-20 35 0,20-18 16,0 0 0,-19 53-1,-21-35 1,40-35-16</inkml:trace>
  <inkml:trace contextRef="#ctx0" brushRef="#br2" timeOffset="4592.92">4642 15169 0,'0'0'0,"0"-17"31,20 17-31,-20-18 15,19 18-15,78-53 16,-57 36-16,-1 17 16,-19 0-16,-1 17 15,-58 107 17,-98 52-1,98-88-16,0-35 1,0-18 15,19-17-15,20 0 0,59-18-1,19 0 1,39-18-1,-77 18 1,19-18 0,-40 18-1</inkml:trace>
  <inkml:trace contextRef="#ctx0" brushRef="#br2" timeOffset="5439.74">5327 15328 0,'0'-17'31,"-39"-36"32,39 35-63,-39 18 15,19 0-15,-19 0 16,0 18 0,-19 17-1,38 35 1,0-17 0,20 0-1,40-35 1,18 0-1,20-18 1,-19-18 0,-39-17-1,-1 17 1,1-17 0,-20-36-1,20 54 1,-20-1-1,0 0 32,19 36-31,-19 70 0,0 0-1,0 18 1,0-18-1,0 1 1,0-37 0,-19-16-1,-1-19 1,0-17-16,-39 18 16,0-18-1,1-18 1,19 1-1,0-19 1</inkml:trace>
  <inkml:trace contextRef="#ctx0" brushRef="#br2" timeOffset="8003.88">5836 15081 0,'0'-17'16,"20"17"0,-20 17 15,-20 89-16,20 70 1,-20 54 15,20-160 16,0-52-16,0 0-15,40-71 0,-1-18-1,0-17 1,0 17 0,1 36-1,-21 17 1,1 1-1,19 52 1,-19 71 0,-1 0-1,-19-18 17,20-35-17</inkml:trace>
  <inkml:trace contextRef="#ctx0" brushRef="#br2" timeOffset="8604.1">6639 15522 0,'0'-17'16,"0"-1"15,-78-176 16,58 176-47,-18 18 31,-21 124 0,19 158 16,40-176-31,20-18-1,-20-17 1,0-1 0,-20-35-1,1-17 1,19 0 0</inkml:trace>
  <inkml:trace contextRef="#ctx0" brushRef="#br2" timeOffset="8975.77">6385 15646 0,'0'-18'31,"19"18"0,60 0-15,-41 0-1,2 0-15,-21 0 16,1 0-16</inkml:trace>
  <inkml:trace contextRef="#ctx0" brushRef="#br2" timeOffset="13666.76">7226 15240 0,'0'-18'15,"0"36"48,0 70-47,0 53-1,0-53 1,20-17-1,-20-53-15</inkml:trace>
  <inkml:trace contextRef="#ctx0" brushRef="#br2" timeOffset="14250.48">7090 15152 0,'0'-18'31,"19"18"-31,1 0 16,0 0-16,254-17 15,-99 17 1,-17 35 0,-100 18-1,-38 17 1,-20 36-1,-20 0 17,-19-53-32,20-18 15,-80 18 1,1 0 0,-58-35-1,77-1 1,1-17-1,0 0 1,19 0 0,20-35-1,0 17 1,19 18 15</inkml:trace>
  <inkml:trace contextRef="#ctx0" brushRef="#br2" timeOffset="16294.54">4388 16104 0,'-20'0'0,"59"0"94,-19 0-94,18 0 15,60 0 1,20 0 0,38 0-1,-18 0 1,-79 0-16,-20 0 15,97 0 1,61 18 15,-41-18-15,-19 0 0,39 0-1,-38 18 1,-21-18-1,20 17 1,-19-17 0,-20 18-1,58-18 1,-97 0 0,20 17-1,77-17 1,-38 0-1,-1 18 1,-39-18 0,40 0 15,0 0-15,-41 0-1,-18 0 1,0 0-1,0 0 1,19 0 0,1 0-1,-21 0 1,20 18 0,-38-18-1,-1 0 1,-19 0-1,19 0 1,0 0 0,-19 0 15,-2 0 0,2 0-15,0 0-1,19 0 1,0 0 0,-19 0 31,-59 0 15</inkml:trace>
  <inkml:trace contextRef="#ctx0" brushRef="#br2" timeOffset="18145.77">5699 16475 0,'0'0'0,"20"17"94,0-17-47,-60-17-31,40-19-1,-19 19-15,-20-18 16,19 17-1,-19-35 1,-1 53 0,21-18-1,-1 18 1,20 89 0,0-37-1,0 90 1,20-54-16,-20 106 15,-40-53 1,22-18 0,-22-34-1,1-37 1,0-34 15,0 0-15</inkml:trace>
  <inkml:trace contextRef="#ctx0" brushRef="#br2" timeOffset="18561.4">5465 16757 0,'0'-18'31,"18"18"16,41 0-47,-19 0 16,38 0-1,-19 0 16</inkml:trace>
  <inkml:trace contextRef="#ctx0" brushRef="#br2" timeOffset="30055.92">6346 16387 0,'0'0'0,"0"-18"31,0 36 16,0 70-47,0 123 32,0-140-32,-20 123 31,20-159 0,118-17 0,-21-18-15,-19-35 15,-19 17-31,-19 18 31,-1 0-15,-39-18-16</inkml:trace>
  <inkml:trace contextRef="#ctx0" brushRef="#br2" timeOffset="49818.93">11182 15787 0,'0'0'16,"-19"0"0,38 17 31,21 72-47,19 16 15,-40-16-15,20-1 16,19-18-16,-18 1 15,-21-36-15,1 1 16,0-19-16,19 1 16,-20-106 15,1-195 0,-20 36-15,0 0 15,0 106-15</inkml:trace>
  <inkml:trace contextRef="#ctx0" brushRef="#br2" timeOffset="50234.75">12025 15946 0,'-20'0'31,"40"0"0,-2 0-15,100-36-16,-20 19 16,-19 17-16,-20-18 31,-21 18-31</inkml:trace>
  <inkml:trace contextRef="#ctx0" brushRef="#br2" timeOffset="50475.08">12043 16069 0,'-18'0'15,"18"18"1,18-18-1,22 0 1,117-18-16,-59 0 16,-1 18-1,-77 0 1</inkml:trace>
  <inkml:trace contextRef="#ctx0" brushRef="#br2" timeOffset="51334">12691 16034 0,'0'0'0,"0"17"32,19 1-32,-19 17 15,0 18-15,78 229 16,-39-105 0,0-18-16,20 176 31,-20-247 0,-39-70-15,0-160 15,0 54-31,0-176 16,-19-19-1,38-140 16,1 264-31,59-158 32,18 17-17,-78 229 1</inkml:trace>
  <inkml:trace contextRef="#ctx0" brushRef="#br2" timeOffset="52482.68">13179 15169 0,'20'0'31,"0"0"-15,-1 0-16,21 0 15,155-17-15,80 17 32,175 0-1,-19 17 0,59-17 0,-256 0-15,119 0 0,-118 0-1,-19 0 1,-41 0 0,22 0-1,-41 0 1,-19-17-1,-20 34 1,1-17 15,0 0-15,38-17 0,-19 17-1,39-18 1,-78 18-1,1-17 1,-1 17 0,-21-18-1,21 18 1,1 0 0,-22 0-1,2-18 1,-1 18-1,1 0 1,-1 0 15,-39 0-15,-20-17-16,21 17 16,19 0-1,19 0 1,-19 0-1,-20 0 1,-19 0 0,0 0 15,-2 0-15</inkml:trace>
  <inkml:trace contextRef="#ctx0" brushRef="#br2" timeOffset="53781.04">13493 15716 0,'0'0'0,"0"-53"79,19 36-64,1-1-15,0-17 16,78-1 15,-39 36 0,-40 36-15,-19 17 0,0 17-1,-39 1 1,-20-1-1,40-52-15,-40 35 16,19-18 0,21-17 15,58-18 0,-19 0-15,58 0-1,-19 0 1,38-18 0,-38 18-1,-20 0 1,-19 0 0,0 0-16,-20-17 15,19 17 1,1 0-1</inkml:trace>
  <inkml:trace contextRef="#ctx0" brushRef="#br2" timeOffset="54231.63">14355 15363 0,'0'-17'32,"0"34"-1,-79 107-15,40-18-1,19 53 1,20-107-16,-19 72 15,19-18 1,59-18 0,0-35-1,-1-36 1,-18-17 0</inkml:trace>
  <inkml:trace contextRef="#ctx0" brushRef="#br2" timeOffset="54897.46">14747 15699 0,'-20'-18'62,"-78"36"-62,19-18 16,40 17-1,-19 36 1,58-18 0,0 1-1,20-19 1,18 1-1,1-36 1,20 1 0,0-19-1,-39-16 1,-1-1 0,1 35-1,-20 0 1,0 54 15,0 34-15,0 36-1,0 0 17,-20-36-17,20-17 1,20-53-16</inkml:trace>
  <inkml:trace contextRef="#ctx0" brushRef="#br2" timeOffset="55179.96">14942 15963 0,'0'0'0,"20"0"31,-20 18 1,0-1-17,0 54 1,-40 35-1,21-53 1,19-36-16</inkml:trace>
  <inkml:trace contextRef="#ctx0" brushRef="#br2" timeOffset="55663.3">15216 15681 0,'0'0'0,"0"18"78,-58 35-78,58-1 16,0-34-16,0 0 15,0-1-15,38-17 16,2 0 0,18-17-1,-18-36 17,-21 18-32,-19-36 15,0 18 1,-19 53-1,-60 0 1</inkml:trace>
  <inkml:trace contextRef="#ctx0" brushRef="#br2" timeOffset="56179.62">15178 15875 0,'0'0'0,"0"18"47,-20-18-47,20 17 15,-39 107 1,19-71 0,59-36-1,19-17 1,-18 0-16,18-17 15,-18-19 1,-1 19 0,-19-36-1,-1 18 1,-19-1 15,-19 19-15,-21-1-1,1 18 1,0 0-16</inkml:trace>
  <inkml:trace contextRef="#ctx0" brushRef="#br2" timeOffset="56646.25">15647 15593 0,'0'-18'0,"0"36"78,0 88-78,0-36 15,0 1-15,-20-18 16,20-18-16,0 18 16,0 0-1,20-18 1</inkml:trace>
  <inkml:trace contextRef="#ctx0" brushRef="#br2" timeOffset="57729.88">15842 15452 0,'-18'-18'16,"36"18"46,81 35-62,-41 18 16,-18 18 0,-21-18-16,-19 35 0,0 124 31,-19-124-16,-1 0 1,-19-18 0,19 1-1,1-36 1,-1-35-16</inkml:trace>
  <inkml:trace contextRef="#ctx0" brushRef="#br2" timeOffset="63090.57">16509 15434 0,'0'-18'47,"0"36"-32,-20-18 16,20 18-31,-58 158 32,38-123-17,20 70 1,0-34 0,0 34-1,39-52 1,0-18-1,39-18 1,-39-18 0,-19-17-1,-20 18-15</inkml:trace>
  <inkml:trace contextRef="#ctx0" brushRef="#br2" timeOffset="65621.1">16744 15769 0,'0'-17'16,"0"-1"15,19 18-15,1 0-16,78-35 16,-1 17 15,-116 106 0,-40-17-15,1-1-1,-1-34 1,20-19 15,39 18-15,0 1-1,19-19 1,40 1 0,39-18-1,-20 0 1,-39 0-16,1-35 16</inkml:trace>
  <inkml:trace contextRef="#ctx0" brushRef="#br2" timeOffset="65971.14">17292 15681 0,'19'0'16,"1"0"-1,0 0 1,-1-18 0,79 18-16,-19 0 15,-79-17 1</inkml:trace>
  <inkml:trace contextRef="#ctx0" brushRef="#br2" timeOffset="66486.73">17252 15716 0,'0'0'0,"-18"0"16,18 18 30,-20 17-30,0-17-16,40-1 16,18 1-1,2-18 1,-1 0-16,0 0 31,-19 0-15,19 0-1,-19 35 1,-1 1 0,-19-1-1,20-17 1,-40 17 0,20-18-1,-59-17 1,20 0-1,-59 0 1,78 0 0,-18-17-1,18-1 1</inkml:trace>
  <inkml:trace contextRef="#ctx0" brushRef="#br2" timeOffset="67136.73">17527 15381 0,'20'0'63,"0"0"-63,96 71 16,81 87 15,-120-69-16,-57 52 1,-58 35 0,-21-70-1,0-53 1,20 0 0,19-36-1,0-17 1</inkml:trace>
  <inkml:trace contextRef="#ctx0" brushRef="#br2" timeOffset="68584.98">18859 15081 0,'19'0'78,"80"0"-78,-41 0 16,20-17-1,60 17 17,-22 0-1,-76 17 0,-21-17 16,1 0 0,-20 36 94,0-19-126,0 1-15,0-1 16,0 19-1,0-1 1,20 0 0,-20-17-1</inkml:trace>
  <inkml:trace contextRef="#ctx0" brushRef="#br2" timeOffset="69950.98">18330 15381 0,'0'18'94,"-20"-1"-94,20 19 15,-20-1-15,2 0 16,-2 18-16,0-18 15,1 18-15,-21 18 32,21 70-1,38-18 0,1-34 0,0-89-15,-1 17 0</inkml:trace>
  <inkml:trace contextRef="#ctx0" brushRef="#br2" timeOffset="70734.89">18565 15628 0,'0'-18'31,"0"36"0,-39 88-15,19 17-1,20-52 17,0-18-17,59-53 1,-1 0 0,1-18-1,-20-17 1,-19-18-1,0-35 1,-40 0 0,0 52-1,-19 19 1,19 17-16,-19 17 16</inkml:trace>
  <inkml:trace contextRef="#ctx0" brushRef="#br2" timeOffset="71142.73">18918 15875 0,'19'0'16,"-38"71"46,19-36-46,-40 0-16,40 0 16,-19-17-16</inkml:trace>
  <inkml:trace contextRef="#ctx0" brushRef="#br2" timeOffset="71632.48">19035 15505 0,'0'-18'31,"0"36"-15,0-1-1,0 71 1,19 89 15,1-71 1,-20-89-17</inkml:trace>
  <inkml:trace contextRef="#ctx0" brushRef="#br2" timeOffset="72281.69">19152 15311 0,'20'0'78,"39"70"-78,77 124 31,-96-53-15,-21-35 0,-19-18-1,-59 0 1,59-52-1</inkml:trace>
  <inkml:trace contextRef="#ctx0" brushRef="#br2" timeOffset="74245.73">13376 16492 0,'20'0'47,"96"0"-32,2 0 1,58 0-1,196 18 17,-77-36-1,18 1 0,-118 17-15,2 0-1,-100 0 1,1 0-16,97 0 16,-136 0-1,118 0-15,-1 0 32,-19 17-17,19-17 1,-39 0-1,-40 0 1,21 0 0,20 18-1,-21-18 1,59 0 0,-38 0-1,-21 0 1,137 18-1,-77-18 17,-20 17-32,-21-17 15,2-17 17,-21 17-17,-39 0 1,20 0-1,19 0 1,-19-18 0,20 18-1,-39 18 1,-2-18 0,41 0-1,0 0 1,-21 0-1,-38 0 1,0 0 15,-39 0-31,19 0 32,0 0-17,20 0 1,-39 0-1,-1 0 1,1 0 0,-1 0-1</inkml:trace>
  <inkml:trace contextRef="#ctx0" brushRef="#br2" timeOffset="75212.75">15706 16845 0,'0'-35'94,"0"0"-78,0 17-16,0 0 15,-20-17-15,1 35 16,-21-18-16,21 1 16,-1 17-16,0 0 15,1 0-15,-19 53 16,-21 141 15,78 70 0,21-140-15,-40-18 15,0-18-15,-40 0-1,-19-53 1,40-17 0,-1-18-1,0 0-15</inkml:trace>
  <inkml:trace contextRef="#ctx0" brushRef="#br2" timeOffset="75545.63">15432 17092 0,'0'-18'16,"20"18"15,-1 0-15,1 0-16,97 0 16,-19 0-1,-59 0 1,-19 0-1</inkml:trace>
  <inkml:trace contextRef="#ctx0" brushRef="#br2" timeOffset="76594.23">16391 16633 0,'0'0'0,"-78"71"78,19 0-63,21 34-15,-2-16 16,21-19-16,-1 18 16,0 53-1,60-17 1,-1-36-1,19-35 1,-19-18 0,0-17-1</inkml:trace>
  <inkml:trace contextRef="#ctx0" brushRef="#br2" timeOffset="77361.19">16606 17110 0,'0'-53'78,"20"18"-62,-20-1-1,39 1-15,-39 0 16,20-1 0,-1 19-1,-19 52 1,20 89-1,-20 17 1,0-53 0,0 0-1,0-53 1,0-17 0</inkml:trace>
  <inkml:trace contextRef="#ctx0" brushRef="#br2" timeOffset="77827.32">16900 16933 0,'0'0'0,"0"-17"32,0 34-17,-19 1 1,19 70 0,-19 0-16,19 18 15,38-53 16,21-18-15,0-52 0,0-1-1,-40-70 1,1-18 0,-20 0-1,-20 36 1,-19 52-1,-20 18 1,-39 35 0,79-17-1</inkml:trace>
  <inkml:trace contextRef="#ctx0" brushRef="#br2" timeOffset="78294.53">17234 16986 0,'18'0'46,"-18"18"-14,40 52-32,-40-17 15,19 0-15,21 18 16,38-18 0,-19-36 15,38-17-16,-57-17 1,-1-19 0,-20-52-1,-38 0 1,-20-18 0,-39 36-1,-60 52 1,40 71-1,39 0 1</inkml:trace>
  <inkml:trace contextRef="#ctx0" brushRef="#br2" timeOffset="78909.39">17742 16739 0,'0'0'0,"20"36"79,0-1-64,-1-18-15,21 19 16,-1-1-16,-20 0 15,39 54 1,-38 34 0,-20 0-1,0 1 1,-38-18 0,-2-36-1,21-34-15,-20 17 31,19-36-15</inkml:trace>
  <inkml:trace contextRef="#ctx0" brushRef="#br3" timeOffset="83838.7">15138 14922 0,'20'-17'16,"-40"-18"46,1 17-46,19 0-16,-20 18 15,0 0-15,1 0 16,-1 0-16,1 18 16,19 0-16,-20-1 15,0 1-15,20-1 16,0 36 15,20-35-31,78-18 31,-78 0-15,-1-18 0,21 18 15,-40-35-15,18 0-1,-18 17 1,0-17-1,0 17 1,20 18 0,-20-17 15,0 34-31,0 19 16,0 16-1,20 19 1,19 0-1,-20-18 1,1-1 0,-20-16-1,0-19 17,0 1-17,-59 0 1,0-1-1,-18 1 1,18-18 0,39-18-1</inkml:trace>
  <inkml:trace contextRef="#ctx0" brushRef="#br3" timeOffset="86471.0399">16803 14834 0,'0'0'0,"39"71"94,-19-18-94,-1 0 16,0 0-16,1 0 15,19 17 17,-20-52 14,1-18-30,0-36 0,-20-16-1,0-19 1,19 36 0,1-1-1,0 36 1,-1 0-1,21 36 1,-40-19-16,0 19 16,19 52-1,1-53 1</inkml:trace>
  <inkml:trace contextRef="#ctx0" brushRef="#br3" timeOffset="87069.31">17390 14922 0,'0'-17'16,"-20"-1"62,1 1-62,-1 17-1,0-18-15,1 18 16,-1 0 0,0 0-16,2 0 15,-2 35 1,0 36-1,20 17 1,0-17 0,40-1-1,-2 18 1,-18-35 0,-1 18 15,1-36-16,-20-17 1,0-1 0</inkml:trace>
  <inkml:trace contextRef="#ctx0" brushRef="#br3" timeOffset="87435.56">17272 15222 0,'20'-35'79,"-1"17"-64,1 1 1,0-1-1,-1 1-15,1 17 16</inkml:trace>
  <inkml:trace contextRef="#ctx0" brushRef="#br3" timeOffset="97509.7899">18506 14852 0,'0'-18'0,"0"36"62,20 35-46,0-18-16,-20 0 16,19-17-1,1 0-15,-1-1 32</inkml:trace>
  <inkml:trace contextRef="#ctx0" brushRef="#br3" timeOffset="98026.05">18349 14764 0,'0'0'0,"-19"0"15,38 0 32,99-18-31,-39 18-16,37 0 15,-37-18-15,-20 18 16,59 18 0,-59 17-1,-59 18 1,0 0 0,-40 0-1,1-35-15,-59 17 16,19 18 15,-38-35-15,0-1-1,58 1 1,19-18 0,21 0-1,-20 0 1</inkml:trace>
  <inkml:trace contextRef="#ctx0" brushRef="#br3" timeOffset="100276.9299">17077 17727 0,'0'-18'16,"0"36"46,0 53-62,-20-1 16,20-17-16,0-18 15,0-17 1,0 0-16,0-1 16,0 1-16,-20 0 31,20-1 0,-59-17 0,20-17-15,0 17 0,1-36-1,18 19 1,0 17-1,20 35 17,20-17-17,19 17-15,-20-18 16,20 19 0,-19-19-1,-1-17-15,1 18 31,19-18-15,1-53 15,-21 18-15,-19-18 0,20 18-1</inkml:trace>
  <inkml:trace contextRef="#ctx0" brushRef="#br3" timeOffset="100873.64">17272 18239 0,'0'0'0,"0"-18"31,0 0 0,0-17-31,0 53 32,0 17-17,0 18 1,0-18-16,0 0 16,-20 18-1,20-17 1,59-36-1,0 17 1,20-34 0,-20 17-1,-20 0 1,-19 0 0</inkml:trace>
  <inkml:trace contextRef="#ctx0" brushRef="#br2" timeOffset="110015.64">20993 15946 0,'0'0'0,"-19"0"32,19-18-32,0 36 46,39 52-46,-19 18 16,18-17 0,178 246 15,-99-228 0,-98-107-15,1-35-1,-20-70 1,0-54 0,-20-123-1,20 159 1,0 106 0,0 17-1,0 36 1</inkml:trace>
  <inkml:trace contextRef="#ctx0" brushRef="#br2" timeOffset="110415.58">21738 16087 0,'-20'0'31,"40"-18"16,-2 0-31,41 18-16,0-17 15,-20 17-15,20-18 16,20 0-1,-41 18 1</inkml:trace>
  <inkml:trace contextRef="#ctx0" brushRef="#br2" timeOffset="110731.27">21855 16157 0,'98'0'78,"-59"0"-62,40-17-16,-41 17 16,1 0-16,-19-18 15,19 18 1</inkml:trace>
  <inkml:trace contextRef="#ctx0" brushRef="#br2" timeOffset="131647.54">22384 16140 0,'0'0'16,"0"17"30,0 1-46,0-1 0,0 195 16,117 370 31,-39-300-16,-58-193-15,-20-1-1,19-53 1,-19-17 0,0-1 15,0-34-31,20-36 16,-20 0-1,0-88 1,0-212-1,0 53 1,39-70 0,-39 52-1,20 54 17,19-19-17,-39 89 1,0 89-1,0 16 1,0 36 0,20 1-1,-20 16 1,0 19 0,0-1 15,20 18-31,18 0 125,-19 0-110,21 0-15,38 0 16,-19 0-16,0 0 16,176 0-1,19 0 1,-38 0 0,-1 0-1,-39 0 1,-39 0-1,-19 0 1,-59 0 0,-39 0 15,38 0-15,1 0-1,-20 0 1,0 0-16,-19 0 15,19 0 1,0 0 0,1 0-1,18 0 1,0 0 0,-18 0-1,-21 0 1,1 0 15,0 0-15,19 0-1,-19 0 1,19 0 0,-39 18-1,0 17 1,0-17-16</inkml:trace>
  <inkml:trace contextRef="#ctx0" brushRef="#br2" timeOffset="134360.56">22991 15646 0,'0'-18'94,"-20"0"-94,20 1 16,0-1-16,0 0 15,39-34 1,20 34-1,-1 0 1,-38 1-16,-1 17 16,1 35-1,-20 18 1,0 17 0,-20 19 15,-39-1-16,1-35 1,0 0 0,18-18-1,40 0 1,0-17 0,40-1 15,-1-17-16,58 0 1,-18-17 0,-40 17-1,-19-18 1,-1 18 0</inkml:trace>
  <inkml:trace contextRef="#ctx0" brushRef="#br2" timeOffset="134743.63">23422 15363 0,'0'-17'15,"0"34"17,-40 142-17,21-53 1,19-35-1,0 105 1,39-88 0,20-53-1,-1 1 1,1-36 0</inkml:trace>
  <inkml:trace contextRef="#ctx0" brushRef="#br2" timeOffset="135343.49">23676 15593 0,'0'0'0,"0"-18"32,-20 18-1,-39 35-16,20 18 1,39-17-16,-20 17 16,20-36-1,20 1 1,19-18 0,1-18 15,-21 1-16,1-54 1,0 0 0,-20 18-1,0 36 1,0 17 15,0 70-15,0-34-16,0 34 15,0 71 1,19-70 0,1-18-1,-20-18 1</inkml:trace>
  <inkml:trace contextRef="#ctx0" brushRef="#br2" timeOffset="135661.15">23911 15857 0,'0'-17'32,"0"34"-17,0 1 17,-20 88-32,-19-18 15,19-35 1,20-35-1</inkml:trace>
  <inkml:trace contextRef="#ctx0" brushRef="#br2" timeOffset="136093.37">23950 15628 0,'0'0'0,"0"18"31,0-1-15,0 54-1,20-36 1,19-35 0,0-17-1,-19-19 1,19-34-1,-39-1 1,-59 18 0,39 53-1,-19 0-15,20 18 16</inkml:trace>
  <inkml:trace contextRef="#ctx0" brushRef="#br2" timeOffset="136543">24048 15840 0,'0'17'47,"0"1"-31,0 35-16,0-18 15,0-17-15,20-1 31,58-17-15,-39-17 0,0-1-1,-39-52 1,0 34-16,0 1 16,-20-18-1,-38 36 1,-20 17-1</inkml:trace>
  <inkml:trace contextRef="#ctx0" brushRef="#br2" timeOffset="136882.31">24302 15540 0,'0'0'0,"20"0"0,0 0 16,-20-18-1,0 53 16,0 71-15,0 35 0,0-35-1,0-53 1,0-18 0</inkml:trace>
  <inkml:trace contextRef="#ctx0" brushRef="#br2" timeOffset="137425.03">24263 15311 0,'0'-18'31,"20"18"-16,-1 0 1,99 106 0,-59 0-16,19 193 31,-59-87 0,-78-71 16,59-123-47</inkml:trace>
  <inkml:trace contextRef="#ctx0" brushRef="#br2" timeOffset="138792">24694 15311 0,'0'-18'16,"0"36"31,0-1-47,0 89 15,0 0-15,-39 194 47,39-142-15,39-122-32,0-19 15,78 19 1,-58-19-1</inkml:trace>
  <inkml:trace contextRef="#ctx0" brushRef="#br2" timeOffset="139391.7">24890 15681 0,'0'-18'47,"19"18"-32,60-17-15,-40-1 16,-19 18 0,-1 0-16,-19 18 15,0 17 1,-78 88 15,19-17 0,59-88-15,0 0 0,19-1-1,1-17 1,0 0-16,19 0 16,20-17-1,-39-1 1</inkml:trace>
  <inkml:trace contextRef="#ctx0" brushRef="#br2" timeOffset="140105.66">25281 15610 0,'0'-17'47,"79"17"-16,-40 0-16,-19-18-15,-1 18 16,-19-18-16,-19 18 31,-1 0-15,-19 0 0,0 0-1,-20 18 1,39 0-16,0-1 15,2 19 1,-2-19 0,20 19-1,0-19 1,20 1 0,18-18-1,21 18 1,-20-1-1,1 18 17,-21-17-1,1 0-15,-1-1-16,-19 19 15,-19-1 1,-20-35-1,19 18 1,-19-18 0,-1 0-1,1-18 1,39 0-16</inkml:trace>
  <inkml:trace contextRef="#ctx0" brushRef="#br2" timeOffset="140555.44">25399 15258 0,'20'17'47,"-1"19"-31,80 122-16,-41-52 15,-19 0-15,-39-35 16,0-1 0,0 71-1,-20-17 1,-19-54-1,39-52-15,-20-1 16</inkml:trace>
  <inkml:trace contextRef="#ctx0" brushRef="#br2" timeOffset="141992.23">25811 15434 0,'0'0'0,"0"18"78,0-1-62,0 36-16,0 18 16,-20 158 15,20-53 16,20-158-47,-20 17 0,39-17 15,-1 17 17,-18-35-32</inkml:trace>
  <inkml:trace contextRef="#ctx0" brushRef="#br2" timeOffset="142503.67">25927 15663 0,'0'-17'32,"0"34"-1,0 72-16,0-1-15,0-53 16,20 36 0,19-36-1,-19-18 1,19-17 0,1-17-1,-1-18 1,-20-1-16,-19 1 15,0-71 1,-39 53 0,0 18-1,-20 35 1,20 0 15,-1 0-31</inkml:trace>
  <inkml:trace contextRef="#ctx0" brushRef="#br2" timeOffset="142886.7">26280 15857 0,'0'-17'16,"0"34"15,0 1-15,-38 53-16,18-19 15,0 1-15,20-17 16,-19-1 0,-1-17-1</inkml:trace>
  <inkml:trace contextRef="#ctx0" brushRef="#br2" timeOffset="143569.77">26339 15628 0,'0'-18'78,"0"1"-63,19-19-15,-19 19 16,20 17 0,-20-18-1,0 36 1,0-1-16,20 107 16,-20-18 15,0-18-16,0 0 1,-20-53 0</inkml:trace>
  <inkml:trace contextRef="#ctx0" brushRef="#br2" timeOffset="145456.44">24968 14852 0,'20'0'78,"39"-18"-78,0 18 16,-20 0-16,-20-17 15,1 17 17,0 0-17,-2 0-15,2 0 0,0 0 16,19 0 0,98 0 15,-58 0 0,-41 0-15,21 0-1,-20 0 1,20 0 0,-39 0-1,19 0 16,20 0-15,-1 17 0,21-17-1,-1 0 1,1 0 0,-60 0-16,40 18 15,-19-18 1,18 0-1,-19 0 1,0 0 0,-19 0 15,-1 0-15,40 0-1,-19 0 16,-21 0-15,1 0 0,-2 0 31,2 0 15,-20 18 47,0 17-109,0-18 16,0 1-16,0 0 16,0 17-1,0 0 1,0 18 0,0 0-1,0 0 1,0-18-1,0-17 17,0 0-17</inkml:trace>
  <inkml:trace contextRef="#ctx0" brushRef="#br2" timeOffset="147000.04">22697 16387 0,'20'0'16,"-1"0"-16,1 0 16,0 0-1,234 0-15,-78 17 16,-19-17-16,77 0 16,99 0-1,451 35 16,-471-17 1,255 0-1,-411-18-15,-1 0-1,-78 0 1,-38 0 15,-21 0-15,21 0-1,-1 0 1,-20 0 0,1 0-1,0 17 1,-1-17-1,39-17 1,-18 17 0,18 0-1,-38 0 1,0 0 0,-79 0-1</inkml:trace>
  <inkml:trace contextRef="#ctx0" brushRef="#br2" timeOffset="147718.79">23989 16651 0,'0'0'0,"-19"0"63,-80 71-47,40 17-16,21-18 15,-1-17-15,39 36 16,0-19-16,0-17 15,19 18-15,1-19 16,0 1-16,18 0 16,60 35 15</inkml:trace>
  <inkml:trace contextRef="#ctx0" brushRef="#br2" timeOffset="148532.24">24127 17074 0,'0'18'15,"19"-36"48,0 18-48,1-35-15,-1 0 16,1 17 0,19-35-16,0-35 31,-19 106 0,-40 123-15,20-18-1,-19-17 1,19-35 0,19-18-1,1-36 1</inkml:trace>
  <inkml:trace contextRef="#ctx0" brushRef="#br2" timeOffset="148947.81">24517 16933 0,'0'0'0,"0"18"78,0 70-78,0-35 16,0 0-16,0-18 15,20-17-15,19 0 16,40-18-1,-1 0 1,-38-36 0,-21-17 15,-19-17-15,-19 17-16,-21 18 15,-58-18 1,39 35-1,-38 18 1,19 88 0</inkml:trace>
  <inkml:trace contextRef="#ctx0" brushRef="#br2" timeOffset="149384.9">24909 17004 0,'0'0'0,"0"-18"31,-19 71 16,19-18-31,0 18-16,0-17 15,0-19-15,39 19 16,20-1 0,19-35-1,-19 0 1,-39-18-1,-20-52 1,-20-54 15,-19 89-15,-59-36 0,0 71-1,78 0-15,-38 0 16</inkml:trace>
  <inkml:trace contextRef="#ctx0" brushRef="#br2" timeOffset="149815.04">25106 16651 0,'0'0'0,"-20"0"32,40 35 30,19 36-62,0-18 16,-19 0-16,18 35 15,-38-17-15,20-19 16,-20 19-16,0-18 16,-20 70-1,0-34 1,-38 16 15,19-52-31</inkml:trace>
  <inkml:trace contextRef="#ctx0" brushRef="#br2" timeOffset="151345.79">27357 15787 0,'0'0'0,"20"-35"79,-20-1-64,19 19-15,1-36 16,0 17-16,-20 1 15,0-18-15,19 18 16,-19 0 0,20-1 15,-20 177 0,0 18-15,20-53-1,-1-18 1,1-52 0,-20-19-1</inkml:trace>
  <inkml:trace contextRef="#ctx0" brushRef="#br2" timeOffset="152346">27083 16351 0,'-20'0'0,"1"0"63,-20 0-48,19 0 1,0 0 0,60 0 15,195 0 0,-79 0-15,41 0-1,-22-17 1,-76 17-16,57 0 16,-78-18-1,-38 18 1,-21-18-1,-38 18 17,-60 0-17,20 0 1</inkml:trace>
  <inkml:trace contextRef="#ctx0" brushRef="#br2" timeOffset="153804.78">27024 16969 0,'0'-18'31,"0"36"-31,0-1 16,0 1 0,0 105-16,0 1 15,20-54-15,-20 1 16,0-18-16,0 0 16,19-71 30,-19-70-14,0 35-32,20-229 31,0 141-15,-20 17-1,19 54 1,-19 52 15,20 18 0,19 0-15,1 18 0,-1-18-1,-1 0-15,100-18 31,19-17-15,58-18 0,-78 18-1,-40 35 1,-38-18 0,-19 18-1,-21-18 1,1 18 31</inkml:trace>
  <inkml:trace contextRef="#ctx0" brushRef="#br2" timeOffset="154626.78">27670 17039 0,'0'-17'125,"-19"-1"-125,-1-17 16,0-1-16,-18-34 15,18 34 16,1 19-15,-1 52 0,-19 53-1,19 53 1,20-88-16,0 88 16,0-17-1,0-18 1,-19 17-1,-21-52 1,21-36 0,19-17-1,0-1 1,0 1 0,0-53-1</inkml:trace>
  <inkml:trace contextRef="#ctx0" brushRef="#br2" timeOffset="154909.4">27377 17357 0,'19'0'63,"-19"-18"-63,79-17 15,-40 17 1,0 0-16,19-17 16,1 0-1,-59 17 16</inkml:trace>
  <inkml:trace contextRef="#ctx0" brushRef="#br2" timeOffset="155854.12">28160 16545 0,'0'18'78,"0"0"-62,20 17-16,-20 71 31,-20-36-16,20-52 1,0-1 0,0 1-1</inkml:trace>
  <inkml:trace contextRef="#ctx0" brushRef="#br2" timeOffset="162046.12">26476 15328 0,'20'18'94,"-20"-1"-94,0 1 16,0 0-1,20-1-15,-1 54 32,1-36-17,-2-17 1,-18 17-1,20 18 1,-20-18 0,0 1-1,0-19 1,0 1 0,0 17-1,20-35 1,-20 18-1,0 17 1,0-17 15,0-1-15,0 1 15,0 0-15,-20-1-1,20 1 32,0 0-15,0-1-32,-20 1 15,20-1 1,-18-17-1,18 18 1,-20 0 15,20-1-15,-19-17 0,19 18-1,-20 0 1,20-1-1,-20-17 1,20 18 0,-19-18 15,19 18-15,-20-1-1,0-17 1,20 18-1,-19-1 1,-1-17 0,0 0-1,20 18 1</inkml:trace>
  <inkml:trace contextRef="#ctx0" brushRef="#br3" timeOffset="191777.9">3017 17903 0,'0'0'15,"0"-17"16,0-1-15,0 36 0,38 88-1,139 370 32,-157-441-47,19 36 31,0-71-15,-39-88 0,20-36-1,-1-105 1,-19-1 0,20 89-1,-20 88 1,0 36-1</inkml:trace>
  <inkml:trace contextRef="#ctx0" brushRef="#br3" timeOffset="192127.73">3819 18203 0,'-20'0'31,"20"-17"1,20 17-17,98 0-15,58 0 16,-78-18 0,-59 0-1</inkml:trace>
  <inkml:trace contextRef="#ctx0" brushRef="#br3" timeOffset="193808.74">3819 18027 0,'20'0'94,"19"0"-79,20-18-15,0 18 16,117 0 15,-137 0-31,20 0 16,-20 0 0,-19 0-1,-1 0 16</inkml:trace>
  <inkml:trace contextRef="#ctx0" brushRef="#br3" timeOffset="194841.63">4955 17815 0,'0'0'15,"0"-17"32,-19 17-31,-40 0-16,0 0 16,39 53-16,-18-18 15,38 18-15,0 0 16,0 0-16,0-1 15,38 1-15,119 18 47,20-142-15,-158-17-17,-38-71 1,-40 18-1,0 53 1,-19 88 0,19 35-1,19 71 1</inkml:trace>
  <inkml:trace contextRef="#ctx0" brushRef="#br3" timeOffset="195341.0799">5425 18062 0,'0'0'0,"0"-17"31,-39 87 31,20 1-62,19-18 16,-20 0-16,20-18 16,-20 0-16,20 0 15</inkml:trace>
  <inkml:trace contextRef="#ctx0" brushRef="#br3" timeOffset="195925.3599">5523 17780 0,'0'-18'31,"0"36"-15,0-36-16,98-35 15,-20 36 1,1 17-1,-1 0 1,-59 35 0,1 71-1,-20 53 1,-20-36 0,20 1-1,0-89 1,-19-17-1</inkml:trace>
  <inkml:trace contextRef="#ctx0" brushRef="#br3" timeOffset="196224.3899">5680 17974 0,'0'0'0,"98"0"78,-40 0-62,1-35-16,-20 35 15,0 0 1,-19 0-16,-20-18 16</inkml:trace>
  <inkml:trace contextRef="#ctx0" brushRef="#br3" timeOffset="196840.07">6698 17515 0,'0'0'0,"-20"18"62,-39 106-46,1 34-16,-20-17 16,-40 124-1,20-53 1,19-54-1,21-34 1,19-36 0,39-53-1,-19-35-15</inkml:trace>
  <inkml:trace contextRef="#ctx0" brushRef="#br3" timeOffset="198105.18">6659 18292 0,'0'0'16,"0"-18"15,0 36 0,0 105-15,0-35-1,0-17-15,19 123 32,1-177-17,-20 1 1,0-53-1,39-53 1,-39-71 0,20-18-1,0 36 17,-20 18-17,0 88-15,0-18 16,0 0-1,0 35 1,0 0 0,19 18-1,-19-17 1,20 17 0,-20-18-1,0 1 1,19-1-1,20 0 1,59 18 15,-39 0-31,156-17 32,236-1-17,-217 0 1,-77 18-1,-98 0 1,-39 0 0,-40-17 15,-19 17-15</inkml:trace>
  <inkml:trace contextRef="#ctx0" brushRef="#br3" timeOffset="198971.79">7501 18186 0,'20'0'15,"-2"0"63,-18-18-62,0 0-16,-18-17 16,-61-35 15,20 17-16,20 53 1,19 0 0,20 70-1,0 107 1,0-19 0,20-17-1,-20 1 1,-20-19-1,1-35 1,-1 0 15,20-70-31,-19-18 0</inkml:trace>
  <inkml:trace contextRef="#ctx0" brushRef="#br3" timeOffset="199273.5799">7246 18468 0,'0'-18'31,"20"18"-15,-1 0-16,99-35 31,0 35-15,-60-18-1,-39 1 1,40-1-1</inkml:trace>
  <inkml:trace contextRef="#ctx0" brushRef="#br3" timeOffset="200119.59">8128 17745 0,'19'0'63,"-19"17"-63,0 72 15,20 16 1,-20-52 15,0-35 1</inkml:trace>
  <inkml:trace contextRef="#ctx0" brushRef="#br3" timeOffset="200486.62">8167 17921 0,'0'0'0,"0"18"94,0 17-79,0-17-15,0-1 16,0 1-16,0 0 31,0-36 0,0-17-15,0-1-16,0 1 16,0-18-16,0 0 15,0 18 17,0 17-32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4:46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56 24575,'0'1'0,"0"-1"0,0 1 0,0-1 0,0 0 0,0 1 0,0-1 0,0 1 0,0-1 0,0 0 0,1 1 0,-1-1 0,0 1 0,0-1 0,0 0 0,1 1 0,-1-1 0,0 0 0,0 1 0,1-1 0,-1 0 0,0 0 0,0 1 0,1-1 0,-1 0 0,0 0 0,1 1 0,-1-1 0,1 0 0,-1 0 0,0 0 0,1 0 0,-1 1 0,0-1 0,1 0 0,-1 0 0,1 0 0,-1 0 0,1 0 0,-1 0 0,0 0 0,1 0 0,-1 0 0,1 0 0,-1-1 0,0 1 0,1 0 0,-1 0 0,0 0 0,1 0 0,-1-1 0,1 1 0,18-12 0,-17 9 0,0 0 0,0 0 0,-1 0 0,1-1 0,-1 1 0,0 0 0,0-1 0,1-4 0,-2 8 0,0 0 0,0 0 0,0 0 0,0 0 0,0 0 0,0 0 0,0 0 0,0 0 0,0 0 0,0 0 0,0 0 0,0 0 0,-1 0 0,1 0 0,0 0 0,0 0 0,0 0 0,0 0 0,0 0 0,0 0 0,0 0 0,0 0 0,0 0 0,0 0 0,0 0 0,0 0 0,0 0 0,0 0 0,0 0 0,0 0 0,0 0 0,0 0 0,0 0 0,0-1 0,0 1 0,0 0 0,0 0 0,0 0 0,-4 8 0,2-1 0,8-11 0,-1-15 120,-5 19-142,0 0 0,0-1 0,0 1 1,0 0-1,0 0 0,0-1 0,0 1 0,1 0 0,-1 0 1,0 0-1,0-1 0,0 1 0,0 0 0,0-1 0,0 1 1,0 0-1,0 0 0,0-1 0,0 1 0,-1 0 0,1 0 1,0 0-1,0-1 0,0 1 0,0 0 0,0 0 0,0-1 0,0 1 1,-1 0-1,1 0 0,0 0 0,0-1 0,0 1 0,-1 0 1,1 0-1,0 0 0,0 0 0,0 0 0,-1-1 0,1 1 1,0 0-1,0 0 0,-1 0 0,1 0 0,0 0 0,0 0 1,-1 0-1,1 0 0,0 0 0,0 0 0,-1 0 0,1 0 1,0 0-1,0 0 0,-1 0 0,1 0 0,0 0 0,0 0 0,0 0 1,-1 0-1,1 1 0,0-1 0,0 0 0,-1 0 0,1 0 1,0 0-1,0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7:39.297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0 1 24575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8:17.432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37 0 24575,'-9'0'0,"-4"0"0,-2 0-8191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8:23.022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73 17 24575,'-3'0'0,"-6"0"0,-8-3 0,-3 0 0,5-1 0,7 1 0,8 1 0,6 1 0,6 0 0,3 1 0,-1 0-8191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8:29.443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3 24575,'0'-3'0,"0"5"0,0 5 0,0 3 0,0 4 0,0 2 0,0 0 0,0-1-8191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39:48.229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3 24575,'3'0'0,"1"-3"0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40:24.238"/>
    </inkml:context>
    <inkml:brush xml:id="br0">
      <inkml:brushProperty name="width" value="0.025" units="cm"/>
      <inkml:brushProperty name="height" value="0.025" units="cm"/>
      <inkml:brushProperty name="color" value="#33CCFF"/>
    </inkml:brush>
  </inkml:definitions>
  <inkml:trace contextRef="#ctx0" brushRef="#br0">0 1 24575,'0'2'0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09T15:41:01.924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0 24575,'0'3'0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Laura Valentina Jimenez Rocha" id="{79B5223B-4542-4251-9A3A-3F353FCD2C92}" userId="Laura Valentina Jimenez Roch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2-11T16:41:21.60" personId="{79B5223B-4542-4251-9A3A-3F353FCD2C92}" id="{67521EC0-731E-4449-9648-6B3B64A7ABB4}">
    <text>Agregar friccion y accesorios de la siguiente tuberia</text>
  </threadedComment>
  <threadedComment ref="K5" dT="2022-02-11T16:42:25.20" personId="{79B5223B-4542-4251-9A3A-3F353FCD2C92}" id="{C318B4B1-E332-4A4E-97A1-303A3C43CA08}">
    <text>Haland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02-11T16:53:48.48" personId="{79B5223B-4542-4251-9A3A-3F353FCD2C92}" id="{1778951E-F6BD-47B5-B6F9-B4976EC55D0E}">
    <text>Sumatoria de los caudales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8" dT="2022-02-11T17:06:32.19" personId="{79B5223B-4542-4251-9A3A-3F353FCD2C92}" id="{BAB5058A-8B37-4C19-A3C9-9790E99DF20D}">
    <text>CAMBIA CON EL # DE RAMAS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10" zoomScaleNormal="110" workbookViewId="0">
      <selection activeCell="D15" sqref="D15"/>
    </sheetView>
  </sheetViews>
  <sheetFormatPr baseColWidth="10" defaultRowHeight="15" x14ac:dyDescent="0.25"/>
  <cols>
    <col min="1" max="1" width="18.28515625" customWidth="1"/>
    <col min="3" max="3" width="25.42578125" customWidth="1"/>
    <col min="4" max="4" width="13.28515625" customWidth="1"/>
    <col min="6" max="6" width="19" customWidth="1"/>
    <col min="7" max="8" width="12.5703125" customWidth="1"/>
  </cols>
  <sheetData>
    <row r="1" spans="1:9" ht="15.75" thickBot="1" x14ac:dyDescent="0.3">
      <c r="A1" s="87" t="s">
        <v>0</v>
      </c>
      <c r="B1" s="88"/>
      <c r="C1" s="89" t="s">
        <v>1</v>
      </c>
      <c r="D1" s="90"/>
      <c r="E1" s="91" t="s">
        <v>2</v>
      </c>
      <c r="F1" s="90"/>
      <c r="G1" s="91" t="s">
        <v>3</v>
      </c>
      <c r="H1" s="90"/>
    </row>
    <row r="2" spans="1:9" x14ac:dyDescent="0.25">
      <c r="A2" s="21" t="s">
        <v>4</v>
      </c>
      <c r="B2" s="12">
        <v>10</v>
      </c>
      <c r="C2" s="3" t="s">
        <v>5</v>
      </c>
      <c r="D2" s="4">
        <f>0.893*10^-6</f>
        <v>8.9299999999999996E-7</v>
      </c>
      <c r="E2" s="5" t="s">
        <v>6</v>
      </c>
      <c r="F2" s="6">
        <f>(1/SQRT(F3))+(2*LOG10((2.51/(D4*SQRT(F3)))+(B9/(3.7*B6))))</f>
        <v>1.0723217869212931E-9</v>
      </c>
      <c r="G2" s="7" t="s">
        <v>7</v>
      </c>
      <c r="H2" s="8">
        <f>F3*(B4/B6)*(B7^2)/(2*9.81)</f>
        <v>6.4406049137787302E-2</v>
      </c>
      <c r="I2" t="s">
        <v>106</v>
      </c>
    </row>
    <row r="3" spans="1:9" ht="15.75" thickBot="1" x14ac:dyDescent="0.3">
      <c r="A3" s="9" t="s">
        <v>8</v>
      </c>
      <c r="B3" s="10">
        <f>B2/1000</f>
        <v>0.01</v>
      </c>
      <c r="C3" s="11" t="s">
        <v>9</v>
      </c>
      <c r="D3" s="12">
        <v>9777</v>
      </c>
      <c r="E3" s="13" t="s">
        <v>10</v>
      </c>
      <c r="F3" s="74">
        <v>1.6877338473405706E-2</v>
      </c>
      <c r="G3" s="15" t="s">
        <v>11</v>
      </c>
      <c r="H3" s="15">
        <f>10.64*B4*(B3/(B10*(B6^2.63)))^1.85</f>
        <v>6.7936233788249825E-2</v>
      </c>
      <c r="I3" t="s">
        <v>105</v>
      </c>
    </row>
    <row r="4" spans="1:9" ht="15.75" thickBot="1" x14ac:dyDescent="0.3">
      <c r="A4" s="21" t="s">
        <v>12</v>
      </c>
      <c r="B4" s="12">
        <v>5</v>
      </c>
      <c r="C4" s="17" t="s">
        <v>13</v>
      </c>
      <c r="D4" s="16">
        <f>(B7*B6)/D2</f>
        <v>140334.66162179629</v>
      </c>
      <c r="F4" s="18"/>
      <c r="G4" s="19" t="s">
        <v>14</v>
      </c>
      <c r="H4" s="20">
        <f>H2*D3</f>
        <v>629.69794242014643</v>
      </c>
    </row>
    <row r="5" spans="1:9" x14ac:dyDescent="0.25">
      <c r="A5" s="21" t="s">
        <v>15</v>
      </c>
      <c r="B5" s="12">
        <v>4</v>
      </c>
    </row>
    <row r="6" spans="1:9" x14ac:dyDescent="0.25">
      <c r="A6" s="9" t="s">
        <v>16</v>
      </c>
      <c r="B6" s="16">
        <f>B5*0.0254</f>
        <v>0.1016</v>
      </c>
    </row>
    <row r="7" spans="1:9" x14ac:dyDescent="0.25">
      <c r="A7" s="9" t="s">
        <v>17</v>
      </c>
      <c r="B7" s="16">
        <f>(4*B3)/(PI()*(B6^2))</f>
        <v>1.2334532758687409</v>
      </c>
    </row>
    <row r="8" spans="1:9" x14ac:dyDescent="0.25">
      <c r="A8" s="21" t="s">
        <v>18</v>
      </c>
      <c r="B8" s="12">
        <v>1.5E-3</v>
      </c>
      <c r="D8" s="92" t="s">
        <v>107</v>
      </c>
      <c r="E8" s="92"/>
    </row>
    <row r="9" spans="1:9" x14ac:dyDescent="0.25">
      <c r="A9" s="22" t="s">
        <v>19</v>
      </c>
      <c r="B9" s="23">
        <f>+B8/1000</f>
        <v>1.5E-6</v>
      </c>
      <c r="D9" s="92"/>
      <c r="E9" s="92"/>
    </row>
    <row r="10" spans="1:9" x14ac:dyDescent="0.25">
      <c r="A10" s="21" t="s">
        <v>104</v>
      </c>
      <c r="B10" s="12">
        <v>150</v>
      </c>
      <c r="D10" s="92"/>
      <c r="E10" s="92"/>
    </row>
    <row r="11" spans="1:9" ht="15.75" thickBot="1" x14ac:dyDescent="0.3">
      <c r="A11" s="13" t="s">
        <v>20</v>
      </c>
      <c r="B11" s="24">
        <f>B9/B6</f>
        <v>1.4763779527559055E-5</v>
      </c>
      <c r="D11" s="92"/>
      <c r="E11" s="92"/>
    </row>
    <row r="12" spans="1:9" x14ac:dyDescent="0.25">
      <c r="D12" s="92"/>
      <c r="E12" s="92"/>
    </row>
    <row r="13" spans="1:9" x14ac:dyDescent="0.25">
      <c r="A13" s="30"/>
      <c r="B13" t="s">
        <v>103</v>
      </c>
    </row>
  </sheetData>
  <mergeCells count="5">
    <mergeCell ref="A1:B1"/>
    <mergeCell ref="C1:D1"/>
    <mergeCell ref="E1:F1"/>
    <mergeCell ref="G1:H1"/>
    <mergeCell ref="D8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workbookViewId="0">
      <selection activeCell="C17" sqref="C17"/>
    </sheetView>
  </sheetViews>
  <sheetFormatPr baseColWidth="10" defaultRowHeight="15" x14ac:dyDescent="0.25"/>
  <cols>
    <col min="1" max="1" width="21.85546875" customWidth="1"/>
    <col min="2" max="2" width="12.28515625" customWidth="1"/>
    <col min="3" max="3" width="13" customWidth="1"/>
    <col min="4" max="4" width="16.42578125" customWidth="1"/>
  </cols>
  <sheetData>
    <row r="1" spans="1:6" ht="15.75" thickBot="1" x14ac:dyDescent="0.3">
      <c r="A1" s="87" t="s">
        <v>28</v>
      </c>
      <c r="B1" s="93"/>
      <c r="C1" s="87" t="s">
        <v>29</v>
      </c>
      <c r="D1" s="88"/>
    </row>
    <row r="2" spans="1:6" x14ac:dyDescent="0.25">
      <c r="A2" s="1" t="s">
        <v>30</v>
      </c>
      <c r="B2" s="25">
        <v>0.33329999999999999</v>
      </c>
      <c r="C2" s="1" t="s">
        <v>31</v>
      </c>
      <c r="D2" s="2">
        <f>(2.6+(899.18*D4))*((D3^2)/(2*32.16))</f>
        <v>40</v>
      </c>
    </row>
    <row r="3" spans="1:6" x14ac:dyDescent="0.25">
      <c r="A3" s="9" t="s">
        <v>32</v>
      </c>
      <c r="B3" s="26">
        <f>1.5*10^-4</f>
        <v>1.5000000000000001E-4</v>
      </c>
      <c r="C3" s="9" t="s">
        <v>33</v>
      </c>
      <c r="D3" s="16">
        <f>SQRT(2572.8/(2.6+899.18*D4))</f>
        <v>11.845309676250922</v>
      </c>
      <c r="E3" t="s">
        <v>34</v>
      </c>
      <c r="F3">
        <f>((PI()*(B2^2))/4)*D3</f>
        <v>1.0334915445268245</v>
      </c>
    </row>
    <row r="4" spans="1:6" ht="15.75" thickBot="1" x14ac:dyDescent="0.3">
      <c r="A4" s="13" t="s">
        <v>35</v>
      </c>
      <c r="B4" s="14">
        <f>B3/B2</f>
        <v>4.5004500450045008E-4</v>
      </c>
      <c r="C4" s="9" t="s">
        <v>36</v>
      </c>
      <c r="D4" s="16">
        <v>1.7500792514271751E-2</v>
      </c>
    </row>
    <row r="5" spans="1:6" x14ac:dyDescent="0.25">
      <c r="C5" s="9" t="s">
        <v>13</v>
      </c>
      <c r="D5" s="16">
        <f>(36000)*D3</f>
        <v>426431.14834503317</v>
      </c>
    </row>
    <row r="6" spans="1:6" ht="15.75" thickBot="1" x14ac:dyDescent="0.3">
      <c r="C6" s="13" t="s">
        <v>37</v>
      </c>
      <c r="D6" s="27">
        <f>(1/SQRT(D4))+(2*LOG10((2.51/(D5*SQRT(D4)))+(B4/3.7)))</f>
        <v>-1.0155542007339591E-7</v>
      </c>
    </row>
    <row r="7" spans="1:6" x14ac:dyDescent="0.25">
      <c r="C7" s="22"/>
      <c r="D7" s="28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baseColWidth="10" defaultRowHeight="15" x14ac:dyDescent="0.25"/>
  <cols>
    <col min="2" max="2" width="19.42578125" customWidth="1"/>
    <col min="3" max="3" width="16.7109375" customWidth="1"/>
    <col min="6" max="6" width="26.85546875" customWidth="1"/>
  </cols>
  <sheetData>
    <row r="1" spans="1:10" x14ac:dyDescent="0.25">
      <c r="A1" t="s">
        <v>21</v>
      </c>
      <c r="B1" t="s">
        <v>18</v>
      </c>
      <c r="C1" t="s">
        <v>19</v>
      </c>
      <c r="D1" t="s">
        <v>22</v>
      </c>
      <c r="E1" t="s">
        <v>23</v>
      </c>
      <c r="F1" t="s">
        <v>39</v>
      </c>
      <c r="G1" t="s">
        <v>17</v>
      </c>
      <c r="H1" t="s">
        <v>13</v>
      </c>
      <c r="I1" t="s">
        <v>24</v>
      </c>
      <c r="J1" t="s">
        <v>8</v>
      </c>
    </row>
    <row r="2" spans="1:10" x14ac:dyDescent="0.25">
      <c r="A2" t="s">
        <v>38</v>
      </c>
      <c r="B2">
        <v>2.5000000000000001E-2</v>
      </c>
      <c r="C2">
        <f>B2/1000</f>
        <v>2.5000000000000001E-5</v>
      </c>
      <c r="E2">
        <v>0.1</v>
      </c>
      <c r="F2">
        <f t="shared" ref="F2:F8" si="0">1*10^-6</f>
        <v>9.9999999999999995E-7</v>
      </c>
      <c r="G2">
        <f>0.7/SQRT(I2)</f>
        <v>4.9497474683058327</v>
      </c>
      <c r="H2">
        <f>(G2*E2)/F2</f>
        <v>494974.74683058332</v>
      </c>
      <c r="I2">
        <v>0.02</v>
      </c>
      <c r="J2">
        <f>(G2*PI()*E2^2)/4</f>
        <v>3.8875225708885713E-2</v>
      </c>
    </row>
    <row r="3" spans="1:10" x14ac:dyDescent="0.25">
      <c r="A3" t="s">
        <v>38</v>
      </c>
      <c r="B3">
        <v>2.5000000000000001E-2</v>
      </c>
      <c r="C3">
        <f t="shared" ref="C3:C8" si="1">B3/1000</f>
        <v>2.5000000000000001E-5</v>
      </c>
      <c r="E3">
        <v>0.1</v>
      </c>
      <c r="F3">
        <f t="shared" si="0"/>
        <v>9.9999999999999995E-7</v>
      </c>
      <c r="G3">
        <f t="shared" ref="G3" si="2">0.7/SQRT(I3)</f>
        <v>1.6380438237108235</v>
      </c>
      <c r="H3">
        <f t="shared" ref="H3:H4" si="3">(G3*E3)/F3</f>
        <v>163804.38237108238</v>
      </c>
      <c r="I3">
        <f>IF(H2&lt;=2000,64/H2,IF(H2&gt;=4000,((1/(-2*LOG10((2.51/(H2*SQRT(I2)))+(B2/(3.7*E2))))^2)),"TRANSICION"))</f>
        <v>0.18261861592207121</v>
      </c>
      <c r="J3">
        <f t="shared" ref="J3:J7" si="4">(G3*PI()*E3^2)/4</f>
        <v>1.2865166107070145E-2</v>
      </c>
    </row>
    <row r="4" spans="1:10" x14ac:dyDescent="0.25">
      <c r="A4" t="s">
        <v>38</v>
      </c>
      <c r="B4">
        <v>2.5000000000000001E-2</v>
      </c>
      <c r="C4">
        <f t="shared" si="1"/>
        <v>2.5000000000000001E-5</v>
      </c>
      <c r="E4">
        <v>0.1</v>
      </c>
      <c r="F4">
        <f t="shared" si="0"/>
        <v>9.9999999999999995E-7</v>
      </c>
      <c r="G4">
        <f>0.7/SQRT(I4)</f>
        <v>1.6380438237108235</v>
      </c>
      <c r="H4">
        <f t="shared" si="3"/>
        <v>163804.38237108238</v>
      </c>
      <c r="I4">
        <f t="shared" ref="I4:I6" si="5">IF(H3&lt;=2000,64/H3,IF(H3&gt;=4000,((1/(-2*LOG10((2.51/(H3*SQRT(I3)))+(B3/(3.7*E3))))^2)),"TRANSICION"))</f>
        <v>0.18261861592207121</v>
      </c>
      <c r="J4">
        <f t="shared" si="4"/>
        <v>1.2865166107070145E-2</v>
      </c>
    </row>
    <row r="5" spans="1:10" x14ac:dyDescent="0.25">
      <c r="A5" t="s">
        <v>38</v>
      </c>
      <c r="B5">
        <v>2.5000000000000001E-2</v>
      </c>
      <c r="C5">
        <f t="shared" si="1"/>
        <v>2.5000000000000001E-5</v>
      </c>
      <c r="E5">
        <v>0.1</v>
      </c>
      <c r="F5">
        <f t="shared" si="0"/>
        <v>9.9999999999999995E-7</v>
      </c>
      <c r="G5">
        <f>0.7/SQRT(I5)</f>
        <v>1.6380438237108235</v>
      </c>
      <c r="H5">
        <f t="shared" ref="H5:H8" si="6">(G5*E5)/F5</f>
        <v>163804.38237108238</v>
      </c>
      <c r="I5">
        <f t="shared" si="5"/>
        <v>0.18261861592207121</v>
      </c>
      <c r="J5">
        <f t="shared" si="4"/>
        <v>1.2865166107070145E-2</v>
      </c>
    </row>
    <row r="6" spans="1:10" x14ac:dyDescent="0.25">
      <c r="A6" t="s">
        <v>38</v>
      </c>
      <c r="B6">
        <v>2.5000000000000001E-2</v>
      </c>
      <c r="C6">
        <f t="shared" si="1"/>
        <v>2.5000000000000001E-5</v>
      </c>
      <c r="E6">
        <v>0.1</v>
      </c>
      <c r="F6">
        <f t="shared" si="0"/>
        <v>9.9999999999999995E-7</v>
      </c>
      <c r="G6">
        <f>0.7/SQRT(I6)</f>
        <v>1.6380438237108235</v>
      </c>
      <c r="H6">
        <f t="shared" si="6"/>
        <v>163804.38237108238</v>
      </c>
      <c r="I6">
        <f t="shared" si="5"/>
        <v>0.18261861592207121</v>
      </c>
      <c r="J6">
        <f t="shared" si="4"/>
        <v>1.2865166107070145E-2</v>
      </c>
    </row>
    <row r="7" spans="1:10" x14ac:dyDescent="0.25">
      <c r="A7" t="s">
        <v>38</v>
      </c>
      <c r="B7">
        <v>2.5000000000000001E-2</v>
      </c>
      <c r="C7">
        <f t="shared" si="1"/>
        <v>2.5000000000000001E-5</v>
      </c>
      <c r="E7">
        <v>0.1</v>
      </c>
      <c r="F7">
        <f t="shared" si="0"/>
        <v>9.9999999999999995E-7</v>
      </c>
      <c r="G7">
        <f>0.7/SQRT(I7)</f>
        <v>1.6380438237108235</v>
      </c>
      <c r="H7">
        <f t="shared" si="6"/>
        <v>163804.38237108238</v>
      </c>
      <c r="I7">
        <f>IF(H6&lt;=2000,64/H6,IF(H6&gt;=4000,((1/(-2*LOG10((2.51/(H6*SQRT(I6)))+(B6/(3.7*E6))))^2)),"TRANSICION"))</f>
        <v>0.18261861592207121</v>
      </c>
      <c r="J7">
        <f t="shared" si="4"/>
        <v>1.2865166107070145E-2</v>
      </c>
    </row>
    <row r="8" spans="1:10" x14ac:dyDescent="0.25">
      <c r="A8" t="s">
        <v>38</v>
      </c>
      <c r="B8">
        <v>2.5000000000000001E-2</v>
      </c>
      <c r="C8">
        <f t="shared" si="1"/>
        <v>2.5000000000000001E-5</v>
      </c>
      <c r="E8">
        <v>0.1</v>
      </c>
      <c r="F8">
        <f t="shared" si="0"/>
        <v>9.9999999999999995E-7</v>
      </c>
      <c r="G8">
        <f>0.7/SQRT(I8)</f>
        <v>1.6380438237108235</v>
      </c>
      <c r="H8">
        <f t="shared" si="6"/>
        <v>163804.38237108238</v>
      </c>
      <c r="I8">
        <f>IF(H7&lt;=2000,64/H7,IF(H7&gt;=4000,((1/(-2*LOG10((2.51/(H7*SQRT(I7)))+(B7/(3.7*E7))))^2)),"TRANSICION"))</f>
        <v>0.18261861592207121</v>
      </c>
      <c r="J8" s="29">
        <f>(G8*PI()*E8^2)/4</f>
        <v>1.2865166107070145E-2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"/>
    </sheetView>
  </sheetViews>
  <sheetFormatPr baseColWidth="10" defaultRowHeight="15" x14ac:dyDescent="0.25"/>
  <cols>
    <col min="2" max="2" width="12" bestFit="1" customWidth="1"/>
  </cols>
  <sheetData>
    <row r="1" spans="1:6" x14ac:dyDescent="0.25">
      <c r="A1" t="s">
        <v>45</v>
      </c>
      <c r="B1" t="s">
        <v>43</v>
      </c>
      <c r="C1" s="30" t="s">
        <v>46</v>
      </c>
      <c r="D1" t="s">
        <v>44</v>
      </c>
      <c r="E1" t="s">
        <v>13</v>
      </c>
      <c r="F1" t="s">
        <v>24</v>
      </c>
    </row>
    <row r="2" spans="1:6" x14ac:dyDescent="0.25">
      <c r="A2">
        <v>9.9000000000000005E-2</v>
      </c>
      <c r="B2">
        <f>0.000001306</f>
        <v>1.3060000000000001E-6</v>
      </c>
      <c r="C2" s="30">
        <f t="shared" ref="C2:C10" si="0">(F2*0.016)^(1/5)</f>
        <v>0.19999999999999998</v>
      </c>
      <c r="D2">
        <f t="shared" ref="D2:D10" si="1">A2/(C2^2)</f>
        <v>2.4750000000000005</v>
      </c>
      <c r="E2">
        <f t="shared" ref="E2:E10" si="2">(D2*C2)/B2</f>
        <v>379019.90811638592</v>
      </c>
      <c r="F2">
        <v>0.02</v>
      </c>
    </row>
    <row r="3" spans="1:6" x14ac:dyDescent="0.25">
      <c r="A3">
        <v>9.9000000000000005E-2</v>
      </c>
      <c r="B3">
        <f t="shared" ref="B3:B10" si="3">0.000001306</f>
        <v>1.3060000000000001E-6</v>
      </c>
      <c r="C3" s="30">
        <f t="shared" si="0"/>
        <v>0.1847467420634937</v>
      </c>
      <c r="D3">
        <f t="shared" si="1"/>
        <v>2.9005584237430484</v>
      </c>
      <c r="E3">
        <f t="shared" si="2"/>
        <v>410312.95478663919</v>
      </c>
      <c r="F3">
        <f t="shared" ref="F3:F10" si="4">IF(E2&lt;=2000,64/E2,IF(E2&gt;=4000,((1/(-2*LOG10((2.51/(E2*SQRT(F2)))+((0.0015/1000)/(3.7*C2))))^2)),"TRANSICION"))</f>
        <v>1.3451290746007134E-2</v>
      </c>
    </row>
    <row r="4" spans="1:6" x14ac:dyDescent="0.25">
      <c r="A4">
        <v>9.9000000000000005E-2</v>
      </c>
      <c r="B4">
        <f t="shared" si="3"/>
        <v>1.3060000000000001E-6</v>
      </c>
      <c r="C4" s="30">
        <f t="shared" si="0"/>
        <v>0.18562789185824291</v>
      </c>
      <c r="D4">
        <f t="shared" si="1"/>
        <v>2.8730866859801383</v>
      </c>
      <c r="E4">
        <f t="shared" si="2"/>
        <v>408365.25623620104</v>
      </c>
      <c r="F4">
        <f t="shared" si="4"/>
        <v>1.3775145025677263E-2</v>
      </c>
    </row>
    <row r="5" spans="1:6" x14ac:dyDescent="0.25">
      <c r="A5">
        <v>9.9000000000000005E-2</v>
      </c>
      <c r="B5">
        <f t="shared" si="3"/>
        <v>1.3060000000000001E-6</v>
      </c>
      <c r="C5" s="30">
        <f t="shared" si="0"/>
        <v>0.18557461357211591</v>
      </c>
      <c r="D5">
        <f t="shared" si="1"/>
        <v>2.8747366434301185</v>
      </c>
      <c r="E5">
        <f t="shared" si="2"/>
        <v>408482.49749322038</v>
      </c>
      <c r="F5">
        <f t="shared" si="4"/>
        <v>1.3755387893829759E-2</v>
      </c>
    </row>
    <row r="6" spans="1:6" x14ac:dyDescent="0.25">
      <c r="A6">
        <v>9.9000000000000005E-2</v>
      </c>
      <c r="B6">
        <f t="shared" si="3"/>
        <v>1.3060000000000001E-6</v>
      </c>
      <c r="C6" s="30">
        <f t="shared" si="0"/>
        <v>0.18557782626318722</v>
      </c>
      <c r="D6">
        <f t="shared" si="1"/>
        <v>2.874637110409501</v>
      </c>
      <c r="E6">
        <f t="shared" si="2"/>
        <v>408475.42591522576</v>
      </c>
      <c r="F6">
        <f t="shared" si="4"/>
        <v>1.3756578610090818E-2</v>
      </c>
    </row>
    <row r="7" spans="1:6" x14ac:dyDescent="0.25">
      <c r="A7">
        <v>9.9000000000000005E-2</v>
      </c>
      <c r="B7">
        <f t="shared" si="3"/>
        <v>1.3060000000000001E-6</v>
      </c>
      <c r="C7" s="30">
        <f t="shared" si="0"/>
        <v>0.18557763250547096</v>
      </c>
      <c r="D7">
        <f t="shared" si="1"/>
        <v>2.8746431131093395</v>
      </c>
      <c r="E7">
        <f t="shared" si="2"/>
        <v>408475.85239585605</v>
      </c>
      <c r="F7">
        <f t="shared" si="4"/>
        <v>1.3756506795538876E-2</v>
      </c>
    </row>
    <row r="8" spans="1:6" x14ac:dyDescent="0.25">
      <c r="A8">
        <v>9.9000000000000005E-2</v>
      </c>
      <c r="B8">
        <f t="shared" si="3"/>
        <v>1.3060000000000001E-6</v>
      </c>
      <c r="C8" s="30">
        <f t="shared" si="0"/>
        <v>0.18557764419090234</v>
      </c>
      <c r="D8">
        <f t="shared" si="1"/>
        <v>2.8746427510889694</v>
      </c>
      <c r="E8">
        <f t="shared" si="2"/>
        <v>408475.82667499647</v>
      </c>
      <c r="F8">
        <f t="shared" si="4"/>
        <v>1.3756511126630216E-2</v>
      </c>
    </row>
    <row r="9" spans="1:6" x14ac:dyDescent="0.25">
      <c r="A9">
        <v>9.9000000000000005E-2</v>
      </c>
      <c r="B9">
        <f t="shared" si="3"/>
        <v>1.3060000000000001E-6</v>
      </c>
      <c r="C9" s="30">
        <f t="shared" si="0"/>
        <v>0.1855776434861594</v>
      </c>
      <c r="D9">
        <f t="shared" si="1"/>
        <v>2.8746427729222477</v>
      </c>
      <c r="E9">
        <f t="shared" si="2"/>
        <v>408475.82822620944</v>
      </c>
      <c r="F9">
        <f t="shared" si="4"/>
        <v>1.3756510865424069E-2</v>
      </c>
    </row>
    <row r="10" spans="1:6" x14ac:dyDescent="0.25">
      <c r="A10">
        <v>9.9000000000000005E-2</v>
      </c>
      <c r="B10">
        <f t="shared" si="3"/>
        <v>1.3060000000000001E-6</v>
      </c>
      <c r="C10" s="30">
        <f t="shared" si="0"/>
        <v>0.1855776435286621</v>
      </c>
      <c r="D10">
        <f t="shared" si="1"/>
        <v>2.8746427716054934</v>
      </c>
      <c r="E10">
        <f t="shared" si="2"/>
        <v>408475.82813265658</v>
      </c>
      <c r="F10">
        <f t="shared" si="4"/>
        <v>1.375651088117729E-2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zoomScale="90" zoomScaleNormal="50" workbookViewId="0">
      <selection activeCell="M16" sqref="M16"/>
    </sheetView>
  </sheetViews>
  <sheetFormatPr baseColWidth="10" defaultRowHeight="15" x14ac:dyDescent="0.25"/>
  <cols>
    <col min="2" max="2" width="16.85546875" bestFit="1" customWidth="1"/>
    <col min="3" max="3" width="12.28515625" bestFit="1" customWidth="1"/>
    <col min="5" max="5" width="16.5703125" bestFit="1" customWidth="1"/>
    <col min="6" max="6" width="9.42578125" customWidth="1"/>
    <col min="7" max="7" width="11.42578125" customWidth="1"/>
  </cols>
  <sheetData>
    <row r="1" spans="1:13" x14ac:dyDescent="0.25">
      <c r="A1" s="34" t="s">
        <v>47</v>
      </c>
      <c r="B1" s="34" t="s">
        <v>48</v>
      </c>
      <c r="C1" s="34" t="s">
        <v>47</v>
      </c>
      <c r="D1" s="34" t="s">
        <v>48</v>
      </c>
      <c r="E1" s="31"/>
      <c r="K1" s="32"/>
      <c r="L1" s="33"/>
    </row>
    <row r="2" spans="1:13" x14ac:dyDescent="0.25">
      <c r="A2" s="15" t="s">
        <v>49</v>
      </c>
      <c r="B2" s="75">
        <v>0.5</v>
      </c>
      <c r="C2" s="35" t="s">
        <v>63</v>
      </c>
      <c r="D2" s="76">
        <v>0.2</v>
      </c>
      <c r="E2" s="48" t="s">
        <v>72</v>
      </c>
      <c r="F2" s="49" t="s">
        <v>73</v>
      </c>
      <c r="G2" s="49" t="s">
        <v>74</v>
      </c>
      <c r="K2" s="32"/>
      <c r="L2" s="32"/>
    </row>
    <row r="3" spans="1:13" ht="24" customHeight="1" x14ac:dyDescent="0.25">
      <c r="A3" s="15" t="s">
        <v>51</v>
      </c>
      <c r="B3" s="75">
        <v>0.35</v>
      </c>
      <c r="C3" s="15" t="s">
        <v>64</v>
      </c>
      <c r="D3" s="76">
        <v>1</v>
      </c>
      <c r="E3" s="77">
        <f>ROUND(F6/6,0)-1</f>
        <v>49</v>
      </c>
      <c r="F3" s="77">
        <f>ROUND(F24/6,0)-1</f>
        <v>24</v>
      </c>
      <c r="G3" s="77">
        <f>ROUND(F43/6,0)-1</f>
        <v>41</v>
      </c>
      <c r="M3" s="36"/>
    </row>
    <row r="4" spans="1:13" x14ac:dyDescent="0.25">
      <c r="A4" s="43" t="s">
        <v>50</v>
      </c>
      <c r="M4" s="36"/>
    </row>
    <row r="5" spans="1:13" ht="15.75" customHeight="1" x14ac:dyDescent="0.25">
      <c r="A5" t="s">
        <v>21</v>
      </c>
      <c r="B5" t="s">
        <v>19</v>
      </c>
      <c r="C5" t="s">
        <v>52</v>
      </c>
      <c r="D5" t="s">
        <v>53</v>
      </c>
      <c r="E5" t="s">
        <v>54</v>
      </c>
      <c r="F5" t="s">
        <v>27</v>
      </c>
      <c r="G5" t="s">
        <v>65</v>
      </c>
      <c r="H5" t="s">
        <v>16</v>
      </c>
      <c r="I5" t="s">
        <v>55</v>
      </c>
      <c r="J5" t="s">
        <v>68</v>
      </c>
      <c r="K5" t="s">
        <v>69</v>
      </c>
      <c r="L5" t="s">
        <v>56</v>
      </c>
      <c r="M5" s="30" t="s">
        <v>8</v>
      </c>
    </row>
    <row r="6" spans="1:13" x14ac:dyDescent="0.25">
      <c r="A6" s="31" t="s">
        <v>38</v>
      </c>
      <c r="B6" s="78">
        <f>0.25/1000</f>
        <v>2.5000000000000001E-4</v>
      </c>
      <c r="C6" s="31">
        <v>15</v>
      </c>
      <c r="D6" s="79">
        <v>1139</v>
      </c>
      <c r="E6" s="46">
        <f>1.139*(10^-6)</f>
        <v>1.139E-6</v>
      </c>
      <c r="F6" s="30">
        <v>300</v>
      </c>
      <c r="G6" s="30">
        <v>30</v>
      </c>
      <c r="H6" s="30">
        <f>G6/100</f>
        <v>0.3</v>
      </c>
      <c r="I6">
        <f>SQRT((L6*2*9.81)/(((K6*(F6/H6))+(L24*(F24/H24)*(I24))+(L43*(F43/H43)*I43)+$B$2+($E$3*0.1)+($F$3*0.1*I24)+($B$3*I24)+($D$2*I24)+($G$3*0.1*I43))))</f>
        <v>1.0773369000643704</v>
      </c>
      <c r="J6" s="33">
        <f>(H6*I6)/E6</f>
        <v>283758.62161484733</v>
      </c>
      <c r="K6" s="30">
        <v>1.9E-2</v>
      </c>
      <c r="L6" s="30">
        <v>10</v>
      </c>
      <c r="M6" s="41">
        <f>(I6*PI()*(H6^2))/4</f>
        <v>7.6152458040377111E-2</v>
      </c>
    </row>
    <row r="7" spans="1:13" x14ac:dyDescent="0.25">
      <c r="A7" s="31" t="s">
        <v>38</v>
      </c>
      <c r="B7" s="31">
        <f t="shared" ref="B7:B20" si="0">0.25/1000</f>
        <v>2.5000000000000001E-4</v>
      </c>
      <c r="C7" s="31">
        <v>15</v>
      </c>
      <c r="D7" s="45">
        <v>1139</v>
      </c>
      <c r="E7" s="46">
        <f t="shared" ref="E7:E20" si="1">1.139*(10^-6)</f>
        <v>1.139E-6</v>
      </c>
      <c r="F7">
        <v>300</v>
      </c>
      <c r="G7">
        <v>30</v>
      </c>
      <c r="H7">
        <f t="shared" ref="H7:H20" si="2">G7/100</f>
        <v>0.3</v>
      </c>
      <c r="I7">
        <f>SQRT((L7*2*9.81)/(((K7*(F7/H7))+(L25*(F25/H25)*(I25))+(L44*(F44/H44)*I44)+$B$2+($E$3*0.1)+($F$3*0.1*I25)+($B$3*I25)+($D$2*I25)+($G$3*0.1*I44))))</f>
        <v>1.0672178226932234</v>
      </c>
      <c r="J7" s="33">
        <f>(H7*I7)/E7</f>
        <v>281093.36857591482</v>
      </c>
      <c r="K7">
        <f>IF(J6&lt;=2000,64/J6,IF(J6&gt;=4000,(-1.8*LOG(((B7/(3.7*H6))^1.11)+(6.9/(J6))))^-2,"TRANSICION"))</f>
        <v>1.9840559799174408E-2</v>
      </c>
      <c r="L7">
        <v>10</v>
      </c>
      <c r="M7" s="41">
        <f t="shared" ref="M7:M12" si="3">(I7*PI()*(H7^2))/4</f>
        <v>7.5437182609945308E-2</v>
      </c>
    </row>
    <row r="8" spans="1:13" x14ac:dyDescent="0.25">
      <c r="A8" s="31" t="s">
        <v>38</v>
      </c>
      <c r="B8" s="31">
        <f t="shared" si="0"/>
        <v>2.5000000000000001E-4</v>
      </c>
      <c r="C8" s="31">
        <v>15</v>
      </c>
      <c r="D8" s="45">
        <v>1139</v>
      </c>
      <c r="E8" s="46">
        <f t="shared" si="1"/>
        <v>1.139E-6</v>
      </c>
      <c r="F8">
        <v>300</v>
      </c>
      <c r="G8">
        <v>30</v>
      </c>
      <c r="H8">
        <f t="shared" si="2"/>
        <v>0.3</v>
      </c>
      <c r="I8">
        <f t="shared" ref="I8:I20" si="4">SQRT((L8*2*9.81)/(((K8*(F8/H8))+(L26*(F26/H26)*(I26))+(L45*(F45/H45)*I45)+$B$2+($E$3*0.1)+($F$3*0.1*I26)+($B$3*I26)+($D$2*I26)+($G$3*0.1*I45))))</f>
        <v>1.0671986325556519</v>
      </c>
      <c r="J8" s="33">
        <f t="shared" ref="J8:J20" si="5">(H8*I8)/E8</f>
        <v>281088.31410596624</v>
      </c>
      <c r="K8">
        <f>IF(J7&lt;=2000,64/J7,IF(J7&gt;=4000,(-1.8*LOG(((B8/(3.7*H7))^1.11)+(6.9/(J7))))^-2,"TRANSICION"))</f>
        <v>1.9849411664017616E-2</v>
      </c>
      <c r="L8">
        <v>10</v>
      </c>
      <c r="M8" s="41">
        <f t="shared" si="3"/>
        <v>7.5435826139052947E-2</v>
      </c>
    </row>
    <row r="9" spans="1:13" x14ac:dyDescent="0.25">
      <c r="A9" s="31" t="s">
        <v>38</v>
      </c>
      <c r="B9" s="31">
        <f t="shared" si="0"/>
        <v>2.5000000000000001E-4</v>
      </c>
      <c r="C9" s="31">
        <v>15</v>
      </c>
      <c r="D9" s="45">
        <v>1139</v>
      </c>
      <c r="E9" s="46">
        <f t="shared" si="1"/>
        <v>1.139E-6</v>
      </c>
      <c r="F9">
        <v>300</v>
      </c>
      <c r="G9">
        <v>30</v>
      </c>
      <c r="H9">
        <f t="shared" si="2"/>
        <v>0.3</v>
      </c>
      <c r="I9">
        <f t="shared" si="4"/>
        <v>1.0671981457071773</v>
      </c>
      <c r="J9" s="33">
        <f t="shared" si="5"/>
        <v>281088.18587546371</v>
      </c>
      <c r="K9">
        <f t="shared" ref="K9:K19" si="6">IF(J8&lt;=2000,64/J8,IF(J8&gt;=4000,(-1.8*LOG(((B9/(3.7*H8))^1.11)+(6.9/(J8))))^-2,"TRANSICION"))</f>
        <v>1.9849428598941406E-2</v>
      </c>
      <c r="L9">
        <v>10</v>
      </c>
      <c r="M9" s="41">
        <f t="shared" si="3"/>
        <v>7.5435791725762147E-2</v>
      </c>
    </row>
    <row r="10" spans="1:13" x14ac:dyDescent="0.25">
      <c r="A10" s="31" t="s">
        <v>38</v>
      </c>
      <c r="B10" s="31">
        <f t="shared" si="0"/>
        <v>2.5000000000000001E-4</v>
      </c>
      <c r="C10" s="31">
        <v>15</v>
      </c>
      <c r="D10" s="45">
        <v>1139</v>
      </c>
      <c r="E10" s="46">
        <f t="shared" si="1"/>
        <v>1.139E-6</v>
      </c>
      <c r="F10">
        <v>300</v>
      </c>
      <c r="G10">
        <v>30</v>
      </c>
      <c r="H10">
        <f t="shared" si="2"/>
        <v>0.3</v>
      </c>
      <c r="I10">
        <f t="shared" si="4"/>
        <v>1.0671981474579404</v>
      </c>
      <c r="J10" s="33">
        <f t="shared" si="5"/>
        <v>281088.18633659539</v>
      </c>
      <c r="K10">
        <f t="shared" si="6"/>
        <v>1.9849429028583082E-2</v>
      </c>
      <c r="L10">
        <v>10</v>
      </c>
      <c r="M10" s="41">
        <f t="shared" si="3"/>
        <v>7.5435791849516307E-2</v>
      </c>
    </row>
    <row r="11" spans="1:13" x14ac:dyDescent="0.25">
      <c r="A11" s="31" t="s">
        <v>38</v>
      </c>
      <c r="B11" s="31">
        <f t="shared" si="0"/>
        <v>2.5000000000000001E-4</v>
      </c>
      <c r="C11" s="31">
        <v>15</v>
      </c>
      <c r="D11" s="45">
        <v>1139</v>
      </c>
      <c r="E11" s="46">
        <f t="shared" si="1"/>
        <v>1.139E-6</v>
      </c>
      <c r="F11">
        <v>300</v>
      </c>
      <c r="G11">
        <v>30</v>
      </c>
      <c r="H11">
        <f t="shared" si="2"/>
        <v>0.3</v>
      </c>
      <c r="I11">
        <f t="shared" si="4"/>
        <v>1.0671981474020702</v>
      </c>
      <c r="J11" s="33">
        <f t="shared" si="5"/>
        <v>281088.18632187974</v>
      </c>
      <c r="K11">
        <f t="shared" si="6"/>
        <v>1.984942902703804E-2</v>
      </c>
      <c r="L11">
        <v>10</v>
      </c>
      <c r="M11" s="41">
        <f t="shared" si="3"/>
        <v>7.5435791845567063E-2</v>
      </c>
    </row>
    <row r="12" spans="1:13" x14ac:dyDescent="0.25">
      <c r="A12" s="31" t="s">
        <v>38</v>
      </c>
      <c r="B12" s="31">
        <f t="shared" si="0"/>
        <v>2.5000000000000001E-4</v>
      </c>
      <c r="C12" s="31">
        <v>15</v>
      </c>
      <c r="D12" s="45">
        <v>1139</v>
      </c>
      <c r="E12" s="46">
        <f t="shared" si="1"/>
        <v>1.139E-6</v>
      </c>
      <c r="F12">
        <v>300</v>
      </c>
      <c r="G12">
        <v>30</v>
      </c>
      <c r="H12">
        <f t="shared" si="2"/>
        <v>0.3</v>
      </c>
      <c r="I12">
        <f t="shared" si="4"/>
        <v>1.0671981474028267</v>
      </c>
      <c r="J12" s="33">
        <f t="shared" si="5"/>
        <v>281088.18632207904</v>
      </c>
      <c r="K12">
        <f t="shared" si="6"/>
        <v>1.9849429027087348E-2</v>
      </c>
      <c r="L12">
        <v>10</v>
      </c>
      <c r="M12" s="41">
        <f t="shared" si="3"/>
        <v>7.5435791845620548E-2</v>
      </c>
    </row>
    <row r="13" spans="1:13" x14ac:dyDescent="0.25">
      <c r="A13" s="31" t="s">
        <v>38</v>
      </c>
      <c r="B13" s="31">
        <f t="shared" si="0"/>
        <v>2.5000000000000001E-4</v>
      </c>
      <c r="C13" s="31">
        <v>15</v>
      </c>
      <c r="D13" s="45">
        <v>1139</v>
      </c>
      <c r="E13" s="46">
        <f t="shared" si="1"/>
        <v>1.139E-6</v>
      </c>
      <c r="F13">
        <v>300</v>
      </c>
      <c r="G13">
        <v>30</v>
      </c>
      <c r="H13">
        <f t="shared" si="2"/>
        <v>0.3</v>
      </c>
      <c r="I13">
        <f t="shared" si="4"/>
        <v>1.0671981474028125</v>
      </c>
      <c r="J13" s="33">
        <f t="shared" si="5"/>
        <v>281088.18632207526</v>
      </c>
      <c r="K13">
        <f t="shared" si="6"/>
        <v>1.9849429027086682E-2</v>
      </c>
      <c r="L13">
        <v>10</v>
      </c>
      <c r="M13" s="41">
        <f>(I13*PI()*(H13^2))/4</f>
        <v>7.5435791845619535E-2</v>
      </c>
    </row>
    <row r="14" spans="1:13" x14ac:dyDescent="0.25">
      <c r="A14" s="31" t="s">
        <v>38</v>
      </c>
      <c r="B14" s="31">
        <f t="shared" si="0"/>
        <v>2.5000000000000001E-4</v>
      </c>
      <c r="C14" s="31">
        <v>15</v>
      </c>
      <c r="D14" s="45">
        <v>1139</v>
      </c>
      <c r="E14" s="46">
        <f t="shared" si="1"/>
        <v>1.139E-6</v>
      </c>
      <c r="F14">
        <v>300</v>
      </c>
      <c r="G14">
        <v>30</v>
      </c>
      <c r="H14">
        <f t="shared" si="2"/>
        <v>0.3</v>
      </c>
      <c r="I14">
        <f t="shared" si="4"/>
        <v>1.0671981474028127</v>
      </c>
      <c r="J14" s="33">
        <f t="shared" si="5"/>
        <v>281088.18632207531</v>
      </c>
      <c r="K14">
        <f t="shared" si="6"/>
        <v>1.9849429027086685E-2</v>
      </c>
      <c r="L14">
        <v>10</v>
      </c>
      <c r="M14" s="41">
        <f t="shared" ref="M14:M20" si="7">(I14*PI()*(H14^2))/4</f>
        <v>7.5435791845619563E-2</v>
      </c>
    </row>
    <row r="15" spans="1:13" x14ac:dyDescent="0.25">
      <c r="A15" s="31" t="s">
        <v>38</v>
      </c>
      <c r="B15" s="31">
        <f t="shared" si="0"/>
        <v>2.5000000000000001E-4</v>
      </c>
      <c r="C15" s="31">
        <v>15</v>
      </c>
      <c r="D15" s="45">
        <v>1139</v>
      </c>
      <c r="E15" s="46">
        <f t="shared" si="1"/>
        <v>1.139E-6</v>
      </c>
      <c r="F15">
        <v>300</v>
      </c>
      <c r="G15">
        <v>30</v>
      </c>
      <c r="H15">
        <f t="shared" si="2"/>
        <v>0.3</v>
      </c>
      <c r="I15">
        <f t="shared" si="4"/>
        <v>1.0671981474028127</v>
      </c>
      <c r="J15" s="33">
        <f t="shared" si="5"/>
        <v>281088.18632207531</v>
      </c>
      <c r="K15">
        <f t="shared" si="6"/>
        <v>1.9849429027086685E-2</v>
      </c>
      <c r="L15">
        <v>10</v>
      </c>
      <c r="M15" s="41">
        <f t="shared" si="7"/>
        <v>7.5435791845619563E-2</v>
      </c>
    </row>
    <row r="16" spans="1:13" x14ac:dyDescent="0.25">
      <c r="A16" s="31" t="s">
        <v>38</v>
      </c>
      <c r="B16" s="31">
        <f t="shared" si="0"/>
        <v>2.5000000000000001E-4</v>
      </c>
      <c r="C16" s="31">
        <v>15</v>
      </c>
      <c r="D16" s="45">
        <v>1139</v>
      </c>
      <c r="E16" s="46">
        <f t="shared" si="1"/>
        <v>1.139E-6</v>
      </c>
      <c r="F16">
        <v>300</v>
      </c>
      <c r="G16">
        <v>30</v>
      </c>
      <c r="H16">
        <f t="shared" si="2"/>
        <v>0.3</v>
      </c>
      <c r="I16">
        <f t="shared" si="4"/>
        <v>1.0671981474028127</v>
      </c>
      <c r="J16" s="33">
        <f t="shared" si="5"/>
        <v>281088.18632207531</v>
      </c>
      <c r="K16">
        <f t="shared" si="6"/>
        <v>1.9849429027086685E-2</v>
      </c>
      <c r="L16">
        <v>10</v>
      </c>
      <c r="M16" s="41">
        <f t="shared" si="7"/>
        <v>7.5435791845619563E-2</v>
      </c>
    </row>
    <row r="17" spans="1:13" x14ac:dyDescent="0.25">
      <c r="A17" s="31" t="s">
        <v>38</v>
      </c>
      <c r="B17" s="31">
        <f t="shared" si="0"/>
        <v>2.5000000000000001E-4</v>
      </c>
      <c r="C17" s="31">
        <v>15</v>
      </c>
      <c r="D17" s="45">
        <v>1139</v>
      </c>
      <c r="E17" s="46">
        <f t="shared" si="1"/>
        <v>1.139E-6</v>
      </c>
      <c r="F17">
        <v>300</v>
      </c>
      <c r="G17">
        <v>30</v>
      </c>
      <c r="H17">
        <f t="shared" si="2"/>
        <v>0.3</v>
      </c>
      <c r="I17">
        <f t="shared" si="4"/>
        <v>1.0671981474028127</v>
      </c>
      <c r="J17" s="33">
        <f t="shared" si="5"/>
        <v>281088.18632207531</v>
      </c>
      <c r="K17">
        <f t="shared" si="6"/>
        <v>1.9849429027086685E-2</v>
      </c>
      <c r="L17">
        <v>10</v>
      </c>
      <c r="M17" s="41">
        <f t="shared" si="7"/>
        <v>7.5435791845619563E-2</v>
      </c>
    </row>
    <row r="18" spans="1:13" x14ac:dyDescent="0.25">
      <c r="A18" s="31" t="s">
        <v>38</v>
      </c>
      <c r="B18" s="31">
        <f t="shared" si="0"/>
        <v>2.5000000000000001E-4</v>
      </c>
      <c r="C18" s="31">
        <v>15</v>
      </c>
      <c r="D18" s="45">
        <v>1139</v>
      </c>
      <c r="E18" s="46">
        <f t="shared" si="1"/>
        <v>1.139E-6</v>
      </c>
      <c r="F18">
        <v>300</v>
      </c>
      <c r="G18">
        <v>30</v>
      </c>
      <c r="H18">
        <f t="shared" si="2"/>
        <v>0.3</v>
      </c>
      <c r="I18">
        <f t="shared" si="4"/>
        <v>1.0671981474028127</v>
      </c>
      <c r="J18" s="33">
        <f t="shared" si="5"/>
        <v>281088.18632207531</v>
      </c>
      <c r="K18">
        <f t="shared" si="6"/>
        <v>1.9849429027086685E-2</v>
      </c>
      <c r="L18">
        <v>10</v>
      </c>
      <c r="M18" s="44">
        <f t="shared" si="7"/>
        <v>7.5435791845619563E-2</v>
      </c>
    </row>
    <row r="19" spans="1:13" x14ac:dyDescent="0.25">
      <c r="A19" s="31" t="s">
        <v>38</v>
      </c>
      <c r="B19" s="31">
        <f t="shared" si="0"/>
        <v>2.5000000000000001E-4</v>
      </c>
      <c r="C19" s="31">
        <v>15</v>
      </c>
      <c r="D19" s="45">
        <v>1139</v>
      </c>
      <c r="E19" s="46">
        <f t="shared" si="1"/>
        <v>1.139E-6</v>
      </c>
      <c r="F19">
        <v>300</v>
      </c>
      <c r="G19">
        <v>30</v>
      </c>
      <c r="H19">
        <f t="shared" si="2"/>
        <v>0.3</v>
      </c>
      <c r="I19">
        <f t="shared" si="4"/>
        <v>1.0671981474028127</v>
      </c>
      <c r="J19" s="33">
        <f t="shared" si="5"/>
        <v>281088.18632207531</v>
      </c>
      <c r="K19">
        <f t="shared" si="6"/>
        <v>1.9849429027086685E-2</v>
      </c>
      <c r="L19">
        <v>10</v>
      </c>
      <c r="M19" s="44">
        <f t="shared" si="7"/>
        <v>7.5435791845619563E-2</v>
      </c>
    </row>
    <row r="20" spans="1:13" x14ac:dyDescent="0.25">
      <c r="A20" s="31" t="s">
        <v>38</v>
      </c>
      <c r="B20" s="31">
        <f t="shared" si="0"/>
        <v>2.5000000000000001E-4</v>
      </c>
      <c r="C20" s="31">
        <v>15</v>
      </c>
      <c r="D20" s="45">
        <v>1139</v>
      </c>
      <c r="E20" s="46">
        <f t="shared" si="1"/>
        <v>1.139E-6</v>
      </c>
      <c r="F20">
        <v>300</v>
      </c>
      <c r="G20">
        <v>30</v>
      </c>
      <c r="H20">
        <f t="shared" si="2"/>
        <v>0.3</v>
      </c>
      <c r="I20">
        <f t="shared" si="4"/>
        <v>1.0671981474028127</v>
      </c>
      <c r="J20" s="33">
        <f t="shared" si="5"/>
        <v>281088.18632207531</v>
      </c>
      <c r="K20">
        <f>IF(J19&lt;=2000,64/J19,IF(J19&gt;=4000,(-1.8*LOG(((B20/(3.7*H19))^1.11)+(6.9/(J19))))^-2,"TRANSICION"))</f>
        <v>1.9849429027086685E-2</v>
      </c>
      <c r="L20">
        <v>10</v>
      </c>
      <c r="M20" s="44">
        <f t="shared" si="7"/>
        <v>7.5435791845619563E-2</v>
      </c>
    </row>
    <row r="21" spans="1:13" x14ac:dyDescent="0.25">
      <c r="A21" s="31"/>
      <c r="B21" s="31"/>
      <c r="C21" s="31"/>
      <c r="D21" s="31"/>
      <c r="E21" s="38"/>
      <c r="J21" s="32"/>
    </row>
    <row r="22" spans="1:13" ht="15.75" x14ac:dyDescent="0.25">
      <c r="A22" s="43" t="s">
        <v>57</v>
      </c>
      <c r="I22" s="39"/>
    </row>
    <row r="23" spans="1:13" x14ac:dyDescent="0.25">
      <c r="A23" t="s">
        <v>21</v>
      </c>
      <c r="B23" t="s">
        <v>19</v>
      </c>
      <c r="C23" t="s">
        <v>52</v>
      </c>
      <c r="D23" t="s">
        <v>53</v>
      </c>
      <c r="E23" t="s">
        <v>54</v>
      </c>
      <c r="F23" t="s">
        <v>27</v>
      </c>
      <c r="G23" t="s">
        <v>65</v>
      </c>
      <c r="H23" t="s">
        <v>16</v>
      </c>
      <c r="I23" t="s">
        <v>58</v>
      </c>
      <c r="J23" t="s">
        <v>59</v>
      </c>
      <c r="K23" t="s">
        <v>66</v>
      </c>
      <c r="L23" t="s">
        <v>67</v>
      </c>
      <c r="M23" s="30" t="s">
        <v>8</v>
      </c>
    </row>
    <row r="24" spans="1:13" x14ac:dyDescent="0.25">
      <c r="A24" s="31" t="s">
        <v>38</v>
      </c>
      <c r="B24" s="78">
        <f>IF(A24="PVC",(0.0015/1000),IF(A24="hierro dúctil",(0.25/1000)))</f>
        <v>2.5000000000000001E-4</v>
      </c>
      <c r="C24" s="31">
        <v>15</v>
      </c>
      <c r="D24" s="78">
        <f>IF(C24=15,1.139,IF(C24=10,1.306))</f>
        <v>1.139</v>
      </c>
      <c r="E24" s="46">
        <f>1.139*(10^-6)</f>
        <v>1.139E-6</v>
      </c>
      <c r="F24" s="30">
        <v>150</v>
      </c>
      <c r="G24" s="30">
        <v>20</v>
      </c>
      <c r="H24" s="30">
        <f>G24/100</f>
        <v>0.2</v>
      </c>
      <c r="I24">
        <f t="shared" ref="I24:I34" si="8">(H6/H24)^4</f>
        <v>5.0624999999999964</v>
      </c>
      <c r="J24">
        <f>SQRT(I24*(I6^2))</f>
        <v>2.4240080251448326</v>
      </c>
      <c r="K24" s="47">
        <f>(J24*H24)/E24</f>
        <v>425637.93242227088</v>
      </c>
      <c r="L24" s="30">
        <v>2.1000000000000001E-2</v>
      </c>
      <c r="M24" s="40">
        <f>(J24*PI()*(H24^2))/4</f>
        <v>7.6152458040377097E-2</v>
      </c>
    </row>
    <row r="25" spans="1:13" x14ac:dyDescent="0.25">
      <c r="A25" s="31" t="s">
        <v>38</v>
      </c>
      <c r="B25" s="31">
        <f t="shared" ref="B25:B31" si="9">IF(A25="PVC",(0.0015/1000),IF(A25="hierro dúctil",(0.25/1000)))</f>
        <v>2.5000000000000001E-4</v>
      </c>
      <c r="C25" s="31">
        <v>15</v>
      </c>
      <c r="D25" s="31">
        <f t="shared" ref="D25:D31" si="10">IF(C25=15,1.139,IF(C25=10,1.306))</f>
        <v>1.139</v>
      </c>
      <c r="E25" s="46">
        <f t="shared" ref="E25:E38" si="11">1.139*(10^-6)</f>
        <v>1.139E-6</v>
      </c>
      <c r="F25">
        <v>150</v>
      </c>
      <c r="G25">
        <v>20</v>
      </c>
      <c r="H25">
        <f t="shared" ref="H25:H38" si="12">G25/100</f>
        <v>0.2</v>
      </c>
      <c r="I25">
        <f t="shared" si="8"/>
        <v>5.0624999999999964</v>
      </c>
      <c r="J25">
        <f t="shared" ref="J25:J34" si="13">SQRT(I25*(I7^2))</f>
        <v>2.4012401010597517</v>
      </c>
      <c r="K25" s="47">
        <f t="shared" ref="K25:K31" si="14">(J25*H25)/E25</f>
        <v>421640.05286387209</v>
      </c>
      <c r="L25">
        <f>IF(K24&lt;=2000,64/K24,IF(K24&gt;=4000,((1/(-2*LOG10((2.51/(K24*SQRT(L24)))+(B24/(3.7*H24))))^2)),"TRANSICION"))</f>
        <v>2.1350390010429598E-2</v>
      </c>
      <c r="M25" s="40">
        <f t="shared" ref="M25:M30" si="15">(J25*PI()*(H25^2))/4</f>
        <v>7.5437182609945294E-2</v>
      </c>
    </row>
    <row r="26" spans="1:13" x14ac:dyDescent="0.25">
      <c r="A26" s="31" t="s">
        <v>38</v>
      </c>
      <c r="B26" s="31">
        <f t="shared" si="9"/>
        <v>2.5000000000000001E-4</v>
      </c>
      <c r="C26" s="31">
        <v>15</v>
      </c>
      <c r="D26" s="31">
        <f t="shared" si="10"/>
        <v>1.139</v>
      </c>
      <c r="E26" s="46">
        <f t="shared" si="11"/>
        <v>1.139E-6</v>
      </c>
      <c r="F26">
        <v>150</v>
      </c>
      <c r="G26">
        <v>20</v>
      </c>
      <c r="H26">
        <f t="shared" si="12"/>
        <v>0.2</v>
      </c>
      <c r="I26">
        <f t="shared" si="8"/>
        <v>5.0624999999999964</v>
      </c>
      <c r="J26">
        <f t="shared" si="13"/>
        <v>2.4011969232502159</v>
      </c>
      <c r="K26" s="47">
        <f t="shared" si="14"/>
        <v>421632.47115894925</v>
      </c>
      <c r="L26">
        <f t="shared" ref="L26:L31" si="16">IF(K25&lt;=2000,64/K25,IF(K25&gt;=4000,((1/(-2*LOG10((2.51/(K25*SQRT(L25)))+(B25/(3.7*H25))))^2)),"TRANSICION"))</f>
        <v>2.1351068113532112E-2</v>
      </c>
      <c r="M26" s="40">
        <f t="shared" si="15"/>
        <v>7.5435826139052947E-2</v>
      </c>
    </row>
    <row r="27" spans="1:13" x14ac:dyDescent="0.25">
      <c r="A27" s="31" t="s">
        <v>38</v>
      </c>
      <c r="B27" s="31">
        <f t="shared" si="9"/>
        <v>2.5000000000000001E-4</v>
      </c>
      <c r="C27" s="31">
        <v>15</v>
      </c>
      <c r="D27" s="31">
        <f t="shared" si="10"/>
        <v>1.139</v>
      </c>
      <c r="E27" s="46">
        <f t="shared" si="11"/>
        <v>1.139E-6</v>
      </c>
      <c r="F27">
        <v>150</v>
      </c>
      <c r="G27">
        <v>20</v>
      </c>
      <c r="H27">
        <f t="shared" si="12"/>
        <v>0.2</v>
      </c>
      <c r="I27">
        <f t="shared" si="8"/>
        <v>5.0624999999999964</v>
      </c>
      <c r="J27">
        <f t="shared" si="13"/>
        <v>2.401195827841148</v>
      </c>
      <c r="K27" s="47">
        <f t="shared" si="14"/>
        <v>421632.27881319547</v>
      </c>
      <c r="L27">
        <f t="shared" si="16"/>
        <v>2.1351069339228944E-2</v>
      </c>
      <c r="M27" s="40">
        <f t="shared" si="15"/>
        <v>7.5435791725762133E-2</v>
      </c>
    </row>
    <row r="28" spans="1:13" x14ac:dyDescent="0.25">
      <c r="A28" s="31" t="s">
        <v>38</v>
      </c>
      <c r="B28" s="31">
        <f t="shared" si="9"/>
        <v>2.5000000000000001E-4</v>
      </c>
      <c r="C28" s="31">
        <v>15</v>
      </c>
      <c r="D28" s="31">
        <f t="shared" si="10"/>
        <v>1.139</v>
      </c>
      <c r="E28" s="46">
        <f t="shared" si="11"/>
        <v>1.139E-6</v>
      </c>
      <c r="F28">
        <v>150</v>
      </c>
      <c r="G28">
        <v>20</v>
      </c>
      <c r="H28">
        <f t="shared" si="12"/>
        <v>0.2</v>
      </c>
      <c r="I28">
        <f t="shared" si="8"/>
        <v>5.0624999999999964</v>
      </c>
      <c r="J28">
        <f t="shared" si="13"/>
        <v>2.401195831780365</v>
      </c>
      <c r="K28" s="47">
        <f t="shared" si="14"/>
        <v>421632.27950489288</v>
      </c>
      <c r="L28">
        <f t="shared" si="16"/>
        <v>2.1351069588558154E-2</v>
      </c>
      <c r="M28" s="40">
        <f t="shared" si="15"/>
        <v>7.5435791849516293E-2</v>
      </c>
    </row>
    <row r="29" spans="1:13" x14ac:dyDescent="0.25">
      <c r="A29" s="31" t="s">
        <v>38</v>
      </c>
      <c r="B29" s="31">
        <f t="shared" si="9"/>
        <v>2.5000000000000001E-4</v>
      </c>
      <c r="C29" s="31">
        <v>15</v>
      </c>
      <c r="D29" s="31">
        <f t="shared" si="10"/>
        <v>1.139</v>
      </c>
      <c r="E29" s="46">
        <f t="shared" si="11"/>
        <v>1.139E-6</v>
      </c>
      <c r="F29">
        <v>150</v>
      </c>
      <c r="G29">
        <v>20</v>
      </c>
      <c r="H29">
        <f t="shared" si="12"/>
        <v>0.2</v>
      </c>
      <c r="I29">
        <f t="shared" si="8"/>
        <v>5.0624999999999964</v>
      </c>
      <c r="J29">
        <f t="shared" si="13"/>
        <v>2.4011958316546571</v>
      </c>
      <c r="K29" s="47">
        <f t="shared" si="14"/>
        <v>421632.27948281955</v>
      </c>
      <c r="L29">
        <f t="shared" si="16"/>
        <v>2.1351069584195907E-2</v>
      </c>
      <c r="M29" s="40">
        <f t="shared" si="15"/>
        <v>7.5435791845567063E-2</v>
      </c>
    </row>
    <row r="30" spans="1:13" x14ac:dyDescent="0.25">
      <c r="A30" s="31" t="s">
        <v>38</v>
      </c>
      <c r="B30" s="31">
        <f t="shared" si="9"/>
        <v>2.5000000000000001E-4</v>
      </c>
      <c r="C30" s="31">
        <v>15</v>
      </c>
      <c r="D30" s="31">
        <f t="shared" si="10"/>
        <v>1.139</v>
      </c>
      <c r="E30" s="46">
        <f t="shared" si="11"/>
        <v>1.139E-6</v>
      </c>
      <c r="F30">
        <v>150</v>
      </c>
      <c r="G30">
        <v>20</v>
      </c>
      <c r="H30">
        <f t="shared" si="12"/>
        <v>0.2</v>
      </c>
      <c r="I30">
        <f t="shared" si="8"/>
        <v>5.0624999999999964</v>
      </c>
      <c r="J30">
        <f t="shared" si="13"/>
        <v>2.4011958316563589</v>
      </c>
      <c r="K30" s="47">
        <f t="shared" si="14"/>
        <v>421632.27948311833</v>
      </c>
      <c r="L30">
        <f t="shared" si="16"/>
        <v>2.1351069584286019E-2</v>
      </c>
      <c r="M30" s="40">
        <f t="shared" si="15"/>
        <v>7.543579184562052E-2</v>
      </c>
    </row>
    <row r="31" spans="1:13" x14ac:dyDescent="0.25">
      <c r="A31" s="31" t="s">
        <v>38</v>
      </c>
      <c r="B31" s="31">
        <f t="shared" si="9"/>
        <v>2.5000000000000001E-4</v>
      </c>
      <c r="C31" s="31">
        <v>15</v>
      </c>
      <c r="D31" s="31">
        <f t="shared" si="10"/>
        <v>1.139</v>
      </c>
      <c r="E31" s="46">
        <f t="shared" si="11"/>
        <v>1.139E-6</v>
      </c>
      <c r="F31">
        <v>150</v>
      </c>
      <c r="G31">
        <v>20</v>
      </c>
      <c r="H31">
        <f t="shared" si="12"/>
        <v>0.2</v>
      </c>
      <c r="I31">
        <f t="shared" si="8"/>
        <v>5.0624999999999964</v>
      </c>
      <c r="J31">
        <f t="shared" si="13"/>
        <v>2.4011958316563273</v>
      </c>
      <c r="K31" s="47">
        <f t="shared" si="14"/>
        <v>421632.2794831128</v>
      </c>
      <c r="L31">
        <f t="shared" si="16"/>
        <v>2.1351069584284378E-2</v>
      </c>
      <c r="M31" s="40">
        <f>(J31*PI()*(H31^2))/4</f>
        <v>7.5435791845619535E-2</v>
      </c>
    </row>
    <row r="32" spans="1:13" x14ac:dyDescent="0.25">
      <c r="A32" s="31" t="s">
        <v>38</v>
      </c>
      <c r="B32" s="31">
        <f t="shared" ref="B32:B33" si="17">IF(A32="PVC",(0.0015/1000),IF(A32="hierro dúctil",(0.25/1000)))</f>
        <v>2.5000000000000001E-4</v>
      </c>
      <c r="C32" s="31">
        <v>15</v>
      </c>
      <c r="D32" s="42">
        <v>1139</v>
      </c>
      <c r="E32" s="46">
        <f t="shared" si="11"/>
        <v>1.139E-6</v>
      </c>
      <c r="F32">
        <v>150</v>
      </c>
      <c r="G32">
        <v>20</v>
      </c>
      <c r="H32">
        <f t="shared" si="12"/>
        <v>0.2</v>
      </c>
      <c r="I32">
        <f t="shared" si="8"/>
        <v>5.0624999999999964</v>
      </c>
      <c r="J32">
        <f t="shared" si="13"/>
        <v>2.4011958316563278</v>
      </c>
      <c r="K32" s="47">
        <f t="shared" ref="K32:K36" si="18">(J32*H32)/E32</f>
        <v>421632.27948311286</v>
      </c>
      <c r="L32">
        <f t="shared" ref="L32:L33" si="19">IF(K31&lt;=2000,64/K31,IF(K31&gt;=4000,((1/(-2*LOG10((2.51/(K31*SQRT(L31)))+(B31/(3.7*H31))))^2)),"TRANSICION"))</f>
        <v>2.1351069584284406E-2</v>
      </c>
      <c r="M32" s="40">
        <f t="shared" ref="M32:M33" si="20">(J32*PI()*(H32^2))/4</f>
        <v>7.5435791845619535E-2</v>
      </c>
    </row>
    <row r="33" spans="1:13" x14ac:dyDescent="0.25">
      <c r="A33" s="31" t="s">
        <v>38</v>
      </c>
      <c r="B33" s="31">
        <f t="shared" si="17"/>
        <v>2.5000000000000001E-4</v>
      </c>
      <c r="C33" s="31">
        <v>15</v>
      </c>
      <c r="D33" s="42">
        <v>1139</v>
      </c>
      <c r="E33" s="46">
        <f t="shared" si="11"/>
        <v>1.139E-6</v>
      </c>
      <c r="F33">
        <v>150</v>
      </c>
      <c r="G33">
        <v>20</v>
      </c>
      <c r="H33">
        <f t="shared" si="12"/>
        <v>0.2</v>
      </c>
      <c r="I33">
        <f t="shared" si="8"/>
        <v>5.0624999999999964</v>
      </c>
      <c r="J33">
        <f t="shared" si="13"/>
        <v>2.4011958316563278</v>
      </c>
      <c r="K33" s="47">
        <f t="shared" si="18"/>
        <v>421632.27948311286</v>
      </c>
      <c r="L33">
        <f t="shared" si="19"/>
        <v>2.1351069584284406E-2</v>
      </c>
      <c r="M33" s="40">
        <f t="shared" si="20"/>
        <v>7.5435791845619535E-2</v>
      </c>
    </row>
    <row r="34" spans="1:13" x14ac:dyDescent="0.25">
      <c r="A34" s="31" t="s">
        <v>38</v>
      </c>
      <c r="B34" s="31">
        <f t="shared" ref="B34:B36" si="21">IF(A34="PVC",(0.0015/1000),IF(A34="hierro dúctil",(0.25/1000)))</f>
        <v>2.5000000000000001E-4</v>
      </c>
      <c r="C34" s="31">
        <v>15</v>
      </c>
      <c r="D34" s="42">
        <v>1139</v>
      </c>
      <c r="E34" s="46">
        <f t="shared" si="11"/>
        <v>1.139E-6</v>
      </c>
      <c r="F34">
        <v>150</v>
      </c>
      <c r="G34">
        <v>20</v>
      </c>
      <c r="H34">
        <f t="shared" si="12"/>
        <v>0.2</v>
      </c>
      <c r="I34">
        <f t="shared" si="8"/>
        <v>5.0624999999999964</v>
      </c>
      <c r="J34">
        <f t="shared" si="13"/>
        <v>2.4011958316563278</v>
      </c>
      <c r="K34" s="47">
        <f t="shared" si="18"/>
        <v>421632.27948311286</v>
      </c>
      <c r="L34">
        <f t="shared" ref="L34:L36" si="22">IF(K33&lt;=2000,64/K33,IF(K33&gt;=4000,((1/(-2*LOG10((2.51/(K33*SQRT(L33)))+(B33/(3.7*H33))))^2)),"TRANSICION"))</f>
        <v>2.1351069584284406E-2</v>
      </c>
      <c r="M34" s="40">
        <f t="shared" ref="M34:M36" si="23">(J34*PI()*(H34^2))/4</f>
        <v>7.5435791845619535E-2</v>
      </c>
    </row>
    <row r="35" spans="1:13" x14ac:dyDescent="0.25">
      <c r="A35" s="31" t="s">
        <v>38</v>
      </c>
      <c r="B35" s="31">
        <f t="shared" si="21"/>
        <v>2.5000000000000001E-4</v>
      </c>
      <c r="C35" s="31">
        <v>15</v>
      </c>
      <c r="D35" s="42">
        <v>1139</v>
      </c>
      <c r="E35" s="46">
        <f t="shared" si="11"/>
        <v>1.139E-6</v>
      </c>
      <c r="F35">
        <v>150</v>
      </c>
      <c r="G35">
        <v>20</v>
      </c>
      <c r="H35">
        <f t="shared" si="12"/>
        <v>0.2</v>
      </c>
      <c r="I35">
        <f t="shared" ref="I35:I38" si="24">(H17/H35)^4</f>
        <v>5.0624999999999964</v>
      </c>
      <c r="J35">
        <f t="shared" ref="J35:J38" si="25">SQRT(I35*(I17^2))</f>
        <v>2.4011958316563278</v>
      </c>
      <c r="K35" s="47">
        <f t="shared" si="18"/>
        <v>421632.27948311286</v>
      </c>
      <c r="L35">
        <f t="shared" si="22"/>
        <v>2.1351069584284406E-2</v>
      </c>
      <c r="M35" s="40">
        <f t="shared" si="23"/>
        <v>7.5435791845619535E-2</v>
      </c>
    </row>
    <row r="36" spans="1:13" x14ac:dyDescent="0.25">
      <c r="A36" s="31" t="s">
        <v>38</v>
      </c>
      <c r="B36" s="31">
        <f t="shared" si="21"/>
        <v>2.5000000000000001E-4</v>
      </c>
      <c r="C36" s="31">
        <v>15</v>
      </c>
      <c r="D36" s="42">
        <v>1139</v>
      </c>
      <c r="E36" s="46">
        <f t="shared" si="11"/>
        <v>1.139E-6</v>
      </c>
      <c r="F36">
        <v>150</v>
      </c>
      <c r="G36">
        <v>20</v>
      </c>
      <c r="H36">
        <f t="shared" si="12"/>
        <v>0.2</v>
      </c>
      <c r="I36">
        <f t="shared" si="24"/>
        <v>5.0624999999999964</v>
      </c>
      <c r="J36">
        <f t="shared" si="25"/>
        <v>2.4011958316563278</v>
      </c>
      <c r="K36" s="47">
        <f t="shared" si="18"/>
        <v>421632.27948311286</v>
      </c>
      <c r="L36">
        <f t="shared" si="22"/>
        <v>2.1351069584284406E-2</v>
      </c>
      <c r="M36" s="44">
        <f t="shared" si="23"/>
        <v>7.5435791845619535E-2</v>
      </c>
    </row>
    <row r="37" spans="1:13" x14ac:dyDescent="0.25">
      <c r="A37" s="31" t="s">
        <v>38</v>
      </c>
      <c r="B37" s="31">
        <f t="shared" ref="B37:B38" si="26">IF(A37="PVC",(0.0015/1000),IF(A37="hierro dúctil",(0.25/1000)))</f>
        <v>2.5000000000000001E-4</v>
      </c>
      <c r="C37" s="31">
        <v>15</v>
      </c>
      <c r="D37" s="42">
        <v>1139</v>
      </c>
      <c r="E37" s="46">
        <f t="shared" si="11"/>
        <v>1.139E-6</v>
      </c>
      <c r="F37">
        <v>150</v>
      </c>
      <c r="G37">
        <v>20</v>
      </c>
      <c r="H37">
        <f t="shared" si="12"/>
        <v>0.2</v>
      </c>
      <c r="I37">
        <f t="shared" si="24"/>
        <v>5.0624999999999964</v>
      </c>
      <c r="J37">
        <f t="shared" si="25"/>
        <v>2.4011958316563278</v>
      </c>
      <c r="K37" s="47">
        <f t="shared" ref="K37:K38" si="27">(J37*H37)/E37</f>
        <v>421632.27948311286</v>
      </c>
      <c r="L37">
        <f t="shared" ref="L37:L38" si="28">IF(K36&lt;=2000,64/K36,IF(K36&gt;=4000,((1/(-2*LOG10((2.51/(K36*SQRT(L36)))+(B36/(3.7*H36))))^2)),"TRANSICION"))</f>
        <v>2.1351069584284406E-2</v>
      </c>
      <c r="M37" s="44">
        <f t="shared" ref="M37:M38" si="29">(J37*PI()*(H37^2))/4</f>
        <v>7.5435791845619535E-2</v>
      </c>
    </row>
    <row r="38" spans="1:13" x14ac:dyDescent="0.25">
      <c r="A38" s="31" t="s">
        <v>38</v>
      </c>
      <c r="B38" s="31">
        <f t="shared" si="26"/>
        <v>2.5000000000000001E-4</v>
      </c>
      <c r="C38" s="31">
        <v>15</v>
      </c>
      <c r="D38" s="42">
        <v>1139</v>
      </c>
      <c r="E38" s="46">
        <f t="shared" si="11"/>
        <v>1.139E-6</v>
      </c>
      <c r="F38">
        <v>150</v>
      </c>
      <c r="G38">
        <v>20</v>
      </c>
      <c r="H38">
        <f t="shared" si="12"/>
        <v>0.2</v>
      </c>
      <c r="I38">
        <f t="shared" si="24"/>
        <v>5.0624999999999964</v>
      </c>
      <c r="J38">
        <f t="shared" si="25"/>
        <v>2.4011958316563278</v>
      </c>
      <c r="K38" s="47">
        <f t="shared" si="27"/>
        <v>421632.27948311286</v>
      </c>
      <c r="L38">
        <f t="shared" si="28"/>
        <v>2.1351069584284406E-2</v>
      </c>
      <c r="M38" s="44">
        <f t="shared" si="29"/>
        <v>7.5435791845619535E-2</v>
      </c>
    </row>
    <row r="39" spans="1:13" x14ac:dyDescent="0.25">
      <c r="A39" s="31"/>
      <c r="B39" s="31"/>
      <c r="C39" s="31"/>
      <c r="D39" s="42"/>
      <c r="E39" s="37"/>
      <c r="K39" s="32"/>
      <c r="M39" s="40"/>
    </row>
    <row r="40" spans="1:13" x14ac:dyDescent="0.25">
      <c r="A40" s="31"/>
      <c r="B40" s="31"/>
      <c r="C40" s="31"/>
      <c r="D40" s="42"/>
      <c r="E40" s="37"/>
      <c r="K40" s="32"/>
      <c r="M40" s="40"/>
    </row>
    <row r="41" spans="1:13" x14ac:dyDescent="0.25">
      <c r="A41" s="43" t="s">
        <v>60</v>
      </c>
    </row>
    <row r="42" spans="1:13" x14ac:dyDescent="0.25">
      <c r="A42" t="s">
        <v>21</v>
      </c>
      <c r="B42" t="s">
        <v>19</v>
      </c>
      <c r="C42" t="s">
        <v>52</v>
      </c>
      <c r="D42" t="s">
        <v>53</v>
      </c>
      <c r="E42" t="s">
        <v>54</v>
      </c>
      <c r="F42" t="s">
        <v>27</v>
      </c>
      <c r="G42" t="s">
        <v>65</v>
      </c>
      <c r="H42" t="s">
        <v>16</v>
      </c>
      <c r="I42" t="s">
        <v>61</v>
      </c>
      <c r="J42" t="s">
        <v>62</v>
      </c>
      <c r="K42" t="s">
        <v>13</v>
      </c>
      <c r="L42" t="s">
        <v>24</v>
      </c>
      <c r="M42" s="30" t="s">
        <v>8</v>
      </c>
    </row>
    <row r="43" spans="1:13" x14ac:dyDescent="0.25">
      <c r="A43" s="31" t="s">
        <v>38</v>
      </c>
      <c r="B43" s="78">
        <f>IF(A43="PVC",(0.0015/1000),IF(A43="hierro dúctil",(0.25/1000)))</f>
        <v>2.5000000000000001E-4</v>
      </c>
      <c r="C43" s="31">
        <v>15</v>
      </c>
      <c r="D43" s="80">
        <v>1139</v>
      </c>
      <c r="E43" s="37">
        <f>D43*10^-9</f>
        <v>1.139E-6</v>
      </c>
      <c r="F43" s="30">
        <v>250</v>
      </c>
      <c r="G43" s="30">
        <v>25</v>
      </c>
      <c r="H43" s="30">
        <f>G43/100</f>
        <v>0.25</v>
      </c>
      <c r="I43">
        <f t="shared" ref="I43:I55" si="30">(H6/H43)^4</f>
        <v>2.0735999999999999</v>
      </c>
      <c r="J43">
        <f t="shared" ref="J43:J55" si="31">SQRT(I43*(I6^2))</f>
        <v>1.5513651360926934</v>
      </c>
      <c r="K43" s="47">
        <f>(J43*H43)/E43</f>
        <v>340510.34593781683</v>
      </c>
      <c r="L43" s="30">
        <v>0.02</v>
      </c>
      <c r="M43" s="40">
        <f>(J43*PI()*(H43^2))/4</f>
        <v>7.6152458040377111E-2</v>
      </c>
    </row>
    <row r="44" spans="1:13" x14ac:dyDescent="0.25">
      <c r="A44" s="31" t="s">
        <v>38</v>
      </c>
      <c r="B44" s="31">
        <f t="shared" ref="B44:B50" si="32">IF(A44="PVC",(0.0015/1000),IF(A44="hierro dúctil",(0.25/1000)))</f>
        <v>2.5000000000000001E-4</v>
      </c>
      <c r="C44" s="31">
        <v>15</v>
      </c>
      <c r="D44" s="42">
        <v>1139</v>
      </c>
      <c r="E44" s="37">
        <f t="shared" ref="E44:E57" si="33">D44*10^-9</f>
        <v>1.139E-6</v>
      </c>
      <c r="F44">
        <v>250</v>
      </c>
      <c r="G44">
        <v>25</v>
      </c>
      <c r="H44">
        <f t="shared" ref="H44:H57" si="34">G44/100</f>
        <v>0.25</v>
      </c>
      <c r="I44">
        <f t="shared" si="30"/>
        <v>2.0735999999999999</v>
      </c>
      <c r="J44">
        <f t="shared" si="31"/>
        <v>1.5367936646782416</v>
      </c>
      <c r="K44" s="47">
        <f t="shared" ref="K44:K50" si="35">(J44*H44)/E44</f>
        <v>337312.04229109781</v>
      </c>
      <c r="L44">
        <f>IF(K43&lt;=2000,64/K43,IF(K43&gt;=4000,((1/(-2*LOG10((2.51/(K43*SQRT(L43)))+(B43/(3.7*H43))))^2)),"TRANSICION"))</f>
        <v>2.0506309523865521E-2</v>
      </c>
      <c r="M44" s="40">
        <f>(J44*PI()*(H44^2))/4</f>
        <v>7.5437182609945308E-2</v>
      </c>
    </row>
    <row r="45" spans="1:13" x14ac:dyDescent="0.25">
      <c r="A45" s="31" t="s">
        <v>38</v>
      </c>
      <c r="B45" s="31">
        <f t="shared" si="32"/>
        <v>2.5000000000000001E-4</v>
      </c>
      <c r="C45" s="31">
        <v>15</v>
      </c>
      <c r="D45" s="42">
        <v>1139</v>
      </c>
      <c r="E45" s="37">
        <f t="shared" si="33"/>
        <v>1.139E-6</v>
      </c>
      <c r="F45">
        <v>250</v>
      </c>
      <c r="G45">
        <v>25</v>
      </c>
      <c r="H45">
        <f t="shared" si="34"/>
        <v>0.25</v>
      </c>
      <c r="I45">
        <f t="shared" si="30"/>
        <v>2.0735999999999999</v>
      </c>
      <c r="J45">
        <f t="shared" si="31"/>
        <v>1.5367660308801387</v>
      </c>
      <c r="K45" s="47">
        <f t="shared" si="35"/>
        <v>337305.97692715953</v>
      </c>
      <c r="L45">
        <f t="shared" ref="L45:L49" si="36">IF(K44&lt;=2000,64/K44,IF(K44&gt;=4000,((1/(-2*LOG10((2.51/(K44*SQRT(L44)))+(B44/(3.7*H44))))^2)),"TRANSICION"))</f>
        <v>2.0503786724495945E-2</v>
      </c>
      <c r="M45" s="40">
        <f>(J45*PI()*(H45^2))/4</f>
        <v>7.5435826139052947E-2</v>
      </c>
    </row>
    <row r="46" spans="1:13" x14ac:dyDescent="0.25">
      <c r="A46" s="31" t="s">
        <v>38</v>
      </c>
      <c r="B46" s="31">
        <f t="shared" si="32"/>
        <v>2.5000000000000001E-4</v>
      </c>
      <c r="C46" s="31">
        <v>15</v>
      </c>
      <c r="D46" s="42">
        <v>1139</v>
      </c>
      <c r="E46" s="37">
        <f t="shared" si="33"/>
        <v>1.139E-6</v>
      </c>
      <c r="F46">
        <v>250</v>
      </c>
      <c r="G46">
        <v>25</v>
      </c>
      <c r="H46">
        <f t="shared" si="34"/>
        <v>0.25</v>
      </c>
      <c r="I46">
        <f t="shared" si="30"/>
        <v>2.0735999999999999</v>
      </c>
      <c r="J46">
        <f t="shared" si="31"/>
        <v>1.5367653298183355</v>
      </c>
      <c r="K46" s="47">
        <f t="shared" si="35"/>
        <v>337305.82305055653</v>
      </c>
      <c r="L46">
        <f t="shared" si="36"/>
        <v>2.050385211206136E-2</v>
      </c>
      <c r="M46" s="40">
        <f t="shared" ref="M46:M50" si="37">(J46*PI()*(H46^2))/4</f>
        <v>7.5435791725762161E-2</v>
      </c>
    </row>
    <row r="47" spans="1:13" x14ac:dyDescent="0.25">
      <c r="A47" s="31" t="s">
        <v>38</v>
      </c>
      <c r="B47" s="31">
        <f t="shared" si="32"/>
        <v>2.5000000000000001E-4</v>
      </c>
      <c r="C47" s="31">
        <v>15</v>
      </c>
      <c r="D47" s="42">
        <v>1139</v>
      </c>
      <c r="E47" s="37">
        <f t="shared" si="33"/>
        <v>1.139E-6</v>
      </c>
      <c r="F47">
        <v>250</v>
      </c>
      <c r="G47">
        <v>25</v>
      </c>
      <c r="H47">
        <f t="shared" si="34"/>
        <v>0.25</v>
      </c>
      <c r="I47">
        <f t="shared" si="30"/>
        <v>2.0735999999999999</v>
      </c>
      <c r="J47">
        <f t="shared" si="31"/>
        <v>1.5367653323394341</v>
      </c>
      <c r="K47" s="47">
        <f t="shared" si="35"/>
        <v>337305.82360391441</v>
      </c>
      <c r="L47">
        <f t="shared" si="36"/>
        <v>2.0503851175748544E-2</v>
      </c>
      <c r="M47" s="40">
        <f t="shared" si="37"/>
        <v>7.5435791849516307E-2</v>
      </c>
    </row>
    <row r="48" spans="1:13" x14ac:dyDescent="0.25">
      <c r="A48" s="31" t="s">
        <v>38</v>
      </c>
      <c r="B48" s="31">
        <f t="shared" si="32"/>
        <v>2.5000000000000001E-4</v>
      </c>
      <c r="C48" s="31">
        <v>15</v>
      </c>
      <c r="D48" s="42">
        <v>1139</v>
      </c>
      <c r="E48" s="37">
        <f t="shared" si="33"/>
        <v>1.139E-6</v>
      </c>
      <c r="F48">
        <v>250</v>
      </c>
      <c r="G48">
        <v>25</v>
      </c>
      <c r="H48">
        <f t="shared" si="34"/>
        <v>0.25</v>
      </c>
      <c r="I48">
        <f t="shared" si="30"/>
        <v>2.0735999999999999</v>
      </c>
      <c r="J48">
        <f t="shared" si="31"/>
        <v>1.5367653322589812</v>
      </c>
      <c r="K48" s="47">
        <f t="shared" si="35"/>
        <v>337305.82358625572</v>
      </c>
      <c r="L48">
        <f t="shared" si="36"/>
        <v>2.0503851193179719E-2</v>
      </c>
      <c r="M48" s="40">
        <f t="shared" si="37"/>
        <v>7.5435791845567077E-2</v>
      </c>
    </row>
    <row r="49" spans="1:13" x14ac:dyDescent="0.25">
      <c r="A49" s="31" t="s">
        <v>38</v>
      </c>
      <c r="B49" s="31">
        <f t="shared" si="32"/>
        <v>2.5000000000000001E-4</v>
      </c>
      <c r="C49" s="31">
        <v>15</v>
      </c>
      <c r="D49" s="42">
        <v>1139</v>
      </c>
      <c r="E49" s="37">
        <f t="shared" si="33"/>
        <v>1.139E-6</v>
      </c>
      <c r="F49">
        <v>250</v>
      </c>
      <c r="G49">
        <v>25</v>
      </c>
      <c r="H49">
        <f t="shared" si="34"/>
        <v>0.25</v>
      </c>
      <c r="I49">
        <f t="shared" si="30"/>
        <v>2.0735999999999999</v>
      </c>
      <c r="J49">
        <f t="shared" si="31"/>
        <v>1.5367653322600703</v>
      </c>
      <c r="K49" s="47">
        <f t="shared" si="35"/>
        <v>337305.82358649478</v>
      </c>
      <c r="L49">
        <f t="shared" si="36"/>
        <v>2.0503851192873145E-2</v>
      </c>
      <c r="M49" s="40">
        <f t="shared" si="37"/>
        <v>7.5435791845620534E-2</v>
      </c>
    </row>
    <row r="50" spans="1:13" x14ac:dyDescent="0.25">
      <c r="A50" s="31" t="s">
        <v>38</v>
      </c>
      <c r="B50" s="31">
        <f t="shared" si="32"/>
        <v>2.5000000000000001E-4</v>
      </c>
      <c r="C50" s="31">
        <v>15</v>
      </c>
      <c r="D50" s="42">
        <v>1139</v>
      </c>
      <c r="E50" s="37">
        <f t="shared" si="33"/>
        <v>1.139E-6</v>
      </c>
      <c r="F50">
        <v>250</v>
      </c>
      <c r="G50">
        <v>25</v>
      </c>
      <c r="H50">
        <f t="shared" si="34"/>
        <v>0.25</v>
      </c>
      <c r="I50">
        <f t="shared" si="30"/>
        <v>2.0735999999999999</v>
      </c>
      <c r="J50">
        <f t="shared" si="31"/>
        <v>1.5367653322600499</v>
      </c>
      <c r="K50" s="47">
        <f t="shared" si="35"/>
        <v>337305.8235864903</v>
      </c>
      <c r="L50">
        <f>IF(K49&lt;=2000,64/K49,IF(K49&gt;=4000,((1/(-2*LOG10((2.51/(K49*SQRT(L49)))+(B49/(3.7*H49))))^2)),"TRANSICION"))</f>
        <v>2.0503851192878716E-2</v>
      </c>
      <c r="M50" s="40">
        <f t="shared" si="37"/>
        <v>7.5435791845619535E-2</v>
      </c>
    </row>
    <row r="51" spans="1:13" x14ac:dyDescent="0.25">
      <c r="A51" s="31" t="s">
        <v>38</v>
      </c>
      <c r="B51" s="31">
        <f t="shared" ref="B51" si="38">IF(A51="PVC",(0.0015/1000),IF(A51="hierro dúctil",(0.25/1000)))</f>
        <v>2.5000000000000001E-4</v>
      </c>
      <c r="C51" s="31">
        <v>15</v>
      </c>
      <c r="D51" s="42">
        <v>1139</v>
      </c>
      <c r="E51" s="37">
        <f t="shared" si="33"/>
        <v>1.139E-6</v>
      </c>
      <c r="F51">
        <v>250</v>
      </c>
      <c r="G51">
        <v>25</v>
      </c>
      <c r="H51">
        <f t="shared" si="34"/>
        <v>0.25</v>
      </c>
      <c r="I51">
        <f t="shared" si="30"/>
        <v>2.0735999999999999</v>
      </c>
      <c r="J51">
        <f t="shared" si="31"/>
        <v>1.5367653322600503</v>
      </c>
      <c r="K51" s="47">
        <f t="shared" ref="K51" si="39">(J51*H51)/E51</f>
        <v>337305.82358649041</v>
      </c>
      <c r="L51">
        <f>IF(K50&lt;=2000,64/K50,IF(K50&gt;=4000,((1/(-2*LOG10((2.51/(K50*SQRT(L50)))+(B50/(3.7*H50))))^2)),"TRANSICION"))</f>
        <v>2.0503851192878612E-2</v>
      </c>
      <c r="M51" s="40">
        <f t="shared" ref="M51" si="40">(J51*PI()*(H51^2))/4</f>
        <v>7.5435791845619549E-2</v>
      </c>
    </row>
    <row r="52" spans="1:13" x14ac:dyDescent="0.25">
      <c r="A52" s="31" t="s">
        <v>38</v>
      </c>
      <c r="B52" s="31">
        <f t="shared" ref="B52" si="41">IF(A52="PVC",(0.0015/1000),IF(A52="hierro dúctil",(0.25/1000)))</f>
        <v>2.5000000000000001E-4</v>
      </c>
      <c r="C52" s="31">
        <v>15</v>
      </c>
      <c r="D52" s="42">
        <v>1139</v>
      </c>
      <c r="E52" s="37">
        <f t="shared" si="33"/>
        <v>1.139E-6</v>
      </c>
      <c r="F52">
        <v>250</v>
      </c>
      <c r="G52">
        <v>25</v>
      </c>
      <c r="H52">
        <f t="shared" si="34"/>
        <v>0.25</v>
      </c>
      <c r="I52">
        <f t="shared" si="30"/>
        <v>2.0735999999999999</v>
      </c>
      <c r="J52">
        <f t="shared" si="31"/>
        <v>1.5367653322600503</v>
      </c>
      <c r="K52" s="47">
        <f t="shared" ref="K52" si="42">(J52*H52)/E52</f>
        <v>337305.82358649041</v>
      </c>
      <c r="L52">
        <f>IF(K51&lt;=2000,64/K51,IF(K51&gt;=4000,((1/(-2*LOG10((2.51/(K51*SQRT(L51)))+(B51/(3.7*H51))))^2)),"TRANSICION"))</f>
        <v>2.0503851192878616E-2</v>
      </c>
      <c r="M52" s="40">
        <f t="shared" ref="M52" si="43">(J52*PI()*(H52^2))/4</f>
        <v>7.5435791845619549E-2</v>
      </c>
    </row>
    <row r="53" spans="1:13" x14ac:dyDescent="0.25">
      <c r="A53" s="31" t="s">
        <v>38</v>
      </c>
      <c r="B53" s="31">
        <f t="shared" ref="B53:B55" si="44">IF(A53="PVC",(0.0015/1000),IF(A53="hierro dúctil",(0.25/1000)))</f>
        <v>2.5000000000000001E-4</v>
      </c>
      <c r="C53" s="31">
        <v>15</v>
      </c>
      <c r="D53" s="42">
        <v>1139</v>
      </c>
      <c r="E53" s="37">
        <f t="shared" si="33"/>
        <v>1.139E-6</v>
      </c>
      <c r="F53">
        <v>250</v>
      </c>
      <c r="G53">
        <v>25</v>
      </c>
      <c r="H53">
        <f t="shared" si="34"/>
        <v>0.25</v>
      </c>
      <c r="I53">
        <f t="shared" si="30"/>
        <v>2.0735999999999999</v>
      </c>
      <c r="J53">
        <f t="shared" si="31"/>
        <v>1.5367653322600503</v>
      </c>
      <c r="K53" s="47">
        <f t="shared" ref="K53:K55" si="45">(J53*H53)/E53</f>
        <v>337305.82358649041</v>
      </c>
      <c r="L53">
        <f t="shared" ref="L53:L55" si="46">IF(K52&lt;=2000,64/K52,IF(K52&gt;=4000,((1/(-2*LOG10((2.51/(K52*SQRT(L52)))+(B52/(3.7*H52))))^2)),"TRANSICION"))</f>
        <v>2.0503851192878616E-2</v>
      </c>
      <c r="M53" s="40">
        <f t="shared" ref="M53:M55" si="47">(J53*PI()*(H53^2))/4</f>
        <v>7.5435791845619549E-2</v>
      </c>
    </row>
    <row r="54" spans="1:13" x14ac:dyDescent="0.25">
      <c r="A54" s="31" t="s">
        <v>38</v>
      </c>
      <c r="B54" s="31">
        <f t="shared" si="44"/>
        <v>2.5000000000000001E-4</v>
      </c>
      <c r="C54" s="31">
        <v>15</v>
      </c>
      <c r="D54" s="42">
        <v>1139</v>
      </c>
      <c r="E54" s="37">
        <f t="shared" si="33"/>
        <v>1.139E-6</v>
      </c>
      <c r="F54">
        <v>250</v>
      </c>
      <c r="G54">
        <v>25</v>
      </c>
      <c r="H54">
        <f t="shared" si="34"/>
        <v>0.25</v>
      </c>
      <c r="I54">
        <f t="shared" si="30"/>
        <v>2.0735999999999999</v>
      </c>
      <c r="J54">
        <f t="shared" si="31"/>
        <v>1.5367653322600503</v>
      </c>
      <c r="K54" s="47">
        <f t="shared" si="45"/>
        <v>337305.82358649041</v>
      </c>
      <c r="L54">
        <f t="shared" si="46"/>
        <v>2.0503851192878616E-2</v>
      </c>
      <c r="M54" s="40">
        <f t="shared" si="47"/>
        <v>7.5435791845619549E-2</v>
      </c>
    </row>
    <row r="55" spans="1:13" x14ac:dyDescent="0.25">
      <c r="A55" s="31" t="s">
        <v>38</v>
      </c>
      <c r="B55" s="31">
        <f t="shared" si="44"/>
        <v>2.5000000000000001E-4</v>
      </c>
      <c r="C55" s="31">
        <v>15</v>
      </c>
      <c r="D55" s="42">
        <v>1139</v>
      </c>
      <c r="E55" s="37">
        <f t="shared" si="33"/>
        <v>1.139E-6</v>
      </c>
      <c r="F55">
        <v>250</v>
      </c>
      <c r="G55">
        <v>25</v>
      </c>
      <c r="H55">
        <f t="shared" si="34"/>
        <v>0.25</v>
      </c>
      <c r="I55">
        <f t="shared" si="30"/>
        <v>2.0735999999999999</v>
      </c>
      <c r="J55">
        <f t="shared" si="31"/>
        <v>1.5367653322600503</v>
      </c>
      <c r="K55" s="47">
        <f t="shared" si="45"/>
        <v>337305.82358649041</v>
      </c>
      <c r="L55">
        <f t="shared" si="46"/>
        <v>2.0503851192878616E-2</v>
      </c>
      <c r="M55" s="44">
        <f t="shared" si="47"/>
        <v>7.5435791845619549E-2</v>
      </c>
    </row>
    <row r="56" spans="1:13" x14ac:dyDescent="0.25">
      <c r="A56" s="31" t="s">
        <v>38</v>
      </c>
      <c r="B56" s="31">
        <f t="shared" ref="B56:B57" si="48">IF(A56="PVC",(0.0015/1000),IF(A56="hierro dúctil",(0.25/1000)))</f>
        <v>2.5000000000000001E-4</v>
      </c>
      <c r="C56" s="31">
        <v>15</v>
      </c>
      <c r="D56" s="42">
        <v>1139</v>
      </c>
      <c r="E56" s="37">
        <f t="shared" si="33"/>
        <v>1.139E-6</v>
      </c>
      <c r="F56">
        <v>250</v>
      </c>
      <c r="G56">
        <v>25</v>
      </c>
      <c r="H56">
        <f t="shared" si="34"/>
        <v>0.25</v>
      </c>
      <c r="I56">
        <f t="shared" ref="I56:I57" si="49">(H19/H56)^4</f>
        <v>2.0735999999999999</v>
      </c>
      <c r="J56">
        <f t="shared" ref="J56:J57" si="50">SQRT(I56*(I19^2))</f>
        <v>1.5367653322600503</v>
      </c>
      <c r="K56" s="47">
        <f t="shared" ref="K56:K57" si="51">(J56*H56)/E56</f>
        <v>337305.82358649041</v>
      </c>
      <c r="L56">
        <f t="shared" ref="L56:L57" si="52">IF(K55&lt;=2000,64/K55,IF(K55&gt;=4000,((1/(-2*LOG10((2.51/(K55*SQRT(L55)))+(B55/(3.7*H55))))^2)),"TRANSICION"))</f>
        <v>2.0503851192878616E-2</v>
      </c>
      <c r="M56" s="44">
        <f t="shared" ref="M56:M57" si="53">(J56*PI()*(H56^2))/4</f>
        <v>7.5435791845619549E-2</v>
      </c>
    </row>
    <row r="57" spans="1:13" x14ac:dyDescent="0.25">
      <c r="A57" s="31" t="s">
        <v>38</v>
      </c>
      <c r="B57" s="31">
        <f t="shared" si="48"/>
        <v>2.5000000000000001E-4</v>
      </c>
      <c r="C57" s="31">
        <v>15</v>
      </c>
      <c r="D57" s="42">
        <v>1139</v>
      </c>
      <c r="E57" s="37">
        <f t="shared" si="33"/>
        <v>1.139E-6</v>
      </c>
      <c r="F57">
        <v>250</v>
      </c>
      <c r="G57">
        <v>25</v>
      </c>
      <c r="H57">
        <f t="shared" si="34"/>
        <v>0.25</v>
      </c>
      <c r="I57">
        <f t="shared" si="49"/>
        <v>2.0735999999999999</v>
      </c>
      <c r="J57">
        <f t="shared" si="50"/>
        <v>1.5367653322600503</v>
      </c>
      <c r="K57" s="47">
        <f t="shared" si="51"/>
        <v>337305.82358649041</v>
      </c>
      <c r="L57">
        <f t="shared" si="52"/>
        <v>2.0503851192878616E-2</v>
      </c>
      <c r="M57" s="44">
        <f t="shared" si="53"/>
        <v>7.5435791845619549E-2</v>
      </c>
    </row>
    <row r="58" spans="1:13" x14ac:dyDescent="0.25">
      <c r="C58" s="31"/>
    </row>
    <row r="59" spans="1:13" x14ac:dyDescent="0.25">
      <c r="C59" s="31"/>
    </row>
    <row r="60" spans="1:13" x14ac:dyDescent="0.25">
      <c r="C60" s="31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zoomScale="80" zoomScaleNormal="80" workbookViewId="0">
      <selection activeCell="H20" sqref="H17:H20"/>
    </sheetView>
  </sheetViews>
  <sheetFormatPr baseColWidth="10" defaultRowHeight="15" x14ac:dyDescent="0.25"/>
  <cols>
    <col min="4" max="4" width="17" customWidth="1"/>
    <col min="5" max="5" width="13.140625" bestFit="1" customWidth="1"/>
    <col min="6" max="6" width="12.7109375" bestFit="1" customWidth="1"/>
  </cols>
  <sheetData>
    <row r="2" spans="1:9" x14ac:dyDescent="0.25">
      <c r="A2" s="94" t="s">
        <v>70</v>
      </c>
      <c r="B2" s="94"/>
      <c r="C2" s="94"/>
      <c r="D2" s="94"/>
      <c r="E2" s="94"/>
      <c r="F2" s="94"/>
      <c r="G2" s="94"/>
      <c r="H2" s="94"/>
      <c r="I2" s="94"/>
    </row>
    <row r="3" spans="1:9" x14ac:dyDescent="0.25">
      <c r="A3" t="s">
        <v>25</v>
      </c>
      <c r="B3" t="s">
        <v>26</v>
      </c>
      <c r="C3" t="s">
        <v>27</v>
      </c>
      <c r="D3" t="s">
        <v>41</v>
      </c>
      <c r="E3" s="30" t="s">
        <v>23</v>
      </c>
      <c r="F3" t="s">
        <v>13</v>
      </c>
      <c r="G3" t="s">
        <v>24</v>
      </c>
      <c r="H3" t="s">
        <v>40</v>
      </c>
      <c r="I3" t="s">
        <v>42</v>
      </c>
    </row>
    <row r="4" spans="1:9" x14ac:dyDescent="0.25">
      <c r="A4" s="30">
        <v>200</v>
      </c>
      <c r="B4">
        <f t="shared" ref="B4:B11" si="0">A4/1000</f>
        <v>0.2</v>
      </c>
      <c r="C4" s="30">
        <v>400</v>
      </c>
      <c r="D4" s="30">
        <f t="shared" ref="D4:D11" si="1">0.893*10^-6</f>
        <v>8.9299999999999996E-7</v>
      </c>
      <c r="E4" s="30">
        <f t="shared" ref="E4:E11" si="2">((G4*C4*8*B4^2)/(H4*(PI()^2)*9.81))^(1/5)</f>
        <v>0.21321806240584229</v>
      </c>
      <c r="F4">
        <f t="shared" ref="F4:F11" si="3">(((4*B4)/(PI()*E4^2))*E4)/D4</f>
        <v>1337410.2981609143</v>
      </c>
      <c r="G4" s="30">
        <v>0.02</v>
      </c>
      <c r="H4" s="30">
        <v>60</v>
      </c>
      <c r="I4" s="30">
        <f t="shared" ref="I4:I11" si="4">0.046/1000</f>
        <v>4.6E-5</v>
      </c>
    </row>
    <row r="5" spans="1:9" x14ac:dyDescent="0.25">
      <c r="A5">
        <v>200</v>
      </c>
      <c r="B5">
        <f t="shared" si="0"/>
        <v>0.2</v>
      </c>
      <c r="C5">
        <v>400</v>
      </c>
      <c r="D5">
        <f t="shared" si="1"/>
        <v>8.9299999999999996E-7</v>
      </c>
      <c r="E5" s="30">
        <f t="shared" si="2"/>
        <v>0.20784835090052697</v>
      </c>
      <c r="F5">
        <f t="shared" si="3"/>
        <v>1371961.9673670789</v>
      </c>
      <c r="G5">
        <f>IF(F4&lt;=2000,64/F4,IF(F4&gt;=4000,(-1.8*LOG((I4/(3.7*E4)^1.11)+(6.9/F4)))^-2,"TRANSICIÓN"))</f>
        <v>1.7605280501927015E-2</v>
      </c>
      <c r="H5">
        <v>60</v>
      </c>
      <c r="I5">
        <f t="shared" si="4"/>
        <v>4.6E-5</v>
      </c>
    </row>
    <row r="6" spans="1:9" x14ac:dyDescent="0.25">
      <c r="A6">
        <v>200</v>
      </c>
      <c r="B6">
        <f t="shared" si="0"/>
        <v>0.2</v>
      </c>
      <c r="C6">
        <v>400</v>
      </c>
      <c r="D6">
        <f t="shared" si="1"/>
        <v>8.9299999999999996E-7</v>
      </c>
      <c r="E6" s="30">
        <f t="shared" si="2"/>
        <v>0.20805693549366716</v>
      </c>
      <c r="F6">
        <f t="shared" si="3"/>
        <v>1370586.5259376066</v>
      </c>
      <c r="G6">
        <f t="shared" ref="G6:G11" si="5">IF(F5&lt;=2000,64/F5,IF(F5&gt;=4000,(-1.8*LOG((I5/(3.7*E5)^1.11)+(6.9/F5)))^-2,"TRANSICIÓN"))</f>
        <v>1.7693796192591791E-2</v>
      </c>
      <c r="H6">
        <v>60</v>
      </c>
      <c r="I6">
        <f t="shared" si="4"/>
        <v>4.6E-5</v>
      </c>
    </row>
    <row r="7" spans="1:9" x14ac:dyDescent="0.25">
      <c r="A7">
        <v>200</v>
      </c>
      <c r="B7">
        <f t="shared" si="0"/>
        <v>0.2</v>
      </c>
      <c r="C7">
        <v>400</v>
      </c>
      <c r="D7">
        <f t="shared" si="1"/>
        <v>8.9299999999999996E-7</v>
      </c>
      <c r="E7" s="30">
        <f t="shared" si="2"/>
        <v>0.20804868557196138</v>
      </c>
      <c r="F7">
        <f t="shared" si="3"/>
        <v>1370640.8749064496</v>
      </c>
      <c r="G7">
        <f t="shared" si="5"/>
        <v>1.7690288478294416E-2</v>
      </c>
      <c r="H7">
        <v>60</v>
      </c>
      <c r="I7">
        <f t="shared" si="4"/>
        <v>4.6E-5</v>
      </c>
    </row>
    <row r="8" spans="1:9" x14ac:dyDescent="0.25">
      <c r="A8">
        <v>200</v>
      </c>
      <c r="B8">
        <f t="shared" si="0"/>
        <v>0.2</v>
      </c>
      <c r="C8">
        <v>400</v>
      </c>
      <c r="D8">
        <f t="shared" si="1"/>
        <v>8.9299999999999996E-7</v>
      </c>
      <c r="E8" s="30">
        <f t="shared" si="2"/>
        <v>0.2080490116419349</v>
      </c>
      <c r="F8">
        <f t="shared" si="3"/>
        <v>1370638.7267355442</v>
      </c>
      <c r="G8">
        <f t="shared" si="5"/>
        <v>1.7690427106663069E-2</v>
      </c>
      <c r="H8">
        <v>60</v>
      </c>
      <c r="I8">
        <f t="shared" si="4"/>
        <v>4.6E-5</v>
      </c>
    </row>
    <row r="9" spans="1:9" x14ac:dyDescent="0.25">
      <c r="A9">
        <v>200</v>
      </c>
      <c r="B9">
        <f t="shared" si="0"/>
        <v>0.2</v>
      </c>
      <c r="C9">
        <v>400</v>
      </c>
      <c r="D9">
        <f t="shared" si="1"/>
        <v>8.9299999999999996E-7</v>
      </c>
      <c r="E9" s="30">
        <f t="shared" si="2"/>
        <v>0.20804899875398281</v>
      </c>
      <c r="F9">
        <f t="shared" si="3"/>
        <v>1370638.8116421108</v>
      </c>
      <c r="G9">
        <f t="shared" si="5"/>
        <v>1.7690421627344827E-2</v>
      </c>
      <c r="H9">
        <v>60</v>
      </c>
      <c r="I9">
        <f t="shared" si="4"/>
        <v>4.6E-5</v>
      </c>
    </row>
    <row r="10" spans="1:9" x14ac:dyDescent="0.25">
      <c r="A10">
        <v>200</v>
      </c>
      <c r="B10">
        <f t="shared" si="0"/>
        <v>0.2</v>
      </c>
      <c r="C10">
        <v>400</v>
      </c>
      <c r="D10">
        <f t="shared" si="1"/>
        <v>8.9299999999999996E-7</v>
      </c>
      <c r="E10" s="30">
        <f t="shared" si="2"/>
        <v>0.20804899926338</v>
      </c>
      <c r="F10">
        <f t="shared" si="3"/>
        <v>1370638.8082861728</v>
      </c>
      <c r="G10">
        <f t="shared" si="5"/>
        <v>1.7690421843915227E-2</v>
      </c>
      <c r="H10">
        <v>60</v>
      </c>
      <c r="I10">
        <f t="shared" si="4"/>
        <v>4.6E-5</v>
      </c>
    </row>
    <row r="11" spans="1:9" x14ac:dyDescent="0.25">
      <c r="A11">
        <v>200</v>
      </c>
      <c r="B11">
        <f t="shared" si="0"/>
        <v>0.2</v>
      </c>
      <c r="C11">
        <v>400</v>
      </c>
      <c r="D11">
        <f t="shared" si="1"/>
        <v>8.9299999999999996E-7</v>
      </c>
      <c r="E11" s="30">
        <f t="shared" si="2"/>
        <v>0.20804899924324605</v>
      </c>
      <c r="F11">
        <f t="shared" si="3"/>
        <v>1370638.8084188164</v>
      </c>
      <c r="G11">
        <f t="shared" si="5"/>
        <v>1.7690421835355269E-2</v>
      </c>
      <c r="H11">
        <v>60</v>
      </c>
      <c r="I11">
        <f t="shared" si="4"/>
        <v>4.6E-5</v>
      </c>
    </row>
    <row r="14" spans="1:9" x14ac:dyDescent="0.25">
      <c r="A14" s="94" t="s">
        <v>71</v>
      </c>
      <c r="B14" s="94"/>
      <c r="C14" s="94"/>
      <c r="D14" s="94"/>
      <c r="E14" s="94"/>
      <c r="F14" s="94"/>
      <c r="G14" s="94"/>
      <c r="H14" s="94"/>
      <c r="I14" s="94"/>
    </row>
    <row r="15" spans="1:9" x14ac:dyDescent="0.25">
      <c r="A15" t="s">
        <v>25</v>
      </c>
      <c r="B15" t="s">
        <v>26</v>
      </c>
      <c r="C15" t="s">
        <v>27</v>
      </c>
      <c r="D15" t="s">
        <v>41</v>
      </c>
      <c r="E15" s="30" t="s">
        <v>23</v>
      </c>
      <c r="F15" t="s">
        <v>13</v>
      </c>
      <c r="G15" t="s">
        <v>24</v>
      </c>
      <c r="H15" t="s">
        <v>40</v>
      </c>
      <c r="I15" t="s">
        <v>42</v>
      </c>
    </row>
    <row r="16" spans="1:9" x14ac:dyDescent="0.25">
      <c r="A16" s="30">
        <v>200</v>
      </c>
      <c r="B16">
        <f t="shared" ref="B16:B17" si="6">A16/1000</f>
        <v>0.2</v>
      </c>
      <c r="C16" s="30">
        <v>400</v>
      </c>
      <c r="D16">
        <f t="shared" ref="D16:D18" si="7">0.893*10^-6</f>
        <v>8.9299999999999996E-7</v>
      </c>
      <c r="E16" s="30">
        <v>0.21608452572993328</v>
      </c>
      <c r="F16">
        <f t="shared" ref="F16" si="8">(((4*B16)/(PI()*E16^2))*E16)/D16</f>
        <v>1319668.9186892016</v>
      </c>
      <c r="G16" s="30">
        <v>0.02</v>
      </c>
      <c r="H16" s="30">
        <v>60</v>
      </c>
      <c r="I16" s="30">
        <f t="shared" ref="I16:I17" si="9">0.046/1000</f>
        <v>4.6E-5</v>
      </c>
    </row>
    <row r="17" spans="1:9" x14ac:dyDescent="0.25">
      <c r="A17" s="30">
        <v>200</v>
      </c>
      <c r="B17">
        <f t="shared" si="6"/>
        <v>0.2</v>
      </c>
      <c r="C17" s="30">
        <v>400</v>
      </c>
      <c r="D17">
        <f t="shared" si="7"/>
        <v>8.9299999999999996E-7</v>
      </c>
      <c r="E17" s="50">
        <f>+E16</f>
        <v>0.21608452572993328</v>
      </c>
      <c r="F17">
        <f>(((4*B17)/(PI()*E17^2))*E17)/D17</f>
        <v>1319668.9186892016</v>
      </c>
      <c r="G17">
        <f>IF(F16&lt;=2000,64/F16,IF(F16&gt;=4000,(-1.8*LOG((I16/(3.7*E16)^1.11)+(6.9/F16)))^-2,"TRANSICIÓN"))</f>
        <v>1.7559506889372547E-2</v>
      </c>
      <c r="H17">
        <v>60</v>
      </c>
      <c r="I17">
        <f t="shared" si="9"/>
        <v>4.6E-5</v>
      </c>
    </row>
    <row r="18" spans="1:9" x14ac:dyDescent="0.25">
      <c r="A18" s="30">
        <v>201</v>
      </c>
      <c r="B18">
        <f t="shared" ref="B18" si="10">A18/1000</f>
        <v>0.20100000000000001</v>
      </c>
      <c r="C18" s="30">
        <v>401</v>
      </c>
      <c r="D18">
        <f t="shared" si="7"/>
        <v>8.9299999999999996E-7</v>
      </c>
      <c r="E18" s="81">
        <f>((60*(PI()^2)*(E17^4)*9.81)/(8*(B18^2)))-6.6-(G17*(C18/E17))</f>
        <v>-2.9886692232139467E-8</v>
      </c>
      <c r="F18">
        <f>(((4*B18)/(PI()*E18^2))*E18)/D18</f>
        <v>-9589078321266.332</v>
      </c>
    </row>
    <row r="21" spans="1:9" x14ac:dyDescent="0.25">
      <c r="A21" s="82"/>
      <c r="B21" t="s">
        <v>108</v>
      </c>
    </row>
  </sheetData>
  <mergeCells count="2">
    <mergeCell ref="A2:I2"/>
    <mergeCell ref="A14:I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zoomScale="80" zoomScaleNormal="80" workbookViewId="0">
      <selection activeCell="H22" sqref="H22"/>
    </sheetView>
  </sheetViews>
  <sheetFormatPr baseColWidth="10" defaultColWidth="11.42578125" defaultRowHeight="18.75" x14ac:dyDescent="0.3"/>
  <cols>
    <col min="1" max="1" width="34.42578125" style="52" customWidth="1"/>
    <col min="2" max="2" width="31.140625" style="68" customWidth="1"/>
    <col min="3" max="3" width="25" style="52" customWidth="1"/>
    <col min="4" max="4" width="32.7109375" style="52" customWidth="1"/>
    <col min="5" max="5" width="27.28515625" style="52" customWidth="1"/>
    <col min="6" max="6" width="20.5703125" style="52" customWidth="1"/>
    <col min="7" max="7" width="18.7109375" style="52" customWidth="1"/>
    <col min="8" max="8" width="26.7109375" style="52" customWidth="1"/>
    <col min="9" max="9" width="19.5703125" style="52" customWidth="1"/>
    <col min="10" max="16384" width="11.42578125" style="52"/>
  </cols>
  <sheetData>
    <row r="1" spans="1:10" x14ac:dyDescent="0.3">
      <c r="A1" s="95" t="s">
        <v>75</v>
      </c>
      <c r="B1" s="95"/>
      <c r="C1" s="51" t="s">
        <v>76</v>
      </c>
    </row>
    <row r="2" spans="1:10" x14ac:dyDescent="0.3">
      <c r="A2" s="53" t="s">
        <v>77</v>
      </c>
      <c r="B2" s="83">
        <v>1</v>
      </c>
      <c r="C2" s="54">
        <f>G19+G32+G45</f>
        <v>1</v>
      </c>
    </row>
    <row r="3" spans="1:10" x14ac:dyDescent="0.3">
      <c r="A3" s="53" t="s">
        <v>21</v>
      </c>
      <c r="B3" s="83" t="s">
        <v>78</v>
      </c>
    </row>
    <row r="4" spans="1:10" x14ac:dyDescent="0.3">
      <c r="A4" s="53" t="s">
        <v>79</v>
      </c>
      <c r="B4" s="83">
        <f>0.0015/1000</f>
        <v>1.5E-6</v>
      </c>
    </row>
    <row r="5" spans="1:10" x14ac:dyDescent="0.3">
      <c r="A5" s="53" t="s">
        <v>80</v>
      </c>
      <c r="B5" s="83">
        <v>15</v>
      </c>
    </row>
    <row r="6" spans="1:10" x14ac:dyDescent="0.3">
      <c r="A6" s="53" t="s">
        <v>5</v>
      </c>
      <c r="B6" s="83">
        <f>1.139*10^-6</f>
        <v>1.139E-6</v>
      </c>
    </row>
    <row r="8" spans="1:10" s="58" customFormat="1" x14ac:dyDescent="0.3">
      <c r="A8" s="55" t="s">
        <v>81</v>
      </c>
      <c r="B8" s="56" t="s">
        <v>12</v>
      </c>
      <c r="C8" s="55" t="s">
        <v>23</v>
      </c>
      <c r="D8" s="55" t="s">
        <v>24</v>
      </c>
      <c r="E8" s="55" t="s">
        <v>82</v>
      </c>
      <c r="F8" s="55" t="s">
        <v>83</v>
      </c>
      <c r="G8" s="55" t="s">
        <v>84</v>
      </c>
      <c r="H8" s="55" t="s">
        <v>85</v>
      </c>
      <c r="I8" s="55" t="s">
        <v>13</v>
      </c>
      <c r="J8" s="57"/>
    </row>
    <row r="9" spans="1:10" x14ac:dyDescent="0.3">
      <c r="A9" s="96" t="s">
        <v>86</v>
      </c>
      <c r="B9" s="84">
        <v>80</v>
      </c>
      <c r="C9" s="85">
        <v>0.1016</v>
      </c>
      <c r="D9" s="85">
        <v>1.7999999999999999E-2</v>
      </c>
      <c r="E9" s="61">
        <f>SQRT((C9^5*PI()^2*9.81)/(D9*B9*8))</f>
        <v>9.5387706492241504E-3</v>
      </c>
      <c r="F9" s="53">
        <f>(B$2/(E9+E22+E35))^2</f>
        <v>191.27676601336526</v>
      </c>
      <c r="G9" s="53">
        <f>E9*SQRT(F9)</f>
        <v>0.13192391070805415</v>
      </c>
      <c r="H9" s="53">
        <f>G9/((PI()*(C9^2))/4)</f>
        <v>16.272197982826462</v>
      </c>
      <c r="I9" s="53">
        <f>H9*C9/$B$6</f>
        <v>1451497.203735881</v>
      </c>
    </row>
    <row r="10" spans="1:10" x14ac:dyDescent="0.3">
      <c r="A10" s="97"/>
      <c r="B10" s="59">
        <v>80</v>
      </c>
      <c r="C10" s="60">
        <v>0.1016</v>
      </c>
      <c r="D10" s="62">
        <f>IF(I9&lt;=2000,64/I9,IF(I9&gt;=4000,((1/(-2*LOG10((2.51/(I9*SQRT(D9)))+($B$4/(3.7*C9))))^2)),"TRANSICION"))</f>
        <v>1.0975429066272406E-2</v>
      </c>
      <c r="E10" s="61">
        <f t="shared" ref="E10:E19" si="0">SQRT((C10^5*PI()^2*9.81)/(D10*B10*8))</f>
        <v>1.2215687260803902E-2</v>
      </c>
      <c r="F10" s="53">
        <f t="shared" ref="F10:F19" si="1">(B$2/(E10+E23+E36))^2</f>
        <v>86.771614546925889</v>
      </c>
      <c r="G10" s="53">
        <f t="shared" ref="G10:G19" si="2">E10*SQRT(F10)</f>
        <v>0.11379069364904096</v>
      </c>
      <c r="H10" s="53">
        <f>G10/((PI()*(C10^2))/4)</f>
        <v>14.035550384478588</v>
      </c>
      <c r="I10" s="53">
        <f>H10*C10/$B$6</f>
        <v>1251985.8815303112</v>
      </c>
    </row>
    <row r="11" spans="1:10" x14ac:dyDescent="0.3">
      <c r="A11" s="97"/>
      <c r="B11" s="59">
        <v>80</v>
      </c>
      <c r="C11" s="60">
        <v>0.1016</v>
      </c>
      <c r="D11" s="62">
        <f t="shared" ref="D11:D19" si="3">IF(I10&lt;=2000,64/I10,IF(I10&gt;=4000,((1/(-2*LOG10((2.51/(I10*SQRT(D10)))+($B$4/(3.7*C10))))^2)),"TRANSICION"))</f>
        <v>1.1632542486515976E-2</v>
      </c>
      <c r="E11" s="61">
        <f t="shared" si="0"/>
        <v>1.1865644582309499E-2</v>
      </c>
      <c r="F11" s="53">
        <f t="shared" si="1"/>
        <v>91.820184181502398</v>
      </c>
      <c r="G11" s="53">
        <f t="shared" si="2"/>
        <v>0.1136999870811698</v>
      </c>
      <c r="H11" s="53">
        <f t="shared" ref="H11:H19" si="4">G11/((PI()*(C11^2))/4)</f>
        <v>14.024362153150239</v>
      </c>
      <c r="I11" s="53">
        <f t="shared" ref="I11:I19" si="5">H11*C11/$B$6</f>
        <v>1250987.8795083971</v>
      </c>
    </row>
    <row r="12" spans="1:10" x14ac:dyDescent="0.3">
      <c r="A12" s="97"/>
      <c r="B12" s="59">
        <v>80</v>
      </c>
      <c r="C12" s="60">
        <v>0.1016</v>
      </c>
      <c r="D12" s="62">
        <f t="shared" si="3"/>
        <v>1.1581839000578338E-2</v>
      </c>
      <c r="E12" s="61">
        <f t="shared" si="0"/>
        <v>1.1891589189227475E-2</v>
      </c>
      <c r="F12" s="53">
        <f t="shared" si="1"/>
        <v>91.432349576629406</v>
      </c>
      <c r="G12" s="53">
        <f t="shared" si="2"/>
        <v>0.11370769020206732</v>
      </c>
      <c r="H12" s="53">
        <f t="shared" si="4"/>
        <v>14.025312297120784</v>
      </c>
      <c r="I12" s="53">
        <f t="shared" si="5"/>
        <v>1251072.6333515993</v>
      </c>
    </row>
    <row r="13" spans="1:10" x14ac:dyDescent="0.3">
      <c r="A13" s="97"/>
      <c r="B13" s="59">
        <v>80</v>
      </c>
      <c r="C13" s="60">
        <v>0.1016</v>
      </c>
      <c r="D13" s="62">
        <f t="shared" si="3"/>
        <v>1.1585613854585413E-2</v>
      </c>
      <c r="E13" s="61">
        <f t="shared" si="0"/>
        <v>1.1889651757567676E-2</v>
      </c>
      <c r="F13" s="53">
        <f t="shared" si="1"/>
        <v>91.461232830760565</v>
      </c>
      <c r="G13" s="53">
        <f t="shared" si="2"/>
        <v>0.11370712007496708</v>
      </c>
      <c r="H13" s="53">
        <f t="shared" si="4"/>
        <v>14.025241974606841</v>
      </c>
      <c r="I13" s="53">
        <f t="shared" si="5"/>
        <v>1251066.3605092668</v>
      </c>
    </row>
    <row r="14" spans="1:10" x14ac:dyDescent="0.3">
      <c r="A14" s="97"/>
      <c r="B14" s="59">
        <v>80</v>
      </c>
      <c r="C14" s="60">
        <v>0.1016</v>
      </c>
      <c r="D14" s="62">
        <f t="shared" si="3"/>
        <v>1.1585332065709874E-2</v>
      </c>
      <c r="E14" s="61">
        <f t="shared" si="0"/>
        <v>1.1889796352094957E-2</v>
      </c>
      <c r="F14" s="53">
        <f t="shared" si="1"/>
        <v>91.459076777257948</v>
      </c>
      <c r="G14" s="53">
        <f t="shared" si="2"/>
        <v>0.11370716265332144</v>
      </c>
      <c r="H14" s="53">
        <f t="shared" si="4"/>
        <v>14.025247226447906</v>
      </c>
      <c r="I14" s="53">
        <f t="shared" si="5"/>
        <v>1251066.828979023</v>
      </c>
    </row>
    <row r="15" spans="1:10" x14ac:dyDescent="0.3">
      <c r="A15" s="97"/>
      <c r="B15" s="59">
        <v>80</v>
      </c>
      <c r="C15" s="60">
        <v>0.1016</v>
      </c>
      <c r="D15" s="62">
        <f t="shared" si="3"/>
        <v>1.158535309675549E-2</v>
      </c>
      <c r="E15" s="61">
        <f t="shared" si="0"/>
        <v>1.1889785560237304E-2</v>
      </c>
      <c r="F15" s="53">
        <f t="shared" si="1"/>
        <v>91.459237692551383</v>
      </c>
      <c r="G15" s="53">
        <f t="shared" si="2"/>
        <v>0.11370715947563188</v>
      </c>
      <c r="H15" s="53">
        <f t="shared" si="4"/>
        <v>14.025246834494746</v>
      </c>
      <c r="I15" s="53">
        <f t="shared" si="5"/>
        <v>1251066.7940163882</v>
      </c>
    </row>
    <row r="16" spans="1:10" x14ac:dyDescent="0.3">
      <c r="A16" s="97"/>
      <c r="B16" s="63">
        <v>80</v>
      </c>
      <c r="C16" s="64">
        <v>0.1016</v>
      </c>
      <c r="D16" s="65">
        <f t="shared" si="3"/>
        <v>1.1585351527099956E-2</v>
      </c>
      <c r="E16" s="66">
        <f t="shared" si="0"/>
        <v>1.1889786365688354E-2</v>
      </c>
      <c r="F16" s="67">
        <f t="shared" si="1"/>
        <v>91.459225682613692</v>
      </c>
      <c r="G16" s="67">
        <f t="shared" si="2"/>
        <v>0.11370715971279986</v>
      </c>
      <c r="H16" s="67">
        <f t="shared" si="4"/>
        <v>14.025246863748309</v>
      </c>
      <c r="I16" s="67">
        <f t="shared" si="5"/>
        <v>1251066.7966258368</v>
      </c>
    </row>
    <row r="17" spans="1:9" x14ac:dyDescent="0.3">
      <c r="A17" s="97"/>
      <c r="B17" s="63">
        <v>80</v>
      </c>
      <c r="C17" s="64">
        <v>0.1016</v>
      </c>
      <c r="D17" s="65">
        <f t="shared" si="3"/>
        <v>1.1585351644251323E-2</v>
      </c>
      <c r="E17" s="66">
        <f t="shared" si="0"/>
        <v>1.1889786305573443E-2</v>
      </c>
      <c r="F17" s="67">
        <f t="shared" si="1"/>
        <v>91.459226578976384</v>
      </c>
      <c r="G17" s="67">
        <f t="shared" si="2"/>
        <v>0.11370715969509881</v>
      </c>
      <c r="H17" s="67">
        <f t="shared" si="4"/>
        <v>14.025246861564968</v>
      </c>
      <c r="I17" s="67">
        <f t="shared" si="5"/>
        <v>1251066.7964310804</v>
      </c>
    </row>
    <row r="18" spans="1:9" x14ac:dyDescent="0.3">
      <c r="A18" s="97"/>
      <c r="B18" s="63">
        <v>80</v>
      </c>
      <c r="C18" s="64">
        <v>0.1016</v>
      </c>
      <c r="D18" s="65">
        <f t="shared" si="3"/>
        <v>1.1585351635507724E-2</v>
      </c>
      <c r="E18" s="66">
        <f t="shared" si="0"/>
        <v>1.1889786310060125E-2</v>
      </c>
      <c r="F18" s="67">
        <f t="shared" si="1"/>
        <v>91.459226512076256</v>
      </c>
      <c r="G18" s="67">
        <f t="shared" si="2"/>
        <v>0.11370715969641992</v>
      </c>
      <c r="H18" s="67">
        <f t="shared" si="4"/>
        <v>14.02524686172792</v>
      </c>
      <c r="I18" s="67">
        <f t="shared" si="5"/>
        <v>1251066.7964456161</v>
      </c>
    </row>
    <row r="19" spans="1:9" x14ac:dyDescent="0.3">
      <c r="A19" s="97"/>
      <c r="B19" s="63">
        <v>80</v>
      </c>
      <c r="C19" s="64">
        <v>0.1016</v>
      </c>
      <c r="D19" s="65">
        <f t="shared" si="3"/>
        <v>1.15853516361603E-2</v>
      </c>
      <c r="E19" s="66">
        <f t="shared" si="0"/>
        <v>1.188978630972526E-2</v>
      </c>
      <c r="F19" s="67">
        <f t="shared" si="1"/>
        <v>91.459226517069354</v>
      </c>
      <c r="G19" s="67">
        <f t="shared" si="2"/>
        <v>0.11370715969632132</v>
      </c>
      <c r="H19" s="67">
        <f t="shared" si="4"/>
        <v>14.025246861715758</v>
      </c>
      <c r="I19" s="67">
        <f t="shared" si="5"/>
        <v>1251066.7964445311</v>
      </c>
    </row>
    <row r="20" spans="1:9" x14ac:dyDescent="0.3">
      <c r="E20" s="69"/>
    </row>
    <row r="21" spans="1:9" x14ac:dyDescent="0.3">
      <c r="A21" s="55" t="s">
        <v>81</v>
      </c>
      <c r="B21" s="56" t="s">
        <v>12</v>
      </c>
      <c r="C21" s="55" t="s">
        <v>23</v>
      </c>
      <c r="D21" s="55" t="s">
        <v>24</v>
      </c>
      <c r="E21" s="55" t="s">
        <v>87</v>
      </c>
      <c r="F21" s="55" t="s">
        <v>83</v>
      </c>
      <c r="G21" s="55" t="s">
        <v>88</v>
      </c>
      <c r="H21" s="55" t="s">
        <v>89</v>
      </c>
      <c r="I21" s="55" t="s">
        <v>13</v>
      </c>
    </row>
    <row r="22" spans="1:9" x14ac:dyDescent="0.3">
      <c r="A22" s="96" t="s">
        <v>90</v>
      </c>
      <c r="B22" s="59">
        <v>120</v>
      </c>
      <c r="C22" s="60">
        <v>0.15240000000000001</v>
      </c>
      <c r="D22" s="60">
        <v>1.7999999999999999E-2</v>
      </c>
      <c r="E22" s="61">
        <f>SQRT((C22^5*PI()^2*9.81)/(D22*B22*8))</f>
        <v>2.1462233960754341E-2</v>
      </c>
      <c r="F22" s="53">
        <f>(B$2/(E9+E22+E35))^2</f>
        <v>191.27676601336526</v>
      </c>
      <c r="G22" s="53">
        <f>E22*SQRT(F22)</f>
        <v>0.29682879909312182</v>
      </c>
      <c r="H22" s="53">
        <f>G22/((PI()*(C22^2))/4)</f>
        <v>16.272197982826462</v>
      </c>
      <c r="I22" s="53">
        <f>H22*C22/$B$6</f>
        <v>2177245.8056038218</v>
      </c>
    </row>
    <row r="23" spans="1:9" x14ac:dyDescent="0.3">
      <c r="A23" s="97"/>
      <c r="B23" s="59">
        <v>120</v>
      </c>
      <c r="C23" s="60">
        <v>0.15240000000000001</v>
      </c>
      <c r="D23" s="62">
        <f>IF(I22&lt;=2000,64/I22,IF(I22&gt;=4000,((1/(-2*LOG10((2.51/(I22*SQRT(D22)))+($B$4/(3.7*C22))))^2)),"TRANSICION"))</f>
        <v>1.0208246806909245E-2</v>
      </c>
      <c r="E23" s="61">
        <f t="shared" ref="E23:E32" si="6">SQRT((C23^5*PI()^2*9.81)/(D23*B23*8))</f>
        <v>2.8499392108044485E-2</v>
      </c>
      <c r="F23" s="53">
        <f t="shared" ref="F23:F32" si="7">(B$2/(E10+E23+E36))^2</f>
        <v>86.771614546925889</v>
      </c>
      <c r="G23" s="53">
        <f t="shared" ref="G23:G32" si="8">E23*SQRT(F23)</f>
        <v>0.26547549288986699</v>
      </c>
      <c r="H23" s="53">
        <f t="shared" ref="H23:H32" si="9">G23/((PI()*(C23^2))/4)</f>
        <v>14.553405171905556</v>
      </c>
      <c r="I23" s="53">
        <f t="shared" ref="I23:I32" si="10">H23*C23/$B$6</f>
        <v>1947268.6112365294</v>
      </c>
    </row>
    <row r="24" spans="1:9" x14ac:dyDescent="0.3">
      <c r="A24" s="97"/>
      <c r="B24" s="59">
        <v>120</v>
      </c>
      <c r="C24" s="60">
        <v>0.15240000000000001</v>
      </c>
      <c r="D24" s="62">
        <f t="shared" ref="D24:D32" si="11">IF(I23&lt;=2000,64/I23,IF(I23&gt;=4000,((1/(-2*LOG10((2.51/(I23*SQRT(D23)))+($B$4/(3.7*C23))))^2)),"TRANSICION"))</f>
        <v>1.079674901184373E-2</v>
      </c>
      <c r="E24" s="61">
        <f t="shared" si="6"/>
        <v>2.7711796081432077E-2</v>
      </c>
      <c r="F24" s="53">
        <f t="shared" si="7"/>
        <v>91.820184181502398</v>
      </c>
      <c r="G24" s="53">
        <f t="shared" si="8"/>
        <v>0.26554232554314122</v>
      </c>
      <c r="H24" s="53">
        <f t="shared" si="9"/>
        <v>14.557068947688494</v>
      </c>
      <c r="I24" s="53">
        <f t="shared" si="10"/>
        <v>1947758.8302262744</v>
      </c>
    </row>
    <row r="25" spans="1:9" x14ac:dyDescent="0.3">
      <c r="A25" s="97"/>
      <c r="B25" s="59">
        <v>120</v>
      </c>
      <c r="C25" s="60">
        <v>0.15240000000000001</v>
      </c>
      <c r="D25" s="62">
        <f t="shared" si="11"/>
        <v>1.0751405270551483E-2</v>
      </c>
      <c r="E25" s="61">
        <f t="shared" si="6"/>
        <v>2.7770171446997526E-2</v>
      </c>
      <c r="F25" s="53">
        <f t="shared" si="7"/>
        <v>91.432349576629406</v>
      </c>
      <c r="G25" s="53">
        <f t="shared" si="8"/>
        <v>0.2655391135285784</v>
      </c>
      <c r="H25" s="53">
        <f t="shared" si="9"/>
        <v>14.556892864582508</v>
      </c>
      <c r="I25" s="53">
        <f t="shared" si="10"/>
        <v>1947735.2700284235</v>
      </c>
    </row>
    <row r="26" spans="1:9" x14ac:dyDescent="0.3">
      <c r="A26" s="97"/>
      <c r="B26" s="59">
        <v>120</v>
      </c>
      <c r="C26" s="60">
        <v>0.15240000000000001</v>
      </c>
      <c r="D26" s="62">
        <f t="shared" si="11"/>
        <v>1.0754781468077039E-2</v>
      </c>
      <c r="E26" s="61">
        <f t="shared" si="6"/>
        <v>2.7765812225762972E-2</v>
      </c>
      <c r="F26" s="53">
        <f t="shared" si="7"/>
        <v>91.461232830760565</v>
      </c>
      <c r="G26" s="53">
        <f t="shared" si="8"/>
        <v>0.26553936222095853</v>
      </c>
      <c r="H26" s="53">
        <f t="shared" si="9"/>
        <v>14.556906497934996</v>
      </c>
      <c r="I26" s="53">
        <f t="shared" si="10"/>
        <v>1947737.0941925317</v>
      </c>
    </row>
    <row r="27" spans="1:9" x14ac:dyDescent="0.3">
      <c r="A27" s="97"/>
      <c r="B27" s="59">
        <v>120</v>
      </c>
      <c r="C27" s="60">
        <v>0.15240000000000001</v>
      </c>
      <c r="D27" s="62">
        <f t="shared" si="11"/>
        <v>1.0754529440569521E-2</v>
      </c>
      <c r="E27" s="61">
        <f t="shared" si="6"/>
        <v>2.7766137563449353E-2</v>
      </c>
      <c r="F27" s="53">
        <f t="shared" si="7"/>
        <v>91.459076777257948</v>
      </c>
      <c r="G27" s="53">
        <f t="shared" si="8"/>
        <v>0.26553934371006616</v>
      </c>
      <c r="H27" s="53">
        <f t="shared" si="9"/>
        <v>14.556905483165181</v>
      </c>
      <c r="I27" s="53">
        <f t="shared" si="10"/>
        <v>1947736.9584147269</v>
      </c>
    </row>
    <row r="28" spans="1:9" x14ac:dyDescent="0.3">
      <c r="A28" s="97"/>
      <c r="B28" s="59">
        <v>120</v>
      </c>
      <c r="C28" s="60">
        <v>0.15240000000000001</v>
      </c>
      <c r="D28" s="62">
        <f t="shared" si="11"/>
        <v>1.0754548250415243E-2</v>
      </c>
      <c r="E28" s="61">
        <f t="shared" si="6"/>
        <v>2.7766113281769637E-2</v>
      </c>
      <c r="F28" s="53">
        <f t="shared" si="7"/>
        <v>91.459237692551383</v>
      </c>
      <c r="G28" s="53">
        <f t="shared" si="8"/>
        <v>0.26553934509190819</v>
      </c>
      <c r="H28" s="53">
        <f t="shared" si="9"/>
        <v>14.556905558917961</v>
      </c>
      <c r="I28" s="53">
        <f t="shared" si="10"/>
        <v>1947736.9685505682</v>
      </c>
    </row>
    <row r="29" spans="1:9" x14ac:dyDescent="0.3">
      <c r="A29" s="97"/>
      <c r="B29" s="63">
        <v>120</v>
      </c>
      <c r="C29" s="64">
        <v>0.15240000000000001</v>
      </c>
      <c r="D29" s="65">
        <f t="shared" si="11"/>
        <v>1.0754546846539391E-2</v>
      </c>
      <c r="E29" s="66">
        <f t="shared" si="6"/>
        <v>2.77661150940345E-2</v>
      </c>
      <c r="F29" s="67">
        <f t="shared" si="7"/>
        <v>91.459225682613692</v>
      </c>
      <c r="G29" s="67">
        <f t="shared" si="8"/>
        <v>0.2655393449887759</v>
      </c>
      <c r="H29" s="67">
        <f t="shared" si="9"/>
        <v>14.556905553264235</v>
      </c>
      <c r="I29" s="67">
        <f t="shared" si="10"/>
        <v>1947736.967794091</v>
      </c>
    </row>
    <row r="30" spans="1:9" x14ac:dyDescent="0.3">
      <c r="A30" s="97"/>
      <c r="B30" s="63">
        <v>120</v>
      </c>
      <c r="C30" s="64">
        <v>0.15240000000000001</v>
      </c>
      <c r="D30" s="65">
        <f t="shared" si="11"/>
        <v>1.0754546951317778E-2</v>
      </c>
      <c r="E30" s="66">
        <f t="shared" si="6"/>
        <v>2.7766114958775952E-2</v>
      </c>
      <c r="F30" s="67">
        <f t="shared" si="7"/>
        <v>91.459226578976384</v>
      </c>
      <c r="G30" s="67">
        <f t="shared" si="8"/>
        <v>0.26553934499647325</v>
      </c>
      <c r="H30" s="67">
        <f t="shared" si="9"/>
        <v>14.556905553686205</v>
      </c>
      <c r="I30" s="67">
        <f t="shared" si="10"/>
        <v>1947736.9678505512</v>
      </c>
    </row>
    <row r="31" spans="1:9" x14ac:dyDescent="0.3">
      <c r="A31" s="97"/>
      <c r="B31" s="63">
        <v>120</v>
      </c>
      <c r="C31" s="64">
        <v>0.15240000000000001</v>
      </c>
      <c r="D31" s="65">
        <f t="shared" si="11"/>
        <v>1.0754546943497638E-2</v>
      </c>
      <c r="E31" s="66">
        <f t="shared" si="6"/>
        <v>2.7766114968870981E-2</v>
      </c>
      <c r="F31" s="67">
        <f t="shared" si="7"/>
        <v>91.459226512076256</v>
      </c>
      <c r="G31" s="67">
        <f t="shared" si="8"/>
        <v>0.26553934499589865</v>
      </c>
      <c r="H31" s="67">
        <f t="shared" si="9"/>
        <v>14.556905553654705</v>
      </c>
      <c r="I31" s="67">
        <f t="shared" si="10"/>
        <v>1947736.9678463363</v>
      </c>
    </row>
    <row r="32" spans="1:9" x14ac:dyDescent="0.3">
      <c r="A32" s="97"/>
      <c r="B32" s="63">
        <v>120</v>
      </c>
      <c r="C32" s="64">
        <v>0.15240000000000001</v>
      </c>
      <c r="D32" s="65">
        <f t="shared" si="11"/>
        <v>1.0754546944081293E-2</v>
      </c>
      <c r="E32" s="66">
        <f t="shared" si="6"/>
        <v>2.7766114968117539E-2</v>
      </c>
      <c r="F32" s="67">
        <f t="shared" si="7"/>
        <v>91.459226517069354</v>
      </c>
      <c r="G32" s="67">
        <f t="shared" si="8"/>
        <v>0.26553934499594156</v>
      </c>
      <c r="H32" s="67">
        <f t="shared" si="9"/>
        <v>14.556905553657058</v>
      </c>
      <c r="I32" s="67">
        <f t="shared" si="10"/>
        <v>1947736.9678466513</v>
      </c>
    </row>
    <row r="33" spans="1:9" x14ac:dyDescent="0.3">
      <c r="E33" s="69"/>
    </row>
    <row r="34" spans="1:9" x14ac:dyDescent="0.3">
      <c r="A34" s="55" t="s">
        <v>81</v>
      </c>
      <c r="B34" s="56" t="s">
        <v>12</v>
      </c>
      <c r="C34" s="55" t="s">
        <v>23</v>
      </c>
      <c r="D34" s="55" t="s">
        <v>24</v>
      </c>
      <c r="E34" s="55" t="s">
        <v>91</v>
      </c>
      <c r="F34" s="55" t="s">
        <v>83</v>
      </c>
      <c r="G34" s="55" t="s">
        <v>92</v>
      </c>
      <c r="H34" s="55" t="s">
        <v>93</v>
      </c>
      <c r="I34" s="55" t="s">
        <v>13</v>
      </c>
    </row>
    <row r="35" spans="1:9" x14ac:dyDescent="0.3">
      <c r="A35" s="96" t="s">
        <v>94</v>
      </c>
      <c r="B35" s="59">
        <v>300</v>
      </c>
      <c r="C35" s="60">
        <v>0.254</v>
      </c>
      <c r="D35" s="60">
        <v>2.5000000000000001E-2</v>
      </c>
      <c r="E35" s="61">
        <f>SQRT((C35^5*PI()^2*9.81)/(D35*B35*8))</f>
        <v>4.1304088515507487E-2</v>
      </c>
      <c r="F35" s="53">
        <f>(B$2/(E9+E22+E35))^2</f>
        <v>191.27676601336526</v>
      </c>
      <c r="G35" s="53">
        <f>E35*SQRT(F35)</f>
        <v>0.57124729019882414</v>
      </c>
      <c r="H35" s="53">
        <f>G35/((PI()*(C35^2))/4)</f>
        <v>11.273709462830091</v>
      </c>
      <c r="I35" s="53">
        <f>H35*C35/$B$6</f>
        <v>2514066.9039146998</v>
      </c>
    </row>
    <row r="36" spans="1:9" x14ac:dyDescent="0.3">
      <c r="A36" s="97"/>
      <c r="B36" s="59">
        <v>300</v>
      </c>
      <c r="C36" s="60">
        <v>0.254</v>
      </c>
      <c r="D36" s="62">
        <f>IF(I35&lt;=2000,64/I35,IF(I35&gt;=4000,((1/(-2*LOG10((2.51/(I35*SQRT(D35)))+($B$4/(3.7*C35))))^2)),"TRANSICION"))</f>
        <v>9.6049026071460836E-3</v>
      </c>
      <c r="E36" s="61">
        <f t="shared" ref="E36:E45" si="12">SQRT((C36^5*PI()^2*9.81)/(D36*B36*8))</f>
        <v>6.6637172990910903E-2</v>
      </c>
      <c r="F36" s="53">
        <f>(B$2/(E10+E23+E36))^2</f>
        <v>86.771614546925889</v>
      </c>
      <c r="G36" s="53">
        <f t="shared" ref="G36:G45" si="13">E36*SQRT(F36)</f>
        <v>0.62073381346109213</v>
      </c>
      <c r="H36" s="53">
        <f t="shared" ref="H36:H45" si="14">G36/((PI()*(C36^2))/4)</f>
        <v>12.250338490497278</v>
      </c>
      <c r="I36" s="53">
        <f t="shared" ref="I36:I45" si="15">H36*C36/$B$6</f>
        <v>2731857.7494173031</v>
      </c>
    </row>
    <row r="37" spans="1:9" x14ac:dyDescent="0.3">
      <c r="A37" s="97"/>
      <c r="B37" s="59">
        <v>300</v>
      </c>
      <c r="C37" s="60">
        <v>0.254</v>
      </c>
      <c r="D37" s="62">
        <f t="shared" ref="D37:D45" si="16">IF(I36&lt;=2000,64/I36,IF(I36&gt;=4000,((1/(-2*LOG10((2.51/(I36*SQRT(D36)))+($B$4/(3.7*C36))))^2)),"TRANSICION"))</f>
        <v>1.0162955892486177E-2</v>
      </c>
      <c r="E37" s="61">
        <f t="shared" si="12"/>
        <v>6.4781802348649276E-2</v>
      </c>
      <c r="F37" s="53">
        <f>(B$2/(E11+E24+E37))^2</f>
        <v>91.820184181502398</v>
      </c>
      <c r="G37" s="53">
        <f t="shared" si="13"/>
        <v>0.62075768737568893</v>
      </c>
      <c r="H37" s="53">
        <f t="shared" si="14"/>
        <v>12.250809648227952</v>
      </c>
      <c r="I37" s="53">
        <f t="shared" si="15"/>
        <v>2731962.818832221</v>
      </c>
    </row>
    <row r="38" spans="1:9" x14ac:dyDescent="0.3">
      <c r="A38" s="97"/>
      <c r="B38" s="59">
        <v>300</v>
      </c>
      <c r="C38" s="60">
        <v>0.254</v>
      </c>
      <c r="D38" s="62">
        <f t="shared" si="16"/>
        <v>1.0120175536050888E-2</v>
      </c>
      <c r="E38" s="61">
        <f t="shared" si="12"/>
        <v>6.4918581890258509E-2</v>
      </c>
      <c r="F38" s="53">
        <f t="shared" ref="F38:F45" si="17">(B$2/(E12+E25+E38))^2</f>
        <v>91.432349576629406</v>
      </c>
      <c r="G38" s="53">
        <f t="shared" si="13"/>
        <v>0.6207531962693541</v>
      </c>
      <c r="H38" s="53">
        <f t="shared" si="14"/>
        <v>12.250721015110816</v>
      </c>
      <c r="I38" s="53">
        <f t="shared" si="15"/>
        <v>2731943.05341365</v>
      </c>
    </row>
    <row r="39" spans="1:9" x14ac:dyDescent="0.3">
      <c r="A39" s="97"/>
      <c r="B39" s="59">
        <v>300</v>
      </c>
      <c r="C39" s="60">
        <v>0.254</v>
      </c>
      <c r="D39" s="62">
        <f t="shared" si="16"/>
        <v>1.0123361990546908E-2</v>
      </c>
      <c r="E39" s="61">
        <f t="shared" si="12"/>
        <v>6.4908364119331971E-2</v>
      </c>
      <c r="F39" s="53">
        <f t="shared" si="17"/>
        <v>91.461232830760565</v>
      </c>
      <c r="G39" s="53">
        <f t="shared" si="13"/>
        <v>0.62075351770407439</v>
      </c>
      <c r="H39" s="53">
        <f t="shared" si="14"/>
        <v>12.250727358706156</v>
      </c>
      <c r="I39" s="53">
        <f t="shared" si="15"/>
        <v>2731944.468052119</v>
      </c>
    </row>
    <row r="40" spans="1:9" x14ac:dyDescent="0.3">
      <c r="A40" s="97"/>
      <c r="B40" s="59">
        <v>300</v>
      </c>
      <c r="C40" s="60">
        <v>0.254</v>
      </c>
      <c r="D40" s="62">
        <f t="shared" si="16"/>
        <v>1.0123124133318753E-2</v>
      </c>
      <c r="E40" s="61">
        <f t="shared" si="12"/>
        <v>6.4909126672111198E-2</v>
      </c>
      <c r="F40" s="53">
        <f t="shared" si="17"/>
        <v>91.459076777257948</v>
      </c>
      <c r="G40" s="53">
        <f t="shared" si="13"/>
        <v>0.62075349363661225</v>
      </c>
      <c r="H40" s="53">
        <f t="shared" si="14"/>
        <v>12.250726883728715</v>
      </c>
      <c r="I40" s="53">
        <f t="shared" si="15"/>
        <v>2731944.362130899</v>
      </c>
    </row>
    <row r="41" spans="1:9" x14ac:dyDescent="0.3">
      <c r="A41" s="97"/>
      <c r="B41" s="59">
        <v>300</v>
      </c>
      <c r="C41" s="60">
        <v>0.254</v>
      </c>
      <c r="D41" s="62">
        <f t="shared" si="16"/>
        <v>1.0123141885613418E-2</v>
      </c>
      <c r="E41" s="61">
        <f t="shared" si="12"/>
        <v>6.4909069758632101E-2</v>
      </c>
      <c r="F41" s="53">
        <f t="shared" si="17"/>
        <v>91.459237692551383</v>
      </c>
      <c r="G41" s="53">
        <f t="shared" si="13"/>
        <v>0.62075349543245983</v>
      </c>
      <c r="H41" s="53">
        <f t="shared" si="14"/>
        <v>12.250726919170221</v>
      </c>
      <c r="I41" s="53">
        <f t="shared" si="15"/>
        <v>2731944.3700344479</v>
      </c>
    </row>
    <row r="42" spans="1:9" x14ac:dyDescent="0.3">
      <c r="A42" s="97"/>
      <c r="B42" s="63">
        <v>300</v>
      </c>
      <c r="C42" s="64">
        <v>0.254</v>
      </c>
      <c r="D42" s="65">
        <f t="shared" si="16"/>
        <v>1.0123140560668254E-2</v>
      </c>
      <c r="E42" s="66">
        <f t="shared" si="12"/>
        <v>6.4909074006372941E-2</v>
      </c>
      <c r="F42" s="67">
        <f t="shared" si="17"/>
        <v>91.459225682613692</v>
      </c>
      <c r="G42" s="67">
        <f t="shared" si="13"/>
        <v>0.62075349529842427</v>
      </c>
      <c r="H42" s="67">
        <f t="shared" si="14"/>
        <v>12.250726916524997</v>
      </c>
      <c r="I42" s="67">
        <f t="shared" si="15"/>
        <v>2731944.3694445556</v>
      </c>
    </row>
    <row r="43" spans="1:9" x14ac:dyDescent="0.3">
      <c r="A43" s="97"/>
      <c r="B43" s="63">
        <v>300</v>
      </c>
      <c r="C43" s="64">
        <v>0.254</v>
      </c>
      <c r="D43" s="65">
        <f t="shared" si="16"/>
        <v>1.0123140659555647E-2</v>
      </c>
      <c r="E43" s="66">
        <f t="shared" si="12"/>
        <v>6.4909073689342414E-2</v>
      </c>
      <c r="F43" s="67">
        <f t="shared" si="17"/>
        <v>91.459226578976384</v>
      </c>
      <c r="G43" s="67">
        <f t="shared" si="13"/>
        <v>0.62075349530842794</v>
      </c>
      <c r="H43" s="67">
        <f t="shared" si="14"/>
        <v>12.250726916722421</v>
      </c>
      <c r="I43" s="67">
        <f t="shared" si="15"/>
        <v>2731944.369488582</v>
      </c>
    </row>
    <row r="44" spans="1:9" x14ac:dyDescent="0.3">
      <c r="A44" s="97"/>
      <c r="B44" s="63">
        <v>300</v>
      </c>
      <c r="C44" s="64">
        <v>0.254</v>
      </c>
      <c r="D44" s="65">
        <f t="shared" si="16"/>
        <v>1.0123140652175176E-2</v>
      </c>
      <c r="E44" s="66">
        <f t="shared" si="12"/>
        <v>6.4909073713004029E-2</v>
      </c>
      <c r="F44" s="67">
        <f t="shared" si="17"/>
        <v>91.459226512076256</v>
      </c>
      <c r="G44" s="67">
        <f t="shared" si="13"/>
        <v>0.62075349530768131</v>
      </c>
      <c r="H44" s="67">
        <f t="shared" si="14"/>
        <v>12.250726916707686</v>
      </c>
      <c r="I44" s="67">
        <f t="shared" si="15"/>
        <v>2731944.3694852963</v>
      </c>
    </row>
    <row r="45" spans="1:9" x14ac:dyDescent="0.3">
      <c r="A45" s="97"/>
      <c r="B45" s="63">
        <v>300</v>
      </c>
      <c r="C45" s="64">
        <v>0.254</v>
      </c>
      <c r="D45" s="65">
        <f t="shared" si="16"/>
        <v>1.0123140652726018E-2</v>
      </c>
      <c r="E45" s="66">
        <f t="shared" si="12"/>
        <v>6.4909073711238038E-2</v>
      </c>
      <c r="F45" s="67">
        <f t="shared" si="17"/>
        <v>91.459226517069354</v>
      </c>
      <c r="G45" s="67">
        <f t="shared" si="13"/>
        <v>0.62075349530773705</v>
      </c>
      <c r="H45" s="67">
        <f t="shared" si="14"/>
        <v>12.250726916708786</v>
      </c>
      <c r="I45" s="67">
        <f t="shared" si="15"/>
        <v>2731944.3694855412</v>
      </c>
    </row>
  </sheetData>
  <mergeCells count="4">
    <mergeCell ref="A1:B1"/>
    <mergeCell ref="A9:A19"/>
    <mergeCell ref="A22:A32"/>
    <mergeCell ref="A35:A4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abSelected="1" topLeftCell="A25" zoomScale="80" zoomScaleNormal="80" workbookViewId="0">
      <selection activeCell="D36" sqref="D36"/>
    </sheetView>
  </sheetViews>
  <sheetFormatPr baseColWidth="10" defaultColWidth="11.42578125" defaultRowHeight="18.75" x14ac:dyDescent="0.3"/>
  <cols>
    <col min="1" max="1" width="34.42578125" style="52" customWidth="1"/>
    <col min="2" max="2" width="31.140625" style="68" customWidth="1"/>
    <col min="3" max="3" width="25" style="52" customWidth="1"/>
    <col min="4" max="4" width="23.85546875" style="52" customWidth="1"/>
    <col min="5" max="5" width="20.28515625" style="52" customWidth="1"/>
    <col min="6" max="6" width="20.5703125" style="52" customWidth="1"/>
    <col min="7" max="7" width="18.7109375" style="52" customWidth="1"/>
    <col min="8" max="8" width="26.7109375" style="52" customWidth="1"/>
    <col min="9" max="9" width="19.5703125" style="52" customWidth="1"/>
    <col min="10" max="16384" width="11.42578125" style="52"/>
  </cols>
  <sheetData>
    <row r="1" spans="1:10" x14ac:dyDescent="0.3">
      <c r="A1" s="95" t="s">
        <v>75</v>
      </c>
      <c r="B1" s="95"/>
      <c r="C1" s="51" t="s">
        <v>76</v>
      </c>
    </row>
    <row r="2" spans="1:10" x14ac:dyDescent="0.3">
      <c r="A2" s="53" t="s">
        <v>77</v>
      </c>
      <c r="B2" s="83">
        <v>0.02</v>
      </c>
      <c r="C2" s="70">
        <f>G19+G32+G45</f>
        <v>2.0000000000000004E-2</v>
      </c>
    </row>
    <row r="3" spans="1:10" x14ac:dyDescent="0.3">
      <c r="A3" s="53" t="s">
        <v>21</v>
      </c>
      <c r="B3" s="83" t="s">
        <v>95</v>
      </c>
      <c r="C3" s="53" t="s">
        <v>96</v>
      </c>
      <c r="D3" s="86">
        <v>10</v>
      </c>
      <c r="E3" s="53" t="s">
        <v>97</v>
      </c>
      <c r="F3" s="86">
        <v>10</v>
      </c>
    </row>
    <row r="4" spans="1:10" x14ac:dyDescent="0.3">
      <c r="A4" s="53" t="s">
        <v>79</v>
      </c>
      <c r="B4" s="83">
        <f>0.9/1000</f>
        <v>8.9999999999999998E-4</v>
      </c>
      <c r="C4" s="53" t="s">
        <v>98</v>
      </c>
      <c r="D4" s="86">
        <v>0.34</v>
      </c>
      <c r="E4" s="53" t="s">
        <v>99</v>
      </c>
      <c r="F4" s="86">
        <v>10</v>
      </c>
    </row>
    <row r="5" spans="1:10" x14ac:dyDescent="0.3">
      <c r="A5" s="53" t="s">
        <v>80</v>
      </c>
      <c r="B5" s="83">
        <v>5</v>
      </c>
      <c r="C5" s="53" t="s">
        <v>100</v>
      </c>
      <c r="D5" s="86">
        <v>7.5</v>
      </c>
      <c r="E5" s="53" t="s">
        <v>101</v>
      </c>
      <c r="F5" s="86">
        <v>12</v>
      </c>
    </row>
    <row r="6" spans="1:10" x14ac:dyDescent="0.3">
      <c r="A6" s="53" t="s">
        <v>5</v>
      </c>
      <c r="B6" s="83">
        <f>1.519*10^-6</f>
        <v>1.5189999999999998E-6</v>
      </c>
      <c r="C6" s="53" t="s">
        <v>112</v>
      </c>
      <c r="E6" s="53" t="s">
        <v>113</v>
      </c>
      <c r="F6" s="52">
        <v>10</v>
      </c>
    </row>
    <row r="8" spans="1:10" s="58" customFormat="1" x14ac:dyDescent="0.3">
      <c r="A8" s="55" t="s">
        <v>81</v>
      </c>
      <c r="B8" s="56" t="s">
        <v>12</v>
      </c>
      <c r="C8" s="55" t="s">
        <v>23</v>
      </c>
      <c r="D8" s="55" t="s">
        <v>24</v>
      </c>
      <c r="E8" s="55" t="s">
        <v>109</v>
      </c>
      <c r="F8" s="55" t="s">
        <v>102</v>
      </c>
      <c r="G8" s="55" t="s">
        <v>84</v>
      </c>
      <c r="H8" s="55" t="s">
        <v>85</v>
      </c>
      <c r="I8" s="55" t="s">
        <v>13</v>
      </c>
      <c r="J8" s="57"/>
    </row>
    <row r="9" spans="1:10" x14ac:dyDescent="0.3">
      <c r="A9" s="96">
        <v>1</v>
      </c>
      <c r="B9" s="84">
        <v>10</v>
      </c>
      <c r="C9" s="85">
        <f>$F$3*0.0254</f>
        <v>0.254</v>
      </c>
      <c r="D9" s="85">
        <v>1.7999999999999999E-2</v>
      </c>
      <c r="E9" s="71">
        <f>1/SQRT(((D9*(B9/(C9^5))*(8/((PI()^2)*9.81))+($D$3*(8/((PI()^2)*(C9^4)*9.81))))))</f>
        <v>6.8586591793123375E-2</v>
      </c>
      <c r="F9" s="72">
        <f>(B$2/(E9+E22+E35))^2</f>
        <v>2.444609988650035E-3</v>
      </c>
      <c r="G9" s="53">
        <f>E9*SQRT(F9)</f>
        <v>3.3911266774506008E-3</v>
      </c>
      <c r="H9" s="53">
        <f>G9/((PI()*(C9^2))/4)</f>
        <v>6.6924740946997144E-2</v>
      </c>
      <c r="I9" s="53">
        <f>H9*C9/$B$6</f>
        <v>11190.838841696692</v>
      </c>
    </row>
    <row r="10" spans="1:10" x14ac:dyDescent="0.3">
      <c r="A10" s="97"/>
      <c r="B10" s="59">
        <v>10</v>
      </c>
      <c r="C10" s="60">
        <f>$F$3*0.0254</f>
        <v>0.254</v>
      </c>
      <c r="D10" s="62">
        <f>IF(I9&lt;=2000,64/I9,IF(I9&gt;=4000,((1/(-2*LOG10((2.51/(I9*SQRT(D9)))+($B$4/(3.7*C9))))^2)),"TRANSICION"))</f>
        <v>3.7553733497381822E-2</v>
      </c>
      <c r="E10" s="71">
        <f>1/SQRT(((D10*(B10/(C10^5))*(8/((PI()^2)*9.81))+($D$3*(8/((PI()^2)*(C10^4)*9.81))))))</f>
        <v>6.624671854410337E-2</v>
      </c>
      <c r="F10" s="72">
        <f t="shared" ref="F10:F19" si="0">(B$2/(E10+E23+E36))^2</f>
        <v>3.0566863231902414E-3</v>
      </c>
      <c r="G10" s="53">
        <f t="shared" ref="G10:G19" si="1">E10*SQRT(F10)</f>
        <v>3.6626026706102458E-3</v>
      </c>
      <c r="H10" s="53">
        <f>G10/((PI()*(C10^2))/4)</f>
        <v>7.2282388196316882E-2</v>
      </c>
      <c r="I10" s="53">
        <f>H10*C10/$B$6</f>
        <v>12086.719290233372</v>
      </c>
    </row>
    <row r="11" spans="1:10" x14ac:dyDescent="0.3">
      <c r="A11" s="97"/>
      <c r="B11" s="59">
        <v>10</v>
      </c>
      <c r="C11" s="60">
        <f>$F$3*0.0254</f>
        <v>0.254</v>
      </c>
      <c r="D11" s="62">
        <f t="shared" ref="D11:D19" si="2">IF(I10&lt;=2000,64/I10,IF(I10&gt;=4000,((1/(-2*LOG10((2.51/(I10*SQRT(D10)))+($B$4/(3.7*C10))))^2)),"TRANSICION"))</f>
        <v>3.4480741886004959E-2</v>
      </c>
      <c r="E11" s="71">
        <f>1/SQRT(((D11*(B11/(C11^5))*(8/((PI()^2)*9.81))+($D$3*(8/((PI()^2)*(C11^4)*9.81))))))</f>
        <v>6.6598624773460027E-2</v>
      </c>
      <c r="F11" s="72">
        <f t="shared" si="0"/>
        <v>3.0274402257396858E-3</v>
      </c>
      <c r="G11" s="53">
        <f t="shared" si="1"/>
        <v>3.6644014799659757E-3</v>
      </c>
      <c r="H11" s="53">
        <f t="shared" ref="H11:H19" si="3">G11/((PI()*(C11^2))/4)</f>
        <v>7.2317888152996695E-2</v>
      </c>
      <c r="I11" s="53">
        <f t="shared" ref="I11:I19" si="4">H11*C11/$B$6</f>
        <v>12092.65542518839</v>
      </c>
    </row>
    <row r="12" spans="1:10" x14ac:dyDescent="0.3">
      <c r="A12" s="97"/>
      <c r="B12" s="59">
        <v>10</v>
      </c>
      <c r="C12" s="60">
        <f>$F$3*0.0254</f>
        <v>0.254</v>
      </c>
      <c r="D12" s="62">
        <f t="shared" si="2"/>
        <v>3.473241542113692E-2</v>
      </c>
      <c r="E12" s="71">
        <f>1/SQRT(((D12*(B12/(C12^5))*(8/((PI()^2)*9.81))+($D$3*(8/((PI()^2)*(C12^4)*9.81))))))</f>
        <v>6.6569593108701336E-2</v>
      </c>
      <c r="F12" s="72">
        <f>(B$2/(E12+E25+E38))^2</f>
        <v>3.0287908006157199E-3</v>
      </c>
      <c r="G12" s="53">
        <f t="shared" si="1"/>
        <v>3.6636210122953225E-3</v>
      </c>
      <c r="H12" s="53">
        <f t="shared" si="3"/>
        <v>7.2302485426515475E-2</v>
      </c>
      <c r="I12" s="53">
        <f t="shared" si="4"/>
        <v>12090.079854071715</v>
      </c>
    </row>
    <row r="13" spans="1:10" x14ac:dyDescent="0.3">
      <c r="A13" s="97"/>
      <c r="B13" s="59">
        <v>10</v>
      </c>
      <c r="C13" s="60">
        <f>$F$3*0.0254</f>
        <v>0.254</v>
      </c>
      <c r="D13" s="62">
        <f t="shared" si="2"/>
        <v>3.4711709465116862E-2</v>
      </c>
      <c r="E13" s="71">
        <f>1/SQRT(((D13*(B13/(C13^5))*(8/((PI()^2)*9.81))+($D$3*(8/((PI()^2)*(C13^4)*9.81))))))</f>
        <v>6.6571980199887693E-2</v>
      </c>
      <c r="F13" s="72">
        <f t="shared" si="0"/>
        <v>3.0287094925026061E-3</v>
      </c>
      <c r="G13" s="53">
        <f t="shared" si="1"/>
        <v>3.663703207366384E-3</v>
      </c>
      <c r="H13" s="53">
        <f t="shared" si="3"/>
        <v>7.2304107566990045E-2</v>
      </c>
      <c r="I13" s="53">
        <f t="shared" si="4"/>
        <v>12090.35110073435</v>
      </c>
    </row>
    <row r="14" spans="1:10" x14ac:dyDescent="0.3">
      <c r="A14" s="97"/>
      <c r="B14" s="59">
        <v>10</v>
      </c>
      <c r="C14" s="60">
        <f>$F$3*0.0254</f>
        <v>0.254</v>
      </c>
      <c r="D14" s="62">
        <f>IF(I13&lt;=2000,64/I13,IF(I13&gt;=4000,((1/(-2*LOG10((2.51/(I13*SQRT(D13)))+($B$4/(3.7*C13))))^2)),"TRANSICION"))</f>
        <v>3.4713375383031139E-2</v>
      </c>
      <c r="E14" s="71">
        <f>1/SQRT(((D14*(B14/(C14^5))*(8/((PI()^2)*9.81))+($D$3*(8/((PI()^2)*(C14^4)*9.81))))))</f>
        <v>6.6571788134635698E-2</v>
      </c>
      <c r="F14" s="72">
        <f t="shared" si="0"/>
        <v>3.0287152399908219E-3</v>
      </c>
      <c r="G14" s="53">
        <f t="shared" si="1"/>
        <v>3.6636961135389418E-3</v>
      </c>
      <c r="H14" s="53">
        <f t="shared" si="3"/>
        <v>7.2303967568514899E-2</v>
      </c>
      <c r="I14" s="53">
        <f t="shared" si="4"/>
        <v>12090.327690851078</v>
      </c>
    </row>
    <row r="15" spans="1:10" x14ac:dyDescent="0.3">
      <c r="A15" s="97"/>
      <c r="B15" s="59">
        <v>10</v>
      </c>
      <c r="C15" s="60">
        <f>$F$3*0.0254</f>
        <v>0.254</v>
      </c>
      <c r="D15" s="62">
        <f t="shared" si="2"/>
        <v>3.4713242090685457E-2</v>
      </c>
      <c r="E15" s="71">
        <f>1/SQRT(((D15*(B15/(C15^5))*(8/((PI()^2)*9.81))+($D$3*(8/((PI()^2)*(C15^4)*9.81))))))</f>
        <v>6.6571803501975127E-2</v>
      </c>
      <c r="F15" s="72">
        <f t="shared" si="0"/>
        <v>3.0287148017125566E-3</v>
      </c>
      <c r="G15" s="53">
        <f t="shared" si="1"/>
        <v>3.6636966941789831E-3</v>
      </c>
      <c r="H15" s="53">
        <f t="shared" si="3"/>
        <v>7.2303979027592669E-2</v>
      </c>
      <c r="I15" s="53">
        <f t="shared" si="4"/>
        <v>12090.329606983898</v>
      </c>
    </row>
    <row r="16" spans="1:10" x14ac:dyDescent="0.3">
      <c r="A16" s="97"/>
      <c r="B16" s="63">
        <v>10</v>
      </c>
      <c r="C16" s="64">
        <f>$F$3*0.0254</f>
        <v>0.254</v>
      </c>
      <c r="D16" s="65">
        <f t="shared" si="2"/>
        <v>3.4713252733723082E-2</v>
      </c>
      <c r="E16" s="65">
        <f>1/SQRT(((D16*(B16/(C16^5))*(8/((PI()^2)*9.81))+($D$3*(8/((PI()^2)*(C16^4)*9.81))))))</f>
        <v>6.6571802274933742E-2</v>
      </c>
      <c r="F16" s="73">
        <f t="shared" si="0"/>
        <v>3.0287148361446844E-3</v>
      </c>
      <c r="G16" s="67">
        <f t="shared" si="1"/>
        <v>3.6636966474757598E-3</v>
      </c>
      <c r="H16" s="67">
        <f t="shared" si="3"/>
        <v>7.2303978105892772E-2</v>
      </c>
      <c r="I16" s="67">
        <f t="shared" si="4"/>
        <v>12090.329452861597</v>
      </c>
    </row>
    <row r="17" spans="1:9" x14ac:dyDescent="0.3">
      <c r="A17" s="97"/>
      <c r="B17" s="63">
        <v>10</v>
      </c>
      <c r="C17" s="64">
        <f>$F$3*0.0254</f>
        <v>0.254</v>
      </c>
      <c r="D17" s="65">
        <f t="shared" si="2"/>
        <v>3.4713251884464676E-2</v>
      </c>
      <c r="E17" s="65">
        <f>1/SQRT(((D17*(B17/(C17^5))*(8/((PI()^2)*9.81))+($D$3*(8/((PI()^2)*(C17^4)*9.81))))))</f>
        <v>6.6571802372845185E-2</v>
      </c>
      <c r="F17" s="73">
        <f t="shared" si="0"/>
        <v>3.0287148334099683E-3</v>
      </c>
      <c r="G17" s="67">
        <f t="shared" si="1"/>
        <v>3.6636966512101645E-3</v>
      </c>
      <c r="H17" s="67">
        <f t="shared" si="3"/>
        <v>7.2303978179592193E-2</v>
      </c>
      <c r="I17" s="67">
        <f t="shared" si="4"/>
        <v>12090.329465185267</v>
      </c>
    </row>
    <row r="18" spans="1:9" x14ac:dyDescent="0.3">
      <c r="A18" s="97"/>
      <c r="B18" s="63">
        <v>10</v>
      </c>
      <c r="C18" s="64">
        <f>$F$3*0.0254</f>
        <v>0.254</v>
      </c>
      <c r="D18" s="65">
        <f t="shared" si="2"/>
        <v>3.4713251952218256E-2</v>
      </c>
      <c r="E18" s="65">
        <f>1/SQRT(((D18*(B18/(C18^5))*(8/((PI()^2)*9.81))+($D$3*(8/((PI()^2)*(C18^4)*9.81))))))</f>
        <v>6.657180236503385E-2</v>
      </c>
      <c r="F18" s="73">
        <f t="shared" si="0"/>
        <v>3.0287148336280109E-3</v>
      </c>
      <c r="G18" s="67">
        <f t="shared" si="1"/>
        <v>3.6636966509121559E-3</v>
      </c>
      <c r="H18" s="67">
        <f t="shared" si="3"/>
        <v>7.2303978173710912E-2</v>
      </c>
      <c r="I18" s="67">
        <f t="shared" si="4"/>
        <v>12090.329464201826</v>
      </c>
    </row>
    <row r="19" spans="1:9" x14ac:dyDescent="0.3">
      <c r="A19" s="97"/>
      <c r="B19" s="63">
        <v>10</v>
      </c>
      <c r="C19" s="64">
        <f>$F$3*0.0254</f>
        <v>0.254</v>
      </c>
      <c r="D19" s="65">
        <f t="shared" si="2"/>
        <v>3.4713251946813024E-2</v>
      </c>
      <c r="E19" s="65">
        <f>1/SQRT(((D19*(B19/(C19^5))*(8/((PI()^2)*9.81))+($D$3*(8/((PI()^2)*(C19^4)*9.81))))))</f>
        <v>6.6571802365657018E-2</v>
      </c>
      <c r="F19" s="73">
        <f t="shared" si="0"/>
        <v>3.0287148336106029E-3</v>
      </c>
      <c r="G19" s="67">
        <f t="shared" si="1"/>
        <v>3.6636966509359221E-3</v>
      </c>
      <c r="H19" s="67">
        <f t="shared" si="3"/>
        <v>7.2303978174179953E-2</v>
      </c>
      <c r="I19" s="67">
        <f t="shared" si="4"/>
        <v>12090.329464280258</v>
      </c>
    </row>
    <row r="20" spans="1:9" x14ac:dyDescent="0.3">
      <c r="E20" s="69"/>
    </row>
    <row r="21" spans="1:9" x14ac:dyDescent="0.3">
      <c r="A21" s="55" t="s">
        <v>81</v>
      </c>
      <c r="B21" s="56" t="s">
        <v>12</v>
      </c>
      <c r="C21" s="55" t="s">
        <v>23</v>
      </c>
      <c r="D21" s="55" t="s">
        <v>24</v>
      </c>
      <c r="E21" s="55" t="s">
        <v>111</v>
      </c>
      <c r="F21" s="55" t="s">
        <v>102</v>
      </c>
      <c r="G21" s="55" t="s">
        <v>88</v>
      </c>
      <c r="H21" s="55" t="s">
        <v>89</v>
      </c>
      <c r="I21" s="55" t="s">
        <v>13</v>
      </c>
    </row>
    <row r="22" spans="1:9" x14ac:dyDescent="0.3">
      <c r="A22" s="96">
        <v>2</v>
      </c>
      <c r="B22" s="84">
        <v>10</v>
      </c>
      <c r="C22" s="85">
        <f>$F$4*0.0254</f>
        <v>0.254</v>
      </c>
      <c r="D22" s="85">
        <v>1.7999999999999999E-2</v>
      </c>
      <c r="E22" s="71">
        <f>1/SQRT(((D22*(B22/(C22^5))*(8/((PI()^2)*9.81))+($D$4*(8/((PI()^2)*(C22^4)*9.81))))))</f>
        <v>0.21917406944332735</v>
      </c>
      <c r="F22" s="53">
        <f>(B$2/(E9+E22+E35))^2</f>
        <v>2.444609988650035E-3</v>
      </c>
      <c r="G22" s="53">
        <f>E22*SQRT(F22)</f>
        <v>1.0836622938438491E-2</v>
      </c>
      <c r="H22" s="53">
        <f>G22/((PI()*(C22^2))/4)</f>
        <v>0.21386348900434068</v>
      </c>
      <c r="I22" s="53">
        <f>H22*C22/$B$6</f>
        <v>35761.241742661317</v>
      </c>
    </row>
    <row r="23" spans="1:9" x14ac:dyDescent="0.3">
      <c r="A23" s="97"/>
      <c r="B23" s="84">
        <v>10</v>
      </c>
      <c r="C23" s="60">
        <f>$F$4*0.0254</f>
        <v>0.254</v>
      </c>
      <c r="D23" s="62">
        <f>IF(I22&lt;=2000,64/I22,IF(I22&gt;=4000,((1/(-2*LOG10((2.51/(I22*SQRT(D22)))+($B$4/(3.7*C22))))^2)),"TRANSICION"))</f>
        <v>3.1226219846826171E-2</v>
      </c>
      <c r="E23" s="71">
        <f>1/SQRT(((D23*(B23/(C23^5))*(8/((PI()^2)*9.81))+($D$4*(8/((PI()^2)*(C23^4)*9.81))))))</f>
        <v>0.17916077582978146</v>
      </c>
      <c r="F23" s="53">
        <f t="shared" ref="F23:F32" si="5">(B$2/(E10+E23+E36))^2</f>
        <v>3.0566863231902414E-3</v>
      </c>
      <c r="G23" s="53">
        <f t="shared" ref="G23:G32" si="6">E23*SQRT(F23)</f>
        <v>9.9053168284237852E-3</v>
      </c>
      <c r="H23" s="53">
        <f t="shared" ref="H23:H32" si="7">G23/((PI()*(C23^2))/4)</f>
        <v>0.19548392784859331</v>
      </c>
      <c r="I23" s="53">
        <f t="shared" ref="I23:I32" si="8">H23*C23/$B$6</f>
        <v>32687.898402595594</v>
      </c>
    </row>
    <row r="24" spans="1:9" x14ac:dyDescent="0.3">
      <c r="A24" s="97"/>
      <c r="B24" s="84">
        <v>10</v>
      </c>
      <c r="C24" s="60">
        <f>$F$4*0.0254</f>
        <v>0.254</v>
      </c>
      <c r="D24" s="62">
        <f t="shared" ref="D24:D32" si="9">IF(I23&lt;=2000,64/I23,IF(I23&gt;=4000,((1/(-2*LOG10((2.51/(I23*SQRT(D23)))+($B$4/(3.7*C23))))^2)),"TRANSICION"))</f>
        <v>3.0643030171349245E-2</v>
      </c>
      <c r="E24" s="71">
        <f>1/SQRT(((D24*(B24/(C24^5))*(8/((PI()^2)*9.81))+($D$4*(8/((PI()^2)*(C24^4)*9.81))))))</f>
        <v>0.18048590703276837</v>
      </c>
      <c r="F24" s="53">
        <f t="shared" si="5"/>
        <v>3.0274402257396858E-3</v>
      </c>
      <c r="G24" s="53">
        <f t="shared" si="6"/>
        <v>9.9307279556234782E-3</v>
      </c>
      <c r="H24" s="53">
        <f t="shared" si="7"/>
        <v>0.19598542285800097</v>
      </c>
      <c r="I24" s="53">
        <f t="shared" si="8"/>
        <v>32771.756027605174</v>
      </c>
    </row>
    <row r="25" spans="1:9" x14ac:dyDescent="0.3">
      <c r="A25" s="97"/>
      <c r="B25" s="84">
        <v>10</v>
      </c>
      <c r="C25" s="60">
        <f>$F$4*0.0254</f>
        <v>0.254</v>
      </c>
      <c r="D25" s="62">
        <f t="shared" si="9"/>
        <v>3.0663052134189704E-2</v>
      </c>
      <c r="E25" s="71">
        <f>1/SQRT(((D25*(B25/(C25^5))*(8/((PI()^2)*9.81))+($D$4*(8/((PI()^2)*(C25^4)*9.81))))))</f>
        <v>0.18043992446681797</v>
      </c>
      <c r="F25" s="53">
        <f t="shared" si="5"/>
        <v>3.0287908006157199E-3</v>
      </c>
      <c r="G25" s="53">
        <f t="shared" si="6"/>
        <v>9.9304121876509915E-3</v>
      </c>
      <c r="H25" s="53">
        <f t="shared" si="7"/>
        <v>0.1959791910973597</v>
      </c>
      <c r="I25" s="53">
        <f t="shared" si="8"/>
        <v>32770.713982046982</v>
      </c>
    </row>
    <row r="26" spans="1:9" x14ac:dyDescent="0.3">
      <c r="A26" s="97"/>
      <c r="B26" s="84">
        <v>10</v>
      </c>
      <c r="C26" s="60">
        <f>$F$4*0.0254</f>
        <v>0.254</v>
      </c>
      <c r="D26" s="62">
        <f t="shared" si="9"/>
        <v>3.0662189933258518E-2</v>
      </c>
      <c r="E26" s="71">
        <f>1/SQRT(((D26*(B26/(C26^5))*(8/((PI()^2)*9.81))+($D$4*(8/((PI()^2)*(C26^4)*9.81))))))</f>
        <v>0.18044190387881942</v>
      </c>
      <c r="F26" s="53">
        <f t="shared" si="5"/>
        <v>3.0287094925026061E-3</v>
      </c>
      <c r="G26" s="53">
        <f t="shared" si="6"/>
        <v>9.9303878298221734E-3</v>
      </c>
      <c r="H26" s="53">
        <f t="shared" si="7"/>
        <v>0.19597871038945971</v>
      </c>
      <c r="I26" s="53">
        <f t="shared" si="8"/>
        <v>32770.633600344161</v>
      </c>
    </row>
    <row r="27" spans="1:9" x14ac:dyDescent="0.3">
      <c r="A27" s="97"/>
      <c r="B27" s="84">
        <v>10</v>
      </c>
      <c r="C27" s="60">
        <f>$F$4*0.0254</f>
        <v>0.254</v>
      </c>
      <c r="D27" s="62">
        <f t="shared" si="9"/>
        <v>3.0662238222483516E-2</v>
      </c>
      <c r="E27" s="71">
        <f>1/SQRT(((D27*(B27/(C27^5))*(8/((PI()^2)*9.81))+($D$4*(8/((PI()^2)*(C27^4)*9.81))))))</f>
        <v>0.18044179301631305</v>
      </c>
      <c r="F27" s="53">
        <f t="shared" si="5"/>
        <v>3.0287152399908219E-3</v>
      </c>
      <c r="G27" s="53">
        <f t="shared" si="6"/>
        <v>9.9303911509313701E-3</v>
      </c>
      <c r="H27" s="53">
        <f t="shared" si="7"/>
        <v>0.19597877593238802</v>
      </c>
      <c r="I27" s="53">
        <f t="shared" si="8"/>
        <v>32770.644560122826</v>
      </c>
    </row>
    <row r="28" spans="1:9" x14ac:dyDescent="0.3">
      <c r="A28" s="97"/>
      <c r="B28" s="84">
        <v>10</v>
      </c>
      <c r="C28" s="60">
        <f>$F$4*0.0254</f>
        <v>0.254</v>
      </c>
      <c r="D28" s="62">
        <f t="shared" si="9"/>
        <v>3.0662234941605804E-2</v>
      </c>
      <c r="E28" s="71">
        <f>1/SQRT(((D28*(B28/(C28^5))*(8/((PI()^2)*9.81))+($D$4*(8/((PI()^2)*(C28^4)*9.81))))))</f>
        <v>0.18044180054855263</v>
      </c>
      <c r="F28" s="53">
        <f t="shared" si="5"/>
        <v>3.0287148017125566E-3</v>
      </c>
      <c r="G28" s="53">
        <f t="shared" si="6"/>
        <v>9.9303908469570296E-3</v>
      </c>
      <c r="H28" s="53">
        <f t="shared" si="7"/>
        <v>0.19597876993337768</v>
      </c>
      <c r="I28" s="53">
        <f t="shared" si="8"/>
        <v>32770.643556996671</v>
      </c>
    </row>
    <row r="29" spans="1:9" x14ac:dyDescent="0.3">
      <c r="A29" s="97"/>
      <c r="B29" s="84">
        <v>10</v>
      </c>
      <c r="C29" s="64">
        <f>$F$4*0.0254</f>
        <v>0.254</v>
      </c>
      <c r="D29" s="65">
        <f t="shared" si="9"/>
        <v>3.0662235187583757E-2</v>
      </c>
      <c r="E29" s="65">
        <f>1/SQRT(((D29*(B29/(C29^5))*(8/((PI()^2)*9.81))+($D$4*(8/((PI()^2)*(C29^4)*9.81))))))</f>
        <v>0.18044179998383639</v>
      </c>
      <c r="F29" s="67">
        <f t="shared" si="5"/>
        <v>3.0287148361446844E-3</v>
      </c>
      <c r="G29" s="67">
        <f t="shared" si="6"/>
        <v>9.9303908723256951E-3</v>
      </c>
      <c r="H29" s="67">
        <f t="shared" si="7"/>
        <v>0.19597877043403469</v>
      </c>
      <c r="I29" s="67">
        <f t="shared" si="8"/>
        <v>32770.643640714166</v>
      </c>
    </row>
    <row r="30" spans="1:9" x14ac:dyDescent="0.3">
      <c r="A30" s="97"/>
      <c r="B30" s="84">
        <v>10</v>
      </c>
      <c r="C30" s="64">
        <f>$F$4*0.0254</f>
        <v>0.254</v>
      </c>
      <c r="D30" s="65">
        <f t="shared" si="9"/>
        <v>3.0662235168382575E-2</v>
      </c>
      <c r="E30" s="65">
        <f>1/SQRT(((D30*(B30/(C30^5))*(8/((PI()^2)*9.81))+($D$4*(8/((PI()^2)*(C30^4)*9.81))))))</f>
        <v>0.18044180002791846</v>
      </c>
      <c r="F30" s="67">
        <f t="shared" si="5"/>
        <v>3.0287148334099683E-3</v>
      </c>
      <c r="G30" s="67">
        <f t="shared" si="6"/>
        <v>9.9303908702684761E-3</v>
      </c>
      <c r="H30" s="67">
        <f t="shared" si="7"/>
        <v>0.19597877039343495</v>
      </c>
      <c r="I30" s="67">
        <f t="shared" si="8"/>
        <v>32770.643633925269</v>
      </c>
    </row>
    <row r="31" spans="1:9" x14ac:dyDescent="0.3">
      <c r="A31" s="97"/>
      <c r="B31" s="84">
        <v>10</v>
      </c>
      <c r="C31" s="64">
        <f>$F$4*0.0254</f>
        <v>0.254</v>
      </c>
      <c r="D31" s="65">
        <f t="shared" si="9"/>
        <v>3.0662235169904087E-2</v>
      </c>
      <c r="E31" s="65">
        <f>1/SQRT(((D31*(B31/(C31^5))*(8/((PI()^2)*9.81))+($D$4*(8/((PI()^2)*(C31^4)*9.81))))))</f>
        <v>0.18044180002442539</v>
      </c>
      <c r="F31" s="67">
        <f t="shared" si="5"/>
        <v>3.0287148336280109E-3</v>
      </c>
      <c r="G31" s="67">
        <f t="shared" si="6"/>
        <v>9.9303908704336929E-3</v>
      </c>
      <c r="H31" s="67">
        <f t="shared" si="7"/>
        <v>0.19597877039669556</v>
      </c>
      <c r="I31" s="67">
        <f t="shared" si="8"/>
        <v>32770.643634470493</v>
      </c>
    </row>
    <row r="32" spans="1:9" x14ac:dyDescent="0.3">
      <c r="A32" s="97"/>
      <c r="B32" s="84">
        <v>10</v>
      </c>
      <c r="C32" s="64">
        <f>$F$4*0.0254</f>
        <v>0.254</v>
      </c>
      <c r="D32" s="65">
        <f t="shared" si="9"/>
        <v>3.0662235169782871E-2</v>
      </c>
      <c r="E32" s="65">
        <f>1/SQRT(((D32*(B32/(C32^5))*(8/((PI()^2)*9.81))+($D$4*(8/((PI()^2)*(C32^4)*9.81))))))</f>
        <v>0.18044180002470367</v>
      </c>
      <c r="F32" s="67">
        <f t="shared" si="5"/>
        <v>3.0287148336106029E-3</v>
      </c>
      <c r="G32" s="67">
        <f t="shared" si="6"/>
        <v>9.9303908704204691E-3</v>
      </c>
      <c r="H32" s="67">
        <f t="shared" si="7"/>
        <v>0.19597877039643458</v>
      </c>
      <c r="I32" s="67">
        <f t="shared" si="8"/>
        <v>32770.643634426859</v>
      </c>
    </row>
    <row r="33" spans="1:9" x14ac:dyDescent="0.3">
      <c r="E33" s="69"/>
    </row>
    <row r="34" spans="1:9" x14ac:dyDescent="0.3">
      <c r="A34" s="55" t="s">
        <v>81</v>
      </c>
      <c r="B34" s="56" t="s">
        <v>12</v>
      </c>
      <c r="C34" s="55" t="s">
        <v>23</v>
      </c>
      <c r="D34" s="55" t="s">
        <v>24</v>
      </c>
      <c r="E34" s="55" t="s">
        <v>110</v>
      </c>
      <c r="F34" s="55" t="s">
        <v>102</v>
      </c>
      <c r="G34" s="55" t="s">
        <v>92</v>
      </c>
      <c r="H34" s="55" t="s">
        <v>93</v>
      </c>
      <c r="I34" s="55" t="s">
        <v>13</v>
      </c>
    </row>
    <row r="35" spans="1:9" x14ac:dyDescent="0.3">
      <c r="A35" s="96">
        <v>3</v>
      </c>
      <c r="B35" s="59">
        <v>2</v>
      </c>
      <c r="C35" s="60">
        <f>$F$5*0.0254</f>
        <v>0.30479999999999996</v>
      </c>
      <c r="D35" s="60">
        <v>2.5000000000000001E-2</v>
      </c>
      <c r="E35" s="71">
        <f>1/SQRT(((D35*(B35/(C35^5))*(8/((PI()^2)*9.81))+($D$5*(8/((PI()^2)*(C35^4)*9.81))))))</f>
        <v>0.11674555936092174</v>
      </c>
      <c r="F35" s="53">
        <f>(B$2/(E9+E22+E35))^2</f>
        <v>2.444609988650035E-3</v>
      </c>
      <c r="G35" s="53">
        <f>E35*SQRT(F35)</f>
        <v>5.7722503841109076E-3</v>
      </c>
      <c r="H35" s="53">
        <f>G35/((PI()*(C35^2))/4)</f>
        <v>7.9108901615735513E-2</v>
      </c>
      <c r="I35" s="53">
        <f>H35*C35/$B$6</f>
        <v>15873.859916047522</v>
      </c>
    </row>
    <row r="36" spans="1:9" x14ac:dyDescent="0.3">
      <c r="A36" s="97"/>
      <c r="B36" s="59">
        <f>B35</f>
        <v>2</v>
      </c>
      <c r="C36" s="60">
        <f>$F$5*0.0254</f>
        <v>0.30479999999999996</v>
      </c>
      <c r="D36" s="62">
        <f>IF(I35&lt;=2000,64/I35,IF(I35&gt;=4000,((1/(-2*LOG10((2.51/(I35*SQRT(D35)))+($B$4/(3.7*C35))))^2)),"TRANSICION"))</f>
        <v>3.3173837392329729E-2</v>
      </c>
      <c r="E36" s="71">
        <f>1/SQRT(((D36*(B36/(C36^5))*(8/((PI()^2)*9.81))+($D$5*(8/((PI()^2)*(C36^4)*9.81))))))</f>
        <v>0.11633918962045436</v>
      </c>
      <c r="F36" s="53">
        <f>(B$2/(E10+E23+E36))^2</f>
        <v>3.0566863231902414E-3</v>
      </c>
      <c r="G36" s="53">
        <f t="shared" ref="G36:G45" si="10">E36*SQRT(F36)</f>
        <v>6.432080500965969E-3</v>
      </c>
      <c r="H36" s="53">
        <f t="shared" ref="H36:H45" si="11">G36/((PI()*(C36^2))/4)</f>
        <v>8.8151897384088074E-2</v>
      </c>
      <c r="I36" s="53">
        <f t="shared" ref="I36:I45" si="12">H36*C36/$B$6</f>
        <v>17688.412325655067</v>
      </c>
    </row>
    <row r="37" spans="1:9" x14ac:dyDescent="0.3">
      <c r="A37" s="97"/>
      <c r="B37" s="59">
        <f t="shared" ref="B37:B45" si="13">B36</f>
        <v>2</v>
      </c>
      <c r="C37" s="60">
        <f>$F$5*0.0254</f>
        <v>0.30479999999999996</v>
      </c>
      <c r="D37" s="62">
        <f t="shared" ref="D37:D45" si="14">IF(I36&lt;=2000,64/I36,IF(I36&gt;=4000,((1/(-2*LOG10((2.51/(I36*SQRT(D36)))+($B$4/(3.7*C36))))^2)),"TRANSICION"))</f>
        <v>3.183924492709652E-2</v>
      </c>
      <c r="E37" s="71">
        <f>1/SQRT(((D37*(B37/(C37^5))*(8/((PI()^2)*9.81))+($D$5*(8/((PI()^2)*(C37^4)*9.81))))))</f>
        <v>0.11640525029089269</v>
      </c>
      <c r="F37" s="53">
        <f>(B$2/(E11+E24+E37))^2</f>
        <v>3.0274402257396858E-3</v>
      </c>
      <c r="G37" s="53">
        <f t="shared" si="10"/>
        <v>6.4048705644105444E-3</v>
      </c>
      <c r="H37" s="53">
        <f t="shared" si="11"/>
        <v>8.7778984213193967E-2</v>
      </c>
      <c r="I37" s="53">
        <f t="shared" si="12"/>
        <v>17613.584192351234</v>
      </c>
    </row>
    <row r="38" spans="1:9" x14ac:dyDescent="0.3">
      <c r="A38" s="97"/>
      <c r="B38" s="59">
        <f t="shared" si="13"/>
        <v>2</v>
      </c>
      <c r="C38" s="60">
        <f>$F$5*0.0254</f>
        <v>0.30479999999999996</v>
      </c>
      <c r="D38" s="62">
        <f t="shared" si="14"/>
        <v>3.1961114791339007E-2</v>
      </c>
      <c r="E38" s="71">
        <f>1/SQRT(((D38*(B38/(C38^5))*(8/((PI()^2)*9.81))+($D$5*(8/((PI()^2)*(C38^4)*9.81))))))</f>
        <v>0.11639921321453761</v>
      </c>
      <c r="F38" s="53">
        <f t="shared" ref="F38:F45" si="15">(B$2/(E12+E25+E38))^2</f>
        <v>3.0287908006157199E-3</v>
      </c>
      <c r="G38" s="53">
        <f t="shared" si="10"/>
        <v>6.4059668000536855E-3</v>
      </c>
      <c r="H38" s="53">
        <f t="shared" si="11"/>
        <v>8.7794008162584591E-2</v>
      </c>
      <c r="I38" s="53">
        <f t="shared" si="12"/>
        <v>17616.598872913619</v>
      </c>
    </row>
    <row r="39" spans="1:9" x14ac:dyDescent="0.3">
      <c r="A39" s="97"/>
      <c r="B39" s="59">
        <f t="shared" si="13"/>
        <v>2</v>
      </c>
      <c r="C39" s="60">
        <f>$F$5*0.0254</f>
        <v>0.30479999999999996</v>
      </c>
      <c r="D39" s="62">
        <f t="shared" si="14"/>
        <v>3.1950789220099349E-2</v>
      </c>
      <c r="E39" s="71">
        <f>1/SQRT(((D39*(B39/(C39^5))*(8/((PI()^2)*9.81))+($D$5*(8/((PI()^2)*(C39^4)*9.81))))))</f>
        <v>0.11639972467669364</v>
      </c>
      <c r="F39" s="53">
        <f t="shared" si="15"/>
        <v>3.0287094925026061E-3</v>
      </c>
      <c r="G39" s="53">
        <f t="shared" si="10"/>
        <v>6.4059089628114435E-3</v>
      </c>
      <c r="H39" s="53">
        <f t="shared" si="11"/>
        <v>8.7793215501074481E-2</v>
      </c>
      <c r="I39" s="53">
        <f t="shared" si="12"/>
        <v>17616.439818780451</v>
      </c>
    </row>
    <row r="40" spans="1:9" x14ac:dyDescent="0.3">
      <c r="A40" s="97"/>
      <c r="B40" s="59">
        <f t="shared" si="13"/>
        <v>2</v>
      </c>
      <c r="C40" s="60">
        <f>$F$5*0.0254</f>
        <v>0.30479999999999996</v>
      </c>
      <c r="D40" s="62">
        <f t="shared" si="14"/>
        <v>3.1951634927237293E-2</v>
      </c>
      <c r="E40" s="71">
        <f>1/SQRT(((D40*(B40/(C40^5))*(8/((PI()^2)*9.81))+($D$5*(8/((PI()^2)*(C40^4)*9.81))))))</f>
        <v>0.11639968278556687</v>
      </c>
      <c r="F40" s="53">
        <f t="shared" si="15"/>
        <v>3.0287152399908219E-3</v>
      </c>
      <c r="G40" s="53">
        <f t="shared" si="10"/>
        <v>6.4059127355296881E-3</v>
      </c>
      <c r="H40" s="53">
        <f t="shared" si="11"/>
        <v>8.7793267206315348E-2</v>
      </c>
      <c r="I40" s="53">
        <f t="shared" si="12"/>
        <v>17616.450193867622</v>
      </c>
    </row>
    <row r="41" spans="1:9" x14ac:dyDescent="0.3">
      <c r="A41" s="97"/>
      <c r="B41" s="59">
        <f t="shared" si="13"/>
        <v>2</v>
      </c>
      <c r="C41" s="60">
        <f>$F$5*0.0254</f>
        <v>0.30479999999999996</v>
      </c>
      <c r="D41" s="62">
        <f t="shared" si="14"/>
        <v>3.1951566392980656E-2</v>
      </c>
      <c r="E41" s="71">
        <f>1/SQRT(((D41*(B41/(C41^5))*(8/((PI()^2)*9.81))+($D$5*(8/((PI()^2)*(C41^4)*9.81))))))</f>
        <v>0.11639968618033047</v>
      </c>
      <c r="F41" s="53">
        <f t="shared" si="15"/>
        <v>3.0287148017125566E-3</v>
      </c>
      <c r="G41" s="53">
        <f t="shared" si="10"/>
        <v>6.4059124588639891E-3</v>
      </c>
      <c r="H41" s="53">
        <f t="shared" si="11"/>
        <v>8.7793263414601863E-2</v>
      </c>
      <c r="I41" s="53">
        <f t="shared" si="12"/>
        <v>17616.449433028734</v>
      </c>
    </row>
    <row r="42" spans="1:9" x14ac:dyDescent="0.3">
      <c r="A42" s="97"/>
      <c r="B42" s="63">
        <f t="shared" si="13"/>
        <v>2</v>
      </c>
      <c r="C42" s="64">
        <f>$F$5*0.0254</f>
        <v>0.30479999999999996</v>
      </c>
      <c r="D42" s="65">
        <f t="shared" si="14"/>
        <v>3.1951571924259785E-2</v>
      </c>
      <c r="E42" s="65">
        <f>1/SQRT(((D42*(B42/(C42^5))*(8/((PI()^2)*9.81))+($D$5*(8/((PI()^2)*(C42^4)*9.81))))))</f>
        <v>0.11639968590634509</v>
      </c>
      <c r="F42" s="67">
        <f t="shared" si="15"/>
        <v>3.0287148361446844E-3</v>
      </c>
      <c r="G42" s="67">
        <f t="shared" si="10"/>
        <v>6.4059124801985447E-3</v>
      </c>
      <c r="H42" s="67">
        <f t="shared" si="11"/>
        <v>8.7793263706992725E-2</v>
      </c>
      <c r="I42" s="67">
        <f t="shared" si="12"/>
        <v>17616.449491699397</v>
      </c>
    </row>
    <row r="43" spans="1:9" x14ac:dyDescent="0.3">
      <c r="A43" s="97"/>
      <c r="B43" s="63">
        <f t="shared" si="13"/>
        <v>2</v>
      </c>
      <c r="C43" s="64">
        <f>$F$5*0.0254</f>
        <v>0.30479999999999996</v>
      </c>
      <c r="D43" s="65">
        <f t="shared" si="14"/>
        <v>3.1951571478609206E-2</v>
      </c>
      <c r="E43" s="65">
        <f>1/SQRT(((D43*(B43/(C43^5))*(8/((PI()^2)*9.81))+($D$5*(8/((PI()^2)*(C43^4)*9.81))))))</f>
        <v>0.11639968592841986</v>
      </c>
      <c r="F43" s="67">
        <f t="shared" si="15"/>
        <v>3.0287148334099683E-3</v>
      </c>
      <c r="G43" s="67">
        <f t="shared" si="10"/>
        <v>6.4059124785213585E-3</v>
      </c>
      <c r="H43" s="67">
        <f t="shared" si="11"/>
        <v>8.7793263684006834E-2</v>
      </c>
      <c r="I43" s="67">
        <f t="shared" si="12"/>
        <v>17616.449487087084</v>
      </c>
    </row>
    <row r="44" spans="1:9" x14ac:dyDescent="0.3">
      <c r="A44" s="97"/>
      <c r="B44" s="63">
        <f t="shared" si="13"/>
        <v>2</v>
      </c>
      <c r="C44" s="64">
        <f>$F$5*0.0254</f>
        <v>0.30479999999999996</v>
      </c>
      <c r="D44" s="65">
        <f t="shared" si="14"/>
        <v>3.1951571514482614E-2</v>
      </c>
      <c r="E44" s="65">
        <f>1/SQRT(((D44*(B44/(C44^5))*(8/((PI()^2)*9.81))+($D$5*(8/((PI()^2)*(C44^4)*9.81))))))</f>
        <v>0.1163996859266429</v>
      </c>
      <c r="F44" s="67">
        <f t="shared" si="15"/>
        <v>3.0287148336280109E-3</v>
      </c>
      <c r="G44" s="67">
        <f t="shared" si="10"/>
        <v>6.4059124786541534E-3</v>
      </c>
      <c r="H44" s="67">
        <f t="shared" si="11"/>
        <v>8.7793263685826795E-2</v>
      </c>
      <c r="I44" s="67">
        <f t="shared" si="12"/>
        <v>17616.449487452275</v>
      </c>
    </row>
    <row r="45" spans="1:9" x14ac:dyDescent="0.3">
      <c r="A45" s="97"/>
      <c r="B45" s="63">
        <f t="shared" si="13"/>
        <v>2</v>
      </c>
      <c r="C45" s="64">
        <f>$F$5*0.0254</f>
        <v>0.30479999999999996</v>
      </c>
      <c r="D45" s="65">
        <f t="shared" si="14"/>
        <v>3.1951571511596624E-2</v>
      </c>
      <c r="E45" s="65">
        <f>1/SQRT(((D45*(B45/(C45^5))*(8/((PI()^2)*9.81))+($D$5*(8/((PI()^2)*(C45^4)*9.81))))))</f>
        <v>0.11639968592678586</v>
      </c>
      <c r="F45" s="67">
        <f t="shared" si="15"/>
        <v>3.0287148336106029E-3</v>
      </c>
      <c r="G45" s="67">
        <f t="shared" si="10"/>
        <v>6.4059124786436106E-3</v>
      </c>
      <c r="H45" s="67">
        <f t="shared" si="11"/>
        <v>8.7793263685682299E-2</v>
      </c>
      <c r="I45" s="67">
        <f t="shared" si="12"/>
        <v>17616.449487423281</v>
      </c>
    </row>
    <row r="47" spans="1:9" x14ac:dyDescent="0.3">
      <c r="A47" s="55" t="s">
        <v>81</v>
      </c>
      <c r="B47" s="56" t="s">
        <v>12</v>
      </c>
      <c r="C47" s="55" t="s">
        <v>23</v>
      </c>
      <c r="D47" s="55" t="s">
        <v>24</v>
      </c>
      <c r="E47" s="55" t="s">
        <v>110</v>
      </c>
      <c r="F47" s="55" t="s">
        <v>102</v>
      </c>
      <c r="G47" s="55" t="s">
        <v>92</v>
      </c>
      <c r="H47" s="55" t="s">
        <v>93</v>
      </c>
      <c r="I47" s="55" t="s">
        <v>13</v>
      </c>
    </row>
    <row r="48" spans="1:9" x14ac:dyDescent="0.3">
      <c r="A48" s="96">
        <v>4</v>
      </c>
      <c r="B48" s="59">
        <v>0.2</v>
      </c>
      <c r="C48" s="60">
        <f>$F$6*0.0254</f>
        <v>0.254</v>
      </c>
      <c r="D48" s="60">
        <v>2.5000000000000001E-2</v>
      </c>
      <c r="E48" s="71">
        <f>1/SQRT(((D48*(B48/(C48^5))*(8/((PI()^2)*9.81))+($D$5*(8/((PI()^2)*(C48^4)*9.81))))))</f>
        <v>8.1847796302299505E-2</v>
      </c>
      <c r="F48" s="53">
        <f>(B$2/(E22+E35+E48))^2</f>
        <v>2.2918745632269691E-3</v>
      </c>
      <c r="G48" s="53">
        <f>E48*SQRT(F48)</f>
        <v>3.9183426654878523E-3</v>
      </c>
      <c r="H48" s="53">
        <f>G48/((PI()*(C48^2))/4)</f>
        <v>7.7329481547555909E-2</v>
      </c>
      <c r="I48" s="53">
        <f>H48*C48/$B$6</f>
        <v>12930.670383857278</v>
      </c>
    </row>
    <row r="49" spans="1:9" x14ac:dyDescent="0.3">
      <c r="A49" s="97"/>
      <c r="B49" s="59">
        <f>B48</f>
        <v>0.2</v>
      </c>
      <c r="C49" s="60">
        <f t="shared" ref="C49:C58" si="16">$F$6*0.0254</f>
        <v>0.254</v>
      </c>
      <c r="D49" s="62">
        <f>IF(I48&lt;=2000,64/I48,IF(I48&gt;=4000,((1/(-2*LOG10((2.51/(I48*SQRT(D48)))+($B$4/(3.7*C48))))^2)),"TRANSICION"))</f>
        <v>3.531983112979218E-2</v>
      </c>
      <c r="E49" s="71">
        <f>1/SQRT(((D49*(B49/(C49^5))*(8/((PI()^2)*9.81))+($D$5*(8/((PI()^2)*(C49^4)*9.81))))))</f>
        <v>8.1803609313066683E-2</v>
      </c>
      <c r="F49" s="53">
        <f>(B$2/(E23+E36+E49))^2</f>
        <v>2.8098177484986294E-3</v>
      </c>
      <c r="G49" s="53">
        <f t="shared" ref="G49:G58" si="17">E49*SQRT(F49)</f>
        <v>4.3362223304873448E-3</v>
      </c>
      <c r="H49" s="53">
        <f t="shared" ref="H49:H58" si="18">G49/((PI()*(C49^2))/4)</f>
        <v>8.5576442214956791E-2</v>
      </c>
      <c r="I49" s="53">
        <f t="shared" ref="I49:I58" si="19">H49*C49/$B$6</f>
        <v>14309.688164976318</v>
      </c>
    </row>
    <row r="50" spans="1:9" x14ac:dyDescent="0.3">
      <c r="A50" s="97"/>
      <c r="B50" s="59">
        <f t="shared" ref="B50:B58" si="20">B49</f>
        <v>0.2</v>
      </c>
      <c r="C50" s="60">
        <f t="shared" si="16"/>
        <v>0.254</v>
      </c>
      <c r="D50" s="62">
        <f t="shared" ref="D50:D58" si="21">IF(I49&lt;=2000,64/I49,IF(I49&gt;=4000,((1/(-2*LOG10((2.51/(I49*SQRT(D49)))+($B$4/(3.7*C49))))^2)),"TRANSICION"))</f>
        <v>3.3708913624380145E-2</v>
      </c>
      <c r="E50" s="71">
        <f>1/SQRT(((D50*(B50/(C50^5))*(8/((PI()^2)*9.81))+($D$5*(8/((PI()^2)*(C50^4)*9.81))))))</f>
        <v>8.1810502153709413E-2</v>
      </c>
      <c r="F50" s="53">
        <f>(B$2/(E24+E37+E50))^2</f>
        <v>2.7891095640418299E-3</v>
      </c>
      <c r="G50" s="53">
        <f t="shared" si="17"/>
        <v>4.3205779592628401E-3</v>
      </c>
      <c r="H50" s="53">
        <f t="shared" si="18"/>
        <v>8.5267696599984441E-2</v>
      </c>
      <c r="I50" s="53">
        <f t="shared" si="19"/>
        <v>14258.061182617545</v>
      </c>
    </row>
    <row r="51" spans="1:9" x14ac:dyDescent="0.3">
      <c r="A51" s="97"/>
      <c r="B51" s="59">
        <f t="shared" si="20"/>
        <v>0.2</v>
      </c>
      <c r="C51" s="60">
        <f t="shared" si="16"/>
        <v>0.254</v>
      </c>
      <c r="D51" s="62">
        <f t="shared" si="21"/>
        <v>3.3853392507469729E-2</v>
      </c>
      <c r="E51" s="71">
        <f>1/SQRT(((D51*(B51/(C51^5))*(8/((PI()^2)*9.81))+($D$5*(8/((PI()^2)*(C51^4)*9.81))))))</f>
        <v>8.1809883882136725E-2</v>
      </c>
      <c r="F51" s="53">
        <f t="shared" ref="F51:F58" si="22">(B$2/(E25+E38+E51))^2</f>
        <v>2.7898850743707597E-3</v>
      </c>
      <c r="G51" s="53">
        <f t="shared" si="17"/>
        <v>4.3211459279272821E-3</v>
      </c>
      <c r="H51" s="53">
        <f t="shared" si="18"/>
        <v>8.5278905604940392E-2</v>
      </c>
      <c r="I51" s="53">
        <f t="shared" si="19"/>
        <v>14259.935499443622</v>
      </c>
    </row>
    <row r="52" spans="1:9" x14ac:dyDescent="0.3">
      <c r="A52" s="97"/>
      <c r="B52" s="59">
        <f t="shared" si="20"/>
        <v>0.2</v>
      </c>
      <c r="C52" s="60">
        <f t="shared" si="16"/>
        <v>0.254</v>
      </c>
      <c r="D52" s="62">
        <f t="shared" si="21"/>
        <v>3.3841114507536615E-2</v>
      </c>
      <c r="E52" s="71">
        <f>1/SQRT(((D52*(B52/(C52^5))*(8/((PI()^2)*9.81))+($D$5*(8/((PI()^2)*(C52^4)*9.81))))))</f>
        <v>8.1809936423099291E-2</v>
      </c>
      <c r="F52" s="53">
        <f t="shared" si="22"/>
        <v>2.7898475949954924E-3</v>
      </c>
      <c r="G52" s="53">
        <f t="shared" si="17"/>
        <v>4.3211196778082895E-3</v>
      </c>
      <c r="H52" s="53">
        <f t="shared" si="18"/>
        <v>8.5278387552216187E-2</v>
      </c>
      <c r="I52" s="53">
        <f t="shared" si="19"/>
        <v>14259.84887311581</v>
      </c>
    </row>
    <row r="53" spans="1:9" x14ac:dyDescent="0.3">
      <c r="A53" s="97"/>
      <c r="B53" s="59">
        <f t="shared" si="20"/>
        <v>0.2</v>
      </c>
      <c r="C53" s="60">
        <f t="shared" si="16"/>
        <v>0.254</v>
      </c>
      <c r="D53" s="62">
        <f t="shared" si="21"/>
        <v>3.3842127642401111E-2</v>
      </c>
      <c r="E53" s="71">
        <f>1/SQRT(((D53*(B53/(C53^5))*(8/((PI()^2)*9.81))+($D$5*(8/((PI()^2)*(C53^4)*9.81))))))</f>
        <v>8.1809932087610754E-2</v>
      </c>
      <c r="F53" s="53">
        <f t="shared" si="22"/>
        <v>2.7898499098148221E-3</v>
      </c>
      <c r="G53" s="53">
        <f t="shared" si="17"/>
        <v>4.3211212414922253E-3</v>
      </c>
      <c r="H53" s="53">
        <f t="shared" si="18"/>
        <v>8.5278418411913345E-2</v>
      </c>
      <c r="I53" s="53">
        <f t="shared" si="19"/>
        <v>14259.8540333285</v>
      </c>
    </row>
    <row r="54" spans="1:9" x14ac:dyDescent="0.3">
      <c r="A54" s="97"/>
      <c r="B54" s="59">
        <f t="shared" si="20"/>
        <v>0.2</v>
      </c>
      <c r="C54" s="60">
        <f t="shared" si="16"/>
        <v>0.254</v>
      </c>
      <c r="D54" s="62">
        <f t="shared" si="21"/>
        <v>3.3842044776993395E-2</v>
      </c>
      <c r="E54" s="71">
        <f>1/SQRT(((D54*(B54/(C54^5))*(8/((PI()^2)*9.81))+($D$5*(8/((PI()^2)*(C54^4)*9.81))))))</f>
        <v>8.1809932442215072E-2</v>
      </c>
      <c r="F54" s="53">
        <f t="shared" si="22"/>
        <v>2.7898497435722594E-3</v>
      </c>
      <c r="G54" s="53">
        <f t="shared" si="17"/>
        <v>4.3211211314778293E-3</v>
      </c>
      <c r="H54" s="53">
        <f t="shared" si="18"/>
        <v>8.527841624075147E-2</v>
      </c>
      <c r="I54" s="53">
        <f t="shared" si="19"/>
        <v>14259.853670277074</v>
      </c>
    </row>
    <row r="55" spans="1:9" x14ac:dyDescent="0.3">
      <c r="A55" s="97"/>
      <c r="B55" s="63">
        <f t="shared" si="20"/>
        <v>0.2</v>
      </c>
      <c r="C55" s="60">
        <f t="shared" si="16"/>
        <v>0.254</v>
      </c>
      <c r="D55" s="65">
        <f t="shared" si="21"/>
        <v>3.3842051532152417E-2</v>
      </c>
      <c r="E55" s="65">
        <f>1/SQRT(((D55*(B55/(C55^5))*(8/((PI()^2)*9.81))+($D$5*(8/((PI()^2)*(C55^4)*9.81))))))</f>
        <v>8.1809932413307848E-2</v>
      </c>
      <c r="F55" s="67">
        <f t="shared" si="22"/>
        <v>2.7898497563570968E-3</v>
      </c>
      <c r="G55" s="67">
        <f t="shared" si="17"/>
        <v>4.3211211398520178E-3</v>
      </c>
      <c r="H55" s="67">
        <f t="shared" si="18"/>
        <v>8.5278416406018201E-2</v>
      </c>
      <c r="I55" s="67">
        <f t="shared" si="19"/>
        <v>14259.853697912196</v>
      </c>
    </row>
    <row r="56" spans="1:9" x14ac:dyDescent="0.3">
      <c r="A56" s="97"/>
      <c r="B56" s="63">
        <f t="shared" si="20"/>
        <v>0.2</v>
      </c>
      <c r="C56" s="60">
        <f t="shared" si="16"/>
        <v>0.254</v>
      </c>
      <c r="D56" s="65">
        <f t="shared" si="21"/>
        <v>3.3842050982216577E-2</v>
      </c>
      <c r="E56" s="65">
        <f>1/SQRT(((D56*(B56/(C56^5))*(8/((PI()^2)*9.81))+($D$5*(8/((PI()^2)*(C56^4)*9.81))))))</f>
        <v>8.1809932415661174E-2</v>
      </c>
      <c r="F56" s="67">
        <f t="shared" si="22"/>
        <v>2.7898497553475502E-3</v>
      </c>
      <c r="G56" s="67">
        <f t="shared" si="17"/>
        <v>4.3211211391944891E-3</v>
      </c>
      <c r="H56" s="67">
        <f t="shared" si="18"/>
        <v>8.5278416393041706E-2</v>
      </c>
      <c r="I56" s="67">
        <f t="shared" si="19"/>
        <v>14259.853695742329</v>
      </c>
    </row>
    <row r="57" spans="1:9" x14ac:dyDescent="0.3">
      <c r="A57" s="97"/>
      <c r="B57" s="63">
        <f t="shared" si="20"/>
        <v>0.2</v>
      </c>
      <c r="C57" s="60">
        <f t="shared" si="16"/>
        <v>0.254</v>
      </c>
      <c r="D57" s="65">
        <f t="shared" si="21"/>
        <v>3.3842051026956435E-2</v>
      </c>
      <c r="E57" s="65">
        <f>1/SQRT(((D57*(B57/(C57^5))*(8/((PI()^2)*9.81))+($D$5*(8/((PI()^2)*(C57^4)*9.81))))))</f>
        <v>8.180993241546973E-2</v>
      </c>
      <c r="F57" s="67">
        <f t="shared" si="22"/>
        <v>2.7898497554280284E-3</v>
      </c>
      <c r="G57" s="67">
        <f t="shared" si="17"/>
        <v>4.3211211392467025E-3</v>
      </c>
      <c r="H57" s="67">
        <f t="shared" si="18"/>
        <v>8.5278416394072146E-2</v>
      </c>
      <c r="I57" s="67">
        <f t="shared" si="19"/>
        <v>14259.853695914633</v>
      </c>
    </row>
    <row r="58" spans="1:9" x14ac:dyDescent="0.3">
      <c r="A58" s="97"/>
      <c r="B58" s="63">
        <f t="shared" si="20"/>
        <v>0.2</v>
      </c>
      <c r="C58" s="60">
        <f t="shared" si="16"/>
        <v>0.254</v>
      </c>
      <c r="D58" s="65">
        <f t="shared" si="21"/>
        <v>3.3842051023318234E-2</v>
      </c>
      <c r="E58" s="65">
        <f>1/SQRT(((D58*(B58/(C58^5))*(8/((PI()^2)*9.81))+($D$5*(8/((PI()^2)*(C58^4)*9.81))))))</f>
        <v>8.1809932415485287E-2</v>
      </c>
      <c r="F58" s="67">
        <f t="shared" si="22"/>
        <v>2.7898497554215925E-3</v>
      </c>
      <c r="G58" s="67">
        <f t="shared" si="17"/>
        <v>4.3211211392425401E-3</v>
      </c>
      <c r="H58" s="67">
        <f t="shared" si="18"/>
        <v>8.5278416393990003E-2</v>
      </c>
      <c r="I58" s="67">
        <f t="shared" si="19"/>
        <v>14259.853695900898</v>
      </c>
    </row>
  </sheetData>
  <mergeCells count="5">
    <mergeCell ref="A1:B1"/>
    <mergeCell ref="A9:A19"/>
    <mergeCell ref="A22:A32"/>
    <mergeCell ref="A35:A45"/>
    <mergeCell ref="A48:A58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682D16E28CE24B8E308850920D464C" ma:contentTypeVersion="2" ma:contentTypeDescription="Crear nuevo documento." ma:contentTypeScope="" ma:versionID="3258b5679f65c2e148b43b1f001647e6">
  <xsd:schema xmlns:xsd="http://www.w3.org/2001/XMLSchema" xmlns:xs="http://www.w3.org/2001/XMLSchema" xmlns:p="http://schemas.microsoft.com/office/2006/metadata/properties" xmlns:ns2="08ac90b3-f9a6-40e0-a813-043031b36e63" targetNamespace="http://schemas.microsoft.com/office/2006/metadata/properties" ma:root="true" ma:fieldsID="924cd50b2fee1f4327761e0c28068acc" ns2:_="">
    <xsd:import namespace="08ac90b3-f9a6-40e0-a813-043031b36e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c90b3-f9a6-40e0-a813-043031b36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F31844-B292-41FD-9674-9BBC317304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5F742-1372-4F25-864D-A2DD28CB4E9D}">
  <ds:schemaRefs>
    <ds:schemaRef ds:uri="http://purl.org/dc/elements/1.1/"/>
    <ds:schemaRef ds:uri="http://purl.org/dc/dcmitype/"/>
    <ds:schemaRef ds:uri="http://schemas.openxmlformats.org/package/2006/metadata/core-properties"/>
    <ds:schemaRef ds:uri="08ac90b3-f9a6-40e0-a813-043031b36e63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3AE57D-B6ED-4FE9-B244-34A695363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c90b3-f9a6-40e0-a813-043031b36e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1 - Con solver</vt:lpstr>
      <vt:lpstr>Tuberia en serie</vt:lpstr>
      <vt:lpstr>Ejercicio de comprobación</vt:lpstr>
      <vt:lpstr>Tuberia cuadrada</vt:lpstr>
      <vt:lpstr>Tubería en serie + accesorios</vt:lpstr>
      <vt:lpstr>Ejercicio de Diseño</vt:lpstr>
      <vt:lpstr>Paralelo sin accesorios 3 o +</vt:lpstr>
      <vt:lpstr>Paralelo con accesorios 3 o 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Usuario de Windows</cp:lastModifiedBy>
  <dcterms:created xsi:type="dcterms:W3CDTF">2021-08-09T15:34:45Z</dcterms:created>
  <dcterms:modified xsi:type="dcterms:W3CDTF">2022-03-07T17:18:04Z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0x01010030682D16E28CE24B8E308850920D464C</vt:lpwstr>
  </property>
</Properties>
</file>