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ownloads\"/>
    </mc:Choice>
  </mc:AlternateContent>
  <xr:revisionPtr revIDLastSave="0" documentId="13_ncr:1_{B77858F1-3269-405D-86A1-5058779D2033}" xr6:coauthVersionLast="44" xr6:coauthVersionMax="44" xr10:uidLastSave="{00000000-0000-0000-0000-000000000000}"/>
  <bookViews>
    <workbookView xWindow="28680" yWindow="-120" windowWidth="29040" windowHeight="15840" tabRatio="990" xr2:uid="{00000000-000D-0000-FFFF-FFFF00000000}"/>
  </bookViews>
  <sheets>
    <sheet name="cell counts" sheetId="1" r:id="rId1"/>
    <sheet name="connectivity" sheetId="2" r:id="rId2"/>
    <sheet name="Sheet2" sheetId="3" r:id="rId3"/>
    <sheet name="Sheet3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6" i="2" l="1"/>
  <c r="J56" i="2"/>
  <c r="I56" i="2"/>
  <c r="H56" i="2"/>
  <c r="G56" i="2"/>
  <c r="F56" i="2"/>
  <c r="E56" i="2"/>
  <c r="D56" i="2"/>
  <c r="C56" i="2"/>
  <c r="C54" i="2"/>
  <c r="M49" i="2"/>
  <c r="J49" i="2"/>
  <c r="I49" i="2"/>
  <c r="H49" i="2"/>
  <c r="G49" i="2"/>
  <c r="L49" i="2" s="1"/>
  <c r="F49" i="2"/>
  <c r="E49" i="2"/>
  <c r="D49" i="2"/>
  <c r="C49" i="2"/>
  <c r="J48" i="2"/>
  <c r="I48" i="2"/>
  <c r="H48" i="2"/>
  <c r="G48" i="2"/>
  <c r="L48" i="2" s="1"/>
  <c r="F48" i="2"/>
  <c r="M48" i="2" s="1"/>
  <c r="E48" i="2"/>
  <c r="D48" i="2"/>
  <c r="C48" i="2"/>
  <c r="M47" i="2"/>
  <c r="K47" i="2"/>
  <c r="J47" i="2"/>
  <c r="I47" i="2"/>
  <c r="H47" i="2"/>
  <c r="G47" i="2"/>
  <c r="F47" i="2"/>
  <c r="E47" i="2"/>
  <c r="D47" i="2"/>
  <c r="C47" i="2"/>
  <c r="L47" i="2" s="1"/>
  <c r="L46" i="2"/>
  <c r="K46" i="2"/>
  <c r="J46" i="2"/>
  <c r="I46" i="2"/>
  <c r="H46" i="2"/>
  <c r="G46" i="2"/>
  <c r="F46" i="2"/>
  <c r="M46" i="2" s="1"/>
  <c r="E46" i="2"/>
  <c r="D46" i="2"/>
  <c r="C46" i="2"/>
  <c r="J45" i="2"/>
  <c r="I45" i="2"/>
  <c r="H45" i="2"/>
  <c r="G45" i="2"/>
  <c r="F45" i="2"/>
  <c r="M45" i="2" s="1"/>
  <c r="E45" i="2"/>
  <c r="D45" i="2"/>
  <c r="C45" i="2"/>
  <c r="L45" i="2" s="1"/>
  <c r="L44" i="2"/>
  <c r="J44" i="2"/>
  <c r="I44" i="2"/>
  <c r="H44" i="2"/>
  <c r="M44" i="2" s="1"/>
  <c r="G44" i="2"/>
  <c r="F44" i="2"/>
  <c r="E44" i="2"/>
  <c r="D44" i="2"/>
  <c r="C44" i="2"/>
  <c r="K44" i="2" s="1"/>
  <c r="M43" i="2"/>
  <c r="L43" i="2"/>
  <c r="J43" i="2"/>
  <c r="I43" i="2"/>
  <c r="H43" i="2"/>
  <c r="G43" i="2"/>
  <c r="F43" i="2"/>
  <c r="E43" i="2"/>
  <c r="D43" i="2"/>
  <c r="C43" i="2"/>
  <c r="K43" i="2" s="1"/>
  <c r="K42" i="2"/>
  <c r="J42" i="2"/>
  <c r="I42" i="2"/>
  <c r="H42" i="2"/>
  <c r="G42" i="2"/>
  <c r="F42" i="2"/>
  <c r="E42" i="2"/>
  <c r="D42" i="2"/>
  <c r="M42" i="2" s="1"/>
  <c r="C42" i="2"/>
  <c r="L42" i="2" s="1"/>
  <c r="M39" i="2"/>
  <c r="J39" i="2"/>
  <c r="I39" i="2"/>
  <c r="H39" i="2"/>
  <c r="G39" i="2"/>
  <c r="F39" i="2"/>
  <c r="E39" i="2"/>
  <c r="D39" i="2"/>
  <c r="J38" i="2"/>
  <c r="M38" i="2" s="1"/>
  <c r="I38" i="2"/>
  <c r="H38" i="2"/>
  <c r="G38" i="2"/>
  <c r="F38" i="2"/>
  <c r="E38" i="2"/>
  <c r="D38" i="2"/>
  <c r="J37" i="2"/>
  <c r="I37" i="2"/>
  <c r="H37" i="2"/>
  <c r="G37" i="2"/>
  <c r="F37" i="2"/>
  <c r="E37" i="2"/>
  <c r="D37" i="2"/>
  <c r="M37" i="2" s="1"/>
  <c r="C37" i="2"/>
  <c r="L37" i="2" s="1"/>
  <c r="J36" i="2"/>
  <c r="I36" i="2"/>
  <c r="H36" i="2"/>
  <c r="G36" i="2"/>
  <c r="F36" i="2"/>
  <c r="E36" i="2"/>
  <c r="D36" i="2"/>
  <c r="M36" i="2" s="1"/>
  <c r="C36" i="2"/>
  <c r="L36" i="2" s="1"/>
  <c r="J35" i="2"/>
  <c r="I35" i="2"/>
  <c r="H35" i="2"/>
  <c r="G35" i="2"/>
  <c r="F35" i="2"/>
  <c r="E35" i="2"/>
  <c r="D35" i="2"/>
  <c r="M35" i="2" s="1"/>
  <c r="J34" i="2"/>
  <c r="I34" i="2"/>
  <c r="H34" i="2"/>
  <c r="G34" i="2"/>
  <c r="F34" i="2"/>
  <c r="E34" i="2"/>
  <c r="D34" i="2"/>
  <c r="M34" i="2" s="1"/>
  <c r="J33" i="2"/>
  <c r="I33" i="2"/>
  <c r="H33" i="2"/>
  <c r="G33" i="2"/>
  <c r="F33" i="2"/>
  <c r="E33" i="2"/>
  <c r="D33" i="2"/>
  <c r="M33" i="2" s="1"/>
  <c r="L32" i="2"/>
  <c r="J32" i="2"/>
  <c r="I32" i="2"/>
  <c r="H32" i="2"/>
  <c r="G32" i="2"/>
  <c r="F32" i="2"/>
  <c r="M32" i="2" s="1"/>
  <c r="E32" i="2"/>
  <c r="D32" i="2"/>
  <c r="C32" i="2"/>
  <c r="K32" i="2" s="1"/>
  <c r="C16" i="2"/>
  <c r="C34" i="2" s="1"/>
  <c r="L12" i="2"/>
  <c r="L10" i="2" s="1"/>
  <c r="M10" i="2" s="1"/>
  <c r="K12" i="2"/>
  <c r="F12" i="2"/>
  <c r="H12" i="2" s="1"/>
  <c r="E12" i="2"/>
  <c r="M11" i="2"/>
  <c r="L11" i="2"/>
  <c r="K11" i="2"/>
  <c r="H11" i="2"/>
  <c r="F11" i="2"/>
  <c r="G11" i="2" s="1"/>
  <c r="E11" i="2"/>
  <c r="E10" i="2"/>
  <c r="F10" i="2" s="1"/>
  <c r="E9" i="2"/>
  <c r="F9" i="2" s="1"/>
  <c r="D19" i="1"/>
  <c r="M18" i="1"/>
  <c r="L18" i="1"/>
  <c r="K18" i="1"/>
  <c r="N18" i="1" s="1"/>
  <c r="J18" i="1"/>
  <c r="M17" i="1"/>
  <c r="L17" i="1"/>
  <c r="K17" i="1"/>
  <c r="N17" i="1" s="1"/>
  <c r="J17" i="1"/>
  <c r="M16" i="1"/>
  <c r="L16" i="1"/>
  <c r="N16" i="1" s="1"/>
  <c r="K16" i="1"/>
  <c r="J16" i="1"/>
  <c r="M15" i="1"/>
  <c r="L15" i="1"/>
  <c r="K15" i="1"/>
  <c r="N15" i="1" s="1"/>
  <c r="J15" i="1"/>
  <c r="J14" i="1"/>
  <c r="F11" i="1"/>
  <c r="F17" i="1" s="1"/>
  <c r="H36" i="1" s="1"/>
  <c r="E11" i="1"/>
  <c r="E17" i="1" s="1"/>
  <c r="I36" i="1" l="1"/>
  <c r="J36" i="1" s="1"/>
  <c r="H9" i="2"/>
  <c r="G9" i="2"/>
  <c r="F13" i="2"/>
  <c r="H10" i="2"/>
  <c r="G10" i="2"/>
  <c r="G17" i="1"/>
  <c r="H45" i="1" s="1"/>
  <c r="H27" i="1"/>
  <c r="L34" i="2"/>
  <c r="K34" i="2"/>
  <c r="M12" i="2"/>
  <c r="E16" i="1"/>
  <c r="E18" i="1"/>
  <c r="C33" i="2"/>
  <c r="C39" i="2"/>
  <c r="K49" i="2"/>
  <c r="F16" i="1"/>
  <c r="H35" i="1" s="1"/>
  <c r="E14" i="1"/>
  <c r="K16" i="2"/>
  <c r="K37" i="2"/>
  <c r="C35" i="2"/>
  <c r="K45" i="2"/>
  <c r="F14" i="1"/>
  <c r="C38" i="2"/>
  <c r="K48" i="2"/>
  <c r="F18" i="1"/>
  <c r="H37" i="1" s="1"/>
  <c r="E15" i="1"/>
  <c r="F15" i="1"/>
  <c r="H34" i="1" s="1"/>
  <c r="K36" i="2"/>
  <c r="G12" i="2"/>
  <c r="L36" i="1" l="1"/>
  <c r="K36" i="1"/>
  <c r="M36" i="1"/>
  <c r="H28" i="1"/>
  <c r="G18" i="1"/>
  <c r="H46" i="1" s="1"/>
  <c r="F19" i="1"/>
  <c r="H38" i="1" s="1"/>
  <c r="H33" i="1"/>
  <c r="I34" i="1"/>
  <c r="J34" i="1" s="1"/>
  <c r="I45" i="1"/>
  <c r="J45" i="1" s="1"/>
  <c r="L35" i="2"/>
  <c r="K35" i="2"/>
  <c r="L39" i="2"/>
  <c r="K39" i="2"/>
  <c r="I37" i="1"/>
  <c r="J37" i="1" s="1"/>
  <c r="G13" i="2"/>
  <c r="H13" i="2"/>
  <c r="H24" i="1"/>
  <c r="E19" i="1"/>
  <c r="G14" i="1"/>
  <c r="H42" i="1" s="1"/>
  <c r="H26" i="1"/>
  <c r="G16" i="1"/>
  <c r="H44" i="1" s="1"/>
  <c r="L38" i="2"/>
  <c r="K38" i="2"/>
  <c r="L33" i="2"/>
  <c r="K33" i="2"/>
  <c r="G15" i="1"/>
  <c r="H43" i="1" s="1"/>
  <c r="H25" i="1"/>
  <c r="I27" i="1"/>
  <c r="J27" i="1" s="1"/>
  <c r="I35" i="1"/>
  <c r="J35" i="1" s="1"/>
  <c r="M37" i="1" l="1"/>
  <c r="L37" i="1"/>
  <c r="K37" i="1"/>
  <c r="N37" i="1" s="1"/>
  <c r="M35" i="1"/>
  <c r="K35" i="1"/>
  <c r="N35" i="1" s="1"/>
  <c r="L35" i="1"/>
  <c r="M27" i="1"/>
  <c r="L27" i="1"/>
  <c r="K27" i="1"/>
  <c r="N27" i="1" s="1"/>
  <c r="M45" i="1"/>
  <c r="L45" i="1"/>
  <c r="K45" i="1"/>
  <c r="N45" i="1" s="1"/>
  <c r="M34" i="1"/>
  <c r="L34" i="1"/>
  <c r="K34" i="1"/>
  <c r="J25" i="1"/>
  <c r="I25" i="1"/>
  <c r="I44" i="1"/>
  <c r="J44" i="1"/>
  <c r="I26" i="1"/>
  <c r="J26" i="1" s="1"/>
  <c r="I33" i="1"/>
  <c r="I38" i="1" s="1"/>
  <c r="I28" i="1"/>
  <c r="J28" i="1" s="1"/>
  <c r="I43" i="1"/>
  <c r="J43" i="1" s="1"/>
  <c r="I46" i="1"/>
  <c r="J46" i="1" s="1"/>
  <c r="N36" i="1"/>
  <c r="I42" i="1"/>
  <c r="I47" i="1" s="1"/>
  <c r="H29" i="1"/>
  <c r="G19" i="1"/>
  <c r="H47" i="1" s="1"/>
  <c r="I24" i="1"/>
  <c r="J24" i="1"/>
  <c r="K46" i="1" l="1"/>
  <c r="M46" i="1"/>
  <c r="L46" i="1"/>
  <c r="M43" i="1"/>
  <c r="L43" i="1"/>
  <c r="K43" i="1"/>
  <c r="M28" i="1"/>
  <c r="L28" i="1"/>
  <c r="K28" i="1"/>
  <c r="N28" i="1" s="1"/>
  <c r="L26" i="1"/>
  <c r="K26" i="1"/>
  <c r="M26" i="1"/>
  <c r="M25" i="1"/>
  <c r="L25" i="1"/>
  <c r="K25" i="1"/>
  <c r="J33" i="1"/>
  <c r="N34" i="1"/>
  <c r="J42" i="1"/>
  <c r="M24" i="1"/>
  <c r="J29" i="1"/>
  <c r="L24" i="1"/>
  <c r="K24" i="1"/>
  <c r="I29" i="1"/>
  <c r="M44" i="1"/>
  <c r="L44" i="1"/>
  <c r="K44" i="1"/>
  <c r="N44" i="1" s="1"/>
  <c r="M33" i="1" l="1"/>
  <c r="M38" i="1" s="1"/>
  <c r="J38" i="1"/>
  <c r="L33" i="1"/>
  <c r="L38" i="1" s="1"/>
  <c r="K33" i="1"/>
  <c r="K38" i="1" s="1"/>
  <c r="N38" i="1" s="1"/>
  <c r="N26" i="1"/>
  <c r="K29" i="1"/>
  <c r="N25" i="1"/>
  <c r="N43" i="1"/>
  <c r="L29" i="1"/>
  <c r="M29" i="1"/>
  <c r="K42" i="1"/>
  <c r="K47" i="1" s="1"/>
  <c r="N42" i="1"/>
  <c r="J47" i="1"/>
  <c r="M42" i="1"/>
  <c r="M47" i="1" s="1"/>
  <c r="L42" i="1"/>
  <c r="L47" i="1" s="1"/>
  <c r="N46" i="1"/>
  <c r="N47" i="1" l="1"/>
  <c r="N29" i="1"/>
</calcChain>
</file>

<file path=xl/sharedStrings.xml><?xml version="1.0" encoding="utf-8"?>
<sst xmlns="http://schemas.openxmlformats.org/spreadsheetml/2006/main" count="157" uniqueCount="80">
  <si>
    <t xml:space="preserve">Domain geometry and cell counts for VisP column model </t>
  </si>
  <si>
    <t>Notes:</t>
  </si>
  <si>
    <t>Cell densities are from Shuz &amp; Palm (1989)</t>
  </si>
  <si>
    <t>Layer thicknesses are measured by Nathan from Brain Atlas</t>
  </si>
  <si>
    <t>E fraction is assumed at 85%</t>
  </si>
  <si>
    <t>Data for L23 is an average of layer 2 and 3 when available</t>
  </si>
  <si>
    <t>Fraction of inhbitory cells are from Lee et al. (2010)</t>
  </si>
  <si>
    <t>Domain -  right circular cylinder with a core including biophysically detailed cells and perifery including intfire cell models</t>
  </si>
  <si>
    <t>Domain</t>
  </si>
  <si>
    <t xml:space="preserve">core </t>
  </si>
  <si>
    <t>perifery</t>
  </si>
  <si>
    <t>radius (mm)</t>
  </si>
  <si>
    <t>area (mm^2)</t>
  </si>
  <si>
    <t>fraction of each within inhibitory</t>
  </si>
  <si>
    <t>layer</t>
  </si>
  <si>
    <t>density (#/mm^3)</t>
  </si>
  <si>
    <t>median thickness (um)</t>
  </si>
  <si>
    <t># of cells core</t>
  </si>
  <si>
    <t># of cells perifery</t>
  </si>
  <si>
    <t># of cell both</t>
  </si>
  <si>
    <t>exc frac</t>
  </si>
  <si>
    <t>inh frac</t>
  </si>
  <si>
    <t xml:space="preserve">PV </t>
  </si>
  <si>
    <t>SST</t>
  </si>
  <si>
    <t>5HT3a</t>
  </si>
  <si>
    <t>Total</t>
  </si>
  <si>
    <t>total</t>
  </si>
  <si>
    <t>Biophysically detailed cells within a core</t>
  </si>
  <si>
    <t># of cells</t>
  </si>
  <si>
    <t>excitatory</t>
  </si>
  <si>
    <t>inhibitory</t>
  </si>
  <si>
    <t>PV</t>
  </si>
  <si>
    <t>Total inh</t>
  </si>
  <si>
    <t>desired</t>
  </si>
  <si>
    <t>Cux2:80%, noCux2:20%</t>
  </si>
  <si>
    <t>Scnn1a:30%, Rorb:26%, Nr5a1:12%</t>
  </si>
  <si>
    <t>Rbp4:80%, noRbp4: 20%</t>
  </si>
  <si>
    <t>Ntsr1:80%, noNtsr:20%</t>
  </si>
  <si>
    <t>IntFire cells on a perifery</t>
  </si>
  <si>
    <t>used</t>
  </si>
  <si>
    <t>Cux2:100%, noCux2:0%</t>
  </si>
  <si>
    <t>Rbp4:80% noRbp4:20%</t>
  </si>
  <si>
    <t>Ntsr1:100%, noNtsr:0%</t>
  </si>
  <si>
    <t>IntFire and Biophysical cells</t>
  </si>
  <si>
    <t>This</t>
  </si>
  <si>
    <t>frac2model</t>
  </si>
  <si>
    <t>Shuz &amp; Palm:</t>
  </si>
  <si>
    <t>density(#/mm^3)</t>
  </si>
  <si>
    <t>depth (um)</t>
  </si>
  <si>
    <t># of cell (0.5nmm2)</t>
  </si>
  <si>
    <t># modeled</t>
  </si>
  <si>
    <t>e cells</t>
  </si>
  <si>
    <t>i cells</t>
  </si>
  <si>
    <t>local (0.5 mm2)</t>
  </si>
  <si>
    <t>modeled</t>
  </si>
  <si>
    <t># syns</t>
  </si>
  <si>
    <t>ex</t>
  </si>
  <si>
    <t>inh</t>
  </si>
  <si>
    <t>23e</t>
  </si>
  <si>
    <t>23i</t>
  </si>
  <si>
    <t>4e</t>
  </si>
  <si>
    <t>4i</t>
  </si>
  <si>
    <t>5e</t>
  </si>
  <si>
    <t>5i</t>
  </si>
  <si>
    <t>6e</t>
  </si>
  <si>
    <t>6i</t>
  </si>
  <si>
    <t>cell # (modeled)</t>
  </si>
  <si>
    <t>cell # (P&amp;D)</t>
  </si>
  <si>
    <t>P&amp;D connectivity</t>
  </si>
  <si>
    <t>sources</t>
  </si>
  <si>
    <t>2/3e</t>
  </si>
  <si>
    <t>2/3i</t>
  </si>
  <si>
    <t>targets</t>
  </si>
  <si>
    <t>conv syns in mouse 0.5 mm^2</t>
  </si>
  <si>
    <t>all syns</t>
  </si>
  <si>
    <t>e syns</t>
  </si>
  <si>
    <t>i syns</t>
  </si>
  <si>
    <t>P&amp;D synapses</t>
  </si>
  <si>
    <t>total:</t>
  </si>
  <si>
    <t># of segs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</si>
</sst>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CCC1DA"/>
        <bgColor rgb="FFC3D69B"/>
      </patternFill>
    </fill>
    <fill>
      <patternFill patternType="solid">
        <fgColor rgb="FFFFFFFF"/>
        <bgColor rgb="FFFFFFCC"/>
      </patternFill>
    </fill>
    <fill>
      <patternFill patternType="solid">
        <fgColor rgb="FF47B8B8"/>
        <bgColor rgb="FF339966"/>
      </patternFill>
    </fill>
    <fill>
      <patternFill patternType="solid">
        <fgColor rgb="FFFCD5B5"/>
        <bgColor rgb="FFC3D69B"/>
      </patternFill>
    </fill>
    <fill>
      <patternFill patternType="solid">
        <fgColor rgb="FFC3D69B"/>
        <bgColor rgb="FFCCC1DA"/>
      </patternFill>
    </fill>
    <fill>
      <patternFill patternType="solid">
        <fgColor rgb="FF93CDDD"/>
        <bgColor rgb="FFCCC1DA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2" xfId="0" applyFont="1" applyFill="1" applyBorder="1"/>
    <xf numFmtId="0" fontId="0" fillId="7" borderId="0" xfId="0" applyFont="1" applyFill="1"/>
    <xf numFmtId="0" fontId="0" fillId="0" borderId="3" xfId="0" applyFont="1" applyBorder="1"/>
    <xf numFmtId="0" fontId="0" fillId="0" borderId="4" xfId="0" applyBorder="1"/>
    <xf numFmtId="0" fontId="0" fillId="2" borderId="3" xfId="0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Border="1"/>
    <xf numFmtId="0" fontId="0" fillId="0" borderId="13" xfId="0" applyFont="1" applyBorder="1"/>
    <xf numFmtId="0" fontId="0" fillId="0" borderId="14" xfId="0" applyBorder="1"/>
    <xf numFmtId="0" fontId="0" fillId="0" borderId="15" xfId="0" applyBorder="1"/>
    <xf numFmtId="0" fontId="0" fillId="2" borderId="16" xfId="0" applyFont="1" applyFill="1" applyBorder="1"/>
    <xf numFmtId="0" fontId="0" fillId="8" borderId="17" xfId="0" applyFill="1" applyBorder="1"/>
    <xf numFmtId="0" fontId="1" fillId="8" borderId="18" xfId="0" applyFont="1" applyFill="1" applyBorder="1"/>
    <xf numFmtId="0" fontId="1" fillId="8" borderId="19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0" fillId="0" borderId="22" xfId="0" applyBorder="1"/>
    <xf numFmtId="0" fontId="1" fillId="8" borderId="23" xfId="0" applyFont="1" applyFill="1" applyBorder="1"/>
    <xf numFmtId="0" fontId="0" fillId="0" borderId="24" xfId="0" applyBorder="1"/>
    <xf numFmtId="0" fontId="0" fillId="0" borderId="25" xfId="0" applyBorder="1"/>
    <xf numFmtId="0" fontId="0" fillId="9" borderId="26" xfId="0" applyFill="1" applyBorder="1"/>
    <xf numFmtId="0" fontId="1" fillId="9" borderId="27" xfId="0" applyFont="1" applyFill="1" applyBorder="1"/>
    <xf numFmtId="0" fontId="1" fillId="9" borderId="28" xfId="0" applyFont="1" applyFill="1" applyBorder="1"/>
    <xf numFmtId="0" fontId="1" fillId="9" borderId="29" xfId="0" applyFont="1" applyFill="1" applyBorder="1"/>
    <xf numFmtId="0" fontId="0" fillId="10" borderId="1" xfId="0" applyFont="1" applyFill="1" applyBorder="1"/>
    <xf numFmtId="0" fontId="1" fillId="9" borderId="17" xfId="0" applyFont="1" applyFill="1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30" xfId="0" applyNumberFormat="1" applyBorder="1"/>
    <xf numFmtId="0" fontId="1" fillId="9" borderId="21" xfId="0" applyFont="1" applyFill="1" applyBorder="1"/>
    <xf numFmtId="1" fontId="0" fillId="2" borderId="30" xfId="0" applyNumberFormat="1" applyFill="1" applyBorder="1"/>
    <xf numFmtId="0" fontId="1" fillId="9" borderId="23" xfId="0" applyFont="1" applyFill="1" applyBorder="1"/>
    <xf numFmtId="0" fontId="0" fillId="0" borderId="7" xfId="0" applyBorder="1"/>
    <xf numFmtId="0" fontId="1" fillId="8" borderId="17" xfId="0" applyFont="1" applyFill="1" applyBorder="1"/>
    <xf numFmtId="1" fontId="0" fillId="0" borderId="18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1" fontId="0" fillId="0" borderId="24" xfId="0" applyNumberFormat="1" applyBorder="1"/>
    <xf numFmtId="1" fontId="0" fillId="0" borderId="14" xfId="0" applyNumberFormat="1" applyBorder="1"/>
    <xf numFmtId="1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CD5B5"/>
      <rgbColor rgb="FF3366FF"/>
      <rgbColor rgb="FF47B8B8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7"/>
  <sheetViews>
    <sheetView tabSelected="1" topLeftCell="A7" zoomScaleNormal="100" workbookViewId="0">
      <selection activeCell="F51" sqref="F51"/>
    </sheetView>
  </sheetViews>
  <sheetFormatPr defaultRowHeight="12.75" x14ac:dyDescent="0.2"/>
  <cols>
    <col min="1" max="3" width="8.42578125"/>
    <col min="4" max="4" width="24.140625" customWidth="1"/>
    <col min="5" max="5" width="22.28515625" customWidth="1"/>
    <col min="6" max="6" width="20.85546875" customWidth="1"/>
    <col min="7" max="7" width="21" customWidth="1"/>
    <col min="8" max="8" width="10.85546875"/>
    <col min="9" max="9" width="10"/>
    <col min="10" max="10" width="11.85546875"/>
    <col min="11" max="1025" width="8.42578125"/>
  </cols>
  <sheetData>
    <row r="1" spans="2:14" x14ac:dyDescent="0.2">
      <c r="B1" s="1" t="s">
        <v>0</v>
      </c>
    </row>
    <row r="2" spans="2:14" x14ac:dyDescent="0.2">
      <c r="B2" t="s">
        <v>1</v>
      </c>
      <c r="C2" t="s">
        <v>2</v>
      </c>
    </row>
    <row r="3" spans="2:14" x14ac:dyDescent="0.2">
      <c r="C3" t="s">
        <v>3</v>
      </c>
    </row>
    <row r="4" spans="2:14" x14ac:dyDescent="0.2">
      <c r="C4" t="s">
        <v>4</v>
      </c>
    </row>
    <row r="5" spans="2:14" x14ac:dyDescent="0.2">
      <c r="C5" t="s">
        <v>5</v>
      </c>
    </row>
    <row r="6" spans="2:14" x14ac:dyDescent="0.2">
      <c r="C6" t="s">
        <v>6</v>
      </c>
    </row>
    <row r="7" spans="2:14" x14ac:dyDescent="0.2">
      <c r="C7" t="s">
        <v>7</v>
      </c>
    </row>
    <row r="9" spans="2:14" x14ac:dyDescent="0.2">
      <c r="D9" s="2" t="s">
        <v>8</v>
      </c>
      <c r="E9" s="2" t="s">
        <v>9</v>
      </c>
      <c r="F9" s="2" t="s">
        <v>10</v>
      </c>
      <c r="G9" s="3"/>
    </row>
    <row r="10" spans="2:14" x14ac:dyDescent="0.2">
      <c r="D10" s="2" t="s">
        <v>11</v>
      </c>
      <c r="E10" s="4">
        <v>0.4</v>
      </c>
      <c r="F10" s="4">
        <v>0.84499999999999997</v>
      </c>
      <c r="G10" s="5"/>
    </row>
    <row r="11" spans="2:14" x14ac:dyDescent="0.2">
      <c r="D11" s="2" t="s">
        <v>12</v>
      </c>
      <c r="E11" s="4">
        <f>E10^2*PI()</f>
        <v>0.50265482457436694</v>
      </c>
      <c r="F11" s="4">
        <f>(F10^2-E10^2)*PI()</f>
        <v>1.7405208699050847</v>
      </c>
      <c r="G11" s="5"/>
      <c r="K11" s="1" t="s">
        <v>13</v>
      </c>
    </row>
    <row r="13" spans="2:14" ht="15.6" customHeight="1" x14ac:dyDescent="0.2"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I13" s="7" t="s">
        <v>20</v>
      </c>
      <c r="J13" s="8" t="s">
        <v>21</v>
      </c>
      <c r="K13" s="9" t="s">
        <v>22</v>
      </c>
      <c r="L13" s="9" t="s">
        <v>23</v>
      </c>
      <c r="M13" s="9" t="s">
        <v>24</v>
      </c>
      <c r="N13" s="9" t="s">
        <v>25</v>
      </c>
    </row>
    <row r="14" spans="2:14" ht="15.6" customHeight="1" x14ac:dyDescent="0.2">
      <c r="B14" s="6">
        <v>1</v>
      </c>
      <c r="C14" s="4">
        <v>0</v>
      </c>
      <c r="D14" s="4">
        <v>100</v>
      </c>
      <c r="E14" s="4">
        <f>ROUND(C14*D14*$E$11*0.001,0)</f>
        <v>0</v>
      </c>
      <c r="F14" s="4">
        <f>ROUND(C14*D14*$F$11*0.001,0)</f>
        <v>0</v>
      </c>
      <c r="G14" s="4">
        <f t="shared" ref="G14:G19" si="0">SUM(E14+F14)</f>
        <v>0</v>
      </c>
      <c r="I14" s="4">
        <v>0.85</v>
      </c>
      <c r="J14" s="4">
        <f>1-I14</f>
        <v>0.15000000000000002</v>
      </c>
      <c r="K14" s="10"/>
      <c r="L14" s="4"/>
      <c r="M14" s="4"/>
      <c r="N14" s="4"/>
    </row>
    <row r="15" spans="2:14" x14ac:dyDescent="0.2">
      <c r="B15" s="6">
        <v>23</v>
      </c>
      <c r="C15" s="4">
        <v>140000</v>
      </c>
      <c r="D15" s="4">
        <v>210</v>
      </c>
      <c r="E15" s="4">
        <f>ROUND(C15*D15*$E$11*0.001,0)</f>
        <v>14778</v>
      </c>
      <c r="F15" s="4">
        <f>ROUND(C15*D15*$F$11*0.001,0)</f>
        <v>51171</v>
      </c>
      <c r="G15" s="4">
        <f t="shared" si="0"/>
        <v>65949</v>
      </c>
      <c r="I15" s="4">
        <v>0.85</v>
      </c>
      <c r="J15" s="4">
        <f>1-I15</f>
        <v>0.15000000000000002</v>
      </c>
      <c r="K15" s="10">
        <f>29/98</f>
        <v>0.29591836734693877</v>
      </c>
      <c r="L15" s="4">
        <f>21/98</f>
        <v>0.21428571428571427</v>
      </c>
      <c r="M15" s="4">
        <f>48/98</f>
        <v>0.48979591836734693</v>
      </c>
      <c r="N15" s="4">
        <f>SUM(K15:M15)</f>
        <v>1</v>
      </c>
    </row>
    <row r="16" spans="2:14" x14ac:dyDescent="0.2">
      <c r="B16" s="6">
        <v>4</v>
      </c>
      <c r="C16" s="4">
        <v>200000</v>
      </c>
      <c r="D16" s="4">
        <v>120</v>
      </c>
      <c r="E16" s="4">
        <f>ROUND(C16*D16*$E$11*0.001,0)</f>
        <v>12064</v>
      </c>
      <c r="F16" s="4">
        <f>ROUND(C16*D16*$F$11*0.001,0)</f>
        <v>41773</v>
      </c>
      <c r="G16" s="4">
        <f t="shared" si="0"/>
        <v>53837</v>
      </c>
      <c r="I16" s="4">
        <v>0.85</v>
      </c>
      <c r="J16" s="4">
        <f>1-I16</f>
        <v>0.15000000000000002</v>
      </c>
      <c r="K16" s="10">
        <f>58/105</f>
        <v>0.55238095238095242</v>
      </c>
      <c r="L16" s="4">
        <f>31/105</f>
        <v>0.29523809523809524</v>
      </c>
      <c r="M16" s="4">
        <f>16/105</f>
        <v>0.15238095238095239</v>
      </c>
      <c r="N16" s="4">
        <f>SUM(K16:M16)</f>
        <v>1</v>
      </c>
    </row>
    <row r="17" spans="2:14" x14ac:dyDescent="0.2">
      <c r="B17" s="6">
        <v>5</v>
      </c>
      <c r="C17" s="4">
        <v>80000</v>
      </c>
      <c r="D17" s="4">
        <v>220</v>
      </c>
      <c r="E17" s="4">
        <f>ROUND(C17*D17*$E$11*0.001,0)</f>
        <v>8847</v>
      </c>
      <c r="F17" s="4">
        <f>ROUND(C17*D17*$F$11*0.001,0)</f>
        <v>30633</v>
      </c>
      <c r="G17" s="4">
        <f t="shared" si="0"/>
        <v>39480</v>
      </c>
      <c r="I17" s="4">
        <v>0.85</v>
      </c>
      <c r="J17" s="4">
        <f>1-I17</f>
        <v>0.15000000000000002</v>
      </c>
      <c r="K17" s="10">
        <f>51/105</f>
        <v>0.48571428571428571</v>
      </c>
      <c r="L17" s="4">
        <f>45/105</f>
        <v>0.42857142857142855</v>
      </c>
      <c r="M17" s="4">
        <f>9/105</f>
        <v>8.5714285714285715E-2</v>
      </c>
      <c r="N17" s="4">
        <f>SUM(K17:M17)</f>
        <v>1</v>
      </c>
    </row>
    <row r="18" spans="2:14" x14ac:dyDescent="0.2">
      <c r="B18" s="6">
        <v>6</v>
      </c>
      <c r="C18" s="4">
        <v>150000</v>
      </c>
      <c r="D18" s="4">
        <v>200</v>
      </c>
      <c r="E18" s="4">
        <f>ROUND(C18*D18*$E$11*0.001,0)</f>
        <v>15080</v>
      </c>
      <c r="F18" s="4">
        <f>ROUND(C18*D18*$F$11*0.001,0)</f>
        <v>52216</v>
      </c>
      <c r="G18" s="4">
        <f t="shared" si="0"/>
        <v>67296</v>
      </c>
      <c r="I18" s="4">
        <v>0.85</v>
      </c>
      <c r="J18" s="4">
        <f>1-I18</f>
        <v>0.15000000000000002</v>
      </c>
      <c r="K18" s="10">
        <f>44/96</f>
        <v>0.45833333333333331</v>
      </c>
      <c r="L18" s="4">
        <f>44/96</f>
        <v>0.45833333333333331</v>
      </c>
      <c r="M18" s="4">
        <f>8/96</f>
        <v>8.3333333333333329E-2</v>
      </c>
      <c r="N18" s="4">
        <f>SUM(K18:M18)</f>
        <v>1</v>
      </c>
    </row>
    <row r="19" spans="2:14" x14ac:dyDescent="0.2">
      <c r="B19" s="6" t="s">
        <v>26</v>
      </c>
      <c r="C19" s="4"/>
      <c r="D19" s="4">
        <f>SUM(D14:D18)</f>
        <v>850</v>
      </c>
      <c r="E19" s="4">
        <f>SUM(E14:E18)</f>
        <v>50769</v>
      </c>
      <c r="F19" s="4">
        <f>SUM(F14:F18)</f>
        <v>175793</v>
      </c>
      <c r="G19" s="4">
        <f t="shared" si="0"/>
        <v>226562</v>
      </c>
      <c r="I19" s="5"/>
      <c r="J19" s="5"/>
      <c r="K19" s="5"/>
      <c r="L19" s="5"/>
      <c r="M19" s="5"/>
      <c r="N19" s="5"/>
    </row>
    <row r="22" spans="2:14" x14ac:dyDescent="0.2">
      <c r="G22" s="1" t="s">
        <v>27</v>
      </c>
    </row>
    <row r="23" spans="2:14" x14ac:dyDescent="0.2">
      <c r="G23" s="6" t="s">
        <v>14</v>
      </c>
      <c r="H23" s="2" t="s">
        <v>28</v>
      </c>
      <c r="I23" s="7" t="s">
        <v>29</v>
      </c>
      <c r="J23" s="8" t="s">
        <v>30</v>
      </c>
      <c r="K23" s="9" t="s">
        <v>31</v>
      </c>
      <c r="L23" s="9" t="s">
        <v>23</v>
      </c>
      <c r="M23" s="9" t="s">
        <v>24</v>
      </c>
      <c r="N23" s="9" t="s">
        <v>32</v>
      </c>
    </row>
    <row r="24" spans="2:14" x14ac:dyDescent="0.2">
      <c r="B24" s="11" t="s">
        <v>14</v>
      </c>
      <c r="C24" s="12" t="s">
        <v>33</v>
      </c>
      <c r="G24" s="6">
        <v>1</v>
      </c>
      <c r="H24" s="4">
        <f t="shared" ref="H24:H29" si="1">E14</f>
        <v>0</v>
      </c>
      <c r="I24" s="4">
        <f>ROUND(H24*I14,0)</f>
        <v>0</v>
      </c>
      <c r="J24" s="4">
        <f>H24-I24</f>
        <v>0</v>
      </c>
      <c r="K24" s="4">
        <f t="shared" ref="K24:M28" si="2">ROUND($J24*K14,0)</f>
        <v>0</v>
      </c>
      <c r="L24" s="4">
        <f t="shared" si="2"/>
        <v>0</v>
      </c>
      <c r="M24" s="4">
        <f t="shared" si="2"/>
        <v>0</v>
      </c>
      <c r="N24" s="4"/>
    </row>
    <row r="25" spans="2:14" x14ac:dyDescent="0.2">
      <c r="B25" s="11">
        <v>23</v>
      </c>
      <c r="C25" t="s">
        <v>34</v>
      </c>
      <c r="G25" s="6">
        <v>23</v>
      </c>
      <c r="H25" s="4">
        <f t="shared" si="1"/>
        <v>14778</v>
      </c>
      <c r="I25" s="4">
        <f>ROUND(H25*I15,0)</f>
        <v>12561</v>
      </c>
      <c r="J25" s="4">
        <f>H25-I25</f>
        <v>2217</v>
      </c>
      <c r="K25" s="4">
        <f t="shared" si="2"/>
        <v>656</v>
      </c>
      <c r="L25" s="4">
        <f t="shared" si="2"/>
        <v>475</v>
      </c>
      <c r="M25" s="4">
        <f t="shared" si="2"/>
        <v>1086</v>
      </c>
      <c r="N25" s="4">
        <f>SUM(K25:M25)</f>
        <v>2217</v>
      </c>
    </row>
    <row r="26" spans="2:14" x14ac:dyDescent="0.2">
      <c r="B26" s="11">
        <v>4</v>
      </c>
      <c r="C26" t="s">
        <v>35</v>
      </c>
      <c r="G26" s="6">
        <v>4</v>
      </c>
      <c r="H26" s="4">
        <f t="shared" si="1"/>
        <v>12064</v>
      </c>
      <c r="I26" s="4">
        <f>ROUND(H26*I16,0)</f>
        <v>10254</v>
      </c>
      <c r="J26" s="4">
        <f>H26-I26</f>
        <v>1810</v>
      </c>
      <c r="K26" s="4">
        <f t="shared" si="2"/>
        <v>1000</v>
      </c>
      <c r="L26" s="4">
        <f t="shared" si="2"/>
        <v>534</v>
      </c>
      <c r="M26" s="4">
        <f t="shared" si="2"/>
        <v>276</v>
      </c>
      <c r="N26" s="4">
        <f>SUM(K26:M26)</f>
        <v>1810</v>
      </c>
    </row>
    <row r="27" spans="2:14" x14ac:dyDescent="0.2">
      <c r="B27" s="11">
        <v>5</v>
      </c>
      <c r="C27" t="s">
        <v>36</v>
      </c>
      <c r="G27" s="6">
        <v>5</v>
      </c>
      <c r="H27" s="4">
        <f t="shared" si="1"/>
        <v>8847</v>
      </c>
      <c r="I27" s="4">
        <f>ROUND(H27*I17,0)</f>
        <v>7520</v>
      </c>
      <c r="J27" s="4">
        <f>H27-I27</f>
        <v>1327</v>
      </c>
      <c r="K27" s="4">
        <f t="shared" si="2"/>
        <v>645</v>
      </c>
      <c r="L27" s="4">
        <f t="shared" si="2"/>
        <v>569</v>
      </c>
      <c r="M27" s="4">
        <f t="shared" si="2"/>
        <v>114</v>
      </c>
      <c r="N27" s="4">
        <f>SUM(K27:M27)</f>
        <v>1328</v>
      </c>
    </row>
    <row r="28" spans="2:14" x14ac:dyDescent="0.2">
      <c r="B28" s="11">
        <v>6</v>
      </c>
      <c r="C28" t="s">
        <v>37</v>
      </c>
      <c r="G28" s="6">
        <v>6</v>
      </c>
      <c r="H28" s="4">
        <f t="shared" si="1"/>
        <v>15080</v>
      </c>
      <c r="I28" s="4">
        <f>ROUND(H28*I18,0)</f>
        <v>12818</v>
      </c>
      <c r="J28" s="4">
        <f>H28-I28</f>
        <v>2262</v>
      </c>
      <c r="K28" s="4">
        <f t="shared" si="2"/>
        <v>1037</v>
      </c>
      <c r="L28" s="4">
        <f t="shared" si="2"/>
        <v>1037</v>
      </c>
      <c r="M28" s="4">
        <f t="shared" si="2"/>
        <v>189</v>
      </c>
      <c r="N28" s="4">
        <f>SUM(K28:M28)</f>
        <v>2263</v>
      </c>
    </row>
    <row r="29" spans="2:14" x14ac:dyDescent="0.2">
      <c r="G29" s="6" t="s">
        <v>26</v>
      </c>
      <c r="H29" s="4">
        <f t="shared" si="1"/>
        <v>50769</v>
      </c>
      <c r="I29" s="4">
        <f>SUM(I24:I28)</f>
        <v>43153</v>
      </c>
      <c r="J29" s="4">
        <f>SUM(J24:J28)</f>
        <v>7616</v>
      </c>
      <c r="K29" s="4">
        <f>SUM(K24:K28)</f>
        <v>3338</v>
      </c>
      <c r="L29" s="4">
        <f>SUM(L24:L28)</f>
        <v>2615</v>
      </c>
      <c r="M29" s="4">
        <f>SUM(M24:M28)</f>
        <v>1665</v>
      </c>
      <c r="N29" s="4">
        <f>SUM(K29:M29)</f>
        <v>7618</v>
      </c>
    </row>
    <row r="30" spans="2:14" x14ac:dyDescent="0.2">
      <c r="G30" s="3"/>
      <c r="H30" s="5"/>
      <c r="I30" s="5"/>
      <c r="J30" s="5"/>
      <c r="K30" s="5"/>
      <c r="L30" s="5"/>
      <c r="M30" s="5"/>
    </row>
    <row r="31" spans="2:14" x14ac:dyDescent="0.2">
      <c r="G31" s="1" t="s">
        <v>38</v>
      </c>
    </row>
    <row r="32" spans="2:14" x14ac:dyDescent="0.2">
      <c r="B32" s="11" t="s">
        <v>14</v>
      </c>
      <c r="C32" s="12" t="s">
        <v>39</v>
      </c>
      <c r="G32" s="6" t="s">
        <v>14</v>
      </c>
      <c r="H32" s="2" t="s">
        <v>28</v>
      </c>
      <c r="I32" s="7" t="s">
        <v>29</v>
      </c>
      <c r="J32" s="8" t="s">
        <v>30</v>
      </c>
      <c r="K32" s="9" t="s">
        <v>31</v>
      </c>
      <c r="L32" s="9" t="s">
        <v>23</v>
      </c>
      <c r="M32" s="9" t="s">
        <v>24</v>
      </c>
      <c r="N32" s="9" t="s">
        <v>32</v>
      </c>
    </row>
    <row r="33" spans="2:14" x14ac:dyDescent="0.2">
      <c r="B33" s="11">
        <v>23</v>
      </c>
      <c r="C33" t="s">
        <v>40</v>
      </c>
      <c r="G33" s="6">
        <v>1</v>
      </c>
      <c r="H33" s="4">
        <f t="shared" ref="H33:H38" si="3">F14</f>
        <v>0</v>
      </c>
      <c r="I33" s="4">
        <f>ROUND(H33*I14,0)</f>
        <v>0</v>
      </c>
      <c r="J33" s="4">
        <f>H33-I33</f>
        <v>0</v>
      </c>
      <c r="K33" s="4">
        <f t="shared" ref="K33:M37" si="4">ROUND($J33*K14,0)</f>
        <v>0</v>
      </c>
      <c r="L33" s="4">
        <f t="shared" si="4"/>
        <v>0</v>
      </c>
      <c r="M33" s="4">
        <f t="shared" si="4"/>
        <v>0</v>
      </c>
      <c r="N33" s="4"/>
    </row>
    <row r="34" spans="2:14" x14ac:dyDescent="0.2">
      <c r="B34" s="11">
        <v>4</v>
      </c>
      <c r="C34" t="s">
        <v>35</v>
      </c>
      <c r="G34" s="6">
        <v>23</v>
      </c>
      <c r="H34" s="4">
        <f t="shared" si="3"/>
        <v>51171</v>
      </c>
      <c r="I34" s="4">
        <f>ROUND(H34*I15,0)</f>
        <v>43495</v>
      </c>
      <c r="J34" s="4">
        <f>H34-I34</f>
        <v>7676</v>
      </c>
      <c r="K34" s="4">
        <f t="shared" si="4"/>
        <v>2271</v>
      </c>
      <c r="L34" s="4">
        <f t="shared" si="4"/>
        <v>1645</v>
      </c>
      <c r="M34" s="4">
        <f t="shared" si="4"/>
        <v>3760</v>
      </c>
      <c r="N34" s="4">
        <f>SUM(K34:M34)</f>
        <v>7676</v>
      </c>
    </row>
    <row r="35" spans="2:14" x14ac:dyDescent="0.2">
      <c r="B35" s="11">
        <v>5</v>
      </c>
      <c r="C35" t="s">
        <v>41</v>
      </c>
      <c r="G35" s="6">
        <v>4</v>
      </c>
      <c r="H35" s="4">
        <f t="shared" si="3"/>
        <v>41773</v>
      </c>
      <c r="I35" s="4">
        <f>ROUND(H35*I16,0)</f>
        <v>35507</v>
      </c>
      <c r="J35" s="4">
        <f>H35-I35</f>
        <v>6266</v>
      </c>
      <c r="K35" s="4">
        <f t="shared" si="4"/>
        <v>3461</v>
      </c>
      <c r="L35" s="4">
        <f t="shared" si="4"/>
        <v>1850</v>
      </c>
      <c r="M35" s="4">
        <f t="shared" si="4"/>
        <v>955</v>
      </c>
      <c r="N35" s="4">
        <f>SUM(K35:M35)</f>
        <v>6266</v>
      </c>
    </row>
    <row r="36" spans="2:14" x14ac:dyDescent="0.2">
      <c r="B36" s="11">
        <v>6</v>
      </c>
      <c r="C36" t="s">
        <v>42</v>
      </c>
      <c r="G36" s="6">
        <v>5</v>
      </c>
      <c r="H36" s="4">
        <f t="shared" si="3"/>
        <v>30633</v>
      </c>
      <c r="I36" s="4">
        <f>ROUND(H36*I17,0)</f>
        <v>26038</v>
      </c>
      <c r="J36" s="4">
        <f>H36-I36</f>
        <v>4595</v>
      </c>
      <c r="K36" s="4">
        <f t="shared" si="4"/>
        <v>2232</v>
      </c>
      <c r="L36" s="4">
        <f t="shared" si="4"/>
        <v>1969</v>
      </c>
      <c r="M36" s="4">
        <f t="shared" si="4"/>
        <v>394</v>
      </c>
      <c r="N36" s="4">
        <f>SUM(K36:M36)</f>
        <v>4595</v>
      </c>
    </row>
    <row r="37" spans="2:14" x14ac:dyDescent="0.2">
      <c r="G37" s="6">
        <v>6</v>
      </c>
      <c r="H37" s="4">
        <f t="shared" si="3"/>
        <v>52216</v>
      </c>
      <c r="I37" s="4">
        <f>ROUND(H37*I18,0)</f>
        <v>44384</v>
      </c>
      <c r="J37" s="4">
        <f>H37-I37</f>
        <v>7832</v>
      </c>
      <c r="K37" s="4">
        <f t="shared" si="4"/>
        <v>3590</v>
      </c>
      <c r="L37" s="4">
        <f t="shared" si="4"/>
        <v>3590</v>
      </c>
      <c r="M37" s="4">
        <f t="shared" si="4"/>
        <v>653</v>
      </c>
      <c r="N37" s="4">
        <f>SUM(K37:M37)</f>
        <v>7833</v>
      </c>
    </row>
    <row r="38" spans="2:14" x14ac:dyDescent="0.2">
      <c r="G38" s="6" t="s">
        <v>26</v>
      </c>
      <c r="H38" s="4">
        <f t="shared" si="3"/>
        <v>175793</v>
      </c>
      <c r="I38" s="4">
        <f>SUM(I33:I37)</f>
        <v>149424</v>
      </c>
      <c r="J38" s="4">
        <f>SUM(J33:J37)</f>
        <v>26369</v>
      </c>
      <c r="K38" s="4">
        <f>SUM(K33:K37)</f>
        <v>11554</v>
      </c>
      <c r="L38" s="4">
        <f>SUM(L33:L37)</f>
        <v>9054</v>
      </c>
      <c r="M38" s="4">
        <f>SUM(M33:M37)</f>
        <v>5762</v>
      </c>
      <c r="N38" s="4">
        <f>SUM(K38:M38)</f>
        <v>26370</v>
      </c>
    </row>
    <row r="40" spans="2:14" x14ac:dyDescent="0.2">
      <c r="G40" s="1" t="s">
        <v>43</v>
      </c>
    </row>
    <row r="41" spans="2:14" x14ac:dyDescent="0.2">
      <c r="G41" s="6" t="s">
        <v>14</v>
      </c>
      <c r="H41" s="2" t="s">
        <v>28</v>
      </c>
      <c r="I41" s="7" t="s">
        <v>29</v>
      </c>
      <c r="J41" s="8" t="s">
        <v>30</v>
      </c>
      <c r="K41" s="9" t="s">
        <v>31</v>
      </c>
      <c r="L41" s="9" t="s">
        <v>23</v>
      </c>
      <c r="M41" s="9" t="s">
        <v>24</v>
      </c>
      <c r="N41" s="9" t="s">
        <v>32</v>
      </c>
    </row>
    <row r="42" spans="2:14" x14ac:dyDescent="0.2">
      <c r="G42" s="6">
        <v>1</v>
      </c>
      <c r="H42" s="4">
        <f t="shared" ref="H42:H47" si="5">G14</f>
        <v>0</v>
      </c>
      <c r="I42" s="4">
        <f>ROUND(H42*I14,0)</f>
        <v>0</v>
      </c>
      <c r="J42" s="4">
        <f>H42-I42</f>
        <v>0</v>
      </c>
      <c r="K42" s="4">
        <f>ROUND($J42*K14,0)</f>
        <v>0</v>
      </c>
      <c r="L42" s="4">
        <f>ROUND($J42*L14,0)</f>
        <v>0</v>
      </c>
      <c r="M42" s="4">
        <f>ROUND($J42*M14,0)</f>
        <v>0</v>
      </c>
      <c r="N42" s="4">
        <f>ROUND($J42*N14,0)</f>
        <v>0</v>
      </c>
    </row>
    <row r="43" spans="2:14" x14ac:dyDescent="0.2">
      <c r="G43" s="6">
        <v>23</v>
      </c>
      <c r="H43" s="4">
        <f t="shared" si="5"/>
        <v>65949</v>
      </c>
      <c r="I43" s="4">
        <f>ROUND(H43*I15,0)</f>
        <v>56057</v>
      </c>
      <c r="J43" s="4">
        <f>H43-I43</f>
        <v>9892</v>
      </c>
      <c r="K43" s="4">
        <f t="shared" ref="K43:M46" si="6">ROUND($J43*K15,0)</f>
        <v>2927</v>
      </c>
      <c r="L43" s="4">
        <f t="shared" si="6"/>
        <v>2120</v>
      </c>
      <c r="M43" s="4">
        <f t="shared" si="6"/>
        <v>4845</v>
      </c>
      <c r="N43" s="4">
        <f>SUM(K43:M43)</f>
        <v>9892</v>
      </c>
    </row>
    <row r="44" spans="2:14" x14ac:dyDescent="0.2">
      <c r="G44" s="6">
        <v>4</v>
      </c>
      <c r="H44" s="4">
        <f t="shared" si="5"/>
        <v>53837</v>
      </c>
      <c r="I44" s="4">
        <f>ROUND(H44*I16,0)</f>
        <v>45761</v>
      </c>
      <c r="J44" s="4">
        <f>H44-I44</f>
        <v>8076</v>
      </c>
      <c r="K44" s="4">
        <f t="shared" si="6"/>
        <v>4461</v>
      </c>
      <c r="L44" s="4">
        <f t="shared" si="6"/>
        <v>2384</v>
      </c>
      <c r="M44" s="4">
        <f t="shared" si="6"/>
        <v>1231</v>
      </c>
      <c r="N44" s="4">
        <f>SUM(K44:M44)</f>
        <v>8076</v>
      </c>
    </row>
    <row r="45" spans="2:14" x14ac:dyDescent="0.2">
      <c r="G45" s="6">
        <v>5</v>
      </c>
      <c r="H45" s="4">
        <f t="shared" si="5"/>
        <v>39480</v>
      </c>
      <c r="I45" s="4">
        <f>ROUND(H45*I17,0)</f>
        <v>33558</v>
      </c>
      <c r="J45" s="4">
        <f>H45-I45</f>
        <v>5922</v>
      </c>
      <c r="K45" s="4">
        <f t="shared" si="6"/>
        <v>2876</v>
      </c>
      <c r="L45" s="4">
        <f t="shared" si="6"/>
        <v>2538</v>
      </c>
      <c r="M45" s="4">
        <f t="shared" si="6"/>
        <v>508</v>
      </c>
      <c r="N45" s="4">
        <f>SUM(K45:M45)</f>
        <v>5922</v>
      </c>
    </row>
    <row r="46" spans="2:14" x14ac:dyDescent="0.2">
      <c r="G46" s="6">
        <v>6</v>
      </c>
      <c r="H46" s="4">
        <f t="shared" si="5"/>
        <v>67296</v>
      </c>
      <c r="I46" s="4">
        <f>ROUND(H46*I18,0)</f>
        <v>57202</v>
      </c>
      <c r="J46" s="4">
        <f>H46-I46</f>
        <v>10094</v>
      </c>
      <c r="K46" s="4">
        <f t="shared" si="6"/>
        <v>4626</v>
      </c>
      <c r="L46" s="4">
        <f t="shared" si="6"/>
        <v>4626</v>
      </c>
      <c r="M46" s="4">
        <f t="shared" si="6"/>
        <v>841</v>
      </c>
      <c r="N46" s="4">
        <f>SUM(K46:M46)</f>
        <v>10093</v>
      </c>
    </row>
    <row r="47" spans="2:14" x14ac:dyDescent="0.2">
      <c r="G47" s="6" t="s">
        <v>26</v>
      </c>
      <c r="H47" s="4">
        <f t="shared" si="5"/>
        <v>226562</v>
      </c>
      <c r="I47" s="4">
        <f t="shared" ref="I47:N47" si="7">SUM(I42:I46)</f>
        <v>192578</v>
      </c>
      <c r="J47" s="4">
        <f t="shared" si="7"/>
        <v>33984</v>
      </c>
      <c r="K47" s="4">
        <f t="shared" si="7"/>
        <v>14890</v>
      </c>
      <c r="L47" s="4">
        <f t="shared" si="7"/>
        <v>11668</v>
      </c>
      <c r="M47" s="4">
        <f t="shared" si="7"/>
        <v>7425</v>
      </c>
      <c r="N47" s="4">
        <f t="shared" si="7"/>
        <v>33983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56"/>
  <sheetViews>
    <sheetView zoomScaleNormal="100" workbookViewId="0">
      <selection activeCell="D5" sqref="D5"/>
    </sheetView>
  </sheetViews>
  <sheetFormatPr defaultRowHeight="12.75" x14ac:dyDescent="0.2"/>
  <cols>
    <col min="1" max="11" width="8.42578125"/>
    <col min="12" max="12" width="8.5703125"/>
    <col min="13" max="1025" width="8.42578125"/>
  </cols>
  <sheetData>
    <row r="2" spans="1:13" x14ac:dyDescent="0.2">
      <c r="H2" s="5"/>
      <c r="I2" s="5"/>
    </row>
    <row r="3" spans="1:13" x14ac:dyDescent="0.2">
      <c r="B3" t="s">
        <v>44</v>
      </c>
      <c r="H3" s="5"/>
      <c r="I3" s="5"/>
    </row>
    <row r="4" spans="1:13" x14ac:dyDescent="0.2">
      <c r="A4" s="1"/>
      <c r="G4" s="13" t="s">
        <v>45</v>
      </c>
      <c r="H4" s="14">
        <v>1</v>
      </c>
      <c r="I4" s="5"/>
    </row>
    <row r="5" spans="1:13" x14ac:dyDescent="0.2">
      <c r="H5" s="5"/>
      <c r="I5" s="5"/>
    </row>
    <row r="6" spans="1:13" x14ac:dyDescent="0.2">
      <c r="H6" s="5"/>
      <c r="I6" s="5"/>
    </row>
    <row r="7" spans="1:13" x14ac:dyDescent="0.2">
      <c r="B7" t="s">
        <v>46</v>
      </c>
    </row>
    <row r="8" spans="1:13" x14ac:dyDescent="0.2">
      <c r="B8" s="15"/>
      <c r="C8" s="16" t="s">
        <v>47</v>
      </c>
      <c r="D8" s="16" t="s">
        <v>48</v>
      </c>
      <c r="E8" s="16" t="s">
        <v>49</v>
      </c>
      <c r="F8" s="16" t="s">
        <v>50</v>
      </c>
      <c r="G8" s="16" t="s">
        <v>51</v>
      </c>
      <c r="H8" s="17" t="s">
        <v>52</v>
      </c>
    </row>
    <row r="9" spans="1:13" x14ac:dyDescent="0.2">
      <c r="B9" s="18">
        <v>23</v>
      </c>
      <c r="C9" s="19">
        <v>140000</v>
      </c>
      <c r="D9" s="19">
        <v>246</v>
      </c>
      <c r="E9" s="19">
        <f>D9*C9*0.5*0.001</f>
        <v>17220</v>
      </c>
      <c r="F9" s="19">
        <f>E9*H4</f>
        <v>17220</v>
      </c>
      <c r="G9" s="19">
        <f>F9*0.8</f>
        <v>13776</v>
      </c>
      <c r="H9" s="19">
        <f>F9*0.2</f>
        <v>3444</v>
      </c>
      <c r="J9" s="20"/>
      <c r="K9" s="21" t="s">
        <v>26</v>
      </c>
      <c r="L9" s="21" t="s">
        <v>53</v>
      </c>
      <c r="M9" s="14" t="s">
        <v>54</v>
      </c>
    </row>
    <row r="10" spans="1:13" x14ac:dyDescent="0.2">
      <c r="B10" s="18">
        <v>4</v>
      </c>
      <c r="C10" s="4">
        <v>190000</v>
      </c>
      <c r="D10" s="4">
        <v>105</v>
      </c>
      <c r="E10" s="4">
        <f>D10*C10*0.5*0.001</f>
        <v>9975</v>
      </c>
      <c r="F10" s="4">
        <f>E10*H4</f>
        <v>9975</v>
      </c>
      <c r="G10" s="4">
        <f>F10*0.8</f>
        <v>7980</v>
      </c>
      <c r="H10" s="4">
        <f>F10*0.2</f>
        <v>1995</v>
      </c>
      <c r="J10" s="22" t="s">
        <v>55</v>
      </c>
      <c r="K10" s="5">
        <v>7000</v>
      </c>
      <c r="L10" s="5">
        <f>L11+L12</f>
        <v>2520</v>
      </c>
      <c r="M10" s="23">
        <f>L10*H4</f>
        <v>2520</v>
      </c>
    </row>
    <row r="11" spans="1:13" x14ac:dyDescent="0.2">
      <c r="B11" s="18">
        <v>5</v>
      </c>
      <c r="C11" s="4">
        <v>80000</v>
      </c>
      <c r="D11" s="4">
        <v>190</v>
      </c>
      <c r="E11" s="4">
        <f>D11*C11*0.5*0.001</f>
        <v>7600</v>
      </c>
      <c r="F11" s="4">
        <f>E11*H4</f>
        <v>7600</v>
      </c>
      <c r="G11" s="4">
        <f>F11*0.8</f>
        <v>6080</v>
      </c>
      <c r="H11" s="4">
        <f>F11*0.2</f>
        <v>1520</v>
      </c>
      <c r="J11" s="22" t="s">
        <v>56</v>
      </c>
      <c r="K11" s="5">
        <f>K10*0.9</f>
        <v>6300</v>
      </c>
      <c r="L11" s="5">
        <f>K11*0.3</f>
        <v>1890</v>
      </c>
      <c r="M11" s="23">
        <f>L11*H4</f>
        <v>1890</v>
      </c>
    </row>
    <row r="12" spans="1:13" x14ac:dyDescent="0.2">
      <c r="B12" s="18">
        <v>6</v>
      </c>
      <c r="C12" s="4">
        <v>140000</v>
      </c>
      <c r="D12" s="4">
        <v>205</v>
      </c>
      <c r="E12" s="4">
        <f>D12*C12*0.5*0.001</f>
        <v>14350</v>
      </c>
      <c r="F12" s="4">
        <f>E12</f>
        <v>14350</v>
      </c>
      <c r="G12" s="4">
        <f>F12*0.8</f>
        <v>11480</v>
      </c>
      <c r="H12" s="4">
        <f>F12*0.2</f>
        <v>2870</v>
      </c>
      <c r="J12" s="24" t="s">
        <v>57</v>
      </c>
      <c r="K12" s="25">
        <f>K10*0.1</f>
        <v>700</v>
      </c>
      <c r="L12" s="25">
        <f>K12*0.9</f>
        <v>630</v>
      </c>
      <c r="M12" s="26">
        <f>L12*H4</f>
        <v>630</v>
      </c>
    </row>
    <row r="13" spans="1:13" x14ac:dyDescent="0.2">
      <c r="B13" s="27" t="s">
        <v>26</v>
      </c>
      <c r="C13" s="4"/>
      <c r="D13" s="4"/>
      <c r="E13" s="4"/>
      <c r="F13" s="4">
        <f>SUM(F9:F12)</f>
        <v>49145</v>
      </c>
      <c r="G13" s="4">
        <f>F13*0.8</f>
        <v>39316</v>
      </c>
      <c r="H13" s="4">
        <f>F13*0.2</f>
        <v>9829</v>
      </c>
    </row>
    <row r="15" spans="1:13" x14ac:dyDescent="0.2">
      <c r="B15" s="28"/>
      <c r="C15" s="29" t="s">
        <v>58</v>
      </c>
      <c r="D15" s="29" t="s">
        <v>59</v>
      </c>
      <c r="E15" s="29" t="s">
        <v>60</v>
      </c>
      <c r="F15" s="29" t="s">
        <v>61</v>
      </c>
      <c r="G15" s="29" t="s">
        <v>62</v>
      </c>
      <c r="H15" s="29" t="s">
        <v>63</v>
      </c>
      <c r="I15" s="29" t="s">
        <v>64</v>
      </c>
      <c r="J15" s="30" t="s">
        <v>65</v>
      </c>
      <c r="K15" s="31" t="s">
        <v>26</v>
      </c>
    </row>
    <row r="16" spans="1:13" x14ac:dyDescent="0.2">
      <c r="A16" t="s">
        <v>66</v>
      </c>
      <c r="C16" s="4">
        <f>13776</f>
        <v>13776</v>
      </c>
      <c r="D16" s="4">
        <v>3444</v>
      </c>
      <c r="E16" s="4">
        <v>7980</v>
      </c>
      <c r="F16" s="4">
        <v>1995</v>
      </c>
      <c r="G16" s="4">
        <v>6080</v>
      </c>
      <c r="H16" s="4">
        <v>1520</v>
      </c>
      <c r="I16" s="4">
        <v>11480</v>
      </c>
      <c r="J16" s="4">
        <v>2870</v>
      </c>
      <c r="K16">
        <f>SUM(C16:J16)</f>
        <v>49145</v>
      </c>
    </row>
    <row r="17" spans="1:13" x14ac:dyDescent="0.2">
      <c r="A17" t="s">
        <v>67</v>
      </c>
      <c r="C17" s="4">
        <v>20683</v>
      </c>
      <c r="D17" s="4">
        <v>5834</v>
      </c>
      <c r="E17" s="4">
        <v>21915</v>
      </c>
      <c r="F17" s="4">
        <v>5479</v>
      </c>
      <c r="G17" s="4">
        <v>4850</v>
      </c>
      <c r="H17" s="4">
        <v>1065</v>
      </c>
      <c r="I17" s="4">
        <v>14395</v>
      </c>
      <c r="J17" s="4">
        <v>2948</v>
      </c>
    </row>
    <row r="19" spans="1:13" x14ac:dyDescent="0.2">
      <c r="A19" t="s">
        <v>68</v>
      </c>
      <c r="F19" s="1" t="s">
        <v>69</v>
      </c>
    </row>
    <row r="20" spans="1:13" x14ac:dyDescent="0.2">
      <c r="B20" s="28"/>
      <c r="C20" s="29" t="s">
        <v>58</v>
      </c>
      <c r="D20" s="29" t="s">
        <v>59</v>
      </c>
      <c r="E20" s="29" t="s">
        <v>60</v>
      </c>
      <c r="F20" s="29" t="s">
        <v>61</v>
      </c>
      <c r="G20" s="29" t="s">
        <v>62</v>
      </c>
      <c r="H20" s="29" t="s">
        <v>63</v>
      </c>
      <c r="I20" s="29" t="s">
        <v>64</v>
      </c>
      <c r="J20" s="30" t="s">
        <v>65</v>
      </c>
    </row>
    <row r="21" spans="1:13" x14ac:dyDescent="0.2">
      <c r="B21" s="32" t="s">
        <v>70</v>
      </c>
      <c r="C21" s="4">
        <v>0.10100000000000001</v>
      </c>
      <c r="D21" s="4">
        <v>0.16900000000000001</v>
      </c>
      <c r="E21" s="4">
        <v>4.3999999999999997E-2</v>
      </c>
      <c r="F21" s="4">
        <v>8.2000000000000003E-2</v>
      </c>
      <c r="G21" s="4">
        <v>3.2000000000000001E-2</v>
      </c>
      <c r="H21" s="4">
        <v>0</v>
      </c>
      <c r="I21" s="4">
        <v>8.0000000000000002E-3</v>
      </c>
      <c r="J21" s="33">
        <v>0</v>
      </c>
    </row>
    <row r="22" spans="1:13" x14ac:dyDescent="0.2">
      <c r="B22" s="32" t="s">
        <v>71</v>
      </c>
      <c r="C22" s="4">
        <v>0.13500000000000001</v>
      </c>
      <c r="D22" s="4">
        <v>0.13700000000000001</v>
      </c>
      <c r="E22" s="4">
        <v>3.2000000000000001E-2</v>
      </c>
      <c r="F22" s="4">
        <v>5.1999999999999998E-2</v>
      </c>
      <c r="G22" s="4">
        <v>7.4999999999999997E-2</v>
      </c>
      <c r="H22" s="4">
        <v>0</v>
      </c>
      <c r="I22" s="4">
        <v>4.0000000000000001E-3</v>
      </c>
      <c r="J22" s="33">
        <v>0</v>
      </c>
    </row>
    <row r="23" spans="1:13" x14ac:dyDescent="0.2">
      <c r="B23" s="32" t="s">
        <v>60</v>
      </c>
      <c r="C23" s="4">
        <v>8.0000000000000002E-3</v>
      </c>
      <c r="D23" s="4">
        <v>6.0000000000000001E-3</v>
      </c>
      <c r="E23" s="4">
        <v>0.05</v>
      </c>
      <c r="F23" s="4">
        <v>0.13500000000000001</v>
      </c>
      <c r="G23" s="4">
        <v>7.0000000000000001E-3</v>
      </c>
      <c r="H23" s="4">
        <v>2.9999999999999997E-4</v>
      </c>
      <c r="I23" s="4">
        <v>4.4999999999999998E-2</v>
      </c>
      <c r="J23" s="33">
        <v>0</v>
      </c>
    </row>
    <row r="24" spans="1:13" x14ac:dyDescent="0.2">
      <c r="A24" s="1" t="s">
        <v>72</v>
      </c>
      <c r="B24" s="32" t="s">
        <v>61</v>
      </c>
      <c r="C24" s="4">
        <v>6.9000000000000006E-2</v>
      </c>
      <c r="D24" s="4">
        <v>3.0000000000000001E-3</v>
      </c>
      <c r="E24" s="4">
        <v>7.9000000000000001E-2</v>
      </c>
      <c r="F24" s="4">
        <v>0.16</v>
      </c>
      <c r="G24" s="4">
        <v>3.0000000000000001E-3</v>
      </c>
      <c r="H24" s="4">
        <v>0</v>
      </c>
      <c r="I24" s="4">
        <v>0.106</v>
      </c>
      <c r="J24" s="33">
        <v>0</v>
      </c>
    </row>
    <row r="25" spans="1:13" x14ac:dyDescent="0.2">
      <c r="B25" s="32" t="s">
        <v>62</v>
      </c>
      <c r="C25" s="4">
        <v>0.1</v>
      </c>
      <c r="D25" s="4">
        <v>6.2E-2</v>
      </c>
      <c r="E25" s="4">
        <v>5.0999999999999997E-2</v>
      </c>
      <c r="F25" s="4">
        <v>6.0000000000000001E-3</v>
      </c>
      <c r="G25" s="4">
        <v>8.3000000000000004E-2</v>
      </c>
      <c r="H25" s="4">
        <v>0.373</v>
      </c>
      <c r="I25" s="4">
        <v>0.02</v>
      </c>
      <c r="J25" s="33">
        <v>0</v>
      </c>
    </row>
    <row r="26" spans="1:13" x14ac:dyDescent="0.2">
      <c r="B26" s="32" t="s">
        <v>63</v>
      </c>
      <c r="C26" s="4">
        <v>5.5E-2</v>
      </c>
      <c r="D26" s="4">
        <v>2.7E-2</v>
      </c>
      <c r="E26" s="4">
        <v>2.5999999999999999E-2</v>
      </c>
      <c r="F26" s="4">
        <v>2E-3</v>
      </c>
      <c r="G26" s="4">
        <v>0.06</v>
      </c>
      <c r="H26" s="4">
        <v>0.316</v>
      </c>
      <c r="I26" s="4">
        <v>8.9999999999999993E-3</v>
      </c>
      <c r="J26" s="33">
        <v>0</v>
      </c>
    </row>
    <row r="27" spans="1:13" x14ac:dyDescent="0.2">
      <c r="B27" s="32" t="s">
        <v>64</v>
      </c>
      <c r="C27" s="4">
        <v>1.6E-2</v>
      </c>
      <c r="D27" s="4">
        <v>7.0000000000000001E-3</v>
      </c>
      <c r="E27" s="4">
        <v>2.1000000000000001E-2</v>
      </c>
      <c r="F27" s="4">
        <v>1.7000000000000001E-2</v>
      </c>
      <c r="G27" s="4">
        <v>5.7000000000000002E-2</v>
      </c>
      <c r="H27" s="4">
        <v>0.02</v>
      </c>
      <c r="I27" s="4">
        <v>0.04</v>
      </c>
      <c r="J27" s="33">
        <v>0.22500000000000001</v>
      </c>
    </row>
    <row r="28" spans="1:13" x14ac:dyDescent="0.2">
      <c r="B28" s="34" t="s">
        <v>65</v>
      </c>
      <c r="C28" s="35">
        <v>3.5999999999999997E-2</v>
      </c>
      <c r="D28" s="35">
        <v>1E-3</v>
      </c>
      <c r="E28" s="35">
        <v>3.0000000000000001E-3</v>
      </c>
      <c r="F28" s="35">
        <v>1E-3</v>
      </c>
      <c r="G28" s="35">
        <v>2.8000000000000001E-2</v>
      </c>
      <c r="H28" s="35">
        <v>8.0000000000000002E-3</v>
      </c>
      <c r="I28" s="35">
        <v>6.6000000000000003E-2</v>
      </c>
      <c r="J28" s="36">
        <v>0.14399999999999999</v>
      </c>
    </row>
    <row r="30" spans="1:13" x14ac:dyDescent="0.2">
      <c r="A30" s="13" t="s">
        <v>73</v>
      </c>
      <c r="B30" s="21"/>
      <c r="C30" s="21"/>
      <c r="D30" s="14"/>
      <c r="E30" s="1" t="s">
        <v>69</v>
      </c>
    </row>
    <row r="31" spans="1:13" x14ac:dyDescent="0.2">
      <c r="B31" s="37"/>
      <c r="C31" s="38" t="s">
        <v>58</v>
      </c>
      <c r="D31" s="38" t="s">
        <v>59</v>
      </c>
      <c r="E31" s="39" t="s">
        <v>60</v>
      </c>
      <c r="F31" s="39" t="s">
        <v>61</v>
      </c>
      <c r="G31" s="39" t="s">
        <v>62</v>
      </c>
      <c r="H31" s="39" t="s">
        <v>63</v>
      </c>
      <c r="I31" s="39" t="s">
        <v>64</v>
      </c>
      <c r="J31" s="40" t="s">
        <v>65</v>
      </c>
      <c r="K31" s="41" t="s">
        <v>74</v>
      </c>
      <c r="L31" s="41" t="s">
        <v>75</v>
      </c>
      <c r="M31" s="41" t="s">
        <v>76</v>
      </c>
    </row>
    <row r="32" spans="1:13" x14ac:dyDescent="0.2">
      <c r="B32" s="42" t="s">
        <v>70</v>
      </c>
      <c r="C32" s="43">
        <f t="shared" ref="C32:J32" si="0">C21*C16</f>
        <v>1391.376</v>
      </c>
      <c r="D32" s="43">
        <f t="shared" si="0"/>
        <v>582.03600000000006</v>
      </c>
      <c r="E32" s="43">
        <f t="shared" si="0"/>
        <v>351.12</v>
      </c>
      <c r="F32" s="43">
        <f t="shared" si="0"/>
        <v>163.59</v>
      </c>
      <c r="G32" s="43">
        <f t="shared" si="0"/>
        <v>194.56</v>
      </c>
      <c r="H32" s="44">
        <f t="shared" si="0"/>
        <v>0</v>
      </c>
      <c r="I32" s="43">
        <f t="shared" si="0"/>
        <v>91.84</v>
      </c>
      <c r="J32" s="45">
        <f t="shared" si="0"/>
        <v>0</v>
      </c>
      <c r="K32" s="44">
        <f t="shared" ref="K32:K39" si="1">SUM(C32:J32)</f>
        <v>2774.5220000000004</v>
      </c>
      <c r="L32" s="44">
        <f t="shared" ref="L32:M39" si="2">SUM(C32,E32,G32,I32)</f>
        <v>2028.896</v>
      </c>
      <c r="M32" s="44">
        <f t="shared" si="2"/>
        <v>745.62600000000009</v>
      </c>
    </row>
    <row r="33" spans="1:13" x14ac:dyDescent="0.2">
      <c r="B33" s="46" t="s">
        <v>71</v>
      </c>
      <c r="C33" s="43">
        <f t="shared" ref="C33:J33" si="3">C22*C16</f>
        <v>1859.7600000000002</v>
      </c>
      <c r="D33" s="43">
        <f t="shared" si="3"/>
        <v>471.82800000000003</v>
      </c>
      <c r="E33" s="43">
        <f t="shared" si="3"/>
        <v>255.36</v>
      </c>
      <c r="F33" s="43">
        <f t="shared" si="3"/>
        <v>103.74</v>
      </c>
      <c r="G33" s="43">
        <f t="shared" si="3"/>
        <v>456</v>
      </c>
      <c r="H33" s="44">
        <f t="shared" si="3"/>
        <v>0</v>
      </c>
      <c r="I33" s="43">
        <f t="shared" si="3"/>
        <v>45.92</v>
      </c>
      <c r="J33" s="45">
        <f t="shared" si="3"/>
        <v>0</v>
      </c>
      <c r="K33" s="44">
        <f t="shared" si="1"/>
        <v>3192.6080000000002</v>
      </c>
      <c r="L33" s="44">
        <f t="shared" si="2"/>
        <v>2617.0400000000004</v>
      </c>
      <c r="M33" s="44">
        <f t="shared" si="2"/>
        <v>575.56799999999998</v>
      </c>
    </row>
    <row r="34" spans="1:13" x14ac:dyDescent="0.2">
      <c r="B34" s="46" t="s">
        <v>60</v>
      </c>
      <c r="C34" s="43">
        <f t="shared" ref="C34:J34" si="4">C23*C16</f>
        <v>110.208</v>
      </c>
      <c r="D34" s="43">
        <f t="shared" si="4"/>
        <v>20.664000000000001</v>
      </c>
      <c r="E34" s="43">
        <f t="shared" si="4"/>
        <v>399</v>
      </c>
      <c r="F34" s="43">
        <f t="shared" si="4"/>
        <v>269.32500000000005</v>
      </c>
      <c r="G34" s="43">
        <f t="shared" si="4"/>
        <v>42.56</v>
      </c>
      <c r="H34" s="44">
        <f t="shared" si="4"/>
        <v>0.45599999999999996</v>
      </c>
      <c r="I34" s="43">
        <f t="shared" si="4"/>
        <v>516.6</v>
      </c>
      <c r="J34" s="45">
        <f t="shared" si="4"/>
        <v>0</v>
      </c>
      <c r="K34" s="44">
        <f t="shared" si="1"/>
        <v>1358.8130000000001</v>
      </c>
      <c r="L34" s="44">
        <f t="shared" si="2"/>
        <v>1068.3679999999999</v>
      </c>
      <c r="M34" s="44">
        <f t="shared" si="2"/>
        <v>290.44500000000005</v>
      </c>
    </row>
    <row r="35" spans="1:13" x14ac:dyDescent="0.2">
      <c r="A35" s="1" t="s">
        <v>72</v>
      </c>
      <c r="B35" s="46" t="s">
        <v>61</v>
      </c>
      <c r="C35" s="43">
        <f t="shared" ref="C35:J35" si="5">C24*C16</f>
        <v>950.5440000000001</v>
      </c>
      <c r="D35" s="43">
        <f t="shared" si="5"/>
        <v>10.332000000000001</v>
      </c>
      <c r="E35" s="43">
        <f t="shared" si="5"/>
        <v>630.41999999999996</v>
      </c>
      <c r="F35" s="43">
        <f t="shared" si="5"/>
        <v>319.2</v>
      </c>
      <c r="G35" s="43">
        <f t="shared" si="5"/>
        <v>18.240000000000002</v>
      </c>
      <c r="H35" s="44">
        <f t="shared" si="5"/>
        <v>0</v>
      </c>
      <c r="I35" s="43">
        <f t="shared" si="5"/>
        <v>1216.8799999999999</v>
      </c>
      <c r="J35" s="45">
        <f t="shared" si="5"/>
        <v>0</v>
      </c>
      <c r="K35" s="44">
        <f t="shared" si="1"/>
        <v>3145.616</v>
      </c>
      <c r="L35" s="44">
        <f t="shared" si="2"/>
        <v>2816.0839999999998</v>
      </c>
      <c r="M35" s="44">
        <f t="shared" si="2"/>
        <v>329.53199999999998</v>
      </c>
    </row>
    <row r="36" spans="1:13" x14ac:dyDescent="0.2">
      <c r="B36" s="46" t="s">
        <v>62</v>
      </c>
      <c r="C36" s="43">
        <f t="shared" ref="C36:J36" si="6">C25*C16</f>
        <v>1377.6000000000001</v>
      </c>
      <c r="D36" s="43">
        <f t="shared" si="6"/>
        <v>213.52799999999999</v>
      </c>
      <c r="E36" s="43">
        <f t="shared" si="6"/>
        <v>406.97999999999996</v>
      </c>
      <c r="F36" s="43">
        <f t="shared" si="6"/>
        <v>11.97</v>
      </c>
      <c r="G36" s="43">
        <f t="shared" si="6"/>
        <v>504.64000000000004</v>
      </c>
      <c r="H36" s="43">
        <f t="shared" si="6"/>
        <v>566.96</v>
      </c>
      <c r="I36" s="43">
        <f t="shared" si="6"/>
        <v>229.6</v>
      </c>
      <c r="J36" s="45">
        <f t="shared" si="6"/>
        <v>0</v>
      </c>
      <c r="K36" s="44">
        <f t="shared" si="1"/>
        <v>3311.2780000000002</v>
      </c>
      <c r="L36" s="44">
        <f t="shared" si="2"/>
        <v>2518.8200000000002</v>
      </c>
      <c r="M36" s="44">
        <f t="shared" si="2"/>
        <v>792.45800000000008</v>
      </c>
    </row>
    <row r="37" spans="1:13" x14ac:dyDescent="0.2">
      <c r="B37" s="46" t="s">
        <v>63</v>
      </c>
      <c r="C37" s="43">
        <f t="shared" ref="C37:J37" si="7">C26*C16</f>
        <v>757.68</v>
      </c>
      <c r="D37" s="43">
        <f t="shared" si="7"/>
        <v>92.988</v>
      </c>
      <c r="E37" s="43">
        <f t="shared" si="7"/>
        <v>207.48</v>
      </c>
      <c r="F37" s="44">
        <f t="shared" si="7"/>
        <v>3.99</v>
      </c>
      <c r="G37" s="43">
        <f t="shared" si="7"/>
        <v>364.8</v>
      </c>
      <c r="H37" s="43">
        <f t="shared" si="7"/>
        <v>480.32</v>
      </c>
      <c r="I37" s="43">
        <f t="shared" si="7"/>
        <v>103.32</v>
      </c>
      <c r="J37" s="45">
        <f t="shared" si="7"/>
        <v>0</v>
      </c>
      <c r="K37" s="44">
        <f t="shared" si="1"/>
        <v>2010.5779999999997</v>
      </c>
      <c r="L37" s="44">
        <f t="shared" si="2"/>
        <v>1433.28</v>
      </c>
      <c r="M37" s="44">
        <f t="shared" si="2"/>
        <v>577.298</v>
      </c>
    </row>
    <row r="38" spans="1:13" x14ac:dyDescent="0.2">
      <c r="B38" s="46" t="s">
        <v>64</v>
      </c>
      <c r="C38" s="43">
        <f t="shared" ref="C38:J38" si="8">C27*C16</f>
        <v>220.416</v>
      </c>
      <c r="D38" s="43">
        <f t="shared" si="8"/>
        <v>24.108000000000001</v>
      </c>
      <c r="E38" s="43">
        <f t="shared" si="8"/>
        <v>167.58</v>
      </c>
      <c r="F38" s="43">
        <f t="shared" si="8"/>
        <v>33.914999999999999</v>
      </c>
      <c r="G38" s="43">
        <f t="shared" si="8"/>
        <v>346.56</v>
      </c>
      <c r="H38" s="43">
        <f t="shared" si="8"/>
        <v>30.400000000000002</v>
      </c>
      <c r="I38" s="43">
        <f t="shared" si="8"/>
        <v>459.2</v>
      </c>
      <c r="J38" s="47">
        <f t="shared" si="8"/>
        <v>645.75</v>
      </c>
      <c r="K38" s="44">
        <f t="shared" si="1"/>
        <v>1927.9290000000001</v>
      </c>
      <c r="L38" s="44">
        <f t="shared" si="2"/>
        <v>1193.7560000000001</v>
      </c>
      <c r="M38" s="44">
        <f t="shared" si="2"/>
        <v>734.173</v>
      </c>
    </row>
    <row r="39" spans="1:13" x14ac:dyDescent="0.2">
      <c r="B39" s="48" t="s">
        <v>65</v>
      </c>
      <c r="C39" s="43">
        <f t="shared" ref="C39:J39" si="9">C28*C16</f>
        <v>495.93599999999998</v>
      </c>
      <c r="D39" s="44">
        <f t="shared" si="9"/>
        <v>3.444</v>
      </c>
      <c r="E39" s="43">
        <f t="shared" si="9"/>
        <v>23.94</v>
      </c>
      <c r="F39" s="44">
        <f t="shared" si="9"/>
        <v>1.9950000000000001</v>
      </c>
      <c r="G39" s="43">
        <f t="shared" si="9"/>
        <v>170.24</v>
      </c>
      <c r="H39" s="43">
        <f t="shared" si="9"/>
        <v>12.16</v>
      </c>
      <c r="I39" s="43">
        <f t="shared" si="9"/>
        <v>757.68000000000006</v>
      </c>
      <c r="J39" s="47">
        <f t="shared" si="9"/>
        <v>413.28</v>
      </c>
      <c r="K39" s="44">
        <f t="shared" si="1"/>
        <v>1878.675</v>
      </c>
      <c r="L39" s="44">
        <f t="shared" si="2"/>
        <v>1447.796</v>
      </c>
      <c r="M39" s="44">
        <f t="shared" si="2"/>
        <v>430.87899999999996</v>
      </c>
    </row>
    <row r="40" spans="1:13" x14ac:dyDescent="0.2">
      <c r="K40" s="49"/>
      <c r="L40" s="5"/>
      <c r="M40" s="23"/>
    </row>
    <row r="41" spans="1:13" x14ac:dyDescent="0.2">
      <c r="A41" t="s">
        <v>77</v>
      </c>
      <c r="K41" s="49"/>
      <c r="L41" s="5"/>
      <c r="M41" s="23"/>
    </row>
    <row r="42" spans="1:13" x14ac:dyDescent="0.2">
      <c r="B42" s="50" t="s">
        <v>70</v>
      </c>
      <c r="C42" s="51">
        <f t="shared" ref="C42:J42" si="10">C21*C17</f>
        <v>2088.9830000000002</v>
      </c>
      <c r="D42" s="51">
        <f t="shared" si="10"/>
        <v>985.94600000000003</v>
      </c>
      <c r="E42" s="51">
        <f t="shared" si="10"/>
        <v>964.26</v>
      </c>
      <c r="F42" s="51">
        <f t="shared" si="10"/>
        <v>449.27800000000002</v>
      </c>
      <c r="G42" s="51">
        <f t="shared" si="10"/>
        <v>155.20000000000002</v>
      </c>
      <c r="H42" s="51">
        <f t="shared" si="10"/>
        <v>0</v>
      </c>
      <c r="I42" s="51">
        <f t="shared" si="10"/>
        <v>115.16</v>
      </c>
      <c r="J42" s="51">
        <f t="shared" si="10"/>
        <v>0</v>
      </c>
      <c r="K42" s="52">
        <f t="shared" ref="K42:K49" si="11">SUM(C42:J42)</f>
        <v>4758.8270000000002</v>
      </c>
      <c r="L42" s="52">
        <f t="shared" ref="L42:M49" si="12">SUM(C42,E42,G42,I42)</f>
        <v>3323.6030000000001</v>
      </c>
      <c r="M42" s="53">
        <f t="shared" si="12"/>
        <v>1435.2240000000002</v>
      </c>
    </row>
    <row r="43" spans="1:13" x14ac:dyDescent="0.2">
      <c r="B43" s="32" t="s">
        <v>71</v>
      </c>
      <c r="C43" s="44">
        <f t="shared" ref="C43:J43" si="13">C22*C17</f>
        <v>2792.2050000000004</v>
      </c>
      <c r="D43" s="44">
        <f t="shared" si="13"/>
        <v>799.25800000000004</v>
      </c>
      <c r="E43" s="44">
        <f t="shared" si="13"/>
        <v>701.28</v>
      </c>
      <c r="F43" s="44">
        <f t="shared" si="13"/>
        <v>284.90799999999996</v>
      </c>
      <c r="G43" s="44">
        <f t="shared" si="13"/>
        <v>363.75</v>
      </c>
      <c r="H43" s="44">
        <f t="shared" si="13"/>
        <v>0</v>
      </c>
      <c r="I43" s="44">
        <f t="shared" si="13"/>
        <v>57.58</v>
      </c>
      <c r="J43" s="44">
        <f t="shared" si="13"/>
        <v>0</v>
      </c>
      <c r="K43" s="54">
        <f t="shared" si="11"/>
        <v>4998.9810000000007</v>
      </c>
      <c r="L43" s="54">
        <f t="shared" si="12"/>
        <v>3914.8150000000005</v>
      </c>
      <c r="M43" s="55">
        <f t="shared" si="12"/>
        <v>1084.1659999999999</v>
      </c>
    </row>
    <row r="44" spans="1:13" x14ac:dyDescent="0.2">
      <c r="B44" s="32" t="s">
        <v>60</v>
      </c>
      <c r="C44" s="44">
        <f t="shared" ref="C44:J44" si="14">C23*C17</f>
        <v>165.464</v>
      </c>
      <c r="D44" s="44">
        <f t="shared" si="14"/>
        <v>35.003999999999998</v>
      </c>
      <c r="E44" s="44">
        <f t="shared" si="14"/>
        <v>1095.75</v>
      </c>
      <c r="F44" s="44">
        <f t="shared" si="14"/>
        <v>739.66500000000008</v>
      </c>
      <c r="G44" s="44">
        <f t="shared" si="14"/>
        <v>33.950000000000003</v>
      </c>
      <c r="H44" s="44">
        <f t="shared" si="14"/>
        <v>0.31949999999999995</v>
      </c>
      <c r="I44" s="44">
        <f t="shared" si="14"/>
        <v>647.77499999999998</v>
      </c>
      <c r="J44" s="44">
        <f t="shared" si="14"/>
        <v>0</v>
      </c>
      <c r="K44" s="54">
        <f t="shared" si="11"/>
        <v>2717.9275000000002</v>
      </c>
      <c r="L44" s="54">
        <f t="shared" si="12"/>
        <v>1942.9389999999999</v>
      </c>
      <c r="M44" s="55">
        <f t="shared" si="12"/>
        <v>774.98850000000004</v>
      </c>
    </row>
    <row r="45" spans="1:13" x14ac:dyDescent="0.2">
      <c r="B45" s="32" t="s">
        <v>61</v>
      </c>
      <c r="C45" s="44">
        <f t="shared" ref="C45:J45" si="15">C24*C17</f>
        <v>1427.1270000000002</v>
      </c>
      <c r="D45" s="44">
        <f t="shared" si="15"/>
        <v>17.501999999999999</v>
      </c>
      <c r="E45" s="44">
        <f t="shared" si="15"/>
        <v>1731.2850000000001</v>
      </c>
      <c r="F45" s="44">
        <f t="shared" si="15"/>
        <v>876.64</v>
      </c>
      <c r="G45" s="44">
        <f t="shared" si="15"/>
        <v>14.55</v>
      </c>
      <c r="H45" s="44">
        <f t="shared" si="15"/>
        <v>0</v>
      </c>
      <c r="I45" s="44">
        <f t="shared" si="15"/>
        <v>1525.87</v>
      </c>
      <c r="J45" s="44">
        <f t="shared" si="15"/>
        <v>0</v>
      </c>
      <c r="K45" s="54">
        <f t="shared" si="11"/>
        <v>5592.9740000000002</v>
      </c>
      <c r="L45" s="54">
        <f t="shared" si="12"/>
        <v>4698.8320000000003</v>
      </c>
      <c r="M45" s="55">
        <f t="shared" si="12"/>
        <v>894.14199999999994</v>
      </c>
    </row>
    <row r="46" spans="1:13" x14ac:dyDescent="0.2">
      <c r="B46" s="32" t="s">
        <v>62</v>
      </c>
      <c r="C46" s="44">
        <f t="shared" ref="C46:J46" si="16">C25*C17</f>
        <v>2068.3000000000002</v>
      </c>
      <c r="D46" s="44">
        <f t="shared" si="16"/>
        <v>361.70799999999997</v>
      </c>
      <c r="E46" s="44">
        <f t="shared" si="16"/>
        <v>1117.665</v>
      </c>
      <c r="F46" s="44">
        <f t="shared" si="16"/>
        <v>32.874000000000002</v>
      </c>
      <c r="G46" s="44">
        <f t="shared" si="16"/>
        <v>402.55</v>
      </c>
      <c r="H46" s="44">
        <f t="shared" si="16"/>
        <v>397.245</v>
      </c>
      <c r="I46" s="44">
        <f t="shared" si="16"/>
        <v>287.90000000000003</v>
      </c>
      <c r="J46" s="44">
        <f t="shared" si="16"/>
        <v>0</v>
      </c>
      <c r="K46" s="54">
        <f t="shared" si="11"/>
        <v>4668.2420000000002</v>
      </c>
      <c r="L46" s="54">
        <f t="shared" si="12"/>
        <v>3876.4150000000004</v>
      </c>
      <c r="M46" s="55">
        <f t="shared" si="12"/>
        <v>791.827</v>
      </c>
    </row>
    <row r="47" spans="1:13" x14ac:dyDescent="0.2">
      <c r="B47" s="32" t="s">
        <v>63</v>
      </c>
      <c r="C47" s="44">
        <f t="shared" ref="C47:J47" si="17">C26*C17</f>
        <v>1137.5650000000001</v>
      </c>
      <c r="D47" s="44">
        <f t="shared" si="17"/>
        <v>157.518</v>
      </c>
      <c r="E47" s="44">
        <f t="shared" si="17"/>
        <v>569.79</v>
      </c>
      <c r="F47" s="44">
        <f t="shared" si="17"/>
        <v>10.958</v>
      </c>
      <c r="G47" s="44">
        <f t="shared" si="17"/>
        <v>291</v>
      </c>
      <c r="H47" s="44">
        <f t="shared" si="17"/>
        <v>336.54</v>
      </c>
      <c r="I47" s="44">
        <f t="shared" si="17"/>
        <v>129.55499999999998</v>
      </c>
      <c r="J47" s="44">
        <f t="shared" si="17"/>
        <v>0</v>
      </c>
      <c r="K47" s="54">
        <f t="shared" si="11"/>
        <v>2632.9259999999999</v>
      </c>
      <c r="L47" s="54">
        <f t="shared" si="12"/>
        <v>2127.91</v>
      </c>
      <c r="M47" s="55">
        <f t="shared" si="12"/>
        <v>505.01600000000002</v>
      </c>
    </row>
    <row r="48" spans="1:13" x14ac:dyDescent="0.2">
      <c r="B48" s="32" t="s">
        <v>64</v>
      </c>
      <c r="C48" s="44">
        <f t="shared" ref="C48:J48" si="18">C27*C17</f>
        <v>330.928</v>
      </c>
      <c r="D48" s="44">
        <f t="shared" si="18"/>
        <v>40.838000000000001</v>
      </c>
      <c r="E48" s="44">
        <f t="shared" si="18"/>
        <v>460.21500000000003</v>
      </c>
      <c r="F48" s="44">
        <f t="shared" si="18"/>
        <v>93.143000000000001</v>
      </c>
      <c r="G48" s="44">
        <f t="shared" si="18"/>
        <v>276.45</v>
      </c>
      <c r="H48" s="44">
        <f t="shared" si="18"/>
        <v>21.3</v>
      </c>
      <c r="I48" s="44">
        <f t="shared" si="18"/>
        <v>575.80000000000007</v>
      </c>
      <c r="J48" s="44">
        <f t="shared" si="18"/>
        <v>663.30000000000007</v>
      </c>
      <c r="K48" s="54">
        <f t="shared" si="11"/>
        <v>2461.9740000000002</v>
      </c>
      <c r="L48" s="54">
        <f t="shared" si="12"/>
        <v>1643.393</v>
      </c>
      <c r="M48" s="55">
        <f t="shared" si="12"/>
        <v>818.58100000000013</v>
      </c>
    </row>
    <row r="49" spans="1:13" x14ac:dyDescent="0.2">
      <c r="B49" s="34" t="s">
        <v>65</v>
      </c>
      <c r="C49" s="56">
        <f t="shared" ref="C49:J49" si="19">C28*C17</f>
        <v>744.58799999999997</v>
      </c>
      <c r="D49" s="56">
        <f t="shared" si="19"/>
        <v>5.8340000000000005</v>
      </c>
      <c r="E49" s="56">
        <f t="shared" si="19"/>
        <v>65.745000000000005</v>
      </c>
      <c r="F49" s="56">
        <f t="shared" si="19"/>
        <v>5.4790000000000001</v>
      </c>
      <c r="G49" s="56">
        <f t="shared" si="19"/>
        <v>135.80000000000001</v>
      </c>
      <c r="H49" s="56">
        <f t="shared" si="19"/>
        <v>8.52</v>
      </c>
      <c r="I49" s="56">
        <f t="shared" si="19"/>
        <v>950.07</v>
      </c>
      <c r="J49" s="56">
        <f t="shared" si="19"/>
        <v>424.51199999999994</v>
      </c>
      <c r="K49" s="57">
        <f t="shared" si="11"/>
        <v>2340.5479999999998</v>
      </c>
      <c r="L49" s="57">
        <f t="shared" si="12"/>
        <v>1896.203</v>
      </c>
      <c r="M49" s="58">
        <f t="shared" si="12"/>
        <v>444.34499999999991</v>
      </c>
    </row>
    <row r="53" spans="1:13" x14ac:dyDescent="0.2">
      <c r="B53" s="28"/>
      <c r="C53" s="29" t="s">
        <v>58</v>
      </c>
      <c r="D53" s="29" t="s">
        <v>59</v>
      </c>
      <c r="E53" s="29" t="s">
        <v>60</v>
      </c>
      <c r="F53" s="29" t="s">
        <v>61</v>
      </c>
      <c r="G53" s="29" t="s">
        <v>62</v>
      </c>
      <c r="H53" s="29" t="s">
        <v>63</v>
      </c>
      <c r="I53" s="29" t="s">
        <v>64</v>
      </c>
      <c r="J53" s="30" t="s">
        <v>65</v>
      </c>
      <c r="K53" s="31" t="s">
        <v>78</v>
      </c>
    </row>
    <row r="54" spans="1:13" x14ac:dyDescent="0.2">
      <c r="A54" t="s">
        <v>66</v>
      </c>
      <c r="C54" s="4">
        <f>13776</f>
        <v>13776</v>
      </c>
      <c r="D54" s="4">
        <v>3444</v>
      </c>
      <c r="E54" s="4">
        <v>7980</v>
      </c>
      <c r="F54" s="4">
        <v>1995</v>
      </c>
      <c r="G54" s="4">
        <v>6080</v>
      </c>
      <c r="H54" s="4">
        <v>1520</v>
      </c>
      <c r="I54" s="4">
        <v>11480</v>
      </c>
      <c r="J54" s="4">
        <v>2870</v>
      </c>
    </row>
    <row r="55" spans="1:13" x14ac:dyDescent="0.2">
      <c r="A55" t="s">
        <v>79</v>
      </c>
      <c r="C55">
        <v>61</v>
      </c>
      <c r="D55">
        <v>91</v>
      </c>
      <c r="E55">
        <v>93</v>
      </c>
      <c r="F55">
        <v>97</v>
      </c>
      <c r="G55">
        <v>179</v>
      </c>
      <c r="H55">
        <v>152</v>
      </c>
      <c r="I55">
        <v>88</v>
      </c>
      <c r="J55">
        <v>109</v>
      </c>
    </row>
    <row r="56" spans="1:13" x14ac:dyDescent="0.2">
      <c r="C56">
        <f t="shared" ref="C56:J56" si="20">C54*C55</f>
        <v>840336</v>
      </c>
      <c r="D56">
        <f t="shared" si="20"/>
        <v>313404</v>
      </c>
      <c r="E56">
        <f t="shared" si="20"/>
        <v>742140</v>
      </c>
      <c r="F56">
        <f t="shared" si="20"/>
        <v>193515</v>
      </c>
      <c r="G56">
        <f t="shared" si="20"/>
        <v>1088320</v>
      </c>
      <c r="H56">
        <f t="shared" si="20"/>
        <v>231040</v>
      </c>
      <c r="I56">
        <f t="shared" si="20"/>
        <v>1010240</v>
      </c>
      <c r="J56">
        <f t="shared" si="20"/>
        <v>312830</v>
      </c>
      <c r="K56">
        <f>SUM(C56:J56)</f>
        <v>4731825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B2" sqref="B2"/>
    </sheetView>
  </sheetViews>
  <sheetFormatPr defaultRowHeight="12.75" x14ac:dyDescent="0.2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2.75" x14ac:dyDescent="0.2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 counts</vt:lpstr>
      <vt:lpstr>connectivity</vt:lpstr>
      <vt:lpstr>Sheet2</vt:lpstr>
      <vt:lpstr>Sheet3</vt:lpstr>
    </vt:vector>
  </TitlesOfParts>
  <Company>Allen Institute for Brain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 Gratiy</dc:creator>
  <dc:description/>
  <cp:lastModifiedBy>Hugo</cp:lastModifiedBy>
  <cp:revision>2</cp:revision>
  <dcterms:created xsi:type="dcterms:W3CDTF">2015-04-30T06:01:46Z</dcterms:created>
  <dcterms:modified xsi:type="dcterms:W3CDTF">2020-04-29T21:32:44Z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Allen Institute for Brain Science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