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ba6bb91481d9cf/Classes/CHEM E 485/Pontes_Ramos_Gao_Carpenter_485Project/"/>
    </mc:Choice>
  </mc:AlternateContent>
  <xr:revisionPtr revIDLastSave="0" documentId="8_{5AC1B1B3-C8EC-43E5-9BAA-48964CF11AB9}" xr6:coauthVersionLast="45" xr6:coauthVersionMax="45" xr10:uidLastSave="{00000000-0000-0000-0000-000000000000}"/>
  <bookViews>
    <workbookView xWindow="-108" yWindow="-108" windowWidth="23256" windowHeight="12576" xr2:uid="{6F586CE1-B146-4EEE-B671-C5DD4E8C1978}"/>
  </bookViews>
  <sheets>
    <sheet name="ASPEN" sheetId="1" r:id="rId1"/>
    <sheet name="Streams" sheetId="3" r:id="rId2"/>
    <sheet name="Utility Streams" sheetId="4" r:id="rId3"/>
    <sheet name="Equipment Cost" sheetId="5" r:id="rId4"/>
    <sheet name="Utility Cost" sheetId="6" r:id="rId5"/>
    <sheet name="Raw Materials Costs" sheetId="9" r:id="rId6"/>
    <sheet name="COM" sheetId="8" r:id="rId7"/>
    <sheet name="Cashflow Table" sheetId="10" r:id="rId8"/>
    <sheet name="Calculations" sheetId="2" r:id="rId9"/>
  </sheets>
  <externalReferences>
    <externalReference r:id="rId10"/>
  </externalReferences>
  <definedNames>
    <definedName name="_xlnm._FilterDatabase" localSheetId="3" hidden="1">'Equipment Cost'!$B$2:$I$25</definedName>
    <definedName name="costElectricity">'[1]User Options'!$C$6</definedName>
    <definedName name="furnaceEfficiency">'[1]User Options'!$C$44</definedName>
    <definedName name="grassRootsFactor">'[1]COM Summary'!$C$26</definedName>
    <definedName name="hoursPerYear">'[1]User Options'!$C$2</definedName>
    <definedName name="preferenceHeatDuty">'[1]User Options'!$G$11</definedName>
    <definedName name="preferencePower">'[1]User Options'!$G$5</definedName>
    <definedName name="preferencePressure">'[1]User Options'!$G$8</definedName>
    <definedName name="pumpEfficiency">'[1]User Options'!$C$41</definedName>
    <definedName name="totalModuleFactor">'[1]COM Summary'!$C$25</definedName>
    <definedName name="unitNumber">'[1]Equipment Summary'!$E$2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7" i="9" l="1"/>
  <c r="F28" i="9"/>
  <c r="F29" i="9"/>
  <c r="F30" i="9"/>
  <c r="F26" i="9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3" i="8"/>
  <c r="C8" i="8"/>
  <c r="C9" i="8" s="1"/>
  <c r="C21" i="9"/>
  <c r="D21" i="9" s="1"/>
  <c r="F5" i="9"/>
  <c r="E18" i="9"/>
  <c r="G18" i="9" s="1"/>
  <c r="E17" i="9"/>
  <c r="G17" i="9" s="1"/>
  <c r="I18" i="9" l="1"/>
  <c r="D32" i="8"/>
  <c r="D31" i="8"/>
  <c r="K30" i="9"/>
  <c r="K27" i="9"/>
  <c r="C22" i="8"/>
  <c r="D29" i="8" l="1"/>
  <c r="D28" i="8"/>
  <c r="D27" i="8"/>
  <c r="D23" i="8"/>
  <c r="D25" i="8"/>
  <c r="D30" i="8"/>
  <c r="D26" i="8"/>
  <c r="D24" i="8"/>
  <c r="G5" i="9"/>
  <c r="E6" i="9"/>
  <c r="G6" i="9" s="1"/>
  <c r="E4" i="9"/>
  <c r="G4" i="9" s="1"/>
  <c r="D8" i="9"/>
  <c r="E8" i="9" s="1"/>
  <c r="G8" i="9" s="1"/>
  <c r="D7" i="9"/>
  <c r="E7" i="9" s="1"/>
  <c r="G7" i="9" s="1"/>
  <c r="E15" i="6"/>
  <c r="F26" i="5"/>
  <c r="I26" i="5"/>
  <c r="H26" i="5"/>
  <c r="I8" i="9" l="1"/>
  <c r="C24" i="8"/>
  <c r="C25" i="8"/>
  <c r="C26" i="8"/>
  <c r="C27" i="8"/>
  <c r="C28" i="8"/>
  <c r="C29" i="8"/>
  <c r="C30" i="8"/>
  <c r="C31" i="8"/>
  <c r="C32" i="8"/>
  <c r="C23" i="8"/>
  <c r="C13" i="8"/>
  <c r="F35" i="8"/>
  <c r="I7" i="8" l="1"/>
  <c r="K7" i="8" s="1"/>
  <c r="I14" i="8"/>
  <c r="K14" i="8" s="1"/>
  <c r="I10" i="8"/>
  <c r="K10" i="8" s="1"/>
  <c r="I5" i="8"/>
  <c r="K5" i="8" s="1"/>
  <c r="I8" i="8"/>
  <c r="K8" i="8" s="1"/>
  <c r="I13" i="8"/>
  <c r="K13" i="8" s="1"/>
  <c r="I12" i="8"/>
  <c r="K12" i="8" s="1"/>
  <c r="I11" i="8"/>
  <c r="K11" i="8" s="1"/>
  <c r="I6" i="8"/>
  <c r="K6" i="8" s="1"/>
  <c r="I4" i="8"/>
  <c r="K4" i="8" s="1"/>
  <c r="E22" i="8"/>
  <c r="I9" i="8"/>
  <c r="K9" i="8" s="1"/>
  <c r="E23" i="8"/>
  <c r="F23" i="8" s="1"/>
  <c r="G23" i="8" l="1"/>
  <c r="H23" i="8" s="1"/>
  <c r="I23" i="8" s="1"/>
  <c r="F22" i="8"/>
  <c r="G22" i="8" s="1"/>
  <c r="H22" i="8" s="1"/>
  <c r="I22" i="8" s="1"/>
  <c r="E24" i="8"/>
  <c r="F24" i="8" l="1"/>
  <c r="G24" i="8" s="1"/>
  <c r="H24" i="8" s="1"/>
  <c r="I24" i="8" s="1"/>
  <c r="K22" i="8"/>
  <c r="J22" i="8"/>
  <c r="L22" i="8" s="1"/>
  <c r="K23" i="8"/>
  <c r="J23" i="8"/>
  <c r="L23" i="8" s="1"/>
  <c r="E25" i="8"/>
  <c r="G26" i="5"/>
  <c r="I9" i="2"/>
  <c r="J9" i="2" s="1"/>
  <c r="H9" i="2"/>
  <c r="H16" i="2"/>
  <c r="H18" i="2"/>
  <c r="H13" i="2"/>
  <c r="G14" i="2"/>
  <c r="G15" i="2"/>
  <c r="G16" i="2"/>
  <c r="G17" i="2"/>
  <c r="G18" i="2"/>
  <c r="G13" i="2"/>
  <c r="D14" i="2"/>
  <c r="D15" i="2"/>
  <c r="D16" i="2"/>
  <c r="D17" i="2"/>
  <c r="D18" i="2"/>
  <c r="D13" i="2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B8" i="1"/>
  <c r="F25" i="8" l="1"/>
  <c r="G25" i="8" s="1"/>
  <c r="H25" i="8" s="1"/>
  <c r="I25" i="8" s="1"/>
  <c r="K25" i="8" s="1"/>
  <c r="K24" i="8"/>
  <c r="J24" i="8"/>
  <c r="L24" i="8" s="1"/>
  <c r="E26" i="8"/>
  <c r="F14" i="2"/>
  <c r="H14" i="2" s="1"/>
  <c r="F17" i="2"/>
  <c r="H17" i="2" s="1"/>
  <c r="F15" i="2"/>
  <c r="H15" i="2" s="1"/>
  <c r="F26" i="8" l="1"/>
  <c r="G26" i="8" s="1"/>
  <c r="H26" i="8" s="1"/>
  <c r="I26" i="8" s="1"/>
  <c r="J25" i="8"/>
  <c r="L25" i="8" s="1"/>
  <c r="E27" i="8"/>
  <c r="N6" i="2"/>
  <c r="N5" i="2"/>
  <c r="M6" i="2"/>
  <c r="E6" i="2"/>
  <c r="E5" i="2"/>
  <c r="K5" i="2"/>
  <c r="G6" i="2"/>
  <c r="G5" i="2"/>
  <c r="F27" i="8" l="1"/>
  <c r="G27" i="8" s="1"/>
  <c r="H27" i="8" s="1"/>
  <c r="I27" i="8" s="1"/>
  <c r="K26" i="8"/>
  <c r="J26" i="8"/>
  <c r="L26" i="8" s="1"/>
  <c r="E28" i="8"/>
  <c r="I5" i="2"/>
  <c r="M5" i="2" s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D28" i="1"/>
  <c r="D29" i="1"/>
  <c r="D30" i="1"/>
  <c r="D31" i="1"/>
  <c r="D32" i="1"/>
  <c r="D33" i="1"/>
  <c r="C28" i="1"/>
  <c r="C29" i="1"/>
  <c r="C30" i="1"/>
  <c r="C31" i="1"/>
  <c r="C32" i="1"/>
  <c r="C33" i="1"/>
  <c r="B29" i="1"/>
  <c r="B30" i="1"/>
  <c r="B31" i="1"/>
  <c r="B32" i="1"/>
  <c r="B33" i="1"/>
  <c r="B28" i="1"/>
  <c r="F28" i="8" l="1"/>
  <c r="G28" i="8" s="1"/>
  <c r="H28" i="8" s="1"/>
  <c r="I28" i="8" s="1"/>
  <c r="K28" i="8" s="1"/>
  <c r="K27" i="8"/>
  <c r="J27" i="8"/>
  <c r="L27" i="8" s="1"/>
  <c r="E29" i="8"/>
  <c r="F29" i="8" l="1"/>
  <c r="G29" i="8" s="1"/>
  <c r="H29" i="8" s="1"/>
  <c r="I29" i="8" s="1"/>
  <c r="J28" i="8"/>
  <c r="L28" i="8" s="1"/>
  <c r="E30" i="8"/>
  <c r="F30" i="8" l="1"/>
  <c r="G30" i="8" s="1"/>
  <c r="H30" i="8" s="1"/>
  <c r="I30" i="8" s="1"/>
  <c r="K30" i="8" s="1"/>
  <c r="K29" i="8"/>
  <c r="E31" i="8"/>
  <c r="J29" i="8"/>
  <c r="L29" i="8" s="1"/>
  <c r="F31" i="8" l="1"/>
  <c r="G31" i="8" s="1"/>
  <c r="H31" i="8" s="1"/>
  <c r="I31" i="8" s="1"/>
  <c r="E32" i="8"/>
  <c r="J30" i="8"/>
  <c r="L30" i="8" s="1"/>
  <c r="F32" i="8" l="1"/>
  <c r="G32" i="8" s="1"/>
  <c r="H32" i="8" s="1"/>
  <c r="I32" i="8" s="1"/>
  <c r="K31" i="8"/>
  <c r="J31" i="8"/>
  <c r="L31" i="8" s="1"/>
  <c r="K32" i="8" l="1"/>
  <c r="J32" i="8"/>
  <c r="G35" i="8" s="1"/>
  <c r="L32" i="8" l="1"/>
</calcChain>
</file>

<file path=xl/sharedStrings.xml><?xml version="1.0" encoding="utf-8"?>
<sst xmlns="http://schemas.openxmlformats.org/spreadsheetml/2006/main" count="497" uniqueCount="277">
  <si>
    <t>Stream</t>
  </si>
  <si>
    <t>6A</t>
  </si>
  <si>
    <t>8S</t>
  </si>
  <si>
    <t>CW802-IN</t>
  </si>
  <si>
    <t>CW802-OU</t>
  </si>
  <si>
    <t>HPS802-I</t>
  </si>
  <si>
    <t>HPS802-O</t>
  </si>
  <si>
    <t>Temperature (degree C)</t>
  </si>
  <si>
    <t>Pressure (bar)</t>
  </si>
  <si>
    <t>Vapor Frac</t>
  </si>
  <si>
    <t>Mole Flow (kmol/hr)</t>
  </si>
  <si>
    <t>Mass Flow (kg/hr)</t>
  </si>
  <si>
    <t>Mass Flow (tonne/hr)</t>
  </si>
  <si>
    <t>Volume Flow (l/min)</t>
  </si>
  <si>
    <t>Enthalpy (MMBtu/hr)</t>
  </si>
  <si>
    <t xml:space="preserve"> </t>
  </si>
  <si>
    <t xml:space="preserve">  BENZENE</t>
  </si>
  <si>
    <t xml:space="preserve">  PROPYLEN</t>
  </si>
  <si>
    <t xml:space="preserve">  PROPANE</t>
  </si>
  <si>
    <t xml:space="preserve">  PDIB</t>
  </si>
  <si>
    <t xml:space="preserve">  CUMENE</t>
  </si>
  <si>
    <t xml:space="preserve">  WATER</t>
  </si>
  <si>
    <t>Molecular Weight (kg/kmol)</t>
  </si>
  <si>
    <t>WATER</t>
  </si>
  <si>
    <t>Stream Number</t>
  </si>
  <si>
    <t>Temperature (°C)</t>
  </si>
  <si>
    <t>Vapor Fraction</t>
  </si>
  <si>
    <t xml:space="preserve">    Benzene</t>
  </si>
  <si>
    <t xml:space="preserve">    Propylene</t>
  </si>
  <si>
    <t xml:space="preserve">    Propane</t>
  </si>
  <si>
    <t xml:space="preserve">    P-diisopropyl benzene</t>
  </si>
  <si>
    <t xml:space="preserve">    Cumene</t>
  </si>
  <si>
    <t xml:space="preserve">    Total (kmol/hr)</t>
  </si>
  <si>
    <t>Stream Name</t>
  </si>
  <si>
    <t>hps to         E-801</t>
  </si>
  <si>
    <t>condensate from E-801</t>
  </si>
  <si>
    <t>cw from     E-802</t>
  </si>
  <si>
    <t>cw from     E-803</t>
  </si>
  <si>
    <t>mps to        E-804</t>
  </si>
  <si>
    <t>condensate from E-804</t>
  </si>
  <si>
    <t>cw from       E-805</t>
  </si>
  <si>
    <t>cw from        E-805</t>
  </si>
  <si>
    <t>hps to         E-806</t>
  </si>
  <si>
    <t>condensate from E-806</t>
  </si>
  <si>
    <t>Pressure (barg)</t>
  </si>
  <si>
    <t>Unit</t>
  </si>
  <si>
    <t>Unit Description</t>
  </si>
  <si>
    <t>Unit Type</t>
  </si>
  <si>
    <t>Material of Construction</t>
  </si>
  <si>
    <t>Purchased Equipment Cost</t>
  </si>
  <si>
    <t>Bare Module Cost</t>
  </si>
  <si>
    <t>Total Module Cost</t>
  </si>
  <si>
    <t>Grass Roots Cost</t>
  </si>
  <si>
    <t>E-801</t>
  </si>
  <si>
    <t>Heat Exchanger</t>
  </si>
  <si>
    <t>Floating Head</t>
  </si>
  <si>
    <t>Carbon Steel</t>
  </si>
  <si>
    <t>E-802</t>
  </si>
  <si>
    <t>E-803</t>
  </si>
  <si>
    <t>E-804</t>
  </si>
  <si>
    <t>E-805</t>
  </si>
  <si>
    <t>E-806</t>
  </si>
  <si>
    <t>R-801</t>
  </si>
  <si>
    <t>H-801</t>
  </si>
  <si>
    <t>Fired Heater</t>
  </si>
  <si>
    <t>Process Heater</t>
  </si>
  <si>
    <t>P-801 (1 spare)</t>
  </si>
  <si>
    <t>Pump (with drive)</t>
  </si>
  <si>
    <t>Centrifugal</t>
  </si>
  <si>
    <t>P-802 (1 spare)</t>
  </si>
  <si>
    <t>P-803 (1 spare)</t>
  </si>
  <si>
    <t>P-804 (1 spare)</t>
  </si>
  <si>
    <t>P-805 (1 spare)</t>
  </si>
  <si>
    <t>Tk-801A</t>
  </si>
  <si>
    <t>Storage Tank</t>
  </si>
  <si>
    <t>Fixed Roof</t>
  </si>
  <si>
    <t>N/A</t>
  </si>
  <si>
    <t>Tk-802A</t>
  </si>
  <si>
    <t>Tk-801B</t>
  </si>
  <si>
    <t>Tk-802B</t>
  </si>
  <si>
    <t>T-801</t>
  </si>
  <si>
    <t>Tower</t>
  </si>
  <si>
    <t>14 Sieve Trays</t>
  </si>
  <si>
    <t>T-802</t>
  </si>
  <si>
    <t>18 Sieve Trays</t>
  </si>
  <si>
    <t>V-801</t>
  </si>
  <si>
    <t>Vessel</t>
  </si>
  <si>
    <t>Horizontal</t>
  </si>
  <si>
    <t>V-802</t>
  </si>
  <si>
    <t>Vertical</t>
  </si>
  <si>
    <t>V-803</t>
  </si>
  <si>
    <t>V-804</t>
  </si>
  <si>
    <t>Total</t>
  </si>
  <si>
    <t>Name</t>
  </si>
  <si>
    <t>Utility Used</t>
  </si>
  <si>
    <t>Efficiency</t>
  </si>
  <si>
    <t>Energy Usage (kW)</t>
  </si>
  <si>
    <t>Annual Utility Cost</t>
  </si>
  <si>
    <t>HPS</t>
  </si>
  <si>
    <t>-</t>
  </si>
  <si>
    <t>CW</t>
  </si>
  <si>
    <t>MPS</t>
  </si>
  <si>
    <t>Fuel Oil</t>
  </si>
  <si>
    <t>P-801</t>
  </si>
  <si>
    <t>Electricity</t>
  </si>
  <si>
    <t>P-802</t>
  </si>
  <si>
    <t>P-803</t>
  </si>
  <si>
    <t>P-804</t>
  </si>
  <si>
    <t>P-805</t>
  </si>
  <si>
    <t>https://www.icis.com/explore/chemicals/channel-info-chemicals-a-z/</t>
  </si>
  <si>
    <t>8322 hr/yr</t>
  </si>
  <si>
    <t>Chemicals</t>
  </si>
  <si>
    <t>$/100 L</t>
  </si>
  <si>
    <t>$/MMBtu</t>
  </si>
  <si>
    <t>$/tonne</t>
  </si>
  <si>
    <t>$/kg</t>
  </si>
  <si>
    <t>kg/hr</t>
  </si>
  <si>
    <t>$/yr</t>
  </si>
  <si>
    <t>Classification</t>
  </si>
  <si>
    <t>Totals</t>
  </si>
  <si>
    <t>Date</t>
  </si>
  <si>
    <t>Source</t>
  </si>
  <si>
    <t>Benzene (#1)</t>
  </si>
  <si>
    <t>Raw Materials</t>
  </si>
  <si>
    <t>https://www.echemi.com/productsInformation/pid_Seven2868-benzene.html</t>
  </si>
  <si>
    <t>Propylene (#2)</t>
  </si>
  <si>
    <t>https://m.echemi.com/productsInformation/pid_Seven1855-propylene.html</t>
  </si>
  <si>
    <t>Propane (#2)</t>
  </si>
  <si>
    <t>https://www.echemi.com/productsInformation/pid_Rock16615-propane.html</t>
  </si>
  <si>
    <t>Cumene (#13)</t>
  </si>
  <si>
    <t>Products</t>
  </si>
  <si>
    <t>https://m.echemi.com/productsInformation/pid_Rock35736-cumene.html</t>
  </si>
  <si>
    <t>Fuel Gas as Natural Gas (#9)</t>
  </si>
  <si>
    <t>https://markets.businessinsider.com/commodities/natural-gas-price</t>
  </si>
  <si>
    <t>p-DIPB as Heating Oil (#14)</t>
  </si>
  <si>
    <t>https://markets.businessinsider.com/commodities/heating-oil-price</t>
  </si>
  <si>
    <t>Cumene</t>
  </si>
  <si>
    <t>https://www.icis.com/explore/resources/news/2012/04/06/9548399/us-april-cumene-prices-assessed-at-rollover-on-feedstocks/</t>
  </si>
  <si>
    <t>https://www.icis.com/explore/resources/news/2018/01/11/10182257/us-january-cumene-could-fall-on-benzene-or-roll-over-on-rgp/</t>
  </si>
  <si>
    <t>https://www.icis.com/explore/resources/news/2019/02/21/10322679/us-february-cumene-prices-rise-on-higher-benzene/</t>
  </si>
  <si>
    <t>https://www.icis.com/explore/resources/news/2009/05/04/9213113/us-cumene-prices-increase-by-12-for-may/</t>
  </si>
  <si>
    <t>https://www.icis.com/explore/resources/news/2008/03/14/9108772/us-cumene-prices-rise-8-/</t>
  </si>
  <si>
    <t>https://www.intratec.us/chemical-markets/cumene-price</t>
  </si>
  <si>
    <t>Cost ($/kg)</t>
  </si>
  <si>
    <t>Flow Rate (kg/hr)</t>
  </si>
  <si>
    <t>Annual Cost ($/yr)</t>
  </si>
  <si>
    <t>Cost Date</t>
  </si>
  <si>
    <t>Raw Material</t>
  </si>
  <si>
    <t>echemi.com</t>
  </si>
  <si>
    <t>Product</t>
  </si>
  <si>
    <t>icis.com</t>
  </si>
  <si>
    <t>businessinsider.com</t>
  </si>
  <si>
    <t>Variable</t>
  </si>
  <si>
    <t>Value</t>
  </si>
  <si>
    <t>Units</t>
  </si>
  <si>
    <t>Discrete non-discounted cash flow</t>
  </si>
  <si>
    <t>Cost of Land</t>
  </si>
  <si>
    <t>L</t>
  </si>
  <si>
    <t>one-time</t>
  </si>
  <si>
    <t>Assumed</t>
  </si>
  <si>
    <t>Year</t>
  </si>
  <si>
    <t>Cash Flow</t>
  </si>
  <si>
    <t>What</t>
  </si>
  <si>
    <t>Cash Flow ($M)</t>
  </si>
  <si>
    <t>Fixed Capital Investment w/o Land</t>
  </si>
  <si>
    <t>FCI_L</t>
  </si>
  <si>
    <t>Grass Roots Cost from CAPCOST</t>
  </si>
  <si>
    <t>TCI</t>
  </si>
  <si>
    <t>Cost of Utilities</t>
  </si>
  <si>
    <t>C_UT</t>
  </si>
  <si>
    <t>per year</t>
  </si>
  <si>
    <t>From CAPCOST</t>
  </si>
  <si>
    <t>R-COM</t>
  </si>
  <si>
    <t>Cost of Raw Materials</t>
  </si>
  <si>
    <t>C_RM</t>
  </si>
  <si>
    <t>Cost of Operating Labor</t>
  </si>
  <si>
    <t>C_OL</t>
  </si>
  <si>
    <t>From CAPCOST, multiplied by 4.5</t>
  </si>
  <si>
    <t>Working Capital</t>
  </si>
  <si>
    <t>W</t>
  </si>
  <si>
    <t>From CAPCOST equation</t>
  </si>
  <si>
    <t>Total Capital Investment</t>
  </si>
  <si>
    <t>FCI_L + L + W</t>
  </si>
  <si>
    <t>Revenue from Product Sales</t>
  </si>
  <si>
    <t>R</t>
  </si>
  <si>
    <t>Salvage Value</t>
  </si>
  <si>
    <t>S</t>
  </si>
  <si>
    <t>Hours per Operating Year</t>
  </si>
  <si>
    <t>H</t>
  </si>
  <si>
    <t>Default in CAPCOST</t>
  </si>
  <si>
    <t>Cost of Manufacture Excluding Depreciation</t>
  </si>
  <si>
    <t>COM_d</t>
  </si>
  <si>
    <t>Equation with coefficients</t>
  </si>
  <si>
    <t>After-Tax Internal Hurdle Rate</t>
  </si>
  <si>
    <t>i</t>
  </si>
  <si>
    <t>p.a.</t>
  </si>
  <si>
    <t>Turton</t>
  </si>
  <si>
    <t>R-COM+S+L</t>
  </si>
  <si>
    <t>Marginal Taxation Rate</t>
  </si>
  <si>
    <t>T</t>
  </si>
  <si>
    <t>Construction Time</t>
  </si>
  <si>
    <t>t_c</t>
  </si>
  <si>
    <t>years</t>
  </si>
  <si>
    <t>Project Plant Life</t>
  </si>
  <si>
    <t>t_l</t>
  </si>
  <si>
    <t>years after startup</t>
  </si>
  <si>
    <t>Depreciation</t>
  </si>
  <si>
    <t>d</t>
  </si>
  <si>
    <t>MACRS 6 year</t>
  </si>
  <si>
    <t>Depreciation Schedule (from Table 9.2)</t>
  </si>
  <si>
    <t>eq. 9.25</t>
  </si>
  <si>
    <t>eq. 9.26</t>
  </si>
  <si>
    <t>eq 9.27</t>
  </si>
  <si>
    <t>eq. 9.28</t>
  </si>
  <si>
    <t>Depreciation Allowance (% of FCI_L)</t>
  </si>
  <si>
    <t>Depreciation Allowance, d</t>
  </si>
  <si>
    <t>Revenue</t>
  </si>
  <si>
    <t>Expenses</t>
  </si>
  <si>
    <t>Income Tax</t>
  </si>
  <si>
    <t>After-Tax (Net) Profit</t>
  </si>
  <si>
    <t>After-Tax Cash-Flow</t>
  </si>
  <si>
    <t>Discrete Cash-Flow (in millions)</t>
  </si>
  <si>
    <t>Cumulative Cash-Flow (in millions)</t>
  </si>
  <si>
    <t>Discrete CashFlow ($M)</t>
  </si>
  <si>
    <t>Cumulative CashFlow ($M)</t>
  </si>
  <si>
    <t>i_nom</t>
  </si>
  <si>
    <t>i_eff</t>
  </si>
  <si>
    <t>P</t>
  </si>
  <si>
    <t>Costs</t>
  </si>
  <si>
    <t>Symbol</t>
  </si>
  <si>
    <t>Land Cost</t>
  </si>
  <si>
    <t>After-Tax Internal Hurdle Rate = 9%</t>
  </si>
  <si>
    <t>Marginal Taxation Rate = 35%</t>
  </si>
  <si>
    <t>Construction Time = 2 years</t>
  </si>
  <si>
    <t>Project Plant Life = 10 years after construction</t>
  </si>
  <si>
    <t>Annual Raw Material Cost</t>
  </si>
  <si>
    <t>MACRS 6-year Depreciation</t>
  </si>
  <si>
    <t>Annual Operating Labor Cost</t>
  </si>
  <si>
    <t>8322 hours per operating year</t>
  </si>
  <si>
    <t>Annual Cost of Manufacture</t>
  </si>
  <si>
    <t>Annual Product Sales Revenue</t>
  </si>
  <si>
    <t>Using Ideal Gas Law</t>
  </si>
  <si>
    <t>Stream Specs</t>
  </si>
  <si>
    <t>Cond</t>
  </si>
  <si>
    <t>Std Cond</t>
  </si>
  <si>
    <t>Costing</t>
  </si>
  <si>
    <t>L/min</t>
  </si>
  <si>
    <t>P (bar)</t>
  </si>
  <si>
    <t>V (L/min)</t>
  </si>
  <si>
    <t>T (degC)</t>
  </si>
  <si>
    <t>T (K)</t>
  </si>
  <si>
    <t>($/std m3)</t>
  </si>
  <si>
    <t>rho (kg/m3)</t>
  </si>
  <si>
    <t>9 (vapor)</t>
  </si>
  <si>
    <t>14 (liquid)</t>
  </si>
  <si>
    <t>$/1000 m3</t>
  </si>
  <si>
    <t>$/m3</t>
  </si>
  <si>
    <t>Heat of Reaction (from C5)</t>
  </si>
  <si>
    <t>MJ/hr</t>
  </si>
  <si>
    <t>Heat Exchangers</t>
  </si>
  <si>
    <t>Energy (MJ/hr)</t>
  </si>
  <si>
    <t>GJ/hr</t>
  </si>
  <si>
    <t>$/GJ</t>
  </si>
  <si>
    <t>$/hr</t>
  </si>
  <si>
    <t>tonne/hr</t>
  </si>
  <si>
    <t>High-Pressure Steam</t>
  </si>
  <si>
    <t>Cooling Water</t>
  </si>
  <si>
    <t>Medium-Pressure Steam</t>
  </si>
  <si>
    <t>Propylene/Propane (#2)</t>
  </si>
  <si>
    <t>$/lb 2012</t>
  </si>
  <si>
    <t>$/kg 2012</t>
  </si>
  <si>
    <t>$/kg 2020</t>
  </si>
  <si>
    <t>2012 $</t>
  </si>
  <si>
    <t>2020 $</t>
  </si>
  <si>
    <t>Adjusted to 2020 $</t>
  </si>
  <si>
    <t>Turton 2012</t>
  </si>
  <si>
    <t>Rounded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</si>
</sst>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&quot;$&quot;* #,##0_);_(&quot;$&quot;* \(#,##0\);_(&quot;$&quot;* &quot;-&quot;??_);_(@_)"/>
    <numFmt numFmtId="166" formatCode="0.0%"/>
    <numFmt numFmtId="167" formatCode="_(&quot;$&quot;* #,##0.000_);_(&quot;$&quot;* \(#,##0.0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3" xfId="0" applyBorder="1" applyAlignment="1">
      <alignment horizontal="left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5" fontId="0" fillId="0" borderId="0" xfId="1" applyNumberFormat="1" applyFont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9" fontId="0" fillId="0" borderId="0" xfId="2" applyFont="1" applyBorder="1" applyAlignment="1">
      <alignment horizontal="center"/>
    </xf>
    <xf numFmtId="165" fontId="0" fillId="0" borderId="0" xfId="1" applyNumberFormat="1" applyFont="1" applyBorder="1"/>
    <xf numFmtId="9" fontId="2" fillId="0" borderId="7" xfId="2" applyFont="1" applyBorder="1" applyAlignment="1">
      <alignment horizontal="center" vertical="center" wrapText="1"/>
    </xf>
    <xf numFmtId="165" fontId="2" fillId="0" borderId="8" xfId="1" applyNumberFormat="1" applyFont="1" applyBorder="1"/>
    <xf numFmtId="9" fontId="0" fillId="0" borderId="0" xfId="0" applyNumberFormat="1"/>
    <xf numFmtId="0" fontId="2" fillId="0" borderId="0" xfId="0" applyFont="1" applyAlignment="1">
      <alignment wrapText="1"/>
    </xf>
    <xf numFmtId="10" fontId="0" fillId="0" borderId="0" xfId="0" applyNumberFormat="1"/>
    <xf numFmtId="166" fontId="0" fillId="0" borderId="0" xfId="0" applyNumberFormat="1"/>
    <xf numFmtId="166" fontId="0" fillId="0" borderId="0" xfId="2" applyNumberFormat="1" applyFont="1"/>
    <xf numFmtId="165" fontId="0" fillId="0" borderId="0" xfId="1" applyNumberFormat="1" applyFont="1"/>
    <xf numFmtId="0" fontId="0" fillId="0" borderId="0" xfId="0" applyNumberFormat="1"/>
    <xf numFmtId="165" fontId="0" fillId="0" borderId="0" xfId="0" applyNumberFormat="1"/>
    <xf numFmtId="165" fontId="0" fillId="0" borderId="2" xfId="1" applyNumberFormat="1" applyFont="1" applyBorder="1"/>
    <xf numFmtId="165" fontId="2" fillId="0" borderId="7" xfId="0" applyNumberFormat="1" applyFont="1" applyBorder="1" applyAlignment="1">
      <alignment vertical="center" wrapText="1"/>
    </xf>
    <xf numFmtId="165" fontId="2" fillId="0" borderId="7" xfId="1" applyNumberFormat="1" applyFont="1" applyBorder="1" applyAlignment="1">
      <alignment horizontal="left" vertical="center"/>
    </xf>
    <xf numFmtId="165" fontId="2" fillId="0" borderId="8" xfId="1" applyNumberFormat="1" applyFont="1" applyBorder="1" applyAlignment="1">
      <alignment vertical="center"/>
    </xf>
    <xf numFmtId="165" fontId="2" fillId="0" borderId="7" xfId="0" applyNumberFormat="1" applyFont="1" applyBorder="1" applyAlignment="1">
      <alignment wrapText="1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9" fontId="0" fillId="0" borderId="4" xfId="2" applyFont="1" applyBorder="1" applyAlignment="1">
      <alignment horizontal="center"/>
    </xf>
    <xf numFmtId="165" fontId="0" fillId="0" borderId="5" xfId="1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4" fillId="0" borderId="0" xfId="3"/>
    <xf numFmtId="14" fontId="0" fillId="0" borderId="0" xfId="0" applyNumberFormat="1"/>
    <xf numFmtId="164" fontId="0" fillId="0" borderId="0" xfId="0" applyNumberFormat="1"/>
    <xf numFmtId="44" fontId="0" fillId="0" borderId="0" xfId="1" applyFont="1"/>
    <xf numFmtId="44" fontId="0" fillId="0" borderId="0" xfId="1" applyFont="1" applyBorder="1" applyAlignment="1">
      <alignment horizontal="center"/>
    </xf>
    <xf numFmtId="44" fontId="0" fillId="0" borderId="0" xfId="1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44" fontId="0" fillId="0" borderId="4" xfId="1" applyFont="1" applyBorder="1" applyAlignment="1">
      <alignment horizontal="center"/>
    </xf>
    <xf numFmtId="44" fontId="0" fillId="0" borderId="4" xfId="1" applyNumberFormat="1" applyFont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wrapText="1"/>
    </xf>
    <xf numFmtId="0" fontId="0" fillId="0" borderId="0" xfId="0" applyBorder="1"/>
    <xf numFmtId="165" fontId="0" fillId="0" borderId="2" xfId="0" applyNumberFormat="1" applyBorder="1"/>
    <xf numFmtId="0" fontId="0" fillId="0" borderId="4" xfId="0" applyBorder="1"/>
    <xf numFmtId="165" fontId="0" fillId="0" borderId="5" xfId="1" applyNumberFormat="1" applyFont="1" applyBorder="1"/>
    <xf numFmtId="0" fontId="2" fillId="0" borderId="6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7" fontId="0" fillId="0" borderId="0" xfId="1" applyNumberFormat="1" applyFont="1"/>
    <xf numFmtId="44" fontId="0" fillId="0" borderId="0" xfId="0" applyNumberFormat="1"/>
    <xf numFmtId="1" fontId="0" fillId="0" borderId="0" xfId="0" applyNumberFormat="1" applyBorder="1" applyAlignment="1">
      <alignment horizontal="center"/>
    </xf>
    <xf numFmtId="1" fontId="0" fillId="0" borderId="0" xfId="1" applyNumberFormat="1" applyFont="1" applyBorder="1" applyAlignment="1">
      <alignment horizontal="center"/>
    </xf>
    <xf numFmtId="1" fontId="0" fillId="0" borderId="4" xfId="1" applyNumberFormat="1" applyFont="1" applyBorder="1" applyAlignment="1">
      <alignment horizontal="center"/>
    </xf>
    <xf numFmtId="164" fontId="0" fillId="0" borderId="0" xfId="0" applyNumberFormat="1" applyFont="1" applyAlignment="1">
      <alignment wrapText="1"/>
    </xf>
    <xf numFmtId="0" fontId="0" fillId="0" borderId="0" xfId="0" applyAlignment="1">
      <alignment horizontal="center"/>
    </xf>
  </cellXfs>
  <cellStyles count="8">
    <cellStyle name="Comma 2" xfId="5" xr:uid="{F67C6E91-F934-4132-B98B-4B2CAC7A63F5}"/>
    <cellStyle name="Currency" xfId="1" builtinId="4"/>
    <cellStyle name="Currency 2" xfId="6" xr:uid="{69BA023E-8BD2-484E-8EF6-A09F51B15C80}"/>
    <cellStyle name="Hyperlink" xfId="3" builtinId="8"/>
    <cellStyle name="Normal" xfId="0" builtinId="0"/>
    <cellStyle name="Normal 2" xfId="4" xr:uid="{014F722A-6FB1-4E95-9A68-D7EA1DB56D50}"/>
    <cellStyle name="Percent" xfId="2" builtinId="5"/>
    <cellStyle name="Percent 2" xfId="7" xr:uid="{680F1DD1-37F8-4B4D-828E-1A2BDAC32E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Discrete</a:t>
            </a:r>
            <a:r>
              <a:rPr lang="en-US" baseline="0"/>
              <a:t> Non-Discounted Cash Flow Diagram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COM!$H$4:$H$14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COM!$K$4:$K$14</c:f>
              <c:numCache>
                <c:formatCode>0.0</c:formatCode>
                <c:ptCount val="11"/>
                <c:pt idx="0">
                  <c:v>-17.702619145574285</c:v>
                </c:pt>
                <c:pt idx="1">
                  <c:v>25.747464222969828</c:v>
                </c:pt>
                <c:pt idx="2">
                  <c:v>25.747464222969828</c:v>
                </c:pt>
                <c:pt idx="3">
                  <c:v>25.747464222969828</c:v>
                </c:pt>
                <c:pt idx="4">
                  <c:v>25.747464222969828</c:v>
                </c:pt>
                <c:pt idx="5">
                  <c:v>25.747464222969828</c:v>
                </c:pt>
                <c:pt idx="6">
                  <c:v>25.747464222969828</c:v>
                </c:pt>
                <c:pt idx="7">
                  <c:v>25.747464222969828</c:v>
                </c:pt>
                <c:pt idx="8">
                  <c:v>25.747464222969828</c:v>
                </c:pt>
                <c:pt idx="9">
                  <c:v>25.747464222969828</c:v>
                </c:pt>
                <c:pt idx="10">
                  <c:v>31.247464222969828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1-4A6F-96F9-4D4E35063E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5154576"/>
        <c:axId val="625153592"/>
      </c:barChart>
      <c:catAx>
        <c:axId val="62515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53592"/>
        <c:crosses val="autoZero"/>
        <c:auto val="1"/>
        <c:lblAlgn val="ctr"/>
        <c:lblOffset val="100"/>
        <c:noMultiLvlLbl val="0"/>
      </c:catAx>
      <c:valAx>
        <c:axId val="62515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Cash</a:t>
                </a:r>
                <a:r>
                  <a:rPr lang="en-US" baseline="0"/>
                  <a:t> Flow (in</a:t>
                </a:r>
                <a:r>
                  <a:rPr lang="en-US"/>
                  <a:t> millions of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5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Discrete Discounted Cash</a:t>
            </a:r>
            <a:r>
              <a:rPr lang="en-US" baseline="0"/>
              <a:t> </a:t>
            </a:r>
            <a:r>
              <a:rPr lang="en-US"/>
              <a:t>Flow</a:t>
            </a:r>
            <a:r>
              <a:rPr lang="en-US" baseline="0"/>
              <a:t> Diagram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COM!$A$22:$A$32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COM!$K$22:$K$32</c:f>
              <c:numCache>
                <c:formatCode>0.0</c:formatCode>
                <c:ptCount val="11"/>
                <c:pt idx="0">
                  <c:v>-11.506702444623288</c:v>
                </c:pt>
                <c:pt idx="1">
                  <c:v>16.324069744930391</c:v>
                </c:pt>
                <c:pt idx="2">
                  <c:v>16.84173854493039</c:v>
                </c:pt>
                <c:pt idx="3">
                  <c:v>18.328859824930394</c:v>
                </c:pt>
                <c:pt idx="4">
                  <c:v>19.221132592930388</c:v>
                </c:pt>
                <c:pt idx="5">
                  <c:v>19.661621680930388</c:v>
                </c:pt>
                <c:pt idx="6">
                  <c:v>20.220703984930388</c:v>
                </c:pt>
                <c:pt idx="7">
                  <c:v>20.559541744930389</c:v>
                </c:pt>
                <c:pt idx="8">
                  <c:v>20.559541744930389</c:v>
                </c:pt>
                <c:pt idx="9">
                  <c:v>20.559541744930389</c:v>
                </c:pt>
                <c:pt idx="10">
                  <c:v>24.134541744930392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F-4887-B716-D222B19737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6201208"/>
        <c:axId val="786201536"/>
      </c:barChart>
      <c:catAx>
        <c:axId val="786201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01536"/>
        <c:crosses val="autoZero"/>
        <c:auto val="1"/>
        <c:lblAlgn val="ctr"/>
        <c:lblOffset val="100"/>
        <c:noMultiLvlLbl val="0"/>
      </c:catAx>
      <c:valAx>
        <c:axId val="7862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Cash Flow (in millions of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0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Discounted Cash Flow</a:t>
            </a:r>
            <a:r>
              <a:rPr lang="en-US" baseline="0"/>
              <a:t> Diagram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COM!$A$22:$A$32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COM!$L$22:$L$32</c:f>
              <c:numCache>
                <c:formatCode>0.0</c:formatCode>
                <c:ptCount val="11"/>
                <c:pt idx="0">
                  <c:v>-11.506702444623288</c:v>
                </c:pt>
                <c:pt idx="1">
                  <c:v>4.8173673003071027</c:v>
                </c:pt>
                <c:pt idx="2">
                  <c:v>21.659105845237494</c:v>
                </c:pt>
                <c:pt idx="3">
                  <c:v>39.987965670167888</c:v>
                </c:pt>
                <c:pt idx="4">
                  <c:v>59.209098263098269</c:v>
                </c:pt>
                <c:pt idx="5">
                  <c:v>78.870719944028664</c:v>
                </c:pt>
                <c:pt idx="6">
                  <c:v>99.091423928959045</c:v>
                </c:pt>
                <c:pt idx="7">
                  <c:v>119.65096567388943</c:v>
                </c:pt>
                <c:pt idx="8">
                  <c:v>140.21050741881982</c:v>
                </c:pt>
                <c:pt idx="9">
                  <c:v>160.7700491637502</c:v>
                </c:pt>
                <c:pt idx="10">
                  <c:v>184.90459090868058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0-4F11-9C74-ECBEE7375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6201208"/>
        <c:axId val="786201536"/>
      </c:barChart>
      <c:catAx>
        <c:axId val="786201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01536"/>
        <c:crosses val="autoZero"/>
        <c:auto val="1"/>
        <c:lblAlgn val="ctr"/>
        <c:lblOffset val="100"/>
        <c:noMultiLvlLbl val="0"/>
      </c:catAx>
      <c:valAx>
        <c:axId val="7862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Cash</a:t>
                </a:r>
                <a:r>
                  <a:rPr lang="en-US" baseline="0"/>
                  <a:t> Flow (in millions of 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0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0</xdr:row>
      <xdr:rowOff>91440</xdr:rowOff>
    </xdr:from>
    <xdr:to>
      <xdr:col>21</xdr:col>
      <xdr:colOff>160020</xdr:colOff>
      <xdr:row>18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7ADB44-8DFC-4112-9807-CB68FDB4F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</xdr:colOff>
      <xdr:row>19</xdr:row>
      <xdr:rowOff>76200</xdr:rowOff>
    </xdr:from>
    <xdr:to>
      <xdr:col>21</xdr:col>
      <xdr:colOff>198120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411E00-371E-4E77-8A03-3918AADE5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579120</xdr:colOff>
      <xdr:row>36</xdr:row>
      <xdr:rowOff>0</xdr:rowOff>
    </xdr:from>
    <xdr:to>
      <xdr:col>21</xdr:col>
      <xdr:colOff>121920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873A5C-7094-4662-9492-F508141D6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PCO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ment Summary"/>
      <sheetName val="Utilities Summary"/>
      <sheetName val="COM Summary"/>
      <sheetName val="Cash Flow Analysis"/>
      <sheetName val="Monte Carlo Simulation"/>
      <sheetName val="User Options"/>
      <sheetName val="Equipment Cost Data"/>
    </sheetNames>
    <sheetDataSet>
      <sheetData sheetId="0">
        <row r="2">
          <cell r="E2">
            <v>800</v>
          </cell>
        </row>
      </sheetData>
      <sheetData sheetId="1" refreshError="1"/>
      <sheetData sheetId="2">
        <row r="25">
          <cell r="C25">
            <v>1.18</v>
          </cell>
        </row>
        <row r="26">
          <cell r="C26">
            <v>0.5</v>
          </cell>
        </row>
      </sheetData>
      <sheetData sheetId="3" refreshError="1"/>
      <sheetData sheetId="4" refreshError="1"/>
      <sheetData sheetId="5">
        <row r="2">
          <cell r="C2">
            <v>8322</v>
          </cell>
        </row>
        <row r="5">
          <cell r="G5">
            <v>1</v>
          </cell>
        </row>
        <row r="6">
          <cell r="C6">
            <v>16.8</v>
          </cell>
        </row>
        <row r="8">
          <cell r="G8">
            <v>1</v>
          </cell>
        </row>
        <row r="11">
          <cell r="G11">
            <v>3.6</v>
          </cell>
        </row>
        <row r="41">
          <cell r="C41">
            <v>0.75</v>
          </cell>
        </row>
        <row r="44">
          <cell r="C44">
            <v>0.7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is.com/explore/resources/news/2019/02/21/10322679/us-february-cumene-prices-rise-on-higher-benzene/" TargetMode="External"/><Relationship Id="rId13" Type="http://schemas.openxmlformats.org/officeDocument/2006/relationships/hyperlink" Target="https://m.echemi.com/productsInformation/pid_Seven1855-propylene.html" TargetMode="External"/><Relationship Id="rId3" Type="http://schemas.openxmlformats.org/officeDocument/2006/relationships/hyperlink" Target="https://markets.businessinsider.com/commodities/natural-gas-price" TargetMode="External"/><Relationship Id="rId7" Type="http://schemas.openxmlformats.org/officeDocument/2006/relationships/hyperlink" Target="https://www.icis.com/explore/resources/news/2018/01/11/10182257/us-january-cumene-could-fall-on-benzene-or-roll-over-on-rgp/" TargetMode="External"/><Relationship Id="rId12" Type="http://schemas.openxmlformats.org/officeDocument/2006/relationships/hyperlink" Target="https://www.intratec.us/chemical-markets/cumene-price" TargetMode="External"/><Relationship Id="rId2" Type="http://schemas.openxmlformats.org/officeDocument/2006/relationships/hyperlink" Target="https://www.echemi.com/productsInformation/pid_Seven2868-benzene.html" TargetMode="External"/><Relationship Id="rId1" Type="http://schemas.openxmlformats.org/officeDocument/2006/relationships/hyperlink" Target="https://www.icis.com/explore/chemicals/channel-info-chemicals-a-z/" TargetMode="External"/><Relationship Id="rId6" Type="http://schemas.openxmlformats.org/officeDocument/2006/relationships/hyperlink" Target="https://www.icis.com/explore/resources/news/2012/04/06/9548399/us-april-cumene-prices-assessed-at-rollover-on-feedstocks/" TargetMode="External"/><Relationship Id="rId11" Type="http://schemas.openxmlformats.org/officeDocument/2006/relationships/hyperlink" Target="https://www.icis.com/explore/resources/news/2008/03/14/9108772/us-cumene-prices-rise-8-/" TargetMode="External"/><Relationship Id="rId5" Type="http://schemas.openxmlformats.org/officeDocument/2006/relationships/hyperlink" Target="https://m.echemi.com/productsInformation/pid_Rock35736-cumene.html" TargetMode="External"/><Relationship Id="rId15" Type="http://schemas.openxmlformats.org/officeDocument/2006/relationships/hyperlink" Target="https://m.echemi.com/productsInformation/pid_Seven1855-propylene.html" TargetMode="External"/><Relationship Id="rId10" Type="http://schemas.openxmlformats.org/officeDocument/2006/relationships/hyperlink" Target="https://www.icis.com/explore/resources/news/2008/03/14/9108772/us-cumene-prices-rise-8-/" TargetMode="External"/><Relationship Id="rId4" Type="http://schemas.openxmlformats.org/officeDocument/2006/relationships/hyperlink" Target="https://markets.businessinsider.com/commodities/heating-oil-price" TargetMode="External"/><Relationship Id="rId9" Type="http://schemas.openxmlformats.org/officeDocument/2006/relationships/hyperlink" Target="https://www.icis.com/explore/resources/news/2009/05/04/9213113/us-cumene-prices-increase-by-12-for-may/" TargetMode="External"/><Relationship Id="rId14" Type="http://schemas.openxmlformats.org/officeDocument/2006/relationships/hyperlink" Target="https://www.echemi.com/productsInformation/pid_Rock16615-propane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39691-ED40-42B6-BC62-183A5CF2EDDF}">
  <dimension ref="A1:U33"/>
  <sheetViews>
    <sheetView tabSelected="1" zoomScale="83" zoomScaleNormal="83" workbookViewId="0">
      <pane ySplit="1" topLeftCell="A8" activePane="bottomLeft" state="frozen"/>
      <selection pane="bottomLeft" activeCell="J18" sqref="J18"/>
    </sheetView>
  </sheetViews>
  <sheetFormatPr defaultRowHeight="14.4" x14ac:dyDescent="0.3"/>
  <cols>
    <col min="1" max="1" width="21.33203125" style="1" bestFit="1" customWidth="1"/>
    <col min="2" max="17" width="8.6640625" style="1"/>
    <col min="18" max="18" width="9.6640625" style="1" bestFit="1" customWidth="1"/>
    <col min="19" max="19" width="10" bestFit="1" customWidth="1"/>
    <col min="20" max="20" width="8.6640625" customWidth="1"/>
    <col min="21" max="21" width="9" bestFit="1" customWidth="1"/>
  </cols>
  <sheetData>
    <row r="1" spans="1:21" x14ac:dyDescent="0.3">
      <c r="A1" s="64" t="s">
        <v>0</v>
      </c>
      <c r="B1" s="64">
        <v>1</v>
      </c>
      <c r="C1" s="64">
        <v>2</v>
      </c>
      <c r="D1" s="64">
        <v>3</v>
      </c>
      <c r="E1" s="64">
        <v>4</v>
      </c>
      <c r="F1" s="64">
        <v>5</v>
      </c>
      <c r="G1" s="64">
        <v>6</v>
      </c>
      <c r="H1" s="64" t="s">
        <v>1</v>
      </c>
      <c r="I1" s="64">
        <v>7</v>
      </c>
      <c r="J1" s="64">
        <v>8</v>
      </c>
      <c r="K1" s="64" t="s">
        <v>2</v>
      </c>
      <c r="L1" s="64">
        <v>9</v>
      </c>
      <c r="M1" s="64">
        <v>10</v>
      </c>
      <c r="N1" s="64">
        <v>11</v>
      </c>
      <c r="O1" s="64">
        <v>12</v>
      </c>
      <c r="P1" s="64">
        <v>13</v>
      </c>
      <c r="Q1" s="64">
        <v>14</v>
      </c>
      <c r="R1" s="64" t="s">
        <v>3</v>
      </c>
      <c r="S1" s="64" t="s">
        <v>4</v>
      </c>
      <c r="T1" s="64" t="s">
        <v>5</v>
      </c>
      <c r="U1" s="64" t="s">
        <v>6</v>
      </c>
    </row>
    <row r="2" spans="1:2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</row>
    <row r="3" spans="1:21" x14ac:dyDescent="0.3">
      <c r="A3" s="64" t="s">
        <v>7</v>
      </c>
      <c r="B3" s="64">
        <v>25</v>
      </c>
      <c r="C3" s="64">
        <v>25</v>
      </c>
      <c r="D3" s="64">
        <v>43.6</v>
      </c>
      <c r="E3" s="64">
        <v>27.5</v>
      </c>
      <c r="F3" s="64">
        <v>44.9</v>
      </c>
      <c r="G3" s="64">
        <v>41.5</v>
      </c>
      <c r="H3" s="64">
        <v>214</v>
      </c>
      <c r="I3" s="64">
        <v>365</v>
      </c>
      <c r="J3" s="64">
        <v>365</v>
      </c>
      <c r="K3" s="64">
        <v>90</v>
      </c>
      <c r="L3" s="64">
        <v>90</v>
      </c>
      <c r="M3" s="64">
        <v>90</v>
      </c>
      <c r="N3" s="64">
        <v>57.9</v>
      </c>
      <c r="O3" s="64">
        <v>175.3</v>
      </c>
      <c r="P3" s="64">
        <v>175</v>
      </c>
      <c r="Q3" s="64">
        <v>235</v>
      </c>
      <c r="R3" s="64">
        <v>30</v>
      </c>
      <c r="S3" s="64">
        <v>45.2</v>
      </c>
      <c r="T3" s="64">
        <v>254</v>
      </c>
      <c r="U3" s="64">
        <v>234.4</v>
      </c>
    </row>
    <row r="4" spans="1:21" x14ac:dyDescent="0.3">
      <c r="A4" s="64" t="s">
        <v>8</v>
      </c>
      <c r="B4" s="64">
        <v>1</v>
      </c>
      <c r="C4" s="64">
        <v>11.66</v>
      </c>
      <c r="D4" s="64">
        <v>1</v>
      </c>
      <c r="E4" s="64">
        <v>31.5</v>
      </c>
      <c r="F4" s="64">
        <v>31.5</v>
      </c>
      <c r="G4" s="64">
        <v>31.5</v>
      </c>
      <c r="H4" s="64">
        <v>31.5</v>
      </c>
      <c r="I4" s="64">
        <v>30.75</v>
      </c>
      <c r="J4" s="64">
        <v>30.75</v>
      </c>
      <c r="K4" s="64">
        <v>30.75</v>
      </c>
      <c r="L4" s="64">
        <v>1.75</v>
      </c>
      <c r="M4" s="64">
        <v>1.75</v>
      </c>
      <c r="N4" s="64">
        <v>1.75</v>
      </c>
      <c r="O4" s="64">
        <v>1.75</v>
      </c>
      <c r="P4" s="64">
        <v>1.75</v>
      </c>
      <c r="Q4" s="64">
        <v>1.75</v>
      </c>
      <c r="R4" s="64">
        <v>5.16</v>
      </c>
      <c r="S4" s="64">
        <v>5.16</v>
      </c>
      <c r="T4" s="64">
        <v>42.37</v>
      </c>
      <c r="U4" s="64">
        <v>30.95</v>
      </c>
    </row>
    <row r="5" spans="1:21" x14ac:dyDescent="0.3">
      <c r="A5" s="64" t="s">
        <v>9</v>
      </c>
      <c r="B5" s="64">
        <v>0</v>
      </c>
      <c r="C5" s="64">
        <v>0</v>
      </c>
      <c r="D5" s="64">
        <v>0</v>
      </c>
      <c r="E5" s="64">
        <v>0</v>
      </c>
      <c r="F5" s="64">
        <v>0</v>
      </c>
      <c r="G5" s="64">
        <v>0</v>
      </c>
      <c r="H5" s="64">
        <v>0.70099999999999996</v>
      </c>
      <c r="I5" s="64">
        <v>1</v>
      </c>
      <c r="J5" s="64">
        <v>1</v>
      </c>
      <c r="K5" s="64">
        <v>0</v>
      </c>
      <c r="L5" s="64">
        <v>1</v>
      </c>
      <c r="M5" s="64">
        <v>0</v>
      </c>
      <c r="N5" s="64">
        <v>0</v>
      </c>
      <c r="O5" s="64">
        <v>0</v>
      </c>
      <c r="P5" s="64">
        <v>0</v>
      </c>
      <c r="Q5" s="64">
        <v>0</v>
      </c>
      <c r="R5" s="64">
        <v>0</v>
      </c>
      <c r="S5" s="64">
        <v>0</v>
      </c>
      <c r="T5" s="64">
        <v>1</v>
      </c>
      <c r="U5" s="64">
        <v>0.14399999999999999</v>
      </c>
    </row>
    <row r="6" spans="1:21" x14ac:dyDescent="0.3">
      <c r="A6" s="64" t="s">
        <v>10</v>
      </c>
      <c r="B6" s="64">
        <v>105</v>
      </c>
      <c r="C6" s="64">
        <v>110.27</v>
      </c>
      <c r="D6" s="64">
        <v>226.239</v>
      </c>
      <c r="E6" s="64">
        <v>110.27</v>
      </c>
      <c r="F6" s="64">
        <v>226.239</v>
      </c>
      <c r="G6" s="64">
        <v>336.50900000000001</v>
      </c>
      <c r="H6" s="64">
        <v>336.50900000000001</v>
      </c>
      <c r="I6" s="64">
        <v>336.50900000000001</v>
      </c>
      <c r="J6" s="64">
        <v>235.255</v>
      </c>
      <c r="K6" s="64">
        <v>235.255</v>
      </c>
      <c r="L6" s="64">
        <v>14.821</v>
      </c>
      <c r="M6" s="64">
        <v>220.434</v>
      </c>
      <c r="N6" s="64">
        <v>121.239</v>
      </c>
      <c r="O6" s="64">
        <v>99.194999999999993</v>
      </c>
      <c r="P6" s="64">
        <v>98.203000000000003</v>
      </c>
      <c r="Q6" s="64">
        <v>0.99199999999999999</v>
      </c>
      <c r="R6" s="64">
        <v>14504.353999999999</v>
      </c>
      <c r="S6" s="64">
        <v>14504.353999999999</v>
      </c>
      <c r="T6" s="64">
        <v>421.86399999999998</v>
      </c>
      <c r="U6" s="64">
        <v>421.86399999999998</v>
      </c>
    </row>
    <row r="7" spans="1:21" x14ac:dyDescent="0.3">
      <c r="A7" s="64" t="s">
        <v>11</v>
      </c>
      <c r="B7" s="64">
        <v>8201.9320000000007</v>
      </c>
      <c r="C7" s="64">
        <v>4650.8559999999998</v>
      </c>
      <c r="D7" s="64">
        <v>18242.46</v>
      </c>
      <c r="E7" s="64">
        <v>4650.8559999999998</v>
      </c>
      <c r="F7" s="64">
        <v>18242.46</v>
      </c>
      <c r="G7" s="64">
        <v>22893.315999999999</v>
      </c>
      <c r="H7" s="64">
        <v>22893.315999999999</v>
      </c>
      <c r="I7" s="64">
        <v>22893.315999999999</v>
      </c>
      <c r="J7" s="64">
        <v>22893.34</v>
      </c>
      <c r="K7" s="64">
        <v>22893.34</v>
      </c>
      <c r="L7" s="64">
        <v>872.59299999999996</v>
      </c>
      <c r="M7" s="64">
        <v>22020.746999999999</v>
      </c>
      <c r="N7" s="64">
        <v>10040.527</v>
      </c>
      <c r="O7" s="64">
        <v>11980.22</v>
      </c>
      <c r="P7" s="64">
        <v>11819.251</v>
      </c>
      <c r="Q7" s="64">
        <v>160.96799999999999</v>
      </c>
      <c r="R7" s="64">
        <v>261300</v>
      </c>
      <c r="S7" s="64">
        <v>261300</v>
      </c>
      <c r="T7" s="64">
        <v>7600</v>
      </c>
      <c r="U7" s="64">
        <v>7600</v>
      </c>
    </row>
    <row r="8" spans="1:21" x14ac:dyDescent="0.3">
      <c r="A8" s="64" t="s">
        <v>12</v>
      </c>
      <c r="B8" s="64">
        <f>B7/1000</f>
        <v>8.2019320000000011</v>
      </c>
      <c r="C8" s="64">
        <f t="shared" ref="C8:U8" si="0">C7/1000</f>
        <v>4.6508560000000001</v>
      </c>
      <c r="D8" s="64">
        <f t="shared" si="0"/>
        <v>18.242459999999998</v>
      </c>
      <c r="E8" s="64">
        <f t="shared" si="0"/>
        <v>4.6508560000000001</v>
      </c>
      <c r="F8" s="64">
        <f t="shared" si="0"/>
        <v>18.242459999999998</v>
      </c>
      <c r="G8" s="64">
        <f t="shared" si="0"/>
        <v>22.893315999999999</v>
      </c>
      <c r="H8" s="64">
        <f t="shared" si="0"/>
        <v>22.893315999999999</v>
      </c>
      <c r="I8" s="64">
        <f t="shared" si="0"/>
        <v>22.893315999999999</v>
      </c>
      <c r="J8" s="64">
        <f t="shared" si="0"/>
        <v>22.893339999999998</v>
      </c>
      <c r="K8" s="64">
        <f t="shared" si="0"/>
        <v>22.893339999999998</v>
      </c>
      <c r="L8" s="64">
        <f t="shared" si="0"/>
        <v>0.87259299999999995</v>
      </c>
      <c r="M8" s="64">
        <f t="shared" si="0"/>
        <v>22.020747</v>
      </c>
      <c r="N8" s="64">
        <f t="shared" si="0"/>
        <v>10.040527000000001</v>
      </c>
      <c r="O8" s="64">
        <f t="shared" si="0"/>
        <v>11.980219999999999</v>
      </c>
      <c r="P8" s="64">
        <f t="shared" si="0"/>
        <v>11.819251</v>
      </c>
      <c r="Q8" s="64">
        <f t="shared" si="0"/>
        <v>0.160968</v>
      </c>
      <c r="R8" s="64">
        <f t="shared" si="0"/>
        <v>261.3</v>
      </c>
      <c r="S8" s="64">
        <f t="shared" si="0"/>
        <v>261.3</v>
      </c>
      <c r="T8" s="64">
        <f t="shared" si="0"/>
        <v>7.6</v>
      </c>
      <c r="U8" s="64">
        <f t="shared" si="0"/>
        <v>7.6</v>
      </c>
    </row>
    <row r="9" spans="1:21" x14ac:dyDescent="0.3">
      <c r="A9" s="64" t="s">
        <v>13</v>
      </c>
      <c r="B9" s="64">
        <v>155.14599999999999</v>
      </c>
      <c r="C9" s="64">
        <v>158.79900000000001</v>
      </c>
      <c r="D9" s="64">
        <v>357.596</v>
      </c>
      <c r="E9" s="64">
        <v>156.86099999999999</v>
      </c>
      <c r="F9" s="64">
        <v>356.226</v>
      </c>
      <c r="G9" s="64">
        <v>498.51900000000001</v>
      </c>
      <c r="H9" s="64">
        <v>3936.3980000000001</v>
      </c>
      <c r="I9" s="64">
        <v>8739.8510000000006</v>
      </c>
      <c r="J9" s="64">
        <v>5180.6019999999999</v>
      </c>
      <c r="K9" s="64">
        <v>480.24799999999999</v>
      </c>
      <c r="L9" s="64">
        <v>4151.2539999999999</v>
      </c>
      <c r="M9" s="64">
        <v>460.26799999999997</v>
      </c>
      <c r="N9" s="64">
        <v>202.57599999999999</v>
      </c>
      <c r="O9" s="64">
        <v>278.596</v>
      </c>
      <c r="P9" s="64">
        <v>274.76400000000001</v>
      </c>
      <c r="Q9" s="64">
        <v>3.9849999999999999</v>
      </c>
      <c r="R9" s="64">
        <v>4551.4030000000002</v>
      </c>
      <c r="S9" s="64">
        <v>4616.6620000000003</v>
      </c>
      <c r="T9" s="64">
        <v>6212.0230000000001</v>
      </c>
      <c r="U9" s="64">
        <v>1375.57</v>
      </c>
    </row>
    <row r="10" spans="1:21" x14ac:dyDescent="0.3">
      <c r="A10" s="64" t="s">
        <v>14</v>
      </c>
      <c r="B10" s="64">
        <v>4.9210000000000003</v>
      </c>
      <c r="C10" s="64">
        <v>-0.14099999999999999</v>
      </c>
      <c r="D10" s="64">
        <v>8.7739999999999991</v>
      </c>
      <c r="E10" s="64">
        <v>-0.11700000000000001</v>
      </c>
      <c r="F10" s="64">
        <v>8.8569999999999993</v>
      </c>
      <c r="G10" s="64">
        <v>8.74</v>
      </c>
      <c r="H10" s="64">
        <v>20.323</v>
      </c>
      <c r="I10" s="64">
        <v>29.460999999999999</v>
      </c>
      <c r="J10" s="64">
        <v>19.759</v>
      </c>
      <c r="K10" s="64">
        <v>1.61</v>
      </c>
      <c r="L10" s="64">
        <v>2.8000000000000001E-2</v>
      </c>
      <c r="M10" s="64">
        <v>1.825</v>
      </c>
      <c r="N10" s="64">
        <v>3.8530000000000002</v>
      </c>
      <c r="O10" s="64">
        <v>-0.54600000000000004</v>
      </c>
      <c r="P10" s="64">
        <v>-0.47799999999999998</v>
      </c>
      <c r="Q10" s="64">
        <v>-5.5E-2</v>
      </c>
      <c r="R10" s="64">
        <v>-3965.047</v>
      </c>
      <c r="S10" s="64">
        <v>-3946.8980000000001</v>
      </c>
      <c r="T10" s="64">
        <v>-94.346000000000004</v>
      </c>
      <c r="U10" s="64">
        <v>-105.929</v>
      </c>
    </row>
    <row r="11" spans="1:21" x14ac:dyDescent="0.3">
      <c r="A11" s="64" t="s">
        <v>10</v>
      </c>
      <c r="B11" s="64" t="s">
        <v>15</v>
      </c>
      <c r="C11" s="64" t="s">
        <v>15</v>
      </c>
      <c r="D11" s="64" t="s">
        <v>15</v>
      </c>
      <c r="E11" s="64" t="s">
        <v>15</v>
      </c>
      <c r="F11" s="64" t="s">
        <v>15</v>
      </c>
      <c r="G11" s="64" t="s">
        <v>15</v>
      </c>
      <c r="H11" s="64" t="s">
        <v>15</v>
      </c>
      <c r="I11" s="64" t="s">
        <v>15</v>
      </c>
      <c r="J11" s="64" t="s">
        <v>15</v>
      </c>
      <c r="K11" s="64" t="s">
        <v>15</v>
      </c>
      <c r="L11" s="64" t="s">
        <v>15</v>
      </c>
      <c r="M11" s="64" t="s">
        <v>15</v>
      </c>
      <c r="N11" s="64" t="s">
        <v>15</v>
      </c>
      <c r="O11" s="64" t="s">
        <v>15</v>
      </c>
      <c r="P11" s="64" t="s">
        <v>15</v>
      </c>
      <c r="Q11" s="64" t="s">
        <v>15</v>
      </c>
      <c r="R11" s="64" t="s">
        <v>15</v>
      </c>
      <c r="S11" s="64" t="s">
        <v>15</v>
      </c>
      <c r="T11" s="64" t="s">
        <v>15</v>
      </c>
      <c r="U11" s="64" t="s">
        <v>15</v>
      </c>
    </row>
    <row r="12" spans="1:21" x14ac:dyDescent="0.3">
      <c r="A12" s="64" t="s">
        <v>16</v>
      </c>
      <c r="B12" s="64">
        <v>105</v>
      </c>
      <c r="C12" s="64">
        <v>0</v>
      </c>
      <c r="D12" s="64">
        <v>200.624</v>
      </c>
      <c r="E12" s="64">
        <v>0</v>
      </c>
      <c r="F12" s="64">
        <v>200.624</v>
      </c>
      <c r="G12" s="64">
        <v>200.624</v>
      </c>
      <c r="H12" s="64">
        <v>200.624</v>
      </c>
      <c r="I12" s="64">
        <v>200.624</v>
      </c>
      <c r="J12" s="64">
        <v>100.747</v>
      </c>
      <c r="K12" s="64">
        <v>100.747</v>
      </c>
      <c r="L12" s="64">
        <v>5.1150000000000002</v>
      </c>
      <c r="M12" s="64">
        <v>95.632000000000005</v>
      </c>
      <c r="N12" s="64">
        <v>95.623999999999995</v>
      </c>
      <c r="O12" s="64">
        <v>8.0000000000000002E-3</v>
      </c>
      <c r="P12" s="64">
        <v>8.0000000000000002E-3</v>
      </c>
      <c r="Q12" s="64">
        <v>0</v>
      </c>
      <c r="R12" s="64">
        <v>0</v>
      </c>
      <c r="S12" s="64">
        <v>0</v>
      </c>
      <c r="T12" s="64">
        <v>0</v>
      </c>
      <c r="U12" s="64">
        <v>0</v>
      </c>
    </row>
    <row r="13" spans="1:21" x14ac:dyDescent="0.3">
      <c r="A13" s="64" t="s">
        <v>17</v>
      </c>
      <c r="B13" s="64">
        <v>0</v>
      </c>
      <c r="C13" s="64">
        <v>105</v>
      </c>
      <c r="D13" s="64">
        <v>2.6680000000000001</v>
      </c>
      <c r="E13" s="64">
        <v>105</v>
      </c>
      <c r="F13" s="64">
        <v>2.6680000000000001</v>
      </c>
      <c r="G13" s="64">
        <v>107.66800000000001</v>
      </c>
      <c r="H13" s="64">
        <v>107.66800000000001</v>
      </c>
      <c r="I13" s="64">
        <v>107.66800000000001</v>
      </c>
      <c r="J13" s="64">
        <v>6.4139999999999997</v>
      </c>
      <c r="K13" s="64">
        <v>6.4139999999999997</v>
      </c>
      <c r="L13" s="64">
        <v>3.746</v>
      </c>
      <c r="M13" s="64">
        <v>2.6680000000000001</v>
      </c>
      <c r="N13" s="64">
        <v>2.6680000000000001</v>
      </c>
      <c r="O13" s="64">
        <v>0</v>
      </c>
      <c r="P13" s="64">
        <v>0</v>
      </c>
      <c r="Q13" s="64">
        <v>0</v>
      </c>
      <c r="R13" s="64">
        <v>0</v>
      </c>
      <c r="S13" s="64">
        <v>0</v>
      </c>
      <c r="T13" s="64">
        <v>0</v>
      </c>
      <c r="U13" s="64">
        <v>0</v>
      </c>
    </row>
    <row r="14" spans="1:21" x14ac:dyDescent="0.3">
      <c r="A14" s="64" t="s">
        <v>18</v>
      </c>
      <c r="B14" s="64">
        <v>0</v>
      </c>
      <c r="C14" s="64">
        <v>5.27</v>
      </c>
      <c r="D14" s="64">
        <v>3.9329999999999998</v>
      </c>
      <c r="E14" s="64">
        <v>5.27</v>
      </c>
      <c r="F14" s="64">
        <v>3.9329999999999998</v>
      </c>
      <c r="G14" s="64">
        <v>9.2029999999999994</v>
      </c>
      <c r="H14" s="64">
        <v>9.2029999999999994</v>
      </c>
      <c r="I14" s="64">
        <v>9.2029999999999994</v>
      </c>
      <c r="J14" s="64">
        <v>9.2029999999999994</v>
      </c>
      <c r="K14" s="64">
        <v>9.2029999999999994</v>
      </c>
      <c r="L14" s="64">
        <v>5.27</v>
      </c>
      <c r="M14" s="64">
        <v>3.9329999999999998</v>
      </c>
      <c r="N14" s="64">
        <v>3.9329999999999998</v>
      </c>
      <c r="O14" s="64">
        <v>0</v>
      </c>
      <c r="P14" s="64">
        <v>0</v>
      </c>
      <c r="Q14" s="64">
        <v>0</v>
      </c>
      <c r="R14" s="64">
        <v>0</v>
      </c>
      <c r="S14" s="64">
        <v>0</v>
      </c>
      <c r="T14" s="64">
        <v>0</v>
      </c>
      <c r="U14" s="64">
        <v>0</v>
      </c>
    </row>
    <row r="15" spans="1:21" x14ac:dyDescent="0.3">
      <c r="A15" s="64" t="s">
        <v>19</v>
      </c>
      <c r="B15" s="64">
        <v>0</v>
      </c>
      <c r="C15" s="64">
        <v>0</v>
      </c>
      <c r="D15" s="64">
        <v>0</v>
      </c>
      <c r="E15" s="64">
        <v>0</v>
      </c>
      <c r="F15" s="64">
        <v>0</v>
      </c>
      <c r="G15" s="64">
        <v>0</v>
      </c>
      <c r="H15" s="64">
        <v>0</v>
      </c>
      <c r="I15" s="64">
        <v>0</v>
      </c>
      <c r="J15" s="64">
        <v>1.3759999999999999</v>
      </c>
      <c r="K15" s="64">
        <v>1.3759999999999999</v>
      </c>
      <c r="L15" s="64">
        <v>1E-3</v>
      </c>
      <c r="M15" s="64">
        <v>1.375</v>
      </c>
      <c r="N15" s="64">
        <v>0</v>
      </c>
      <c r="O15" s="64">
        <v>1.375</v>
      </c>
      <c r="P15" s="64">
        <v>0.38300000000000001</v>
      </c>
      <c r="Q15" s="64">
        <v>0.99199999999999999</v>
      </c>
      <c r="R15" s="64">
        <v>0</v>
      </c>
      <c r="S15" s="64">
        <v>0</v>
      </c>
      <c r="T15" s="64">
        <v>0</v>
      </c>
      <c r="U15" s="64">
        <v>0</v>
      </c>
    </row>
    <row r="16" spans="1:21" x14ac:dyDescent="0.3">
      <c r="A16" s="64" t="s">
        <v>20</v>
      </c>
      <c r="B16" s="64">
        <v>0</v>
      </c>
      <c r="C16" s="64">
        <v>0</v>
      </c>
      <c r="D16" s="64">
        <v>19.013000000000002</v>
      </c>
      <c r="E16" s="64">
        <v>0</v>
      </c>
      <c r="F16" s="64">
        <v>19.013000000000002</v>
      </c>
      <c r="G16" s="64">
        <v>19.013000000000002</v>
      </c>
      <c r="H16" s="64">
        <v>19.013000000000002</v>
      </c>
      <c r="I16" s="64">
        <v>19.013000000000002</v>
      </c>
      <c r="J16" s="64">
        <v>117.515</v>
      </c>
      <c r="K16" s="64">
        <v>117.515</v>
      </c>
      <c r="L16" s="64">
        <v>0.68899999999999995</v>
      </c>
      <c r="M16" s="64">
        <v>116.82599999999999</v>
      </c>
      <c r="N16" s="64">
        <v>19.013000000000002</v>
      </c>
      <c r="O16" s="64">
        <v>97.813000000000002</v>
      </c>
      <c r="P16" s="64">
        <v>97.813000000000002</v>
      </c>
      <c r="Q16" s="64">
        <v>0</v>
      </c>
      <c r="R16" s="64">
        <v>0</v>
      </c>
      <c r="S16" s="64">
        <v>0</v>
      </c>
      <c r="T16" s="64">
        <v>0</v>
      </c>
      <c r="U16" s="64">
        <v>0</v>
      </c>
    </row>
    <row r="17" spans="1:21" x14ac:dyDescent="0.3">
      <c r="A17" s="64" t="s">
        <v>21</v>
      </c>
      <c r="B17" s="64">
        <v>0</v>
      </c>
      <c r="C17" s="64">
        <v>0</v>
      </c>
      <c r="D17" s="64">
        <v>0</v>
      </c>
      <c r="E17" s="64">
        <v>0</v>
      </c>
      <c r="F17" s="64">
        <v>0</v>
      </c>
      <c r="G17" s="64">
        <v>0</v>
      </c>
      <c r="H17" s="64">
        <v>0</v>
      </c>
      <c r="I17" s="64">
        <v>0</v>
      </c>
      <c r="J17" s="64">
        <v>0</v>
      </c>
      <c r="K17" s="64">
        <v>0</v>
      </c>
      <c r="L17" s="64">
        <v>0</v>
      </c>
      <c r="M17" s="64">
        <v>0</v>
      </c>
      <c r="N17" s="64">
        <v>0</v>
      </c>
      <c r="O17" s="64">
        <v>0</v>
      </c>
      <c r="P17" s="64">
        <v>0</v>
      </c>
      <c r="Q17" s="64">
        <v>0</v>
      </c>
      <c r="R17" s="64">
        <v>14504.353999999999</v>
      </c>
      <c r="S17" s="64">
        <v>14504.353999999999</v>
      </c>
      <c r="T17" s="64">
        <v>421.86399999999998</v>
      </c>
      <c r="U17" s="64">
        <v>421.86399999999998</v>
      </c>
    </row>
    <row r="19" spans="1:21" x14ac:dyDescent="0.3">
      <c r="A19" s="64" t="s">
        <v>22</v>
      </c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</row>
    <row r="20" spans="1:21" x14ac:dyDescent="0.3">
      <c r="A20" s="64" t="s">
        <v>16</v>
      </c>
      <c r="B20" s="64">
        <v>78.11</v>
      </c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</row>
    <row r="21" spans="1:21" x14ac:dyDescent="0.3">
      <c r="A21" s="64" t="s">
        <v>17</v>
      </c>
      <c r="B21" s="64">
        <v>42.08</v>
      </c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</row>
    <row r="22" spans="1:21" x14ac:dyDescent="0.3">
      <c r="A22" s="64" t="s">
        <v>18</v>
      </c>
      <c r="B22" s="64">
        <v>44.1</v>
      </c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</row>
    <row r="23" spans="1:21" x14ac:dyDescent="0.3">
      <c r="A23" s="64" t="s">
        <v>19</v>
      </c>
      <c r="B23" s="64">
        <v>162.27000000000001</v>
      </c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</row>
    <row r="24" spans="1:21" x14ac:dyDescent="0.3">
      <c r="A24" s="64" t="s">
        <v>20</v>
      </c>
      <c r="B24" s="64">
        <v>120.19</v>
      </c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</row>
    <row r="25" spans="1:21" x14ac:dyDescent="0.3">
      <c r="A25" s="64" t="s">
        <v>23</v>
      </c>
      <c r="B25" s="64">
        <v>18.010000000000002</v>
      </c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</row>
    <row r="27" spans="1:21" x14ac:dyDescent="0.3">
      <c r="A27" s="64" t="s">
        <v>11</v>
      </c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</row>
    <row r="28" spans="1:21" x14ac:dyDescent="0.3">
      <c r="A28" s="64" t="s">
        <v>16</v>
      </c>
      <c r="B28" s="64">
        <f>B12*$B20</f>
        <v>8201.5499999999993</v>
      </c>
      <c r="C28" s="64">
        <f>C12*$B20</f>
        <v>0</v>
      </c>
      <c r="D28" s="64">
        <f>D12*$B20</f>
        <v>15670.74064</v>
      </c>
      <c r="E28" s="64">
        <f t="shared" ref="E28:U28" si="1">E12*$B20</f>
        <v>0</v>
      </c>
      <c r="F28" s="64">
        <f t="shared" si="1"/>
        <v>15670.74064</v>
      </c>
      <c r="G28" s="64">
        <f t="shared" si="1"/>
        <v>15670.74064</v>
      </c>
      <c r="H28" s="64">
        <f t="shared" si="1"/>
        <v>15670.74064</v>
      </c>
      <c r="I28" s="64">
        <f t="shared" si="1"/>
        <v>15670.74064</v>
      </c>
      <c r="J28" s="64">
        <f t="shared" si="1"/>
        <v>7869.3481700000002</v>
      </c>
      <c r="K28" s="64">
        <f t="shared" si="1"/>
        <v>7869.3481700000002</v>
      </c>
      <c r="L28" s="64">
        <f t="shared" si="1"/>
        <v>399.53264999999999</v>
      </c>
      <c r="M28" s="64">
        <f t="shared" si="1"/>
        <v>7469.8155200000001</v>
      </c>
      <c r="N28" s="64">
        <f t="shared" si="1"/>
        <v>7469.1906399999998</v>
      </c>
      <c r="O28" s="64">
        <f t="shared" si="1"/>
        <v>0.62487999999999999</v>
      </c>
      <c r="P28" s="64">
        <f t="shared" si="1"/>
        <v>0.62487999999999999</v>
      </c>
      <c r="Q28" s="64">
        <f t="shared" si="1"/>
        <v>0</v>
      </c>
      <c r="R28" s="64">
        <f t="shared" si="1"/>
        <v>0</v>
      </c>
      <c r="S28" s="64">
        <f t="shared" si="1"/>
        <v>0</v>
      </c>
      <c r="T28" s="64">
        <f t="shared" si="1"/>
        <v>0</v>
      </c>
      <c r="U28" s="64">
        <f t="shared" si="1"/>
        <v>0</v>
      </c>
    </row>
    <row r="29" spans="1:21" x14ac:dyDescent="0.3">
      <c r="A29" s="64" t="s">
        <v>17</v>
      </c>
      <c r="B29" s="64">
        <f t="shared" ref="B29:C33" si="2">B13*$B21</f>
        <v>0</v>
      </c>
      <c r="C29" s="64">
        <f t="shared" si="2"/>
        <v>4418.3999999999996</v>
      </c>
      <c r="D29" s="64">
        <f t="shared" ref="D29:U29" si="3">D13*$B21</f>
        <v>112.26944</v>
      </c>
      <c r="E29" s="64">
        <f t="shared" si="3"/>
        <v>4418.3999999999996</v>
      </c>
      <c r="F29" s="64">
        <f t="shared" si="3"/>
        <v>112.26944</v>
      </c>
      <c r="G29" s="64">
        <f t="shared" si="3"/>
        <v>4530.6694399999997</v>
      </c>
      <c r="H29" s="64">
        <f t="shared" si="3"/>
        <v>4530.6694399999997</v>
      </c>
      <c r="I29" s="64">
        <f t="shared" si="3"/>
        <v>4530.6694399999997</v>
      </c>
      <c r="J29" s="64">
        <f t="shared" si="3"/>
        <v>269.90111999999999</v>
      </c>
      <c r="K29" s="64">
        <f t="shared" si="3"/>
        <v>269.90111999999999</v>
      </c>
      <c r="L29" s="64">
        <f t="shared" si="3"/>
        <v>157.63167999999999</v>
      </c>
      <c r="M29" s="64">
        <f t="shared" si="3"/>
        <v>112.26944</v>
      </c>
      <c r="N29" s="64">
        <f t="shared" si="3"/>
        <v>112.26944</v>
      </c>
      <c r="O29" s="64">
        <f t="shared" si="3"/>
        <v>0</v>
      </c>
      <c r="P29" s="64">
        <f t="shared" si="3"/>
        <v>0</v>
      </c>
      <c r="Q29" s="64">
        <f t="shared" si="3"/>
        <v>0</v>
      </c>
      <c r="R29" s="64">
        <f t="shared" si="3"/>
        <v>0</v>
      </c>
      <c r="S29" s="64">
        <f t="shared" si="3"/>
        <v>0</v>
      </c>
      <c r="T29" s="64">
        <f t="shared" si="3"/>
        <v>0</v>
      </c>
      <c r="U29" s="64">
        <f t="shared" si="3"/>
        <v>0</v>
      </c>
    </row>
    <row r="30" spans="1:21" x14ac:dyDescent="0.3">
      <c r="A30" s="64" t="s">
        <v>18</v>
      </c>
      <c r="B30" s="64">
        <f t="shared" si="2"/>
        <v>0</v>
      </c>
      <c r="C30" s="64">
        <f t="shared" si="2"/>
        <v>232.40699999999998</v>
      </c>
      <c r="D30" s="64">
        <f t="shared" ref="D30:U30" si="4">D14*$B22</f>
        <v>173.4453</v>
      </c>
      <c r="E30" s="64">
        <f t="shared" si="4"/>
        <v>232.40699999999998</v>
      </c>
      <c r="F30" s="64">
        <f t="shared" si="4"/>
        <v>173.4453</v>
      </c>
      <c r="G30" s="64">
        <f t="shared" si="4"/>
        <v>405.85230000000001</v>
      </c>
      <c r="H30" s="64">
        <f t="shared" si="4"/>
        <v>405.85230000000001</v>
      </c>
      <c r="I30" s="64">
        <f t="shared" si="4"/>
        <v>405.85230000000001</v>
      </c>
      <c r="J30" s="64">
        <f t="shared" si="4"/>
        <v>405.85230000000001</v>
      </c>
      <c r="K30" s="64">
        <f t="shared" si="4"/>
        <v>405.85230000000001</v>
      </c>
      <c r="L30" s="64">
        <f t="shared" si="4"/>
        <v>232.40699999999998</v>
      </c>
      <c r="M30" s="64">
        <f t="shared" si="4"/>
        <v>173.4453</v>
      </c>
      <c r="N30" s="64">
        <f t="shared" si="4"/>
        <v>173.4453</v>
      </c>
      <c r="O30" s="64">
        <f t="shared" si="4"/>
        <v>0</v>
      </c>
      <c r="P30" s="64">
        <f t="shared" si="4"/>
        <v>0</v>
      </c>
      <c r="Q30" s="64">
        <f t="shared" si="4"/>
        <v>0</v>
      </c>
      <c r="R30" s="64">
        <f t="shared" si="4"/>
        <v>0</v>
      </c>
      <c r="S30" s="64">
        <f t="shared" si="4"/>
        <v>0</v>
      </c>
      <c r="T30" s="64">
        <f t="shared" si="4"/>
        <v>0</v>
      </c>
      <c r="U30" s="64">
        <f t="shared" si="4"/>
        <v>0</v>
      </c>
    </row>
    <row r="31" spans="1:21" x14ac:dyDescent="0.3">
      <c r="A31" s="64" t="s">
        <v>19</v>
      </c>
      <c r="B31" s="64">
        <f t="shared" si="2"/>
        <v>0</v>
      </c>
      <c r="C31" s="64">
        <f t="shared" si="2"/>
        <v>0</v>
      </c>
      <c r="D31" s="64">
        <f t="shared" ref="D31:U31" si="5">D15*$B23</f>
        <v>0</v>
      </c>
      <c r="E31" s="64">
        <f t="shared" si="5"/>
        <v>0</v>
      </c>
      <c r="F31" s="64">
        <f t="shared" si="5"/>
        <v>0</v>
      </c>
      <c r="G31" s="64">
        <f t="shared" si="5"/>
        <v>0</v>
      </c>
      <c r="H31" s="64">
        <f t="shared" si="5"/>
        <v>0</v>
      </c>
      <c r="I31" s="64">
        <f t="shared" si="5"/>
        <v>0</v>
      </c>
      <c r="J31" s="64">
        <f t="shared" si="5"/>
        <v>223.28352000000001</v>
      </c>
      <c r="K31" s="64">
        <f t="shared" si="5"/>
        <v>223.28352000000001</v>
      </c>
      <c r="L31" s="64">
        <f t="shared" si="5"/>
        <v>0.16227000000000003</v>
      </c>
      <c r="M31" s="64">
        <f t="shared" si="5"/>
        <v>223.12125</v>
      </c>
      <c r="N31" s="64">
        <f t="shared" si="5"/>
        <v>0</v>
      </c>
      <c r="O31" s="64">
        <f t="shared" si="5"/>
        <v>223.12125</v>
      </c>
      <c r="P31" s="64">
        <f t="shared" si="5"/>
        <v>62.149410000000003</v>
      </c>
      <c r="Q31" s="64">
        <f t="shared" si="5"/>
        <v>160.97184000000001</v>
      </c>
      <c r="R31" s="64">
        <f t="shared" si="5"/>
        <v>0</v>
      </c>
      <c r="S31" s="64">
        <f t="shared" si="5"/>
        <v>0</v>
      </c>
      <c r="T31" s="64">
        <f t="shared" si="5"/>
        <v>0</v>
      </c>
      <c r="U31" s="64">
        <f t="shared" si="5"/>
        <v>0</v>
      </c>
    </row>
    <row r="32" spans="1:21" x14ac:dyDescent="0.3">
      <c r="A32" s="64" t="s">
        <v>20</v>
      </c>
      <c r="B32" s="64">
        <f t="shared" si="2"/>
        <v>0</v>
      </c>
      <c r="C32" s="64">
        <f t="shared" si="2"/>
        <v>0</v>
      </c>
      <c r="D32" s="64">
        <f t="shared" ref="D32:U32" si="6">D16*$B24</f>
        <v>2285.17247</v>
      </c>
      <c r="E32" s="64">
        <f t="shared" si="6"/>
        <v>0</v>
      </c>
      <c r="F32" s="64">
        <f t="shared" si="6"/>
        <v>2285.17247</v>
      </c>
      <c r="G32" s="64">
        <f t="shared" si="6"/>
        <v>2285.17247</v>
      </c>
      <c r="H32" s="64">
        <f t="shared" si="6"/>
        <v>2285.17247</v>
      </c>
      <c r="I32" s="64">
        <f t="shared" si="6"/>
        <v>2285.17247</v>
      </c>
      <c r="J32" s="64">
        <f t="shared" si="6"/>
        <v>14124.127849999999</v>
      </c>
      <c r="K32" s="64">
        <f t="shared" si="6"/>
        <v>14124.127849999999</v>
      </c>
      <c r="L32" s="64">
        <f t="shared" si="6"/>
        <v>82.810909999999993</v>
      </c>
      <c r="M32" s="64">
        <f t="shared" si="6"/>
        <v>14041.316939999999</v>
      </c>
      <c r="N32" s="64">
        <f t="shared" si="6"/>
        <v>2285.17247</v>
      </c>
      <c r="O32" s="64">
        <f t="shared" si="6"/>
        <v>11756.144469999999</v>
      </c>
      <c r="P32" s="64">
        <f t="shared" si="6"/>
        <v>11756.144469999999</v>
      </c>
      <c r="Q32" s="64">
        <f t="shared" si="6"/>
        <v>0</v>
      </c>
      <c r="R32" s="64">
        <f t="shared" si="6"/>
        <v>0</v>
      </c>
      <c r="S32" s="64">
        <f t="shared" si="6"/>
        <v>0</v>
      </c>
      <c r="T32" s="64">
        <f t="shared" si="6"/>
        <v>0</v>
      </c>
      <c r="U32" s="64">
        <f t="shared" si="6"/>
        <v>0</v>
      </c>
    </row>
    <row r="33" spans="1:21" x14ac:dyDescent="0.3">
      <c r="A33" s="64" t="s">
        <v>23</v>
      </c>
      <c r="B33" s="64">
        <f t="shared" si="2"/>
        <v>0</v>
      </c>
      <c r="C33" s="64">
        <f t="shared" si="2"/>
        <v>0</v>
      </c>
      <c r="D33" s="64">
        <f t="shared" ref="D33:U33" si="7">D17*$B25</f>
        <v>0</v>
      </c>
      <c r="E33" s="64">
        <f t="shared" si="7"/>
        <v>0</v>
      </c>
      <c r="F33" s="64">
        <f t="shared" si="7"/>
        <v>0</v>
      </c>
      <c r="G33" s="64">
        <f t="shared" si="7"/>
        <v>0</v>
      </c>
      <c r="H33" s="64">
        <f t="shared" si="7"/>
        <v>0</v>
      </c>
      <c r="I33" s="64">
        <f t="shared" si="7"/>
        <v>0</v>
      </c>
      <c r="J33" s="64">
        <f t="shared" si="7"/>
        <v>0</v>
      </c>
      <c r="K33" s="64">
        <f t="shared" si="7"/>
        <v>0</v>
      </c>
      <c r="L33" s="64">
        <f t="shared" si="7"/>
        <v>0</v>
      </c>
      <c r="M33" s="64">
        <f t="shared" si="7"/>
        <v>0</v>
      </c>
      <c r="N33" s="64">
        <f t="shared" si="7"/>
        <v>0</v>
      </c>
      <c r="O33" s="64">
        <f t="shared" si="7"/>
        <v>0</v>
      </c>
      <c r="P33" s="64">
        <f t="shared" si="7"/>
        <v>0</v>
      </c>
      <c r="Q33" s="64">
        <f t="shared" si="7"/>
        <v>0</v>
      </c>
      <c r="R33" s="64">
        <f t="shared" si="7"/>
        <v>261223.41554000002</v>
      </c>
      <c r="S33" s="64">
        <f t="shared" si="7"/>
        <v>261223.41554000002</v>
      </c>
      <c r="T33" s="64">
        <f t="shared" si="7"/>
        <v>7597.7706400000006</v>
      </c>
      <c r="U33" s="64">
        <f t="shared" si="7"/>
        <v>7597.7706400000006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EE14B-AAEE-44D4-98AC-041B37D026DF}">
  <dimension ref="B2:Q13"/>
  <sheetViews>
    <sheetView showGridLines="0" workbookViewId="0">
      <selection activeCell="F16" sqref="F16"/>
    </sheetView>
  </sheetViews>
  <sheetFormatPr defaultRowHeight="14.4" x14ac:dyDescent="0.3"/>
  <cols>
    <col min="2" max="2" width="20.44140625" style="4" bestFit="1" customWidth="1"/>
  </cols>
  <sheetData>
    <row r="2" spans="2:17" s="5" customFormat="1" x14ac:dyDescent="0.3">
      <c r="B2" s="16" t="s">
        <v>24</v>
      </c>
      <c r="C2" s="17">
        <v>1</v>
      </c>
      <c r="D2" s="17">
        <v>2</v>
      </c>
      <c r="E2" s="17">
        <v>3</v>
      </c>
      <c r="F2" s="17">
        <v>4</v>
      </c>
      <c r="G2" s="17">
        <v>5</v>
      </c>
      <c r="H2" s="17">
        <v>6</v>
      </c>
      <c r="I2" s="17" t="s">
        <v>1</v>
      </c>
      <c r="J2" s="17">
        <v>7</v>
      </c>
      <c r="K2" s="17">
        <v>8</v>
      </c>
      <c r="L2" s="17">
        <v>9</v>
      </c>
      <c r="M2" s="17">
        <v>10</v>
      </c>
      <c r="N2" s="17">
        <v>11</v>
      </c>
      <c r="O2" s="17">
        <v>12</v>
      </c>
      <c r="P2" s="17">
        <v>13</v>
      </c>
      <c r="Q2" s="18">
        <v>14</v>
      </c>
    </row>
    <row r="3" spans="2:17" x14ac:dyDescent="0.3">
      <c r="B3" s="6" t="s">
        <v>25</v>
      </c>
      <c r="C3" s="7">
        <v>25</v>
      </c>
      <c r="D3" s="7">
        <v>25</v>
      </c>
      <c r="E3" s="7">
        <v>43.6</v>
      </c>
      <c r="F3" s="7">
        <v>27.5</v>
      </c>
      <c r="G3" s="7">
        <v>44.9</v>
      </c>
      <c r="H3" s="7">
        <v>41.5</v>
      </c>
      <c r="I3" s="7">
        <v>214</v>
      </c>
      <c r="J3" s="7">
        <v>365</v>
      </c>
      <c r="K3" s="7">
        <v>365</v>
      </c>
      <c r="L3" s="7">
        <v>90</v>
      </c>
      <c r="M3" s="7">
        <v>90</v>
      </c>
      <c r="N3" s="7">
        <v>57.9</v>
      </c>
      <c r="O3" s="7">
        <v>175.3</v>
      </c>
      <c r="P3" s="7">
        <v>175</v>
      </c>
      <c r="Q3" s="8">
        <v>235</v>
      </c>
    </row>
    <row r="4" spans="2:17" x14ac:dyDescent="0.3">
      <c r="B4" s="6" t="s">
        <v>8</v>
      </c>
      <c r="C4" s="7">
        <v>1</v>
      </c>
      <c r="D4" s="7">
        <v>11.66</v>
      </c>
      <c r="E4" s="7">
        <v>1</v>
      </c>
      <c r="F4" s="7">
        <v>31.5</v>
      </c>
      <c r="G4" s="7">
        <v>31.5</v>
      </c>
      <c r="H4" s="7">
        <v>31.5</v>
      </c>
      <c r="I4" s="7">
        <v>31.5</v>
      </c>
      <c r="J4" s="7">
        <v>30.75</v>
      </c>
      <c r="K4" s="7">
        <v>30.75</v>
      </c>
      <c r="L4" s="7">
        <v>1.75</v>
      </c>
      <c r="M4" s="7">
        <v>1.75</v>
      </c>
      <c r="N4" s="7">
        <v>1.75</v>
      </c>
      <c r="O4" s="7">
        <v>1.75</v>
      </c>
      <c r="P4" s="7">
        <v>1.75</v>
      </c>
      <c r="Q4" s="8">
        <v>1.75</v>
      </c>
    </row>
    <row r="5" spans="2:17" x14ac:dyDescent="0.3">
      <c r="B5" s="6" t="s">
        <v>26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0.70099999999999996</v>
      </c>
      <c r="J5" s="7">
        <v>1</v>
      </c>
      <c r="K5" s="7">
        <v>1</v>
      </c>
      <c r="L5" s="7">
        <v>1</v>
      </c>
      <c r="M5" s="7">
        <v>0</v>
      </c>
      <c r="N5" s="7">
        <v>0</v>
      </c>
      <c r="O5" s="7">
        <v>0</v>
      </c>
      <c r="P5" s="7">
        <v>0</v>
      </c>
      <c r="Q5" s="8">
        <v>0</v>
      </c>
    </row>
    <row r="6" spans="2:17" x14ac:dyDescent="0.3">
      <c r="B6" s="6" t="s">
        <v>12</v>
      </c>
      <c r="C6" s="9">
        <v>8.2019320000000011</v>
      </c>
      <c r="D6" s="9">
        <v>4.6508560000000001</v>
      </c>
      <c r="E6" s="9">
        <v>18.242459999999998</v>
      </c>
      <c r="F6" s="9">
        <v>4.6508560000000001</v>
      </c>
      <c r="G6" s="9">
        <v>18.242459999999998</v>
      </c>
      <c r="H6" s="9">
        <v>22.893315999999999</v>
      </c>
      <c r="I6" s="9">
        <v>22.893315999999999</v>
      </c>
      <c r="J6" s="9">
        <v>22.893315999999999</v>
      </c>
      <c r="K6" s="9">
        <v>22.893339999999998</v>
      </c>
      <c r="L6" s="9">
        <v>0.87259299999999995</v>
      </c>
      <c r="M6" s="9">
        <v>22.020747</v>
      </c>
      <c r="N6" s="9">
        <v>10.040527000000001</v>
      </c>
      <c r="O6" s="9">
        <v>11.980219999999999</v>
      </c>
      <c r="P6" s="9">
        <v>11.819251</v>
      </c>
      <c r="Q6" s="10">
        <v>0.160968</v>
      </c>
    </row>
    <row r="7" spans="2:17" x14ac:dyDescent="0.3">
      <c r="B7" s="12" t="s">
        <v>10</v>
      </c>
      <c r="C7" s="7" t="s">
        <v>15</v>
      </c>
      <c r="D7" s="7" t="s">
        <v>15</v>
      </c>
      <c r="E7" s="7" t="s">
        <v>15</v>
      </c>
      <c r="F7" s="7" t="s">
        <v>15</v>
      </c>
      <c r="G7" s="7" t="s">
        <v>15</v>
      </c>
      <c r="H7" s="7" t="s">
        <v>15</v>
      </c>
      <c r="I7" s="7" t="s">
        <v>15</v>
      </c>
      <c r="J7" s="7" t="s">
        <v>15</v>
      </c>
      <c r="K7" s="7" t="s">
        <v>15</v>
      </c>
      <c r="L7" s="7" t="s">
        <v>15</v>
      </c>
      <c r="M7" s="7" t="s">
        <v>15</v>
      </c>
      <c r="N7" s="7" t="s">
        <v>15</v>
      </c>
      <c r="O7" s="7" t="s">
        <v>15</v>
      </c>
      <c r="P7" s="7" t="s">
        <v>15</v>
      </c>
      <c r="Q7" s="8" t="s">
        <v>15</v>
      </c>
    </row>
    <row r="8" spans="2:17" x14ac:dyDescent="0.3">
      <c r="B8" s="6" t="s">
        <v>27</v>
      </c>
      <c r="C8" s="9">
        <v>105</v>
      </c>
      <c r="D8" s="9">
        <v>0</v>
      </c>
      <c r="E8" s="9">
        <v>200.624</v>
      </c>
      <c r="F8" s="9">
        <v>0</v>
      </c>
      <c r="G8" s="9">
        <v>200.624</v>
      </c>
      <c r="H8" s="9">
        <v>200.624</v>
      </c>
      <c r="I8" s="9">
        <v>200.624</v>
      </c>
      <c r="J8" s="9">
        <v>200.624</v>
      </c>
      <c r="K8" s="9">
        <v>100.747</v>
      </c>
      <c r="L8" s="9">
        <v>5.1150000000000002</v>
      </c>
      <c r="M8" s="9">
        <v>95.632000000000005</v>
      </c>
      <c r="N8" s="9">
        <v>95.623999999999995</v>
      </c>
      <c r="O8" s="9">
        <v>8.0000000000000002E-3</v>
      </c>
      <c r="P8" s="9">
        <v>8.0000000000000002E-3</v>
      </c>
      <c r="Q8" s="10">
        <v>0</v>
      </c>
    </row>
    <row r="9" spans="2:17" x14ac:dyDescent="0.3">
      <c r="B9" s="6" t="s">
        <v>28</v>
      </c>
      <c r="C9" s="9">
        <v>0</v>
      </c>
      <c r="D9" s="9">
        <v>105</v>
      </c>
      <c r="E9" s="9">
        <v>2.6680000000000001</v>
      </c>
      <c r="F9" s="9">
        <v>105</v>
      </c>
      <c r="G9" s="9">
        <v>2.6680000000000001</v>
      </c>
      <c r="H9" s="9">
        <v>107.66800000000001</v>
      </c>
      <c r="I9" s="9">
        <v>107.66800000000001</v>
      </c>
      <c r="J9" s="9">
        <v>107.66800000000001</v>
      </c>
      <c r="K9" s="9">
        <v>6.4139999999999997</v>
      </c>
      <c r="L9" s="9">
        <v>3.746</v>
      </c>
      <c r="M9" s="9">
        <v>2.6680000000000001</v>
      </c>
      <c r="N9" s="9">
        <v>2.6680000000000001</v>
      </c>
      <c r="O9" s="9">
        <v>0</v>
      </c>
      <c r="P9" s="9">
        <v>0</v>
      </c>
      <c r="Q9" s="10">
        <v>0</v>
      </c>
    </row>
    <row r="10" spans="2:17" x14ac:dyDescent="0.3">
      <c r="B10" s="6" t="s">
        <v>29</v>
      </c>
      <c r="C10" s="9">
        <v>0</v>
      </c>
      <c r="D10" s="9">
        <v>5.27</v>
      </c>
      <c r="E10" s="9">
        <v>3.9329999999999998</v>
      </c>
      <c r="F10" s="9">
        <v>5.27</v>
      </c>
      <c r="G10" s="9">
        <v>3.9329999999999998</v>
      </c>
      <c r="H10" s="9">
        <v>9.2029999999999994</v>
      </c>
      <c r="I10" s="9">
        <v>9.2029999999999994</v>
      </c>
      <c r="J10" s="9">
        <v>9.2029999999999994</v>
      </c>
      <c r="K10" s="9">
        <v>9.2029999999999994</v>
      </c>
      <c r="L10" s="9">
        <v>5.27</v>
      </c>
      <c r="M10" s="9">
        <v>3.9329999999999998</v>
      </c>
      <c r="N10" s="9">
        <v>3.9329999999999998</v>
      </c>
      <c r="O10" s="9">
        <v>0</v>
      </c>
      <c r="P10" s="9">
        <v>0</v>
      </c>
      <c r="Q10" s="10">
        <v>0</v>
      </c>
    </row>
    <row r="11" spans="2:17" x14ac:dyDescent="0.3">
      <c r="B11" s="6" t="s">
        <v>30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1.3759999999999999</v>
      </c>
      <c r="L11" s="9">
        <v>1E-3</v>
      </c>
      <c r="M11" s="9">
        <v>1.375</v>
      </c>
      <c r="N11" s="9">
        <v>0</v>
      </c>
      <c r="O11" s="9">
        <v>1.375</v>
      </c>
      <c r="P11" s="9">
        <v>0.38300000000000001</v>
      </c>
      <c r="Q11" s="10">
        <v>0.99199999999999999</v>
      </c>
    </row>
    <row r="12" spans="2:17" x14ac:dyDescent="0.3">
      <c r="B12" s="6" t="s">
        <v>31</v>
      </c>
      <c r="C12" s="9">
        <v>0</v>
      </c>
      <c r="D12" s="9">
        <v>0</v>
      </c>
      <c r="E12" s="9">
        <v>19.013000000000002</v>
      </c>
      <c r="F12" s="9">
        <v>0</v>
      </c>
      <c r="G12" s="9">
        <v>19.013000000000002</v>
      </c>
      <c r="H12" s="9">
        <v>19.013000000000002</v>
      </c>
      <c r="I12" s="9">
        <v>19.013000000000002</v>
      </c>
      <c r="J12" s="9">
        <v>19.013000000000002</v>
      </c>
      <c r="K12" s="9">
        <v>117.515</v>
      </c>
      <c r="L12" s="9">
        <v>0.68899999999999995</v>
      </c>
      <c r="M12" s="9">
        <v>116.82599999999999</v>
      </c>
      <c r="N12" s="9">
        <v>19.013000000000002</v>
      </c>
      <c r="O12" s="9">
        <v>97.813000000000002</v>
      </c>
      <c r="P12" s="9">
        <v>97.813000000000002</v>
      </c>
      <c r="Q12" s="10">
        <v>0</v>
      </c>
    </row>
    <row r="13" spans="2:17" x14ac:dyDescent="0.3">
      <c r="B13" s="13" t="s">
        <v>32</v>
      </c>
      <c r="C13" s="14">
        <v>105</v>
      </c>
      <c r="D13" s="14">
        <v>110.27</v>
      </c>
      <c r="E13" s="14">
        <v>226.239</v>
      </c>
      <c r="F13" s="14">
        <v>110.27</v>
      </c>
      <c r="G13" s="14">
        <v>226.239</v>
      </c>
      <c r="H13" s="14">
        <v>336.50900000000001</v>
      </c>
      <c r="I13" s="14">
        <v>336.50900000000001</v>
      </c>
      <c r="J13" s="14">
        <v>336.50900000000001</v>
      </c>
      <c r="K13" s="14">
        <v>235.255</v>
      </c>
      <c r="L13" s="14">
        <v>14.821</v>
      </c>
      <c r="M13" s="14">
        <v>220.434</v>
      </c>
      <c r="N13" s="14">
        <v>121.239</v>
      </c>
      <c r="O13" s="14">
        <v>99.194999999999993</v>
      </c>
      <c r="P13" s="14">
        <v>98.203000000000003</v>
      </c>
      <c r="Q13" s="15">
        <v>0.99199999999999999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F805-E5C9-4920-9EEC-267F9FE06986}">
  <dimension ref="B2:N5"/>
  <sheetViews>
    <sheetView showGridLines="0" workbookViewId="0">
      <selection activeCell="L8" sqref="L8"/>
    </sheetView>
  </sheetViews>
  <sheetFormatPr defaultRowHeight="14.4" x14ac:dyDescent="0.3"/>
  <cols>
    <col min="2" max="2" width="18.5546875" bestFit="1" customWidth="1"/>
    <col min="3" max="14" width="10.6640625" customWidth="1"/>
  </cols>
  <sheetData>
    <row r="2" spans="2:14" s="20" customFormat="1" ht="43.2" x14ac:dyDescent="0.3">
      <c r="B2" s="24" t="s">
        <v>33</v>
      </c>
      <c r="C2" s="25" t="s">
        <v>34</v>
      </c>
      <c r="D2" s="25" t="s">
        <v>35</v>
      </c>
      <c r="E2" s="25" t="s">
        <v>36</v>
      </c>
      <c r="F2" s="25" t="s">
        <v>36</v>
      </c>
      <c r="G2" s="25" t="s">
        <v>37</v>
      </c>
      <c r="H2" s="25" t="s">
        <v>37</v>
      </c>
      <c r="I2" s="25" t="s">
        <v>38</v>
      </c>
      <c r="J2" s="25" t="s">
        <v>39</v>
      </c>
      <c r="K2" s="25" t="s">
        <v>40</v>
      </c>
      <c r="L2" s="25" t="s">
        <v>41</v>
      </c>
      <c r="M2" s="25" t="s">
        <v>42</v>
      </c>
      <c r="N2" s="26" t="s">
        <v>43</v>
      </c>
    </row>
    <row r="3" spans="2:14" x14ac:dyDescent="0.3">
      <c r="B3" s="6" t="s">
        <v>25</v>
      </c>
      <c r="C3" s="7">
        <v>254</v>
      </c>
      <c r="D3" s="7">
        <v>254</v>
      </c>
      <c r="E3" s="7">
        <v>30</v>
      </c>
      <c r="F3" s="7">
        <v>45</v>
      </c>
      <c r="G3" s="7">
        <v>30</v>
      </c>
      <c r="H3" s="7">
        <v>45</v>
      </c>
      <c r="I3" s="7">
        <v>184</v>
      </c>
      <c r="J3" s="7">
        <v>184</v>
      </c>
      <c r="K3" s="7">
        <v>30</v>
      </c>
      <c r="L3" s="7">
        <v>45</v>
      </c>
      <c r="M3" s="7">
        <v>254</v>
      </c>
      <c r="N3" s="8">
        <v>254</v>
      </c>
    </row>
    <row r="4" spans="2:14" x14ac:dyDescent="0.3">
      <c r="B4" s="6" t="s">
        <v>44</v>
      </c>
      <c r="C4" s="7">
        <v>41</v>
      </c>
      <c r="D4" s="7">
        <v>41</v>
      </c>
      <c r="E4" s="7">
        <v>5.16</v>
      </c>
      <c r="F4" s="7">
        <v>4.96</v>
      </c>
      <c r="G4" s="7">
        <v>5.16</v>
      </c>
      <c r="H4" s="7">
        <v>4.96</v>
      </c>
      <c r="I4" s="7">
        <v>10</v>
      </c>
      <c r="J4" s="7">
        <v>10</v>
      </c>
      <c r="K4" s="7">
        <v>5.16</v>
      </c>
      <c r="L4" s="7">
        <v>4.96</v>
      </c>
      <c r="M4" s="7">
        <v>41</v>
      </c>
      <c r="N4" s="8">
        <v>41</v>
      </c>
    </row>
    <row r="5" spans="2:14" x14ac:dyDescent="0.3">
      <c r="B5" s="13" t="s">
        <v>12</v>
      </c>
      <c r="C5" s="14">
        <v>7.2052052052052042</v>
      </c>
      <c r="D5" s="14">
        <v>7.2052052052052042</v>
      </c>
      <c r="E5" s="14">
        <v>456.85135135135135</v>
      </c>
      <c r="F5" s="14">
        <v>456.85135135135135</v>
      </c>
      <c r="G5" s="14">
        <v>166.18864864864867</v>
      </c>
      <c r="H5" s="14">
        <v>166.18864864864867</v>
      </c>
      <c r="I5" s="14">
        <v>4.2605086541858004</v>
      </c>
      <c r="J5" s="14">
        <v>4.2605086541858004</v>
      </c>
      <c r="K5" s="14">
        <v>138.63405405405405</v>
      </c>
      <c r="L5" s="14">
        <v>138.63405405405405</v>
      </c>
      <c r="M5" s="14">
        <v>3.4254254254254253</v>
      </c>
      <c r="N5" s="15">
        <v>3.4254254254254253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73F17-8981-4651-83B9-7A2D3129B7B6}">
  <dimension ref="B2:I26"/>
  <sheetViews>
    <sheetView showGridLines="0" zoomScaleNormal="100" workbookViewId="0">
      <selection activeCell="I26" sqref="I26"/>
    </sheetView>
  </sheetViews>
  <sheetFormatPr defaultRowHeight="14.4" x14ac:dyDescent="0.3"/>
  <cols>
    <col min="2" max="9" width="15.33203125" customWidth="1"/>
  </cols>
  <sheetData>
    <row r="2" spans="2:9" s="20" customFormat="1" ht="28.8" x14ac:dyDescent="0.3">
      <c r="B2" s="24" t="s">
        <v>45</v>
      </c>
      <c r="C2" s="25" t="s">
        <v>46</v>
      </c>
      <c r="D2" s="25" t="s">
        <v>47</v>
      </c>
      <c r="E2" s="25" t="s">
        <v>48</v>
      </c>
      <c r="F2" s="25" t="s">
        <v>49</v>
      </c>
      <c r="G2" s="25" t="s">
        <v>50</v>
      </c>
      <c r="H2" s="25" t="s">
        <v>51</v>
      </c>
      <c r="I2" s="26" t="s">
        <v>52</v>
      </c>
    </row>
    <row r="3" spans="2:9" x14ac:dyDescent="0.3">
      <c r="B3" s="21" t="s">
        <v>53</v>
      </c>
      <c r="C3" s="7" t="s">
        <v>54</v>
      </c>
      <c r="D3" s="7" t="s">
        <v>55</v>
      </c>
      <c r="E3" s="7" t="s">
        <v>56</v>
      </c>
      <c r="F3" s="28">
        <v>28600</v>
      </c>
      <c r="G3" s="28">
        <v>102400</v>
      </c>
      <c r="H3" s="28">
        <v>117000</v>
      </c>
      <c r="I3" s="29">
        <v>163000</v>
      </c>
    </row>
    <row r="4" spans="2:9" x14ac:dyDescent="0.3">
      <c r="B4" s="21" t="s">
        <v>57</v>
      </c>
      <c r="C4" s="7" t="s">
        <v>54</v>
      </c>
      <c r="D4" s="7" t="s">
        <v>55</v>
      </c>
      <c r="E4" s="7" t="s">
        <v>56</v>
      </c>
      <c r="F4" s="28">
        <v>118000</v>
      </c>
      <c r="G4" s="28">
        <v>414000</v>
      </c>
      <c r="H4" s="28">
        <v>475000</v>
      </c>
      <c r="I4" s="29">
        <v>660000</v>
      </c>
    </row>
    <row r="5" spans="2:9" x14ac:dyDescent="0.3">
      <c r="B5" s="21" t="s">
        <v>58</v>
      </c>
      <c r="C5" s="7" t="s">
        <v>54</v>
      </c>
      <c r="D5" s="7" t="s">
        <v>55</v>
      </c>
      <c r="E5" s="7" t="s">
        <v>56</v>
      </c>
      <c r="F5" s="28">
        <v>48200</v>
      </c>
      <c r="G5" s="28">
        <v>159000</v>
      </c>
      <c r="H5" s="28">
        <v>120000</v>
      </c>
      <c r="I5" s="29">
        <v>171000</v>
      </c>
    </row>
    <row r="6" spans="2:9" x14ac:dyDescent="0.3">
      <c r="B6" s="21" t="s">
        <v>59</v>
      </c>
      <c r="C6" s="7" t="s">
        <v>54</v>
      </c>
      <c r="D6" s="7" t="s">
        <v>55</v>
      </c>
      <c r="E6" s="7" t="s">
        <v>56</v>
      </c>
      <c r="F6" s="28">
        <v>93800</v>
      </c>
      <c r="G6" s="28">
        <v>312000</v>
      </c>
      <c r="H6" s="28">
        <v>358000</v>
      </c>
      <c r="I6" s="29">
        <v>508000</v>
      </c>
    </row>
    <row r="7" spans="2:9" x14ac:dyDescent="0.3">
      <c r="B7" s="21" t="s">
        <v>60</v>
      </c>
      <c r="C7" s="7" t="s">
        <v>54</v>
      </c>
      <c r="D7" s="7" t="s">
        <v>55</v>
      </c>
      <c r="E7" s="7" t="s">
        <v>56</v>
      </c>
      <c r="F7" s="28">
        <v>28600</v>
      </c>
      <c r="G7" s="28">
        <v>94200</v>
      </c>
      <c r="H7" s="28">
        <v>108000</v>
      </c>
      <c r="I7" s="29">
        <v>154000</v>
      </c>
    </row>
    <row r="8" spans="2:9" x14ac:dyDescent="0.3">
      <c r="B8" s="21" t="s">
        <v>61</v>
      </c>
      <c r="C8" s="7" t="s">
        <v>54</v>
      </c>
      <c r="D8" s="7" t="s">
        <v>55</v>
      </c>
      <c r="E8" s="7" t="s">
        <v>56</v>
      </c>
      <c r="F8" s="28">
        <v>33700</v>
      </c>
      <c r="G8" s="28">
        <v>120000</v>
      </c>
      <c r="H8" s="28">
        <v>138000</v>
      </c>
      <c r="I8" s="29">
        <v>192000</v>
      </c>
    </row>
    <row r="9" spans="2:9" x14ac:dyDescent="0.3">
      <c r="B9" s="21" t="s">
        <v>63</v>
      </c>
      <c r="C9" s="7" t="s">
        <v>64</v>
      </c>
      <c r="D9" s="7" t="s">
        <v>65</v>
      </c>
      <c r="E9" s="7" t="s">
        <v>56</v>
      </c>
      <c r="F9" s="28">
        <v>844000</v>
      </c>
      <c r="G9" s="28">
        <v>1830000</v>
      </c>
      <c r="H9" s="28">
        <v>1380000</v>
      </c>
      <c r="I9" s="29">
        <v>1960000</v>
      </c>
    </row>
    <row r="10" spans="2:9" x14ac:dyDescent="0.3">
      <c r="B10" s="21" t="s">
        <v>66</v>
      </c>
      <c r="C10" s="7" t="s">
        <v>67</v>
      </c>
      <c r="D10" s="7" t="s">
        <v>68</v>
      </c>
      <c r="E10" s="7" t="s">
        <v>56</v>
      </c>
      <c r="F10" s="28">
        <v>17100</v>
      </c>
      <c r="G10" s="28">
        <v>87400</v>
      </c>
      <c r="H10" s="28">
        <v>42000</v>
      </c>
      <c r="I10" s="29">
        <v>53200</v>
      </c>
    </row>
    <row r="11" spans="2:9" x14ac:dyDescent="0.3">
      <c r="B11" s="21" t="s">
        <v>69</v>
      </c>
      <c r="C11" s="7" t="s">
        <v>67</v>
      </c>
      <c r="D11" s="7" t="s">
        <v>68</v>
      </c>
      <c r="E11" s="7" t="s">
        <v>56</v>
      </c>
      <c r="F11" s="28">
        <v>10840</v>
      </c>
      <c r="G11" s="28">
        <v>55500</v>
      </c>
      <c r="H11" s="28">
        <v>38600</v>
      </c>
      <c r="I11" s="29">
        <v>51900</v>
      </c>
    </row>
    <row r="12" spans="2:9" x14ac:dyDescent="0.3">
      <c r="B12" s="21" t="s">
        <v>70</v>
      </c>
      <c r="C12" s="7" t="s">
        <v>67</v>
      </c>
      <c r="D12" s="7" t="s">
        <v>68</v>
      </c>
      <c r="E12" s="7" t="s">
        <v>56</v>
      </c>
      <c r="F12" s="28">
        <v>8440</v>
      </c>
      <c r="G12" s="28">
        <v>33600</v>
      </c>
      <c r="H12" s="28">
        <v>35000</v>
      </c>
      <c r="I12" s="29">
        <v>47000</v>
      </c>
    </row>
    <row r="13" spans="2:9" x14ac:dyDescent="0.3">
      <c r="B13" s="21" t="s">
        <v>71</v>
      </c>
      <c r="C13" s="7" t="s">
        <v>67</v>
      </c>
      <c r="D13" s="7" t="s">
        <v>68</v>
      </c>
      <c r="E13" s="7" t="s">
        <v>56</v>
      </c>
      <c r="F13" s="28">
        <v>7650</v>
      </c>
      <c r="G13" s="28">
        <v>30500</v>
      </c>
      <c r="H13" s="28">
        <v>41000</v>
      </c>
      <c r="I13" s="29">
        <v>55200</v>
      </c>
    </row>
    <row r="14" spans="2:9" x14ac:dyDescent="0.3">
      <c r="B14" s="21" t="s">
        <v>72</v>
      </c>
      <c r="C14" s="7" t="s">
        <v>67</v>
      </c>
      <c r="D14" s="7" t="s">
        <v>68</v>
      </c>
      <c r="E14" s="7" t="s">
        <v>56</v>
      </c>
      <c r="F14" s="28">
        <v>8970</v>
      </c>
      <c r="G14" s="28">
        <v>35700</v>
      </c>
      <c r="H14" s="31">
        <v>337379.7</v>
      </c>
      <c r="I14" s="42">
        <v>469000</v>
      </c>
    </row>
    <row r="15" spans="2:9" x14ac:dyDescent="0.3">
      <c r="B15" s="21" t="s">
        <v>62</v>
      </c>
      <c r="C15" s="7" t="s">
        <v>54</v>
      </c>
      <c r="D15" s="7" t="s">
        <v>55</v>
      </c>
      <c r="E15" s="7" t="s">
        <v>56</v>
      </c>
      <c r="F15" s="28">
        <v>119000</v>
      </c>
      <c r="G15" s="28">
        <v>428000</v>
      </c>
      <c r="H15" s="28">
        <v>337379.7</v>
      </c>
      <c r="I15" s="29">
        <v>469000</v>
      </c>
    </row>
    <row r="16" spans="2:9" x14ac:dyDescent="0.3">
      <c r="B16" s="21" t="s">
        <v>80</v>
      </c>
      <c r="C16" s="7" t="s">
        <v>81</v>
      </c>
      <c r="D16" s="7" t="s">
        <v>82</v>
      </c>
      <c r="E16" s="7" t="s">
        <v>56</v>
      </c>
      <c r="F16" s="28">
        <v>37800</v>
      </c>
      <c r="G16" s="28">
        <v>94100</v>
      </c>
      <c r="H16" s="31">
        <v>84600</v>
      </c>
      <c r="I16" s="42">
        <v>120000</v>
      </c>
    </row>
    <row r="17" spans="2:9" x14ac:dyDescent="0.3">
      <c r="B17" s="21" t="s">
        <v>83</v>
      </c>
      <c r="C17" s="7" t="s">
        <v>81</v>
      </c>
      <c r="D17" s="7" t="s">
        <v>84</v>
      </c>
      <c r="E17" s="7" t="s">
        <v>56</v>
      </c>
      <c r="F17" s="28">
        <v>53000</v>
      </c>
      <c r="G17" s="28">
        <v>123400</v>
      </c>
      <c r="H17" s="31">
        <v>84600</v>
      </c>
      <c r="I17" s="42">
        <v>120000</v>
      </c>
    </row>
    <row r="18" spans="2:9" x14ac:dyDescent="0.3">
      <c r="B18" s="21" t="s">
        <v>73</v>
      </c>
      <c r="C18" s="7" t="s">
        <v>74</v>
      </c>
      <c r="D18" s="7" t="s">
        <v>75</v>
      </c>
      <c r="E18" s="7" t="s">
        <v>76</v>
      </c>
      <c r="F18" s="28">
        <v>101800</v>
      </c>
      <c r="G18" s="28">
        <v>111900</v>
      </c>
      <c r="H18" s="31">
        <v>71100</v>
      </c>
      <c r="I18" s="42">
        <v>99000</v>
      </c>
    </row>
    <row r="19" spans="2:9" x14ac:dyDescent="0.3">
      <c r="B19" s="21" t="s">
        <v>78</v>
      </c>
      <c r="C19" s="7" t="s">
        <v>74</v>
      </c>
      <c r="D19" s="7" t="s">
        <v>75</v>
      </c>
      <c r="E19" s="7" t="s">
        <v>76</v>
      </c>
      <c r="F19" s="28">
        <v>101800</v>
      </c>
      <c r="G19" s="28">
        <v>111900</v>
      </c>
      <c r="H19" s="31">
        <v>84600</v>
      </c>
      <c r="I19" s="42">
        <v>120000</v>
      </c>
    </row>
    <row r="20" spans="2:9" x14ac:dyDescent="0.3">
      <c r="B20" s="21" t="s">
        <v>77</v>
      </c>
      <c r="C20" s="7" t="s">
        <v>74</v>
      </c>
      <c r="D20" s="7" t="s">
        <v>75</v>
      </c>
      <c r="E20" s="7" t="s">
        <v>76</v>
      </c>
      <c r="F20" s="28">
        <v>101800</v>
      </c>
      <c r="G20" s="28">
        <v>111900</v>
      </c>
      <c r="H20" s="31">
        <v>93200</v>
      </c>
      <c r="I20" s="42">
        <v>132000</v>
      </c>
    </row>
    <row r="21" spans="2:9" x14ac:dyDescent="0.3">
      <c r="B21" s="21" t="s">
        <v>79</v>
      </c>
      <c r="C21" s="7" t="s">
        <v>74</v>
      </c>
      <c r="D21" s="7" t="s">
        <v>75</v>
      </c>
      <c r="E21" s="7" t="s">
        <v>76</v>
      </c>
      <c r="F21" s="28">
        <v>101800</v>
      </c>
      <c r="G21" s="28">
        <v>111900</v>
      </c>
      <c r="H21" s="31">
        <v>84600</v>
      </c>
      <c r="I21" s="42">
        <v>120000</v>
      </c>
    </row>
    <row r="22" spans="2:9" x14ac:dyDescent="0.3">
      <c r="B22" s="21" t="s">
        <v>85</v>
      </c>
      <c r="C22" s="7" t="s">
        <v>86</v>
      </c>
      <c r="D22" s="7" t="s">
        <v>87</v>
      </c>
      <c r="E22" s="7" t="s">
        <v>56</v>
      </c>
      <c r="F22" s="28">
        <v>13000</v>
      </c>
      <c r="G22" s="28">
        <v>39300</v>
      </c>
      <c r="H22" s="31">
        <v>45100</v>
      </c>
      <c r="I22" s="42">
        <v>64200</v>
      </c>
    </row>
    <row r="23" spans="2:9" x14ac:dyDescent="0.3">
      <c r="B23" s="21" t="s">
        <v>88</v>
      </c>
      <c r="C23" s="7" t="s">
        <v>86</v>
      </c>
      <c r="D23" s="7" t="s">
        <v>89</v>
      </c>
      <c r="E23" s="7" t="s">
        <v>56</v>
      </c>
      <c r="F23" s="28">
        <v>10120</v>
      </c>
      <c r="G23" s="28">
        <v>41200</v>
      </c>
      <c r="H23" s="31">
        <v>31100</v>
      </c>
      <c r="I23" s="42">
        <v>44300</v>
      </c>
    </row>
    <row r="24" spans="2:9" x14ac:dyDescent="0.3">
      <c r="B24" s="21" t="s">
        <v>90</v>
      </c>
      <c r="C24" s="7" t="s">
        <v>86</v>
      </c>
      <c r="D24" s="7" t="s">
        <v>87</v>
      </c>
      <c r="E24" s="7" t="s">
        <v>56</v>
      </c>
      <c r="F24" s="28">
        <v>14660</v>
      </c>
      <c r="G24" s="28">
        <v>44100</v>
      </c>
      <c r="H24" s="31">
        <v>33300</v>
      </c>
      <c r="I24" s="42">
        <v>47500</v>
      </c>
    </row>
    <row r="25" spans="2:9" x14ac:dyDescent="0.3">
      <c r="B25" s="22" t="s">
        <v>91</v>
      </c>
      <c r="C25" s="23" t="s">
        <v>86</v>
      </c>
      <c r="D25" s="23" t="s">
        <v>87</v>
      </c>
      <c r="E25" s="7" t="s">
        <v>56</v>
      </c>
      <c r="F25" s="28">
        <v>19200</v>
      </c>
      <c r="G25" s="28">
        <v>57900</v>
      </c>
      <c r="H25" s="31">
        <v>43800</v>
      </c>
      <c r="I25" s="42">
        <v>62300</v>
      </c>
    </row>
    <row r="26" spans="2:9" s="19" customFormat="1" x14ac:dyDescent="0.3">
      <c r="E26" s="27" t="s">
        <v>92</v>
      </c>
      <c r="F26" s="46">
        <f>ROUND(SUM(F3:F25),10000)</f>
        <v>1921880</v>
      </c>
      <c r="G26" s="43">
        <f>SUM(G3:G25)</f>
        <v>4549900</v>
      </c>
      <c r="H26" s="44">
        <f>SUM(H3:H25)</f>
        <v>4183359.4000000004</v>
      </c>
      <c r="I26" s="45">
        <f>SUM(I3:I25)</f>
        <v>5882600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319A-851D-4DCA-85DD-2886855DDE5C}">
  <dimension ref="B2:I15"/>
  <sheetViews>
    <sheetView showGridLines="0" workbookViewId="0">
      <selection activeCell="K24" sqref="K24"/>
    </sheetView>
  </sheetViews>
  <sheetFormatPr defaultRowHeight="14.4" x14ac:dyDescent="0.3"/>
  <cols>
    <col min="2" max="2" width="9.6640625" style="4" customWidth="1"/>
    <col min="3" max="6" width="13.33203125" customWidth="1"/>
  </cols>
  <sheetData>
    <row r="2" spans="2:9" s="20" customFormat="1" ht="28.8" x14ac:dyDescent="0.3">
      <c r="B2" s="24" t="s">
        <v>93</v>
      </c>
      <c r="C2" s="25" t="s">
        <v>94</v>
      </c>
      <c r="D2" s="32" t="s">
        <v>95</v>
      </c>
      <c r="E2" s="25" t="s">
        <v>96</v>
      </c>
      <c r="F2" s="26" t="s">
        <v>97</v>
      </c>
    </row>
    <row r="3" spans="2:9" x14ac:dyDescent="0.3">
      <c r="B3" s="6" t="s">
        <v>53</v>
      </c>
      <c r="C3" s="7" t="s">
        <v>98</v>
      </c>
      <c r="D3" s="30" t="s">
        <v>99</v>
      </c>
      <c r="E3" s="11">
        <v>3388.8888888888887</v>
      </c>
      <c r="F3" s="29">
        <v>1798000</v>
      </c>
    </row>
    <row r="4" spans="2:9" x14ac:dyDescent="0.3">
      <c r="B4" s="6" t="s">
        <v>57</v>
      </c>
      <c r="C4" s="7" t="s">
        <v>100</v>
      </c>
      <c r="D4" s="30" t="s">
        <v>99</v>
      </c>
      <c r="E4" s="11">
        <v>5305.5555555555557</v>
      </c>
      <c r="F4" s="29">
        <v>56268.377</v>
      </c>
    </row>
    <row r="5" spans="2:9" x14ac:dyDescent="0.3">
      <c r="B5" s="6" t="s">
        <v>58</v>
      </c>
      <c r="C5" s="7" t="s">
        <v>100</v>
      </c>
      <c r="D5" s="30" t="s">
        <v>99</v>
      </c>
      <c r="E5" s="11">
        <v>1930</v>
      </c>
      <c r="F5" s="29">
        <v>20468.724999999999</v>
      </c>
    </row>
    <row r="6" spans="2:9" x14ac:dyDescent="0.3">
      <c r="B6" s="6" t="s">
        <v>59</v>
      </c>
      <c r="C6" s="7" t="s">
        <v>101</v>
      </c>
      <c r="D6" s="30" t="s">
        <v>99</v>
      </c>
      <c r="E6" s="11">
        <v>2361.1111111111109</v>
      </c>
      <c r="F6" s="29">
        <v>1003300</v>
      </c>
    </row>
    <row r="7" spans="2:9" x14ac:dyDescent="0.3">
      <c r="B7" s="6" t="s">
        <v>60</v>
      </c>
      <c r="C7" s="7" t="s">
        <v>100</v>
      </c>
      <c r="D7" s="30" t="s">
        <v>99</v>
      </c>
      <c r="E7" s="11">
        <v>1610</v>
      </c>
      <c r="F7" s="29">
        <v>17074.946</v>
      </c>
    </row>
    <row r="8" spans="2:9" x14ac:dyDescent="0.3">
      <c r="B8" s="6" t="s">
        <v>61</v>
      </c>
      <c r="C8" s="7" t="s">
        <v>98</v>
      </c>
      <c r="D8" s="30" t="s">
        <v>99</v>
      </c>
      <c r="E8" s="11">
        <v>1611.1111111111111</v>
      </c>
      <c r="F8" s="29">
        <v>853700</v>
      </c>
    </row>
    <row r="9" spans="2:9" x14ac:dyDescent="0.3">
      <c r="B9" s="6" t="s">
        <v>63</v>
      </c>
      <c r="C9" s="7" t="s">
        <v>102</v>
      </c>
      <c r="D9" s="30">
        <v>0.7</v>
      </c>
      <c r="E9" s="11">
        <v>3813.8888888888887</v>
      </c>
      <c r="F9" s="29">
        <v>1622700</v>
      </c>
    </row>
    <row r="10" spans="2:9" x14ac:dyDescent="0.3">
      <c r="B10" s="6" t="s">
        <v>103</v>
      </c>
      <c r="C10" s="7" t="s">
        <v>104</v>
      </c>
      <c r="D10" s="30">
        <v>0.75</v>
      </c>
      <c r="E10" s="7">
        <v>29.2</v>
      </c>
      <c r="F10" s="29">
        <v>14700</v>
      </c>
    </row>
    <row r="11" spans="2:9" x14ac:dyDescent="0.3">
      <c r="B11" s="6" t="s">
        <v>105</v>
      </c>
      <c r="C11" s="7" t="s">
        <v>104</v>
      </c>
      <c r="D11" s="30">
        <v>0.75</v>
      </c>
      <c r="E11" s="7">
        <v>9.07</v>
      </c>
      <c r="F11" s="29">
        <v>4560</v>
      </c>
    </row>
    <row r="12" spans="2:9" x14ac:dyDescent="0.3">
      <c r="B12" s="6" t="s">
        <v>106</v>
      </c>
      <c r="C12" s="7" t="s">
        <v>104</v>
      </c>
      <c r="D12" s="30">
        <v>0.75</v>
      </c>
      <c r="E12" s="7">
        <v>3.2</v>
      </c>
      <c r="F12" s="29">
        <v>1610</v>
      </c>
    </row>
    <row r="13" spans="2:9" x14ac:dyDescent="0.3">
      <c r="B13" s="6" t="s">
        <v>107</v>
      </c>
      <c r="C13" s="7" t="s">
        <v>104</v>
      </c>
      <c r="D13" s="30">
        <v>0.75</v>
      </c>
      <c r="E13" s="7">
        <v>1.33</v>
      </c>
      <c r="F13" s="29">
        <v>671</v>
      </c>
      <c r="I13" s="4"/>
    </row>
    <row r="14" spans="2:9" x14ac:dyDescent="0.3">
      <c r="B14" s="13" t="s">
        <v>108</v>
      </c>
      <c r="C14" s="23" t="s">
        <v>104</v>
      </c>
      <c r="D14" s="49">
        <v>0.75</v>
      </c>
      <c r="E14" s="23">
        <v>4.4000000000000004</v>
      </c>
      <c r="F14" s="50">
        <v>2210</v>
      </c>
    </row>
    <row r="15" spans="2:9" s="5" customFormat="1" x14ac:dyDescent="0.3">
      <c r="B15" s="47"/>
      <c r="C15" s="48"/>
      <c r="D15" s="51" t="s">
        <v>92</v>
      </c>
      <c r="E15" s="52">
        <f>SUM(E3:E14)</f>
        <v>20067.755555555559</v>
      </c>
      <c r="F15" s="33">
        <v>5210000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DC8D-0081-4799-AC27-2224FD31F1A0}">
  <dimension ref="A1:L30"/>
  <sheetViews>
    <sheetView showGridLines="0" workbookViewId="0">
      <selection activeCell="I33" sqref="I33"/>
    </sheetView>
  </sheetViews>
  <sheetFormatPr defaultRowHeight="14.4" x14ac:dyDescent="0.3"/>
  <cols>
    <col min="1" max="1" width="22.6640625" customWidth="1"/>
    <col min="2" max="2" width="23.88671875" bestFit="1" customWidth="1"/>
    <col min="3" max="3" width="13.88671875" bestFit="1" customWidth="1"/>
    <col min="4" max="7" width="13.88671875" customWidth="1"/>
    <col min="8" max="8" width="18.5546875" bestFit="1" customWidth="1"/>
    <col min="9" max="9" width="20.109375" customWidth="1"/>
    <col min="10" max="10" width="16.21875" bestFit="1" customWidth="1"/>
    <col min="11" max="11" width="14.5546875" customWidth="1"/>
  </cols>
  <sheetData>
    <row r="1" spans="1:11" x14ac:dyDescent="0.3">
      <c r="A1" s="53" t="s">
        <v>109</v>
      </c>
      <c r="D1" t="s">
        <v>110</v>
      </c>
    </row>
    <row r="3" spans="1:11" x14ac:dyDescent="0.3">
      <c r="A3" t="s">
        <v>111</v>
      </c>
      <c r="B3" t="s">
        <v>112</v>
      </c>
      <c r="C3" t="s">
        <v>113</v>
      </c>
      <c r="D3" t="s">
        <v>114</v>
      </c>
      <c r="E3" t="s">
        <v>115</v>
      </c>
      <c r="F3" t="s">
        <v>116</v>
      </c>
      <c r="G3" t="s">
        <v>117</v>
      </c>
      <c r="H3" t="s">
        <v>118</v>
      </c>
      <c r="I3" t="s">
        <v>119</v>
      </c>
      <c r="J3" t="s">
        <v>120</v>
      </c>
      <c r="K3" t="s">
        <v>121</v>
      </c>
    </row>
    <row r="4" spans="1:11" x14ac:dyDescent="0.3">
      <c r="A4" t="s">
        <v>122</v>
      </c>
      <c r="D4">
        <v>767</v>
      </c>
      <c r="E4" s="56">
        <f>D4/1000</f>
        <v>0.76700000000000002</v>
      </c>
      <c r="F4">
        <v>8201.5499999999993</v>
      </c>
      <c r="G4" s="39">
        <f>E4*F4*8322</f>
        <v>52350280.409699991</v>
      </c>
      <c r="H4" s="39" t="s">
        <v>123</v>
      </c>
      <c r="I4" s="39"/>
      <c r="J4" s="54">
        <v>43892</v>
      </c>
      <c r="K4" s="53" t="s">
        <v>124</v>
      </c>
    </row>
    <row r="5" spans="1:11" x14ac:dyDescent="0.3">
      <c r="A5" t="s">
        <v>268</v>
      </c>
      <c r="E5" s="56">
        <v>0.23597528175100091</v>
      </c>
      <c r="F5">
        <f>4418.4+232.407</f>
        <v>4650.8069999999998</v>
      </c>
      <c r="G5" s="39">
        <f t="shared" ref="G5:G8" si="0">E5*F5*8322</f>
        <v>9133191.0460428558</v>
      </c>
      <c r="H5" s="39" t="s">
        <v>123</v>
      </c>
      <c r="I5" s="39"/>
      <c r="J5" s="54" t="s">
        <v>274</v>
      </c>
      <c r="K5" s="54" t="s">
        <v>275</v>
      </c>
    </row>
    <row r="6" spans="1:11" x14ac:dyDescent="0.3">
      <c r="A6" t="s">
        <v>129</v>
      </c>
      <c r="D6">
        <v>1124</v>
      </c>
      <c r="E6" s="56">
        <f t="shared" ref="E6:E8" si="1">D6/1000</f>
        <v>1.1240000000000001</v>
      </c>
      <c r="F6">
        <v>11756.14</v>
      </c>
      <c r="G6" s="39">
        <f t="shared" si="0"/>
        <v>109966087.11792</v>
      </c>
      <c r="H6" s="39" t="s">
        <v>130</v>
      </c>
      <c r="I6" s="39"/>
      <c r="J6" s="54">
        <v>43748</v>
      </c>
      <c r="K6" s="53" t="s">
        <v>131</v>
      </c>
    </row>
    <row r="7" spans="1:11" x14ac:dyDescent="0.3">
      <c r="A7" t="s">
        <v>132</v>
      </c>
      <c r="C7">
        <v>1.71</v>
      </c>
      <c r="D7">
        <f>C7*49</f>
        <v>83.789999999999992</v>
      </c>
      <c r="E7" s="56">
        <f t="shared" si="1"/>
        <v>8.3789999999999989E-2</v>
      </c>
      <c r="F7">
        <v>872.59</v>
      </c>
      <c r="G7" s="39">
        <f t="shared" si="0"/>
        <v>608457.33858420001</v>
      </c>
      <c r="H7" s="39" t="s">
        <v>130</v>
      </c>
      <c r="I7" s="39"/>
      <c r="J7" s="54">
        <v>43892</v>
      </c>
      <c r="K7" s="53" t="s">
        <v>133</v>
      </c>
    </row>
    <row r="8" spans="1:11" x14ac:dyDescent="0.3">
      <c r="A8" t="s">
        <v>134</v>
      </c>
      <c r="B8">
        <v>36.590000000000003</v>
      </c>
      <c r="D8" s="55">
        <f>B8/100*1000/900*1000</f>
        <v>406.5555555555556</v>
      </c>
      <c r="E8" s="56">
        <f t="shared" si="1"/>
        <v>0.40655555555555561</v>
      </c>
      <c r="F8">
        <v>160.16800000000001</v>
      </c>
      <c r="G8" s="39">
        <f t="shared" si="0"/>
        <v>541905.25702933338</v>
      </c>
      <c r="H8" s="39" t="s">
        <v>130</v>
      </c>
      <c r="I8" s="39">
        <f>SUM(G6:G8)</f>
        <v>111116449.71353354</v>
      </c>
      <c r="J8" s="54">
        <v>43892</v>
      </c>
      <c r="K8" s="53" t="s">
        <v>135</v>
      </c>
    </row>
    <row r="10" spans="1:11" x14ac:dyDescent="0.3">
      <c r="A10" t="s">
        <v>136</v>
      </c>
      <c r="D10">
        <v>1124</v>
      </c>
      <c r="J10" s="54">
        <v>43748</v>
      </c>
      <c r="K10" s="53" t="s">
        <v>131</v>
      </c>
    </row>
    <row r="11" spans="1:11" x14ac:dyDescent="0.3">
      <c r="A11" t="s">
        <v>136</v>
      </c>
      <c r="D11">
        <v>1450</v>
      </c>
      <c r="J11" s="54">
        <v>41005</v>
      </c>
      <c r="K11" s="53" t="s">
        <v>137</v>
      </c>
    </row>
    <row r="12" spans="1:11" x14ac:dyDescent="0.3">
      <c r="A12" t="s">
        <v>136</v>
      </c>
      <c r="D12">
        <v>1020</v>
      </c>
      <c r="J12" s="54">
        <v>43111</v>
      </c>
      <c r="K12" s="53" t="s">
        <v>138</v>
      </c>
    </row>
    <row r="13" spans="1:11" x14ac:dyDescent="0.3">
      <c r="A13" t="s">
        <v>136</v>
      </c>
      <c r="D13">
        <v>625</v>
      </c>
      <c r="J13" s="54">
        <v>43517</v>
      </c>
      <c r="K13" s="53" t="s">
        <v>139</v>
      </c>
    </row>
    <row r="14" spans="1:11" x14ac:dyDescent="0.3">
      <c r="A14" t="s">
        <v>136</v>
      </c>
      <c r="D14">
        <v>605</v>
      </c>
      <c r="J14" s="54">
        <v>39937</v>
      </c>
      <c r="K14" s="53" t="s">
        <v>140</v>
      </c>
    </row>
    <row r="15" spans="1:11" x14ac:dyDescent="0.3">
      <c r="A15" t="s">
        <v>136</v>
      </c>
      <c r="D15">
        <v>1280</v>
      </c>
      <c r="J15" s="54">
        <v>39521</v>
      </c>
      <c r="K15" s="53" t="s">
        <v>141</v>
      </c>
    </row>
    <row r="16" spans="1:11" x14ac:dyDescent="0.3">
      <c r="A16" t="s">
        <v>129</v>
      </c>
      <c r="D16">
        <v>1210</v>
      </c>
      <c r="J16" s="54">
        <v>39203</v>
      </c>
      <c r="K16" s="53" t="s">
        <v>142</v>
      </c>
    </row>
    <row r="17" spans="1:12" x14ac:dyDescent="0.3">
      <c r="A17" t="s">
        <v>125</v>
      </c>
      <c r="D17">
        <v>916</v>
      </c>
      <c r="E17" s="56">
        <f t="shared" ref="E17:E18" si="2">D17/1000</f>
        <v>0.91600000000000004</v>
      </c>
      <c r="F17">
        <v>4418.3999999999996</v>
      </c>
      <c r="G17" s="39">
        <f t="shared" ref="G17:G18" si="3">E17*F17*8322</f>
        <v>33681251.116799995</v>
      </c>
      <c r="H17" s="39" t="s">
        <v>123</v>
      </c>
      <c r="I17" s="39"/>
      <c r="J17" s="54">
        <v>43892</v>
      </c>
      <c r="K17" s="53" t="s">
        <v>126</v>
      </c>
    </row>
    <row r="18" spans="1:12" x14ac:dyDescent="0.3">
      <c r="A18" t="s">
        <v>127</v>
      </c>
      <c r="D18">
        <v>537</v>
      </c>
      <c r="E18" s="56">
        <f t="shared" si="2"/>
        <v>0.53700000000000003</v>
      </c>
      <c r="F18">
        <v>232.40700000000001</v>
      </c>
      <c r="G18" s="39">
        <f t="shared" si="3"/>
        <v>1038606.8959980002</v>
      </c>
      <c r="H18" s="39" t="s">
        <v>123</v>
      </c>
      <c r="I18" s="39">
        <f>SUM(G16:G18)</f>
        <v>34719858.012797996</v>
      </c>
      <c r="J18" s="54">
        <v>43892</v>
      </c>
      <c r="K18" s="53" t="s">
        <v>128</v>
      </c>
    </row>
    <row r="19" spans="1:12" x14ac:dyDescent="0.3">
      <c r="L19" s="53"/>
    </row>
    <row r="20" spans="1:12" x14ac:dyDescent="0.3">
      <c r="B20" t="s">
        <v>269</v>
      </c>
      <c r="C20" t="s">
        <v>270</v>
      </c>
      <c r="D20" t="s">
        <v>271</v>
      </c>
      <c r="E20" t="s">
        <v>272</v>
      </c>
      <c r="F20" t="s">
        <v>273</v>
      </c>
      <c r="L20" s="53"/>
    </row>
    <row r="21" spans="1:12" x14ac:dyDescent="0.3">
      <c r="A21" t="s">
        <v>268</v>
      </c>
      <c r="B21" s="74">
        <v>9.5000000000000001E-2</v>
      </c>
      <c r="C21" s="75">
        <f>B21/0.453592</f>
        <v>0.20943931991745887</v>
      </c>
      <c r="D21" s="75">
        <f>F21/E21*C21</f>
        <v>0.23597528175100091</v>
      </c>
      <c r="E21" s="56">
        <v>100</v>
      </c>
      <c r="F21" s="56">
        <v>112.67</v>
      </c>
      <c r="L21" s="53"/>
    </row>
    <row r="22" spans="1:12" x14ac:dyDescent="0.3">
      <c r="L22" s="53"/>
    </row>
    <row r="23" spans="1:12" x14ac:dyDescent="0.3">
      <c r="L23" s="53"/>
    </row>
    <row r="24" spans="1:12" x14ac:dyDescent="0.3">
      <c r="L24" s="53"/>
    </row>
    <row r="25" spans="1:12" ht="28.8" x14ac:dyDescent="0.3">
      <c r="B25" s="24" t="s">
        <v>111</v>
      </c>
      <c r="C25" s="25" t="s">
        <v>118</v>
      </c>
      <c r="D25" s="25" t="s">
        <v>143</v>
      </c>
      <c r="E25" s="25" t="s">
        <v>144</v>
      </c>
      <c r="F25" s="25" t="s">
        <v>145</v>
      </c>
      <c r="G25" s="25" t="s">
        <v>146</v>
      </c>
      <c r="H25" s="26" t="s">
        <v>121</v>
      </c>
      <c r="I25" s="28"/>
      <c r="K25" s="54"/>
    </row>
    <row r="26" spans="1:12" x14ac:dyDescent="0.3">
      <c r="B26" s="21" t="s">
        <v>122</v>
      </c>
      <c r="C26" s="57" t="s">
        <v>147</v>
      </c>
      <c r="D26" s="58">
        <v>0.76700000000000002</v>
      </c>
      <c r="E26" s="77">
        <v>8201.5499999999993</v>
      </c>
      <c r="F26" s="28">
        <f>MROUND(G4,1000)</f>
        <v>52350000</v>
      </c>
      <c r="G26" s="59">
        <v>43892</v>
      </c>
      <c r="H26" s="29" t="s">
        <v>148</v>
      </c>
      <c r="I26" s="28"/>
      <c r="K26" s="54"/>
    </row>
    <row r="27" spans="1:12" x14ac:dyDescent="0.3">
      <c r="B27" s="21" t="s">
        <v>268</v>
      </c>
      <c r="C27" s="57" t="s">
        <v>147</v>
      </c>
      <c r="D27" s="58">
        <v>0.23597528175100091</v>
      </c>
      <c r="E27" s="77">
        <v>4650.8069999999998</v>
      </c>
      <c r="F27" s="28">
        <f t="shared" ref="F27:F30" si="4">MROUND(G5,1000)</f>
        <v>9133000</v>
      </c>
      <c r="G27" s="76">
        <v>2020</v>
      </c>
      <c r="H27" s="29" t="s">
        <v>275</v>
      </c>
      <c r="I27" s="28"/>
      <c r="K27" s="41">
        <f>SUM(F26:F27)</f>
        <v>61483000</v>
      </c>
    </row>
    <row r="28" spans="1:12" x14ac:dyDescent="0.3">
      <c r="B28" s="21" t="s">
        <v>129</v>
      </c>
      <c r="C28" s="57" t="s">
        <v>149</v>
      </c>
      <c r="D28" s="58">
        <v>1.1240000000000001</v>
      </c>
      <c r="E28" s="77">
        <v>11756.14</v>
      </c>
      <c r="F28" s="28">
        <f t="shared" si="4"/>
        <v>109966000</v>
      </c>
      <c r="G28" s="59">
        <v>43748</v>
      </c>
      <c r="H28" s="29" t="s">
        <v>150</v>
      </c>
      <c r="I28" s="28"/>
    </row>
    <row r="29" spans="1:12" x14ac:dyDescent="0.3">
      <c r="B29" s="21" t="s">
        <v>132</v>
      </c>
      <c r="C29" s="57" t="s">
        <v>149</v>
      </c>
      <c r="D29" s="58">
        <v>8.3789999999999989E-2</v>
      </c>
      <c r="E29" s="77">
        <v>872.59</v>
      </c>
      <c r="F29" s="28">
        <f t="shared" si="4"/>
        <v>608000</v>
      </c>
      <c r="G29" s="59">
        <v>43892</v>
      </c>
      <c r="H29" s="29" t="s">
        <v>151</v>
      </c>
      <c r="I29" s="28"/>
    </row>
    <row r="30" spans="1:12" x14ac:dyDescent="0.3">
      <c r="B30" s="22" t="s">
        <v>134</v>
      </c>
      <c r="C30" s="60" t="s">
        <v>149</v>
      </c>
      <c r="D30" s="61">
        <v>0.40655555555555561</v>
      </c>
      <c r="E30" s="78">
        <v>160.16800000000001</v>
      </c>
      <c r="F30" s="62">
        <f t="shared" si="4"/>
        <v>542000</v>
      </c>
      <c r="G30" s="63">
        <v>43892</v>
      </c>
      <c r="H30" s="50" t="s">
        <v>151</v>
      </c>
      <c r="K30" s="41">
        <f>SUM(F28:F30)</f>
        <v>111116000</v>
      </c>
    </row>
  </sheetData>
  <hyperlinks>
    <hyperlink ref="A1" r:id="rId1" xr:uid="{EDA0A102-4FAF-4A68-AB9A-069981AACE8C}"/>
    <hyperlink ref="K4" r:id="rId2" xr:uid="{DE84D000-A3C8-4E01-9AC8-149BD9EB3399}"/>
    <hyperlink ref="K7" r:id="rId3" xr:uid="{8C1B1F76-6030-46C8-8801-74F26BE2AB8A}"/>
    <hyperlink ref="K8" r:id="rId4" xr:uid="{6D98288E-ABB4-44C0-B098-CCAB4DCC91EA}"/>
    <hyperlink ref="K10" r:id="rId5" xr:uid="{F9828A86-9DD2-411F-BA66-E1E0BF94CF1E}"/>
    <hyperlink ref="K11" r:id="rId6" xr:uid="{7444DB2A-3ACB-4571-A6F7-CE34601CF8C0}"/>
    <hyperlink ref="K12" r:id="rId7" xr:uid="{861B93EC-9B82-4E23-9F9D-3526022C41CF}"/>
    <hyperlink ref="K13" r:id="rId8" xr:uid="{13EA305E-C0A4-43A7-9046-2B09B15FBC42}"/>
    <hyperlink ref="K14" r:id="rId9" xr:uid="{336D348D-A130-4C88-9975-B9AA64D7536D}"/>
    <hyperlink ref="K15" r:id="rId10" xr:uid="{EA431731-512D-4F4B-83DA-1DB4220E2EF4}"/>
    <hyperlink ref="K6" r:id="rId11" display="https://www.icis.com/explore/resources/news/2008/03/14/9108772/us-cumene-prices-rise-8-/" xr:uid="{3554152C-90D2-45CB-AA56-99A5B96338E4}"/>
    <hyperlink ref="K16" r:id="rId12" xr:uid="{1797C5D1-5A86-49B8-824F-A4CE2F3EB8BB}"/>
    <hyperlink ref="K17" r:id="rId13" xr:uid="{194CEC81-6E97-40F4-8C93-E6FE5FDF3498}"/>
    <hyperlink ref="K18" r:id="rId14" xr:uid="{C2FCB1AD-12D5-42F5-8B79-66454CE478B7}"/>
    <hyperlink ref="K5" r:id="rId15" display="https://m.echemi.com/productsInformation/pid_Seven1855-propylene.html" xr:uid="{2C7154D0-CEDF-4A04-B606-155511681C5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EC853-2E76-46DB-912A-55261FCD859A}">
  <dimension ref="A2:L35"/>
  <sheetViews>
    <sheetView topLeftCell="F1" workbookViewId="0">
      <selection activeCell="X49" sqref="X49"/>
    </sheetView>
  </sheetViews>
  <sheetFormatPr defaultRowHeight="14.4" x14ac:dyDescent="0.3"/>
  <cols>
    <col min="1" max="1" width="37.44140625" bestFit="1" customWidth="1"/>
    <col min="2" max="2" width="11.33203125" customWidth="1"/>
    <col min="3" max="3" width="16" bestFit="1" customWidth="1"/>
    <col min="4" max="4" width="16.109375" bestFit="1" customWidth="1"/>
    <col min="5" max="5" width="27.88671875" bestFit="1" customWidth="1"/>
    <col min="6" max="6" width="12" bestFit="1" customWidth="1"/>
    <col min="7" max="7" width="15.33203125" bestFit="1" customWidth="1"/>
    <col min="8" max="8" width="12.6640625" bestFit="1" customWidth="1"/>
    <col min="9" max="9" width="15.33203125" bestFit="1" customWidth="1"/>
    <col min="10" max="10" width="14" bestFit="1" customWidth="1"/>
  </cols>
  <sheetData>
    <row r="2" spans="1:11" x14ac:dyDescent="0.3">
      <c r="A2" s="5" t="s">
        <v>93</v>
      </c>
      <c r="B2" s="5" t="s">
        <v>152</v>
      </c>
      <c r="C2" s="5" t="s">
        <v>153</v>
      </c>
      <c r="D2" s="5" t="s">
        <v>276</v>
      </c>
      <c r="E2" s="5" t="s">
        <v>154</v>
      </c>
      <c r="F2" s="5" t="s">
        <v>121</v>
      </c>
      <c r="H2" s="80" t="s">
        <v>155</v>
      </c>
      <c r="I2" s="80"/>
      <c r="J2" s="80"/>
      <c r="K2" s="80"/>
    </row>
    <row r="3" spans="1:11" x14ac:dyDescent="0.3">
      <c r="A3" t="s">
        <v>156</v>
      </c>
      <c r="B3" t="s">
        <v>157</v>
      </c>
      <c r="C3" s="39">
        <v>5000000</v>
      </c>
      <c r="D3" s="39">
        <f>MROUND(C3,1000)</f>
        <v>5000000</v>
      </c>
      <c r="E3" t="s">
        <v>158</v>
      </c>
      <c r="F3" t="s">
        <v>159</v>
      </c>
      <c r="H3" s="5" t="s">
        <v>160</v>
      </c>
      <c r="I3" s="5" t="s">
        <v>161</v>
      </c>
      <c r="J3" s="5" t="s">
        <v>162</v>
      </c>
      <c r="K3" s="5" t="s">
        <v>163</v>
      </c>
    </row>
    <row r="4" spans="1:11" x14ac:dyDescent="0.3">
      <c r="A4" t="s">
        <v>164</v>
      </c>
      <c r="B4" t="s">
        <v>165</v>
      </c>
      <c r="C4" s="39">
        <v>5882600</v>
      </c>
      <c r="D4" s="39">
        <f t="shared" ref="D4:D18" si="0">MROUND(C4,1000)</f>
        <v>5883000</v>
      </c>
      <c r="E4" t="s">
        <v>158</v>
      </c>
      <c r="F4" t="s">
        <v>166</v>
      </c>
      <c r="H4">
        <v>0</v>
      </c>
      <c r="I4" s="41">
        <f>-C9</f>
        <v>-17702619.145574287</v>
      </c>
      <c r="J4" t="s">
        <v>167</v>
      </c>
      <c r="K4" s="55">
        <f>I4/1000000</f>
        <v>-17.702619145574285</v>
      </c>
    </row>
    <row r="5" spans="1:11" x14ac:dyDescent="0.3">
      <c r="A5" t="s">
        <v>168</v>
      </c>
      <c r="B5" t="s">
        <v>169</v>
      </c>
      <c r="C5" s="39">
        <v>5210000</v>
      </c>
      <c r="D5" s="39">
        <f t="shared" si="0"/>
        <v>5210000</v>
      </c>
      <c r="E5" t="s">
        <v>170</v>
      </c>
      <c r="F5" t="s">
        <v>171</v>
      </c>
      <c r="H5">
        <v>1</v>
      </c>
      <c r="I5" s="41">
        <f>$C$10-$C$13</f>
        <v>25747464.22296983</v>
      </c>
      <c r="J5" t="s">
        <v>172</v>
      </c>
      <c r="K5" s="55">
        <f t="shared" ref="K5:K14" si="1">I5/1000000</f>
        <v>25.747464222969828</v>
      </c>
    </row>
    <row r="6" spans="1:11" x14ac:dyDescent="0.3">
      <c r="A6" t="s">
        <v>173</v>
      </c>
      <c r="B6" t="s">
        <v>174</v>
      </c>
      <c r="C6" s="39">
        <v>61483471.455742851</v>
      </c>
      <c r="D6" s="39">
        <f t="shared" si="0"/>
        <v>61483000</v>
      </c>
      <c r="E6" t="s">
        <v>170</v>
      </c>
      <c r="F6" t="s">
        <v>171</v>
      </c>
      <c r="H6">
        <v>2</v>
      </c>
      <c r="I6" s="41">
        <f t="shared" ref="I6:I13" si="2">$C$10-$C$13</f>
        <v>25747464.22296983</v>
      </c>
      <c r="J6" t="s">
        <v>172</v>
      </c>
      <c r="K6" s="55">
        <f t="shared" si="1"/>
        <v>25.747464222969828</v>
      </c>
    </row>
    <row r="7" spans="1:11" x14ac:dyDescent="0.3">
      <c r="A7" t="s">
        <v>175</v>
      </c>
      <c r="B7" t="s">
        <v>176</v>
      </c>
      <c r="C7" s="39">
        <v>834120</v>
      </c>
      <c r="D7" s="39">
        <f t="shared" si="0"/>
        <v>834000</v>
      </c>
      <c r="E7" t="s">
        <v>170</v>
      </c>
      <c r="F7" t="s">
        <v>177</v>
      </c>
      <c r="H7">
        <v>3</v>
      </c>
      <c r="I7" s="41">
        <f t="shared" si="2"/>
        <v>25747464.22296983</v>
      </c>
      <c r="J7" t="s">
        <v>172</v>
      </c>
      <c r="K7" s="55">
        <f t="shared" si="1"/>
        <v>25.747464222969828</v>
      </c>
    </row>
    <row r="8" spans="1:11" x14ac:dyDescent="0.3">
      <c r="A8" t="s">
        <v>178</v>
      </c>
      <c r="B8" t="s">
        <v>179</v>
      </c>
      <c r="C8" s="39">
        <f>0.1*(C6+C7+C4)</f>
        <v>6820019.1455742856</v>
      </c>
      <c r="D8" s="39">
        <f t="shared" si="0"/>
        <v>6820000</v>
      </c>
      <c r="E8" t="s">
        <v>158</v>
      </c>
      <c r="F8" t="s">
        <v>180</v>
      </c>
      <c r="H8">
        <v>4</v>
      </c>
      <c r="I8" s="41">
        <f t="shared" si="2"/>
        <v>25747464.22296983</v>
      </c>
      <c r="J8" t="s">
        <v>172</v>
      </c>
      <c r="K8" s="55">
        <f t="shared" si="1"/>
        <v>25.747464222969828</v>
      </c>
    </row>
    <row r="9" spans="1:11" x14ac:dyDescent="0.3">
      <c r="A9" t="s">
        <v>181</v>
      </c>
      <c r="B9" t="s">
        <v>167</v>
      </c>
      <c r="C9" s="41">
        <f>C4+C8+C3</f>
        <v>17702619.145574287</v>
      </c>
      <c r="D9" s="39">
        <f t="shared" si="0"/>
        <v>17703000</v>
      </c>
      <c r="E9" t="s">
        <v>158</v>
      </c>
      <c r="F9" t="s">
        <v>182</v>
      </c>
      <c r="H9">
        <v>5</v>
      </c>
      <c r="I9" s="41">
        <f t="shared" si="2"/>
        <v>25747464.22296983</v>
      </c>
      <c r="J9" t="s">
        <v>172</v>
      </c>
      <c r="K9" s="55">
        <f t="shared" si="1"/>
        <v>25.747464222969828</v>
      </c>
    </row>
    <row r="10" spans="1:11" x14ac:dyDescent="0.3">
      <c r="A10" t="s">
        <v>183</v>
      </c>
      <c r="B10" t="s">
        <v>184</v>
      </c>
      <c r="C10" s="39">
        <v>111116449.71353354</v>
      </c>
      <c r="D10" s="39">
        <f t="shared" si="0"/>
        <v>111116000</v>
      </c>
      <c r="E10" t="s">
        <v>170</v>
      </c>
      <c r="F10" t="s">
        <v>171</v>
      </c>
      <c r="H10">
        <v>6</v>
      </c>
      <c r="I10" s="41">
        <f t="shared" si="2"/>
        <v>25747464.22296983</v>
      </c>
      <c r="J10" t="s">
        <v>172</v>
      </c>
      <c r="K10" s="55">
        <f t="shared" si="1"/>
        <v>25.747464222969828</v>
      </c>
    </row>
    <row r="11" spans="1:11" x14ac:dyDescent="0.3">
      <c r="A11" t="s">
        <v>185</v>
      </c>
      <c r="B11" t="s">
        <v>186</v>
      </c>
      <c r="C11" s="39">
        <v>500000</v>
      </c>
      <c r="D11" s="39">
        <f t="shared" si="0"/>
        <v>500000</v>
      </c>
      <c r="E11" t="s">
        <v>158</v>
      </c>
      <c r="F11" t="s">
        <v>159</v>
      </c>
      <c r="H11">
        <v>7</v>
      </c>
      <c r="I11" s="41">
        <f t="shared" si="2"/>
        <v>25747464.22296983</v>
      </c>
      <c r="J11" t="s">
        <v>172</v>
      </c>
      <c r="K11" s="55">
        <f t="shared" si="1"/>
        <v>25.747464222969828</v>
      </c>
    </row>
    <row r="12" spans="1:11" x14ac:dyDescent="0.3">
      <c r="A12" t="s">
        <v>187</v>
      </c>
      <c r="B12" t="s">
        <v>188</v>
      </c>
      <c r="C12" s="40">
        <v>8322</v>
      </c>
      <c r="D12" s="39">
        <f t="shared" si="0"/>
        <v>8000</v>
      </c>
      <c r="E12" t="s">
        <v>170</v>
      </c>
      <c r="F12" t="s">
        <v>189</v>
      </c>
      <c r="H12">
        <v>8</v>
      </c>
      <c r="I12" s="41">
        <f t="shared" si="2"/>
        <v>25747464.22296983</v>
      </c>
      <c r="J12" t="s">
        <v>172</v>
      </c>
      <c r="K12" s="55">
        <f t="shared" si="1"/>
        <v>25.747464222969828</v>
      </c>
    </row>
    <row r="13" spans="1:11" x14ac:dyDescent="0.3">
      <c r="A13" t="s">
        <v>190</v>
      </c>
      <c r="B13" t="s">
        <v>191</v>
      </c>
      <c r="C13" s="39">
        <f>0.18*C4+2.73*C7+1.23*(C5+C6)</f>
        <v>85368985.490563706</v>
      </c>
      <c r="D13" s="39">
        <f t="shared" si="0"/>
        <v>85369000</v>
      </c>
      <c r="E13" t="s">
        <v>170</v>
      </c>
      <c r="F13" t="s">
        <v>192</v>
      </c>
      <c r="H13">
        <v>9</v>
      </c>
      <c r="I13" s="41">
        <f t="shared" si="2"/>
        <v>25747464.22296983</v>
      </c>
      <c r="J13" t="s">
        <v>172</v>
      </c>
      <c r="K13" s="55">
        <f t="shared" si="1"/>
        <v>25.747464222969828</v>
      </c>
    </row>
    <row r="14" spans="1:11" x14ac:dyDescent="0.3">
      <c r="A14" t="s">
        <v>193</v>
      </c>
      <c r="B14" t="s">
        <v>194</v>
      </c>
      <c r="C14" s="34">
        <v>0.09</v>
      </c>
      <c r="D14" s="39">
        <f t="shared" si="0"/>
        <v>0</v>
      </c>
      <c r="E14" t="s">
        <v>195</v>
      </c>
      <c r="F14" t="s">
        <v>196</v>
      </c>
      <c r="H14">
        <v>10</v>
      </c>
      <c r="I14" s="41">
        <f>$C$10-$C$13+C11+C3</f>
        <v>31247464.22296983</v>
      </c>
      <c r="J14" t="s">
        <v>197</v>
      </c>
      <c r="K14" s="55">
        <f t="shared" si="1"/>
        <v>31.247464222969828</v>
      </c>
    </row>
    <row r="15" spans="1:11" x14ac:dyDescent="0.3">
      <c r="A15" t="s">
        <v>198</v>
      </c>
      <c r="B15" t="s">
        <v>199</v>
      </c>
      <c r="C15" s="34">
        <v>0.35</v>
      </c>
      <c r="D15" s="39">
        <f t="shared" si="0"/>
        <v>0</v>
      </c>
      <c r="F15" t="s">
        <v>196</v>
      </c>
    </row>
    <row r="16" spans="1:11" x14ac:dyDescent="0.3">
      <c r="A16" t="s">
        <v>200</v>
      </c>
      <c r="B16" t="s">
        <v>201</v>
      </c>
      <c r="C16" s="2">
        <v>2</v>
      </c>
      <c r="D16" s="39">
        <f t="shared" si="0"/>
        <v>0</v>
      </c>
      <c r="E16" t="s">
        <v>202</v>
      </c>
      <c r="F16" t="s">
        <v>196</v>
      </c>
    </row>
    <row r="17" spans="1:12" x14ac:dyDescent="0.3">
      <c r="A17" t="s">
        <v>203</v>
      </c>
      <c r="B17" t="s">
        <v>204</v>
      </c>
      <c r="C17" s="2">
        <v>10</v>
      </c>
      <c r="D17" s="39">
        <f t="shared" si="0"/>
        <v>0</v>
      </c>
      <c r="E17" t="s">
        <v>205</v>
      </c>
      <c r="F17" t="s">
        <v>196</v>
      </c>
    </row>
    <row r="18" spans="1:12" x14ac:dyDescent="0.3">
      <c r="A18" t="s">
        <v>206</v>
      </c>
      <c r="B18" t="s">
        <v>207</v>
      </c>
      <c r="C18" t="s">
        <v>208</v>
      </c>
      <c r="D18" s="39" t="e">
        <f t="shared" si="0"/>
        <v>#VALUE!</v>
      </c>
    </row>
    <row r="20" spans="1:12" x14ac:dyDescent="0.3">
      <c r="B20" t="s">
        <v>209</v>
      </c>
      <c r="E20" t="s">
        <v>210</v>
      </c>
      <c r="F20" t="s">
        <v>211</v>
      </c>
      <c r="G20" t="s">
        <v>212</v>
      </c>
      <c r="H20" t="s">
        <v>213</v>
      </c>
    </row>
    <row r="21" spans="1:12" ht="57.6" x14ac:dyDescent="0.3">
      <c r="A21" s="35" t="s">
        <v>160</v>
      </c>
      <c r="B21" s="35" t="s">
        <v>214</v>
      </c>
      <c r="C21" s="35" t="s">
        <v>215</v>
      </c>
      <c r="D21" s="35" t="s">
        <v>216</v>
      </c>
      <c r="E21" s="35" t="s">
        <v>217</v>
      </c>
      <c r="F21" s="35" t="s">
        <v>218</v>
      </c>
      <c r="G21" s="35" t="s">
        <v>219</v>
      </c>
      <c r="H21" s="35" t="s">
        <v>220</v>
      </c>
      <c r="I21" s="35" t="s">
        <v>221</v>
      </c>
      <c r="J21" s="35" t="s">
        <v>222</v>
      </c>
      <c r="K21" s="35" t="s">
        <v>223</v>
      </c>
      <c r="L21" s="35" t="s">
        <v>224</v>
      </c>
    </row>
    <row r="22" spans="1:12" x14ac:dyDescent="0.3">
      <c r="A22" s="19">
        <v>0</v>
      </c>
      <c r="B22" s="65">
        <v>0</v>
      </c>
      <c r="C22" s="39">
        <f>B22*-$C$4</f>
        <v>0</v>
      </c>
      <c r="D22" s="41">
        <v>0</v>
      </c>
      <c r="E22" s="41">
        <f>C9</f>
        <v>17702619.145574287</v>
      </c>
      <c r="F22" s="41">
        <f>(D22-E22)*$C$15</f>
        <v>-6195916.7009509997</v>
      </c>
      <c r="G22" s="41">
        <f>D22-E22-F22</f>
        <v>-11506702.444623288</v>
      </c>
      <c r="H22" s="41">
        <f t="shared" ref="H22:H32" si="3">G22+C22</f>
        <v>-11506702.444623288</v>
      </c>
      <c r="I22" s="39">
        <f>H22</f>
        <v>-11506702.444623288</v>
      </c>
      <c r="J22" s="39">
        <f>SUM(I22)</f>
        <v>-11506702.444623288</v>
      </c>
      <c r="K22" s="79">
        <f>I22/1000000</f>
        <v>-11.506702444623288</v>
      </c>
      <c r="L22" s="79">
        <f>J22/1000000</f>
        <v>-11.506702444623288</v>
      </c>
    </row>
    <row r="23" spans="1:12" x14ac:dyDescent="0.3">
      <c r="A23">
        <v>1</v>
      </c>
      <c r="B23" s="36">
        <v>0.2</v>
      </c>
      <c r="C23" s="39">
        <f>B23*-$C$4</f>
        <v>-1176520</v>
      </c>
      <c r="D23" s="41">
        <f>$C$10</f>
        <v>111116449.71353354</v>
      </c>
      <c r="E23" s="41">
        <f>$C$13+C23</f>
        <v>84192465.490563706</v>
      </c>
      <c r="F23" s="41">
        <f>(D23-E23)*$C$15</f>
        <v>9423394.4780394398</v>
      </c>
      <c r="G23" s="41">
        <f>D23-E23-F23</f>
        <v>17500589.74493039</v>
      </c>
      <c r="H23" s="41">
        <f t="shared" si="3"/>
        <v>16324069.74493039</v>
      </c>
      <c r="I23" s="39">
        <f t="shared" ref="I23:I32" si="4">H23</f>
        <v>16324069.74493039</v>
      </c>
      <c r="J23" s="39">
        <f>SUM(I22:I23)</f>
        <v>4817367.3003071025</v>
      </c>
      <c r="K23" s="79">
        <f t="shared" ref="K23:L32" si="5">I23/1000000</f>
        <v>16.324069744930391</v>
      </c>
      <c r="L23" s="79">
        <f t="shared" si="5"/>
        <v>4.8173673003071027</v>
      </c>
    </row>
    <row r="24" spans="1:12" x14ac:dyDescent="0.3">
      <c r="A24">
        <v>2</v>
      </c>
      <c r="B24" s="36">
        <v>0.32</v>
      </c>
      <c r="C24" s="39">
        <f t="shared" ref="C24:C32" si="6">B24*-$C$4</f>
        <v>-1882432</v>
      </c>
      <c r="D24" s="41">
        <f t="shared" ref="D24:D31" si="7">$C$10</f>
        <v>111116449.71353354</v>
      </c>
      <c r="E24" s="41">
        <f t="shared" ref="E24:E32" si="8">E23+C24</f>
        <v>82310033.490563706</v>
      </c>
      <c r="F24" s="41">
        <f t="shared" ref="F24:F32" si="9">(D24-E24)*$C$15</f>
        <v>10082245.678039439</v>
      </c>
      <c r="G24" s="41">
        <f t="shared" ref="G24:G32" si="10">D24-E24-F24</f>
        <v>18724170.544930391</v>
      </c>
      <c r="H24" s="41">
        <f t="shared" si="3"/>
        <v>16841738.544930391</v>
      </c>
      <c r="I24" s="39">
        <f t="shared" si="4"/>
        <v>16841738.544930391</v>
      </c>
      <c r="J24" s="39">
        <f>SUM(I22:I24)</f>
        <v>21659105.845237494</v>
      </c>
      <c r="K24" s="79">
        <f t="shared" si="5"/>
        <v>16.84173854493039</v>
      </c>
      <c r="L24" s="79">
        <f t="shared" si="5"/>
        <v>21.659105845237494</v>
      </c>
    </row>
    <row r="25" spans="1:12" x14ac:dyDescent="0.3">
      <c r="A25">
        <v>3</v>
      </c>
      <c r="B25" s="36">
        <v>0.192</v>
      </c>
      <c r="C25" s="39">
        <f t="shared" si="6"/>
        <v>-1129459.2</v>
      </c>
      <c r="D25" s="41">
        <f t="shared" si="7"/>
        <v>111116449.71353354</v>
      </c>
      <c r="E25" s="41">
        <f t="shared" si="8"/>
        <v>81180574.290563703</v>
      </c>
      <c r="F25" s="41">
        <f t="shared" si="9"/>
        <v>10477556.398039442</v>
      </c>
      <c r="G25" s="41">
        <f t="shared" si="10"/>
        <v>19458319.024930391</v>
      </c>
      <c r="H25" s="41">
        <f t="shared" si="3"/>
        <v>18328859.824930392</v>
      </c>
      <c r="I25" s="39">
        <f t="shared" si="4"/>
        <v>18328859.824930392</v>
      </c>
      <c r="J25" s="39">
        <f>SUM(I22:I25)</f>
        <v>39987965.670167886</v>
      </c>
      <c r="K25" s="79">
        <f t="shared" si="5"/>
        <v>18.328859824930394</v>
      </c>
      <c r="L25" s="79">
        <f t="shared" si="5"/>
        <v>39.987965670167888</v>
      </c>
    </row>
    <row r="26" spans="1:12" x14ac:dyDescent="0.3">
      <c r="A26">
        <v>4</v>
      </c>
      <c r="B26" s="36">
        <v>0.1152</v>
      </c>
      <c r="C26" s="39">
        <f t="shared" si="6"/>
        <v>-677675.52000000002</v>
      </c>
      <c r="D26" s="41">
        <f t="shared" si="7"/>
        <v>111116449.71353354</v>
      </c>
      <c r="E26" s="41">
        <f t="shared" si="8"/>
        <v>80502898.770563707</v>
      </c>
      <c r="F26" s="41">
        <f t="shared" si="9"/>
        <v>10714742.83003944</v>
      </c>
      <c r="G26" s="41">
        <f t="shared" si="10"/>
        <v>19898808.112930387</v>
      </c>
      <c r="H26" s="41">
        <f t="shared" si="3"/>
        <v>19221132.592930388</v>
      </c>
      <c r="I26" s="39">
        <f t="shared" si="4"/>
        <v>19221132.592930388</v>
      </c>
      <c r="J26" s="39">
        <f>SUM(I22:I26)</f>
        <v>59209098.26309827</v>
      </c>
      <c r="K26" s="79">
        <f t="shared" si="5"/>
        <v>19.221132592930388</v>
      </c>
      <c r="L26" s="79">
        <f t="shared" si="5"/>
        <v>59.209098263098269</v>
      </c>
    </row>
    <row r="27" spans="1:12" x14ac:dyDescent="0.3">
      <c r="A27">
        <v>5</v>
      </c>
      <c r="B27" s="36">
        <v>0.1152</v>
      </c>
      <c r="C27" s="39">
        <f t="shared" si="6"/>
        <v>-677675.52000000002</v>
      </c>
      <c r="D27" s="41">
        <f t="shared" si="7"/>
        <v>111116449.71353354</v>
      </c>
      <c r="E27" s="41">
        <f t="shared" si="8"/>
        <v>79825223.250563711</v>
      </c>
      <c r="F27" s="41">
        <f t="shared" si="9"/>
        <v>10951929.262039438</v>
      </c>
      <c r="G27" s="41">
        <f t="shared" si="10"/>
        <v>20339297.200930387</v>
      </c>
      <c r="H27" s="41">
        <f t="shared" si="3"/>
        <v>19661621.680930387</v>
      </c>
      <c r="I27" s="39">
        <f t="shared" si="4"/>
        <v>19661621.680930387</v>
      </c>
      <c r="J27" s="39">
        <f>SUM(I22:I27)</f>
        <v>78870719.944028661</v>
      </c>
      <c r="K27" s="79">
        <f t="shared" si="5"/>
        <v>19.661621680930388</v>
      </c>
      <c r="L27" s="79">
        <f t="shared" si="5"/>
        <v>78.870719944028664</v>
      </c>
    </row>
    <row r="28" spans="1:12" x14ac:dyDescent="0.3">
      <c r="A28">
        <v>6</v>
      </c>
      <c r="B28" s="36">
        <v>5.7599999999999998E-2</v>
      </c>
      <c r="C28" s="39">
        <f t="shared" si="6"/>
        <v>-338837.76000000001</v>
      </c>
      <c r="D28" s="41">
        <f t="shared" si="7"/>
        <v>111116449.71353354</v>
      </c>
      <c r="E28" s="41">
        <f t="shared" si="8"/>
        <v>79486385.490563706</v>
      </c>
      <c r="F28" s="41">
        <f t="shared" si="9"/>
        <v>11070522.47803944</v>
      </c>
      <c r="G28" s="41">
        <f t="shared" si="10"/>
        <v>20559541.74493039</v>
      </c>
      <c r="H28" s="41">
        <f t="shared" si="3"/>
        <v>20220703.984930389</v>
      </c>
      <c r="I28" s="39">
        <f t="shared" si="4"/>
        <v>20220703.984930389</v>
      </c>
      <c r="J28" s="39">
        <f>SUM(I22:I28)</f>
        <v>99091423.928959042</v>
      </c>
      <c r="K28" s="79">
        <f t="shared" si="5"/>
        <v>20.220703984930388</v>
      </c>
      <c r="L28" s="79">
        <f t="shared" si="5"/>
        <v>99.091423928959045</v>
      </c>
    </row>
    <row r="29" spans="1:12" x14ac:dyDescent="0.3">
      <c r="A29">
        <v>7</v>
      </c>
      <c r="B29" s="34">
        <v>0</v>
      </c>
      <c r="C29" s="39">
        <f t="shared" si="6"/>
        <v>0</v>
      </c>
      <c r="D29" s="41">
        <f t="shared" si="7"/>
        <v>111116449.71353354</v>
      </c>
      <c r="E29" s="41">
        <f t="shared" si="8"/>
        <v>79486385.490563706</v>
      </c>
      <c r="F29" s="41">
        <f t="shared" si="9"/>
        <v>11070522.47803944</v>
      </c>
      <c r="G29" s="41">
        <f t="shared" si="10"/>
        <v>20559541.74493039</v>
      </c>
      <c r="H29" s="41">
        <f t="shared" si="3"/>
        <v>20559541.74493039</v>
      </c>
      <c r="I29" s="39">
        <f t="shared" si="4"/>
        <v>20559541.74493039</v>
      </c>
      <c r="J29" s="39">
        <f>SUM(I22:I29)</f>
        <v>119650965.67388943</v>
      </c>
      <c r="K29" s="79">
        <f t="shared" si="5"/>
        <v>20.559541744930389</v>
      </c>
      <c r="L29" s="79">
        <f t="shared" si="5"/>
        <v>119.65096567388943</v>
      </c>
    </row>
    <row r="30" spans="1:12" x14ac:dyDescent="0.3">
      <c r="A30">
        <v>8</v>
      </c>
      <c r="B30" s="34">
        <v>0</v>
      </c>
      <c r="C30" s="39">
        <f t="shared" si="6"/>
        <v>0</v>
      </c>
      <c r="D30" s="41">
        <f t="shared" si="7"/>
        <v>111116449.71353354</v>
      </c>
      <c r="E30" s="41">
        <f t="shared" si="8"/>
        <v>79486385.490563706</v>
      </c>
      <c r="F30" s="41">
        <f t="shared" si="9"/>
        <v>11070522.47803944</v>
      </c>
      <c r="G30" s="41">
        <f t="shared" si="10"/>
        <v>20559541.74493039</v>
      </c>
      <c r="H30" s="41">
        <f t="shared" si="3"/>
        <v>20559541.74493039</v>
      </c>
      <c r="I30" s="39">
        <f t="shared" si="4"/>
        <v>20559541.74493039</v>
      </c>
      <c r="J30" s="39">
        <f>SUM(I22:I30)</f>
        <v>140210507.41881981</v>
      </c>
      <c r="K30" s="79">
        <f t="shared" si="5"/>
        <v>20.559541744930389</v>
      </c>
      <c r="L30" s="79">
        <f t="shared" si="5"/>
        <v>140.21050741881982</v>
      </c>
    </row>
    <row r="31" spans="1:12" x14ac:dyDescent="0.3">
      <c r="A31">
        <v>9</v>
      </c>
      <c r="B31" s="34">
        <v>0</v>
      </c>
      <c r="C31" s="39">
        <f t="shared" si="6"/>
        <v>0</v>
      </c>
      <c r="D31" s="41">
        <f t="shared" si="7"/>
        <v>111116449.71353354</v>
      </c>
      <c r="E31" s="41">
        <f t="shared" si="8"/>
        <v>79486385.490563706</v>
      </c>
      <c r="F31" s="41">
        <f t="shared" si="9"/>
        <v>11070522.47803944</v>
      </c>
      <c r="G31" s="41">
        <f t="shared" si="10"/>
        <v>20559541.74493039</v>
      </c>
      <c r="H31" s="41">
        <f t="shared" si="3"/>
        <v>20559541.74493039</v>
      </c>
      <c r="I31" s="39">
        <f t="shared" si="4"/>
        <v>20559541.74493039</v>
      </c>
      <c r="J31" s="39">
        <f>SUM(I22:I31)</f>
        <v>160770049.1637502</v>
      </c>
      <c r="K31" s="79">
        <f t="shared" si="5"/>
        <v>20.559541744930389</v>
      </c>
      <c r="L31" s="79">
        <f t="shared" si="5"/>
        <v>160.7700491637502</v>
      </c>
    </row>
    <row r="32" spans="1:12" x14ac:dyDescent="0.3">
      <c r="A32">
        <v>10</v>
      </c>
      <c r="B32" s="34">
        <v>0</v>
      </c>
      <c r="C32" s="39">
        <f t="shared" si="6"/>
        <v>0</v>
      </c>
      <c r="D32" s="41">
        <f>$C$10+C3+C11</f>
        <v>116616449.71353354</v>
      </c>
      <c r="E32" s="41">
        <f t="shared" si="8"/>
        <v>79486385.490563706</v>
      </c>
      <c r="F32" s="41">
        <f t="shared" si="9"/>
        <v>12995522.47803944</v>
      </c>
      <c r="G32" s="41">
        <f t="shared" si="10"/>
        <v>24134541.74493039</v>
      </c>
      <c r="H32" s="41">
        <f t="shared" si="3"/>
        <v>24134541.74493039</v>
      </c>
      <c r="I32" s="39">
        <f t="shared" si="4"/>
        <v>24134541.74493039</v>
      </c>
      <c r="J32" s="39">
        <f>SUM(I22:I32)</f>
        <v>184904590.90868059</v>
      </c>
      <c r="K32" s="79">
        <f t="shared" si="5"/>
        <v>24.134541744930392</v>
      </c>
      <c r="L32" s="79">
        <f t="shared" si="5"/>
        <v>184.90459090868058</v>
      </c>
    </row>
    <row r="34" spans="5:7" x14ac:dyDescent="0.3">
      <c r="E34" s="5" t="s">
        <v>225</v>
      </c>
      <c r="F34" s="5" t="s">
        <v>226</v>
      </c>
      <c r="G34" s="5" t="s">
        <v>227</v>
      </c>
    </row>
    <row r="35" spans="5:7" x14ac:dyDescent="0.3">
      <c r="E35" s="37">
        <v>0.09</v>
      </c>
      <c r="F35" s="38">
        <f>(1+E35/1)^1-1</f>
        <v>9.000000000000008E-2</v>
      </c>
      <c r="G35" s="56">
        <f>J32/(1+F35)^A32</f>
        <v>78105697.444453031</v>
      </c>
    </row>
  </sheetData>
  <mergeCells count="1">
    <mergeCell ref="H2:K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B0E75-0D77-44CA-B5EA-C99A31F19F46}">
  <dimension ref="B2:H16"/>
  <sheetViews>
    <sheetView showGridLines="0" workbookViewId="0">
      <selection activeCell="F19" sqref="F19"/>
    </sheetView>
  </sheetViews>
  <sheetFormatPr defaultRowHeight="14.4" x14ac:dyDescent="0.3"/>
  <cols>
    <col min="2" max="2" width="29.5546875" bestFit="1" customWidth="1"/>
    <col min="3" max="3" width="7.88671875" bestFit="1" customWidth="1"/>
    <col min="4" max="4" width="13.109375" bestFit="1" customWidth="1"/>
    <col min="5" max="5" width="2.33203125" customWidth="1"/>
    <col min="6" max="6" width="39.33203125" bestFit="1" customWidth="1"/>
    <col min="8" max="8" width="13.6640625" bestFit="1" customWidth="1"/>
  </cols>
  <sheetData>
    <row r="2" spans="2:8" x14ac:dyDescent="0.3">
      <c r="B2" s="70" t="s">
        <v>228</v>
      </c>
      <c r="C2" s="17" t="s">
        <v>229</v>
      </c>
      <c r="D2" s="18" t="s">
        <v>153</v>
      </c>
    </row>
    <row r="3" spans="2:8" x14ac:dyDescent="0.3">
      <c r="B3" s="21" t="s">
        <v>230</v>
      </c>
      <c r="C3" s="66" t="s">
        <v>157</v>
      </c>
      <c r="D3" s="42">
        <v>5000000</v>
      </c>
      <c r="H3" s="39"/>
    </row>
    <row r="4" spans="2:8" x14ac:dyDescent="0.3">
      <c r="B4" s="21" t="s">
        <v>164</v>
      </c>
      <c r="C4" s="66" t="s">
        <v>165</v>
      </c>
      <c r="D4" s="42">
        <v>5883000</v>
      </c>
      <c r="F4" s="71" t="s">
        <v>231</v>
      </c>
      <c r="H4" s="39"/>
    </row>
    <row r="5" spans="2:8" x14ac:dyDescent="0.3">
      <c r="B5" s="21" t="s">
        <v>178</v>
      </c>
      <c r="C5" s="66" t="s">
        <v>179</v>
      </c>
      <c r="D5" s="42">
        <v>6820000</v>
      </c>
      <c r="F5" s="72" t="s">
        <v>232</v>
      </c>
      <c r="H5" s="39"/>
    </row>
    <row r="6" spans="2:8" x14ac:dyDescent="0.3">
      <c r="B6" s="21" t="s">
        <v>181</v>
      </c>
      <c r="C6" s="66" t="s">
        <v>167</v>
      </c>
      <c r="D6" s="67">
        <v>17703000</v>
      </c>
      <c r="F6" s="72" t="s">
        <v>233</v>
      </c>
      <c r="H6" s="39"/>
    </row>
    <row r="7" spans="2:8" x14ac:dyDescent="0.3">
      <c r="B7" s="21" t="s">
        <v>97</v>
      </c>
      <c r="C7" s="66" t="s">
        <v>169</v>
      </c>
      <c r="D7" s="42">
        <v>5210000</v>
      </c>
      <c r="F7" s="72" t="s">
        <v>234</v>
      </c>
      <c r="H7" s="39"/>
    </row>
    <row r="8" spans="2:8" x14ac:dyDescent="0.3">
      <c r="B8" s="21" t="s">
        <v>235</v>
      </c>
      <c r="C8" s="66" t="s">
        <v>174</v>
      </c>
      <c r="D8" s="42">
        <v>61483000</v>
      </c>
      <c r="F8" s="72" t="s">
        <v>236</v>
      </c>
      <c r="H8" s="39"/>
    </row>
    <row r="9" spans="2:8" x14ac:dyDescent="0.3">
      <c r="B9" s="21" t="s">
        <v>237</v>
      </c>
      <c r="C9" s="66" t="s">
        <v>176</v>
      </c>
      <c r="D9" s="42">
        <v>834000</v>
      </c>
      <c r="F9" s="73" t="s">
        <v>238</v>
      </c>
      <c r="H9" s="39"/>
    </row>
    <row r="10" spans="2:8" x14ac:dyDescent="0.3">
      <c r="B10" s="21" t="s">
        <v>239</v>
      </c>
      <c r="C10" s="66" t="s">
        <v>191</v>
      </c>
      <c r="D10" s="42">
        <v>85369000</v>
      </c>
      <c r="H10" s="39"/>
    </row>
    <row r="11" spans="2:8" x14ac:dyDescent="0.3">
      <c r="B11" s="21" t="s">
        <v>240</v>
      </c>
      <c r="C11" s="66" t="s">
        <v>184</v>
      </c>
      <c r="D11" s="42">
        <v>111116000</v>
      </c>
      <c r="H11" s="39"/>
    </row>
    <row r="12" spans="2:8" x14ac:dyDescent="0.3">
      <c r="B12" s="22" t="s">
        <v>185</v>
      </c>
      <c r="C12" s="68" t="s">
        <v>186</v>
      </c>
      <c r="D12" s="69">
        <v>500000</v>
      </c>
      <c r="H12" s="39"/>
    </row>
    <row r="15" spans="2:8" x14ac:dyDescent="0.3">
      <c r="D15" s="2"/>
    </row>
    <row r="16" spans="2:8" x14ac:dyDescent="0.3">
      <c r="D1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28431-210B-4C42-97C4-8C3F768006B9}">
  <dimension ref="A2:N18"/>
  <sheetViews>
    <sheetView workbookViewId="0">
      <selection activeCell="J15" sqref="J15"/>
    </sheetView>
  </sheetViews>
  <sheetFormatPr defaultRowHeight="14.4" x14ac:dyDescent="0.3"/>
  <cols>
    <col min="2" max="2" width="21" bestFit="1" customWidth="1"/>
    <col min="3" max="3" width="12.6640625" bestFit="1" customWidth="1"/>
    <col min="9" max="9" width="10.6640625" customWidth="1"/>
    <col min="10" max="10" width="12" bestFit="1" customWidth="1"/>
  </cols>
  <sheetData>
    <row r="2" spans="1:14" x14ac:dyDescent="0.3">
      <c r="A2" s="80" t="s">
        <v>241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3"/>
      <c r="M2" s="3"/>
    </row>
    <row r="3" spans="1:14" x14ac:dyDescent="0.3">
      <c r="A3" s="80" t="s">
        <v>242</v>
      </c>
      <c r="B3" s="80"/>
      <c r="C3" s="80"/>
      <c r="D3" s="80" t="s">
        <v>243</v>
      </c>
      <c r="E3" s="80"/>
      <c r="F3" s="80"/>
      <c r="G3" s="80"/>
      <c r="H3" s="80" t="s">
        <v>244</v>
      </c>
      <c r="I3" s="80"/>
      <c r="J3" s="80"/>
      <c r="K3" s="80"/>
      <c r="L3" s="3" t="s">
        <v>245</v>
      </c>
      <c r="M3" s="3"/>
    </row>
    <row r="4" spans="1:14" x14ac:dyDescent="0.3">
      <c r="A4" t="s">
        <v>0</v>
      </c>
      <c r="B4" t="s">
        <v>246</v>
      </c>
      <c r="C4" t="s">
        <v>116</v>
      </c>
      <c r="D4" t="s">
        <v>247</v>
      </c>
      <c r="E4" t="s">
        <v>248</v>
      </c>
      <c r="F4" t="s">
        <v>249</v>
      </c>
      <c r="G4" t="s">
        <v>250</v>
      </c>
      <c r="H4" t="s">
        <v>247</v>
      </c>
      <c r="I4" t="s">
        <v>248</v>
      </c>
      <c r="J4" t="s">
        <v>249</v>
      </c>
      <c r="K4" t="s">
        <v>250</v>
      </c>
      <c r="L4" t="s">
        <v>251</v>
      </c>
      <c r="M4" t="s">
        <v>252</v>
      </c>
      <c r="N4" t="s">
        <v>115</v>
      </c>
    </row>
    <row r="5" spans="1:14" x14ac:dyDescent="0.3">
      <c r="A5" t="s">
        <v>253</v>
      </c>
      <c r="B5">
        <v>4151.2539999999999</v>
      </c>
      <c r="C5" s="64">
        <v>872.59299999999996</v>
      </c>
      <c r="D5">
        <v>1.75</v>
      </c>
      <c r="E5">
        <f>B5</f>
        <v>4151.2539999999999</v>
      </c>
      <c r="F5">
        <v>90</v>
      </c>
      <c r="G5" s="2">
        <f>F5+273</f>
        <v>363</v>
      </c>
      <c r="H5">
        <v>1.0129999999999999</v>
      </c>
      <c r="I5">
        <f>D5*E5/G5*K5/H5</f>
        <v>5689.7577117309684</v>
      </c>
      <c r="J5">
        <v>15</v>
      </c>
      <c r="K5" s="2">
        <f>J5+273</f>
        <v>288</v>
      </c>
      <c r="L5">
        <v>0.42</v>
      </c>
      <c r="M5">
        <f>C5/I5/60*1000</f>
        <v>2.5560344400398467</v>
      </c>
      <c r="N5">
        <f>L5/M5</f>
        <v>0.16431703478668797</v>
      </c>
    </row>
    <row r="6" spans="1:14" x14ac:dyDescent="0.3">
      <c r="A6" t="s">
        <v>254</v>
      </c>
      <c r="B6">
        <v>3.9849999999999999</v>
      </c>
      <c r="C6" s="64">
        <v>160.96799999999999</v>
      </c>
      <c r="D6">
        <v>1.75</v>
      </c>
      <c r="E6">
        <f>B6</f>
        <v>3.9849999999999999</v>
      </c>
      <c r="F6">
        <v>235</v>
      </c>
      <c r="G6" s="2">
        <f>F6+273</f>
        <v>508</v>
      </c>
      <c r="H6" t="s">
        <v>76</v>
      </c>
      <c r="I6" t="s">
        <v>76</v>
      </c>
      <c r="J6" t="s">
        <v>76</v>
      </c>
      <c r="K6" t="s">
        <v>76</v>
      </c>
      <c r="L6">
        <v>549</v>
      </c>
      <c r="M6">
        <f>C6/B6/60*1000</f>
        <v>673.22459222082807</v>
      </c>
      <c r="N6">
        <f>L6/M6</f>
        <v>0.81547823169822575</v>
      </c>
    </row>
    <row r="8" spans="1:14" x14ac:dyDescent="0.3">
      <c r="G8" t="s">
        <v>255</v>
      </c>
      <c r="H8" t="s">
        <v>256</v>
      </c>
      <c r="I8" t="s">
        <v>115</v>
      </c>
      <c r="J8" t="s">
        <v>114</v>
      </c>
    </row>
    <row r="9" spans="1:14" x14ac:dyDescent="0.3">
      <c r="A9" t="s">
        <v>257</v>
      </c>
      <c r="G9">
        <v>14.8</v>
      </c>
      <c r="H9">
        <f>G9/1000</f>
        <v>1.4800000000000001E-2</v>
      </c>
      <c r="I9">
        <f>H9/1000</f>
        <v>1.4800000000000001E-5</v>
      </c>
      <c r="J9">
        <f>I9*1000</f>
        <v>1.4800000000000001E-2</v>
      </c>
    </row>
    <row r="10" spans="1:14" x14ac:dyDescent="0.3">
      <c r="A10">
        <v>9840</v>
      </c>
      <c r="B10" t="s">
        <v>258</v>
      </c>
    </row>
    <row r="12" spans="1:14" x14ac:dyDescent="0.3">
      <c r="A12" t="s">
        <v>259</v>
      </c>
      <c r="C12" t="s">
        <v>260</v>
      </c>
      <c r="D12" t="s">
        <v>261</v>
      </c>
      <c r="E12" t="s">
        <v>262</v>
      </c>
      <c r="F12" t="s">
        <v>114</v>
      </c>
      <c r="G12" t="s">
        <v>263</v>
      </c>
      <c r="H12" t="s">
        <v>264</v>
      </c>
    </row>
    <row r="13" spans="1:14" x14ac:dyDescent="0.3">
      <c r="A13" t="s">
        <v>53</v>
      </c>
      <c r="B13" t="s">
        <v>265</v>
      </c>
      <c r="C13">
        <v>12200</v>
      </c>
      <c r="D13">
        <f>ABS(C13/1000)</f>
        <v>12.2</v>
      </c>
      <c r="E13">
        <v>17.7</v>
      </c>
      <c r="F13">
        <v>29.97</v>
      </c>
      <c r="G13">
        <f>D13*E13</f>
        <v>215.93999999999997</v>
      </c>
      <c r="H13">
        <f>G13/F13</f>
        <v>7.2052052052052042</v>
      </c>
    </row>
    <row r="14" spans="1:14" x14ac:dyDescent="0.3">
      <c r="A14" t="s">
        <v>57</v>
      </c>
      <c r="B14" t="s">
        <v>266</v>
      </c>
      <c r="C14">
        <v>-19100</v>
      </c>
      <c r="D14">
        <f t="shared" ref="D14:D18" si="0">ABS(C14/1000)</f>
        <v>19.100000000000001</v>
      </c>
      <c r="E14">
        <v>0.35399999999999998</v>
      </c>
      <c r="F14">
        <f>$J$9</f>
        <v>1.4800000000000001E-2</v>
      </c>
      <c r="G14">
        <f t="shared" ref="G14:G18" si="1">D14*E14</f>
        <v>6.7614000000000001</v>
      </c>
      <c r="H14">
        <f t="shared" ref="H14:H18" si="2">G14/F14</f>
        <v>456.85135135135135</v>
      </c>
    </row>
    <row r="15" spans="1:14" x14ac:dyDescent="0.3">
      <c r="A15" t="s">
        <v>58</v>
      </c>
      <c r="B15" t="s">
        <v>266</v>
      </c>
      <c r="C15">
        <v>-6948</v>
      </c>
      <c r="D15">
        <f t="shared" si="0"/>
        <v>6.9480000000000004</v>
      </c>
      <c r="E15">
        <v>0.35399999999999998</v>
      </c>
      <c r="F15">
        <f>$J$9</f>
        <v>1.4800000000000001E-2</v>
      </c>
      <c r="G15">
        <f t="shared" si="1"/>
        <v>2.4595920000000002</v>
      </c>
      <c r="H15">
        <f t="shared" si="2"/>
        <v>166.18864864864867</v>
      </c>
    </row>
    <row r="16" spans="1:14" x14ac:dyDescent="0.3">
      <c r="A16" t="s">
        <v>59</v>
      </c>
      <c r="B16" t="s">
        <v>267</v>
      </c>
      <c r="C16">
        <v>8500</v>
      </c>
      <c r="D16">
        <f t="shared" si="0"/>
        <v>8.5</v>
      </c>
      <c r="E16">
        <v>14.19</v>
      </c>
      <c r="F16">
        <v>28.31</v>
      </c>
      <c r="G16">
        <f t="shared" si="1"/>
        <v>120.61499999999999</v>
      </c>
      <c r="H16">
        <f t="shared" si="2"/>
        <v>4.2605086541858004</v>
      </c>
    </row>
    <row r="17" spans="1:8" x14ac:dyDescent="0.3">
      <c r="A17" t="s">
        <v>60</v>
      </c>
      <c r="B17" t="s">
        <v>266</v>
      </c>
      <c r="C17">
        <v>-5796</v>
      </c>
      <c r="D17">
        <f t="shared" si="0"/>
        <v>5.7960000000000003</v>
      </c>
      <c r="E17">
        <v>0.35399999999999998</v>
      </c>
      <c r="F17">
        <f>$J$9</f>
        <v>1.4800000000000001E-2</v>
      </c>
      <c r="G17">
        <f t="shared" si="1"/>
        <v>2.0517840000000001</v>
      </c>
      <c r="H17">
        <f t="shared" si="2"/>
        <v>138.63405405405405</v>
      </c>
    </row>
    <row r="18" spans="1:8" x14ac:dyDescent="0.3">
      <c r="A18" t="s">
        <v>61</v>
      </c>
      <c r="B18" t="s">
        <v>265</v>
      </c>
      <c r="C18">
        <v>5800</v>
      </c>
      <c r="D18">
        <f t="shared" si="0"/>
        <v>5.8</v>
      </c>
      <c r="E18">
        <v>17.7</v>
      </c>
      <c r="F18">
        <v>29.97</v>
      </c>
      <c r="G18">
        <f t="shared" si="1"/>
        <v>102.66</v>
      </c>
      <c r="H18">
        <f t="shared" si="2"/>
        <v>3.4254254254254253</v>
      </c>
    </row>
  </sheetData>
  <mergeCells count="4">
    <mergeCell ref="D3:G3"/>
    <mergeCell ref="H3:K3"/>
    <mergeCell ref="A2:K2"/>
    <mergeCell ref="A3:C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ASPEN</vt:lpstr>
      <vt:lpstr>Streams</vt:lpstr>
      <vt:lpstr>Utility Streams</vt:lpstr>
      <vt:lpstr>Equipment Cost</vt:lpstr>
      <vt:lpstr>Utility Cost</vt:lpstr>
      <vt:lpstr>Raw Materials Costs</vt:lpstr>
      <vt:lpstr>COM</vt:lpstr>
      <vt:lpstr>Cashflow Table</vt:lpstr>
      <vt:lpstr>Calculations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Tora Gao</dc:creator>
  <cp:keywords/>
  <dc:description/>
  <cp:lastModifiedBy>Nathanael Ramos</cp:lastModifiedBy>
  <cp:revision/>
  <dcterms:created xsi:type="dcterms:W3CDTF">2020-03-03T19:57:51Z</dcterms:created>
  <dcterms:modified xsi:type="dcterms:W3CDTF">2020-03-16T01:28:26Z</dcterms:modified>
  <cp:category/>
  <cp:contentStatus/>
</cp:coreProperties>
</file>