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blp\data\"/>
    </mc:Choice>
  </mc:AlternateContent>
  <bookViews>
    <workbookView xWindow="10395" yWindow="-105" windowWidth="14850" windowHeight="12735" activeTab="1"/>
  </bookViews>
  <sheets>
    <sheet name="Sheet1" sheetId="5" r:id="rId1"/>
    <sheet name="BIData" sheetId="2" r:id="rId2"/>
    <sheet name="ReferenceData" sheetId="3" r:id="rId3"/>
    <sheet name="Help-Reference" sheetId="4" r:id="rId4"/>
  </sheets>
  <calcPr calcId="162913"/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6" i="5"/>
  <c r="A5" i="5"/>
  <c r="A4" i="5"/>
  <c r="A3" i="5"/>
  <c r="A2" i="5"/>
  <c r="A8" i="2"/>
  <c r="DU283" i="3"/>
  <c r="DT283" i="3"/>
  <c r="DS283" i="3"/>
  <c r="DR283" i="3"/>
  <c r="DQ283" i="3"/>
  <c r="DP283" i="3"/>
  <c r="DO283" i="3"/>
  <c r="DN283" i="3"/>
  <c r="DM283" i="3"/>
  <c r="DL283" i="3"/>
  <c r="DK283" i="3"/>
  <c r="DJ283" i="3"/>
  <c r="DI283" i="3"/>
  <c r="DH283" i="3"/>
  <c r="DG283" i="3"/>
  <c r="DF283" i="3"/>
  <c r="DE283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E283" i="3"/>
  <c r="D283" i="3"/>
  <c r="C283" i="3"/>
  <c r="B283" i="3"/>
  <c r="A283" i="3"/>
  <c r="DU282" i="3"/>
  <c r="DT282" i="3"/>
  <c r="DS282" i="3"/>
  <c r="DR282" i="3"/>
  <c r="DQ282" i="3"/>
  <c r="DP282" i="3"/>
  <c r="DO282" i="3"/>
  <c r="DN282" i="3"/>
  <c r="DM282" i="3"/>
  <c r="DL282" i="3"/>
  <c r="DK282" i="3"/>
  <c r="DJ282" i="3"/>
  <c r="DI282" i="3"/>
  <c r="DH282" i="3"/>
  <c r="DG282" i="3"/>
  <c r="DF282" i="3"/>
  <c r="DE282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A282" i="3"/>
  <c r="DU281" i="3"/>
  <c r="DT281" i="3"/>
  <c r="DS281" i="3"/>
  <c r="DR281" i="3"/>
  <c r="DQ281" i="3"/>
  <c r="DP281" i="3"/>
  <c r="DO281" i="3"/>
  <c r="DN281" i="3"/>
  <c r="DM281" i="3"/>
  <c r="DL281" i="3"/>
  <c r="DK281" i="3"/>
  <c r="DJ281" i="3"/>
  <c r="DI281" i="3"/>
  <c r="DH281" i="3"/>
  <c r="DG281" i="3"/>
  <c r="DF281" i="3"/>
  <c r="DE281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A281" i="3"/>
  <c r="DU280" i="3"/>
  <c r="DT280" i="3"/>
  <c r="DS280" i="3"/>
  <c r="DR280" i="3"/>
  <c r="DQ280" i="3"/>
  <c r="DP280" i="3"/>
  <c r="DO280" i="3"/>
  <c r="DN280" i="3"/>
  <c r="DM280" i="3"/>
  <c r="DL280" i="3"/>
  <c r="DK280" i="3"/>
  <c r="DJ280" i="3"/>
  <c r="DI280" i="3"/>
  <c r="DH280" i="3"/>
  <c r="DG280" i="3"/>
  <c r="DF280" i="3"/>
  <c r="DE280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A280" i="3"/>
  <c r="DU279" i="3"/>
  <c r="DT279" i="3"/>
  <c r="DS279" i="3"/>
  <c r="DR279" i="3"/>
  <c r="DQ279" i="3"/>
  <c r="DP279" i="3"/>
  <c r="DO279" i="3"/>
  <c r="DN279" i="3"/>
  <c r="DM279" i="3"/>
  <c r="DL279" i="3"/>
  <c r="DK279" i="3"/>
  <c r="DJ279" i="3"/>
  <c r="DI279" i="3"/>
  <c r="DH279" i="3"/>
  <c r="DG279" i="3"/>
  <c r="DF279" i="3"/>
  <c r="DE279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A279" i="3"/>
  <c r="DU278" i="3"/>
  <c r="DT278" i="3"/>
  <c r="DS278" i="3"/>
  <c r="DR278" i="3"/>
  <c r="DQ278" i="3"/>
  <c r="DP278" i="3"/>
  <c r="DO278" i="3"/>
  <c r="DN278" i="3"/>
  <c r="DM278" i="3"/>
  <c r="DL278" i="3"/>
  <c r="DK278" i="3"/>
  <c r="DJ278" i="3"/>
  <c r="DI278" i="3"/>
  <c r="DH278" i="3"/>
  <c r="DG278" i="3"/>
  <c r="DF278" i="3"/>
  <c r="DE278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A278" i="3"/>
  <c r="DU277" i="3"/>
  <c r="DT277" i="3"/>
  <c r="DS277" i="3"/>
  <c r="DR277" i="3"/>
  <c r="DQ277" i="3"/>
  <c r="DP277" i="3"/>
  <c r="DO277" i="3"/>
  <c r="DN277" i="3"/>
  <c r="DM277" i="3"/>
  <c r="DL277" i="3"/>
  <c r="DK277" i="3"/>
  <c r="DJ277" i="3"/>
  <c r="DI277" i="3"/>
  <c r="DH277" i="3"/>
  <c r="DG277" i="3"/>
  <c r="DF277" i="3"/>
  <c r="DE277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A277" i="3"/>
  <c r="DU276" i="3"/>
  <c r="DT276" i="3"/>
  <c r="DS276" i="3"/>
  <c r="DR276" i="3"/>
  <c r="DQ276" i="3"/>
  <c r="DP276" i="3"/>
  <c r="DO276" i="3"/>
  <c r="DN276" i="3"/>
  <c r="DM276" i="3"/>
  <c r="DL276" i="3"/>
  <c r="DK276" i="3"/>
  <c r="DJ276" i="3"/>
  <c r="DI276" i="3"/>
  <c r="DH276" i="3"/>
  <c r="DG276" i="3"/>
  <c r="DF276" i="3"/>
  <c r="DE276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A276" i="3"/>
  <c r="DU275" i="3"/>
  <c r="DT275" i="3"/>
  <c r="DS275" i="3"/>
  <c r="DR275" i="3"/>
  <c r="DQ275" i="3"/>
  <c r="DP275" i="3"/>
  <c r="DO275" i="3"/>
  <c r="DN275" i="3"/>
  <c r="DM275" i="3"/>
  <c r="DL275" i="3"/>
  <c r="DK275" i="3"/>
  <c r="DJ275" i="3"/>
  <c r="DI275" i="3"/>
  <c r="DH275" i="3"/>
  <c r="DG275" i="3"/>
  <c r="DF275" i="3"/>
  <c r="DE275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A275" i="3"/>
  <c r="DU274" i="3"/>
  <c r="DT274" i="3"/>
  <c r="DS274" i="3"/>
  <c r="DR274" i="3"/>
  <c r="DQ274" i="3"/>
  <c r="DP274" i="3"/>
  <c r="DO274" i="3"/>
  <c r="DN274" i="3"/>
  <c r="DM274" i="3"/>
  <c r="DL274" i="3"/>
  <c r="DK274" i="3"/>
  <c r="DJ274" i="3"/>
  <c r="DI274" i="3"/>
  <c r="DH274" i="3"/>
  <c r="DG274" i="3"/>
  <c r="DF274" i="3"/>
  <c r="DE274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A274" i="3"/>
  <c r="DU273" i="3"/>
  <c r="DT273" i="3"/>
  <c r="DS273" i="3"/>
  <c r="DR273" i="3"/>
  <c r="DQ273" i="3"/>
  <c r="DP273" i="3"/>
  <c r="DO273" i="3"/>
  <c r="DN273" i="3"/>
  <c r="DM273" i="3"/>
  <c r="DL273" i="3"/>
  <c r="DK273" i="3"/>
  <c r="DJ273" i="3"/>
  <c r="DI273" i="3"/>
  <c r="DH273" i="3"/>
  <c r="DG273" i="3"/>
  <c r="DF273" i="3"/>
  <c r="DE273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A273" i="3"/>
  <c r="DU272" i="3"/>
  <c r="DT272" i="3"/>
  <c r="DS272" i="3"/>
  <c r="DR272" i="3"/>
  <c r="DQ272" i="3"/>
  <c r="DP272" i="3"/>
  <c r="DO272" i="3"/>
  <c r="DN272" i="3"/>
  <c r="DM272" i="3"/>
  <c r="DL272" i="3"/>
  <c r="DK272" i="3"/>
  <c r="DJ272" i="3"/>
  <c r="DI272" i="3"/>
  <c r="DH272" i="3"/>
  <c r="DG272" i="3"/>
  <c r="DF272" i="3"/>
  <c r="DE272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A272" i="3"/>
  <c r="DU271" i="3"/>
  <c r="DT271" i="3"/>
  <c r="DS271" i="3"/>
  <c r="DR271" i="3"/>
  <c r="DQ271" i="3"/>
  <c r="DP271" i="3"/>
  <c r="DO271" i="3"/>
  <c r="DN271" i="3"/>
  <c r="DM271" i="3"/>
  <c r="DL271" i="3"/>
  <c r="DK271" i="3"/>
  <c r="DJ271" i="3"/>
  <c r="DI271" i="3"/>
  <c r="DH271" i="3"/>
  <c r="DG271" i="3"/>
  <c r="DF271" i="3"/>
  <c r="DE271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A271" i="3"/>
  <c r="DU270" i="3"/>
  <c r="DT270" i="3"/>
  <c r="DS270" i="3"/>
  <c r="DR270" i="3"/>
  <c r="DQ270" i="3"/>
  <c r="DP270" i="3"/>
  <c r="DO270" i="3"/>
  <c r="DN270" i="3"/>
  <c r="DM270" i="3"/>
  <c r="DL270" i="3"/>
  <c r="DK270" i="3"/>
  <c r="DJ270" i="3"/>
  <c r="DI270" i="3"/>
  <c r="DH270" i="3"/>
  <c r="DG270" i="3"/>
  <c r="DF270" i="3"/>
  <c r="DE270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A270" i="3"/>
  <c r="DU269" i="3"/>
  <c r="DT269" i="3"/>
  <c r="DS269" i="3"/>
  <c r="DR269" i="3"/>
  <c r="DQ269" i="3"/>
  <c r="DP269" i="3"/>
  <c r="DO269" i="3"/>
  <c r="DN269" i="3"/>
  <c r="DM269" i="3"/>
  <c r="DL269" i="3"/>
  <c r="DK269" i="3"/>
  <c r="DJ269" i="3"/>
  <c r="DI269" i="3"/>
  <c r="DH269" i="3"/>
  <c r="DG269" i="3"/>
  <c r="DF269" i="3"/>
  <c r="DE269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A269" i="3"/>
  <c r="DU268" i="3"/>
  <c r="DT268" i="3"/>
  <c r="DS268" i="3"/>
  <c r="DR268" i="3"/>
  <c r="DQ268" i="3"/>
  <c r="DP268" i="3"/>
  <c r="DO268" i="3"/>
  <c r="DN268" i="3"/>
  <c r="DM268" i="3"/>
  <c r="DL268" i="3"/>
  <c r="DK268" i="3"/>
  <c r="DJ268" i="3"/>
  <c r="DI268" i="3"/>
  <c r="DH268" i="3"/>
  <c r="DG268" i="3"/>
  <c r="DF268" i="3"/>
  <c r="DE268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A268" i="3"/>
  <c r="DU267" i="3"/>
  <c r="DT267" i="3"/>
  <c r="DS267" i="3"/>
  <c r="DR267" i="3"/>
  <c r="DQ267" i="3"/>
  <c r="DP267" i="3"/>
  <c r="DO267" i="3"/>
  <c r="DN267" i="3"/>
  <c r="DM267" i="3"/>
  <c r="DL267" i="3"/>
  <c r="DK267" i="3"/>
  <c r="DJ267" i="3"/>
  <c r="DI267" i="3"/>
  <c r="DH267" i="3"/>
  <c r="DG267" i="3"/>
  <c r="DF267" i="3"/>
  <c r="DE267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A267" i="3"/>
  <c r="DU266" i="3"/>
  <c r="DT266" i="3"/>
  <c r="DS266" i="3"/>
  <c r="DR266" i="3"/>
  <c r="DQ266" i="3"/>
  <c r="DP266" i="3"/>
  <c r="DO266" i="3"/>
  <c r="DN266" i="3"/>
  <c r="DM266" i="3"/>
  <c r="DL266" i="3"/>
  <c r="DK266" i="3"/>
  <c r="DJ266" i="3"/>
  <c r="DI266" i="3"/>
  <c r="DH266" i="3"/>
  <c r="DG266" i="3"/>
  <c r="DF266" i="3"/>
  <c r="DE266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DU265" i="3"/>
  <c r="DT265" i="3"/>
  <c r="DS265" i="3"/>
  <c r="DR265" i="3"/>
  <c r="DQ265" i="3"/>
  <c r="DP265" i="3"/>
  <c r="DO265" i="3"/>
  <c r="DN265" i="3"/>
  <c r="DM265" i="3"/>
  <c r="DL265" i="3"/>
  <c r="DK265" i="3"/>
  <c r="DJ265" i="3"/>
  <c r="DI265" i="3"/>
  <c r="DH265" i="3"/>
  <c r="DG265" i="3"/>
  <c r="DF265" i="3"/>
  <c r="DE265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E265" i="3"/>
  <c r="D265" i="3"/>
  <c r="C265" i="3"/>
  <c r="B265" i="3"/>
  <c r="A265" i="3"/>
  <c r="DU264" i="3"/>
  <c r="DT264" i="3"/>
  <c r="DS264" i="3"/>
  <c r="DR264" i="3"/>
  <c r="DQ264" i="3"/>
  <c r="DP264" i="3"/>
  <c r="DO264" i="3"/>
  <c r="DN264" i="3"/>
  <c r="DM264" i="3"/>
  <c r="DL264" i="3"/>
  <c r="DK264" i="3"/>
  <c r="DJ264" i="3"/>
  <c r="DI264" i="3"/>
  <c r="DH264" i="3"/>
  <c r="DG264" i="3"/>
  <c r="DF264" i="3"/>
  <c r="DE264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E264" i="3"/>
  <c r="D264" i="3"/>
  <c r="C264" i="3"/>
  <c r="B264" i="3"/>
  <c r="A264" i="3"/>
  <c r="DU263" i="3"/>
  <c r="DT263" i="3"/>
  <c r="DS263" i="3"/>
  <c r="DR263" i="3"/>
  <c r="DQ263" i="3"/>
  <c r="DP263" i="3"/>
  <c r="DO263" i="3"/>
  <c r="DN263" i="3"/>
  <c r="DM263" i="3"/>
  <c r="DL263" i="3"/>
  <c r="DK263" i="3"/>
  <c r="DJ263" i="3"/>
  <c r="DI263" i="3"/>
  <c r="DH263" i="3"/>
  <c r="DG263" i="3"/>
  <c r="DF263" i="3"/>
  <c r="DE263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E263" i="3"/>
  <c r="D263" i="3"/>
  <c r="C263" i="3"/>
  <c r="A263" i="3"/>
  <c r="DU262" i="3"/>
  <c r="DT262" i="3"/>
  <c r="DS262" i="3"/>
  <c r="DR262" i="3"/>
  <c r="DQ262" i="3"/>
  <c r="DP262" i="3"/>
  <c r="DO262" i="3"/>
  <c r="DN262" i="3"/>
  <c r="DM262" i="3"/>
  <c r="DL262" i="3"/>
  <c r="DK262" i="3"/>
  <c r="DJ262" i="3"/>
  <c r="DI262" i="3"/>
  <c r="DH262" i="3"/>
  <c r="DG262" i="3"/>
  <c r="DF262" i="3"/>
  <c r="DE262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E262" i="3"/>
  <c r="D262" i="3"/>
  <c r="C262" i="3"/>
  <c r="B262" i="3"/>
  <c r="A262" i="3"/>
  <c r="DU261" i="3"/>
  <c r="DT261" i="3"/>
  <c r="DS261" i="3"/>
  <c r="DR261" i="3"/>
  <c r="DQ261" i="3"/>
  <c r="DP261" i="3"/>
  <c r="DO261" i="3"/>
  <c r="DN261" i="3"/>
  <c r="DM261" i="3"/>
  <c r="DL261" i="3"/>
  <c r="DK261" i="3"/>
  <c r="DJ261" i="3"/>
  <c r="DI261" i="3"/>
  <c r="DH261" i="3"/>
  <c r="DG261" i="3"/>
  <c r="DF261" i="3"/>
  <c r="DE261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A261" i="3"/>
  <c r="DU260" i="3"/>
  <c r="DT260" i="3"/>
  <c r="DS260" i="3"/>
  <c r="DR260" i="3"/>
  <c r="DQ260" i="3"/>
  <c r="DP260" i="3"/>
  <c r="DO260" i="3"/>
  <c r="DN260" i="3"/>
  <c r="DM260" i="3"/>
  <c r="DL260" i="3"/>
  <c r="DK260" i="3"/>
  <c r="DJ260" i="3"/>
  <c r="DI260" i="3"/>
  <c r="DH260" i="3"/>
  <c r="DG260" i="3"/>
  <c r="DF260" i="3"/>
  <c r="DE260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E260" i="3"/>
  <c r="D260" i="3"/>
  <c r="C260" i="3"/>
  <c r="B260" i="3"/>
  <c r="A260" i="3"/>
  <c r="DU259" i="3"/>
  <c r="DT259" i="3"/>
  <c r="DS259" i="3"/>
  <c r="DR259" i="3"/>
  <c r="DQ259" i="3"/>
  <c r="DP259" i="3"/>
  <c r="DO259" i="3"/>
  <c r="DN259" i="3"/>
  <c r="DM259" i="3"/>
  <c r="DL259" i="3"/>
  <c r="DK259" i="3"/>
  <c r="DJ259" i="3"/>
  <c r="DI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E259" i="3"/>
  <c r="D259" i="3"/>
  <c r="C259" i="3"/>
  <c r="B259" i="3"/>
  <c r="A259" i="3"/>
  <c r="DU258" i="3"/>
  <c r="DT258" i="3"/>
  <c r="DS258" i="3"/>
  <c r="DR258" i="3"/>
  <c r="DQ258" i="3"/>
  <c r="DP258" i="3"/>
  <c r="DO258" i="3"/>
  <c r="DN258" i="3"/>
  <c r="DM258" i="3"/>
  <c r="DL258" i="3"/>
  <c r="DK258" i="3"/>
  <c r="DJ258" i="3"/>
  <c r="DI258" i="3"/>
  <c r="DH258" i="3"/>
  <c r="DG258" i="3"/>
  <c r="DF258" i="3"/>
  <c r="DE258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E258" i="3"/>
  <c r="D258" i="3"/>
  <c r="C258" i="3"/>
  <c r="B258" i="3"/>
  <c r="A258" i="3"/>
  <c r="DU257" i="3"/>
  <c r="DT257" i="3"/>
  <c r="DS257" i="3"/>
  <c r="DR257" i="3"/>
  <c r="DQ257" i="3"/>
  <c r="DP257" i="3"/>
  <c r="DO257" i="3"/>
  <c r="DN257" i="3"/>
  <c r="DM257" i="3"/>
  <c r="DL257" i="3"/>
  <c r="DK257" i="3"/>
  <c r="DJ257" i="3"/>
  <c r="DI257" i="3"/>
  <c r="DH257" i="3"/>
  <c r="DG257" i="3"/>
  <c r="DF257" i="3"/>
  <c r="DE257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E257" i="3"/>
  <c r="D257" i="3"/>
  <c r="C257" i="3"/>
  <c r="B257" i="3"/>
  <c r="A257" i="3"/>
  <c r="DU256" i="3"/>
  <c r="DT256" i="3"/>
  <c r="DS256" i="3"/>
  <c r="DR256" i="3"/>
  <c r="DQ256" i="3"/>
  <c r="DP256" i="3"/>
  <c r="DO256" i="3"/>
  <c r="DN256" i="3"/>
  <c r="DM256" i="3"/>
  <c r="DL256" i="3"/>
  <c r="DK256" i="3"/>
  <c r="DJ256" i="3"/>
  <c r="DI256" i="3"/>
  <c r="DH256" i="3"/>
  <c r="DG256" i="3"/>
  <c r="DF256" i="3"/>
  <c r="DE256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E256" i="3"/>
  <c r="D256" i="3"/>
  <c r="C256" i="3"/>
  <c r="B256" i="3"/>
  <c r="A256" i="3"/>
  <c r="DU255" i="3"/>
  <c r="DT255" i="3"/>
  <c r="DS255" i="3"/>
  <c r="DR255" i="3"/>
  <c r="DQ255" i="3"/>
  <c r="DP255" i="3"/>
  <c r="DO255" i="3"/>
  <c r="DN255" i="3"/>
  <c r="DM255" i="3"/>
  <c r="DL255" i="3"/>
  <c r="DK255" i="3"/>
  <c r="DJ255" i="3"/>
  <c r="DI255" i="3"/>
  <c r="DH255" i="3"/>
  <c r="DG255" i="3"/>
  <c r="DF255" i="3"/>
  <c r="DE255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E255" i="3"/>
  <c r="D255" i="3"/>
  <c r="C255" i="3"/>
  <c r="B255" i="3"/>
  <c r="A255" i="3"/>
  <c r="DU254" i="3"/>
  <c r="DT254" i="3"/>
  <c r="DS254" i="3"/>
  <c r="DR254" i="3"/>
  <c r="DQ254" i="3"/>
  <c r="DP254" i="3"/>
  <c r="DO254" i="3"/>
  <c r="DN254" i="3"/>
  <c r="DM254" i="3"/>
  <c r="DL254" i="3"/>
  <c r="DK254" i="3"/>
  <c r="DJ254" i="3"/>
  <c r="DI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DU253" i="3"/>
  <c r="DT253" i="3"/>
  <c r="DS253" i="3"/>
  <c r="DR253" i="3"/>
  <c r="DQ253" i="3"/>
  <c r="DP253" i="3"/>
  <c r="DO253" i="3"/>
  <c r="DN253" i="3"/>
  <c r="DM253" i="3"/>
  <c r="DL253" i="3"/>
  <c r="DK253" i="3"/>
  <c r="DJ253" i="3"/>
  <c r="DI253" i="3"/>
  <c r="DH253" i="3"/>
  <c r="DG253" i="3"/>
  <c r="DF253" i="3"/>
  <c r="DE253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DU252" i="3"/>
  <c r="DT252" i="3"/>
  <c r="DS252" i="3"/>
  <c r="DR252" i="3"/>
  <c r="DQ252" i="3"/>
  <c r="DP252" i="3"/>
  <c r="DO252" i="3"/>
  <c r="DN252" i="3"/>
  <c r="DM252" i="3"/>
  <c r="DL252" i="3"/>
  <c r="DK252" i="3"/>
  <c r="DJ252" i="3"/>
  <c r="DI252" i="3"/>
  <c r="DH252" i="3"/>
  <c r="DG252" i="3"/>
  <c r="DF252" i="3"/>
  <c r="DE252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DU251" i="3"/>
  <c r="DT251" i="3"/>
  <c r="DS251" i="3"/>
  <c r="DR251" i="3"/>
  <c r="DQ251" i="3"/>
  <c r="DP251" i="3"/>
  <c r="DO251" i="3"/>
  <c r="DN251" i="3"/>
  <c r="DM251" i="3"/>
  <c r="DL251" i="3"/>
  <c r="DK251" i="3"/>
  <c r="DJ251" i="3"/>
  <c r="DI251" i="3"/>
  <c r="DH251" i="3"/>
  <c r="DG251" i="3"/>
  <c r="DF251" i="3"/>
  <c r="DE251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DU250" i="3"/>
  <c r="DT250" i="3"/>
  <c r="DS250" i="3"/>
  <c r="DR250" i="3"/>
  <c r="DQ250" i="3"/>
  <c r="DP250" i="3"/>
  <c r="DO250" i="3"/>
  <c r="DN250" i="3"/>
  <c r="DM250" i="3"/>
  <c r="DL250" i="3"/>
  <c r="DK250" i="3"/>
  <c r="DJ250" i="3"/>
  <c r="DI250" i="3"/>
  <c r="DH250" i="3"/>
  <c r="DG250" i="3"/>
  <c r="DF250" i="3"/>
  <c r="DE250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DU249" i="3"/>
  <c r="DT249" i="3"/>
  <c r="DS249" i="3"/>
  <c r="DR249" i="3"/>
  <c r="DQ249" i="3"/>
  <c r="DP249" i="3"/>
  <c r="DO249" i="3"/>
  <c r="DN249" i="3"/>
  <c r="DM249" i="3"/>
  <c r="DL249" i="3"/>
  <c r="DK249" i="3"/>
  <c r="DJ249" i="3"/>
  <c r="DI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DU248" i="3"/>
  <c r="DT248" i="3"/>
  <c r="DS248" i="3"/>
  <c r="DR248" i="3"/>
  <c r="DQ248" i="3"/>
  <c r="DP248" i="3"/>
  <c r="DO248" i="3"/>
  <c r="DN248" i="3"/>
  <c r="DM248" i="3"/>
  <c r="DL248" i="3"/>
  <c r="DK248" i="3"/>
  <c r="DJ248" i="3"/>
  <c r="DI248" i="3"/>
  <c r="DH248" i="3"/>
  <c r="DG248" i="3"/>
  <c r="DF248" i="3"/>
  <c r="DE248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DU247" i="3"/>
  <c r="DT247" i="3"/>
  <c r="DS247" i="3"/>
  <c r="DR247" i="3"/>
  <c r="DQ247" i="3"/>
  <c r="DP247" i="3"/>
  <c r="DO247" i="3"/>
  <c r="DN247" i="3"/>
  <c r="DM247" i="3"/>
  <c r="DL247" i="3"/>
  <c r="DK247" i="3"/>
  <c r="DJ247" i="3"/>
  <c r="DI247" i="3"/>
  <c r="DH247" i="3"/>
  <c r="DG247" i="3"/>
  <c r="DF247" i="3"/>
  <c r="DE247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DU246" i="3"/>
  <c r="DT246" i="3"/>
  <c r="DS246" i="3"/>
  <c r="DR246" i="3"/>
  <c r="DQ246" i="3"/>
  <c r="DP246" i="3"/>
  <c r="DO246" i="3"/>
  <c r="DN246" i="3"/>
  <c r="DM246" i="3"/>
  <c r="DL246" i="3"/>
  <c r="DK246" i="3"/>
  <c r="DJ246" i="3"/>
  <c r="DI246" i="3"/>
  <c r="DH246" i="3"/>
  <c r="DG246" i="3"/>
  <c r="DF246" i="3"/>
  <c r="DE246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DU245" i="3"/>
  <c r="DT245" i="3"/>
  <c r="DS245" i="3"/>
  <c r="DR245" i="3"/>
  <c r="DQ245" i="3"/>
  <c r="DP245" i="3"/>
  <c r="DO245" i="3"/>
  <c r="DN245" i="3"/>
  <c r="DM245" i="3"/>
  <c r="DL245" i="3"/>
  <c r="DK245" i="3"/>
  <c r="DJ245" i="3"/>
  <c r="DI245" i="3"/>
  <c r="DH245" i="3"/>
  <c r="DG245" i="3"/>
  <c r="DF245" i="3"/>
  <c r="DE245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DU244" i="3"/>
  <c r="DT244" i="3"/>
  <c r="DS244" i="3"/>
  <c r="DR244" i="3"/>
  <c r="DQ244" i="3"/>
  <c r="DP244" i="3"/>
  <c r="DO244" i="3"/>
  <c r="DN244" i="3"/>
  <c r="DM244" i="3"/>
  <c r="DL244" i="3"/>
  <c r="DK244" i="3"/>
  <c r="DJ244" i="3"/>
  <c r="DI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DU243" i="3"/>
  <c r="DT243" i="3"/>
  <c r="DS243" i="3"/>
  <c r="DR243" i="3"/>
  <c r="DQ243" i="3"/>
  <c r="DP243" i="3"/>
  <c r="DO243" i="3"/>
  <c r="DN243" i="3"/>
  <c r="DM243" i="3"/>
  <c r="DL243" i="3"/>
  <c r="DK243" i="3"/>
  <c r="DJ243" i="3"/>
  <c r="DI243" i="3"/>
  <c r="DH243" i="3"/>
  <c r="DG243" i="3"/>
  <c r="DF243" i="3"/>
  <c r="DE243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DU242" i="3"/>
  <c r="DT242" i="3"/>
  <c r="DS242" i="3"/>
  <c r="DR242" i="3"/>
  <c r="DQ242" i="3"/>
  <c r="DP242" i="3"/>
  <c r="DO242" i="3"/>
  <c r="DN242" i="3"/>
  <c r="DM242" i="3"/>
  <c r="DL242" i="3"/>
  <c r="DK242" i="3"/>
  <c r="DJ242" i="3"/>
  <c r="DI242" i="3"/>
  <c r="DH242" i="3"/>
  <c r="DG242" i="3"/>
  <c r="DF242" i="3"/>
  <c r="DE242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DU241" i="3"/>
  <c r="DT241" i="3"/>
  <c r="DS241" i="3"/>
  <c r="DR241" i="3"/>
  <c r="DQ241" i="3"/>
  <c r="DP241" i="3"/>
  <c r="DO241" i="3"/>
  <c r="DN241" i="3"/>
  <c r="DM241" i="3"/>
  <c r="DL241" i="3"/>
  <c r="DK241" i="3"/>
  <c r="DJ241" i="3"/>
  <c r="DI241" i="3"/>
  <c r="DH241" i="3"/>
  <c r="DG241" i="3"/>
  <c r="DF241" i="3"/>
  <c r="DE241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DU240" i="3"/>
  <c r="DT240" i="3"/>
  <c r="DS240" i="3"/>
  <c r="DR240" i="3"/>
  <c r="DQ240" i="3"/>
  <c r="DP240" i="3"/>
  <c r="DO240" i="3"/>
  <c r="DN240" i="3"/>
  <c r="DM240" i="3"/>
  <c r="DL240" i="3"/>
  <c r="DK240" i="3"/>
  <c r="DJ240" i="3"/>
  <c r="DI240" i="3"/>
  <c r="DH240" i="3"/>
  <c r="DG240" i="3"/>
  <c r="DF240" i="3"/>
  <c r="DE240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DU239" i="3"/>
  <c r="DT239" i="3"/>
  <c r="DS239" i="3"/>
  <c r="DR239" i="3"/>
  <c r="DQ239" i="3"/>
  <c r="DP239" i="3"/>
  <c r="DO239" i="3"/>
  <c r="DN239" i="3"/>
  <c r="DM239" i="3"/>
  <c r="DL239" i="3"/>
  <c r="DK239" i="3"/>
  <c r="DJ239" i="3"/>
  <c r="DI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DU238" i="3"/>
  <c r="DT238" i="3"/>
  <c r="DS238" i="3"/>
  <c r="DR238" i="3"/>
  <c r="DQ238" i="3"/>
  <c r="DP238" i="3"/>
  <c r="DO238" i="3"/>
  <c r="DN238" i="3"/>
  <c r="DM238" i="3"/>
  <c r="DL238" i="3"/>
  <c r="DK238" i="3"/>
  <c r="DJ238" i="3"/>
  <c r="DI238" i="3"/>
  <c r="DH238" i="3"/>
  <c r="DG238" i="3"/>
  <c r="DF238" i="3"/>
  <c r="DE238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DU237" i="3"/>
  <c r="DT237" i="3"/>
  <c r="DS237" i="3"/>
  <c r="DR237" i="3"/>
  <c r="DQ237" i="3"/>
  <c r="DP237" i="3"/>
  <c r="DO237" i="3"/>
  <c r="DN237" i="3"/>
  <c r="DM237" i="3"/>
  <c r="DL237" i="3"/>
  <c r="DK237" i="3"/>
  <c r="DJ237" i="3"/>
  <c r="DI237" i="3"/>
  <c r="DH237" i="3"/>
  <c r="DG237" i="3"/>
  <c r="DF237" i="3"/>
  <c r="DE237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DU236" i="3"/>
  <c r="DT236" i="3"/>
  <c r="DS236" i="3"/>
  <c r="DR236" i="3"/>
  <c r="DQ236" i="3"/>
  <c r="DP236" i="3"/>
  <c r="DO236" i="3"/>
  <c r="DN236" i="3"/>
  <c r="DM236" i="3"/>
  <c r="DL236" i="3"/>
  <c r="DK236" i="3"/>
  <c r="DJ236" i="3"/>
  <c r="DI236" i="3"/>
  <c r="DH236" i="3"/>
  <c r="DG236" i="3"/>
  <c r="DF236" i="3"/>
  <c r="DE236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DU235" i="3"/>
  <c r="DT235" i="3"/>
  <c r="DS235" i="3"/>
  <c r="DR235" i="3"/>
  <c r="DQ235" i="3"/>
  <c r="DP235" i="3"/>
  <c r="DO235" i="3"/>
  <c r="DN235" i="3"/>
  <c r="DM235" i="3"/>
  <c r="DL235" i="3"/>
  <c r="DK235" i="3"/>
  <c r="DJ235" i="3"/>
  <c r="DI235" i="3"/>
  <c r="DH235" i="3"/>
  <c r="DG235" i="3"/>
  <c r="DF235" i="3"/>
  <c r="DE235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DU234" i="3"/>
  <c r="DT234" i="3"/>
  <c r="DS234" i="3"/>
  <c r="DR234" i="3"/>
  <c r="DQ234" i="3"/>
  <c r="DP234" i="3"/>
  <c r="DO234" i="3"/>
  <c r="DN234" i="3"/>
  <c r="DM234" i="3"/>
  <c r="DL234" i="3"/>
  <c r="DK234" i="3"/>
  <c r="DJ234" i="3"/>
  <c r="DI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DU233" i="3"/>
  <c r="DT233" i="3"/>
  <c r="DS233" i="3"/>
  <c r="DR233" i="3"/>
  <c r="DQ233" i="3"/>
  <c r="DP233" i="3"/>
  <c r="DO233" i="3"/>
  <c r="DN233" i="3"/>
  <c r="DM233" i="3"/>
  <c r="DL233" i="3"/>
  <c r="DK233" i="3"/>
  <c r="DJ233" i="3"/>
  <c r="DI233" i="3"/>
  <c r="DH233" i="3"/>
  <c r="DG233" i="3"/>
  <c r="DF233" i="3"/>
  <c r="DE233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DU232" i="3"/>
  <c r="DT232" i="3"/>
  <c r="DS232" i="3"/>
  <c r="DR232" i="3"/>
  <c r="DQ232" i="3"/>
  <c r="DP232" i="3"/>
  <c r="DO232" i="3"/>
  <c r="DN232" i="3"/>
  <c r="DM232" i="3"/>
  <c r="DL232" i="3"/>
  <c r="DK232" i="3"/>
  <c r="DJ232" i="3"/>
  <c r="DI232" i="3"/>
  <c r="DH232" i="3"/>
  <c r="DG232" i="3"/>
  <c r="DF232" i="3"/>
  <c r="DE232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DU231" i="3"/>
  <c r="DT231" i="3"/>
  <c r="DS231" i="3"/>
  <c r="DR231" i="3"/>
  <c r="DQ231" i="3"/>
  <c r="DP231" i="3"/>
  <c r="DO231" i="3"/>
  <c r="DN231" i="3"/>
  <c r="DM231" i="3"/>
  <c r="DL231" i="3"/>
  <c r="DK231" i="3"/>
  <c r="DJ231" i="3"/>
  <c r="DI231" i="3"/>
  <c r="DH231" i="3"/>
  <c r="DG231" i="3"/>
  <c r="DF231" i="3"/>
  <c r="DE231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DU230" i="3"/>
  <c r="DT230" i="3"/>
  <c r="DS230" i="3"/>
  <c r="DR230" i="3"/>
  <c r="DQ230" i="3"/>
  <c r="DP230" i="3"/>
  <c r="DO230" i="3"/>
  <c r="DN230" i="3"/>
  <c r="DM230" i="3"/>
  <c r="DL230" i="3"/>
  <c r="DK230" i="3"/>
  <c r="DJ230" i="3"/>
  <c r="DI230" i="3"/>
  <c r="DH230" i="3"/>
  <c r="DG230" i="3"/>
  <c r="DF230" i="3"/>
  <c r="DE230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DU229" i="3"/>
  <c r="DT229" i="3"/>
  <c r="DS229" i="3"/>
  <c r="DR229" i="3"/>
  <c r="DQ229" i="3"/>
  <c r="DP229" i="3"/>
  <c r="DO229" i="3"/>
  <c r="DN229" i="3"/>
  <c r="DM229" i="3"/>
  <c r="DL229" i="3"/>
  <c r="DK229" i="3"/>
  <c r="DJ229" i="3"/>
  <c r="DI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DU228" i="3"/>
  <c r="DT228" i="3"/>
  <c r="DS228" i="3"/>
  <c r="DR228" i="3"/>
  <c r="DQ228" i="3"/>
  <c r="DP228" i="3"/>
  <c r="DO228" i="3"/>
  <c r="DN228" i="3"/>
  <c r="DM228" i="3"/>
  <c r="DL228" i="3"/>
  <c r="DK228" i="3"/>
  <c r="DJ228" i="3"/>
  <c r="DI228" i="3"/>
  <c r="DH228" i="3"/>
  <c r="DG228" i="3"/>
  <c r="DF228" i="3"/>
  <c r="DE228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DU227" i="3"/>
  <c r="DT227" i="3"/>
  <c r="DS227" i="3"/>
  <c r="DR227" i="3"/>
  <c r="DQ227" i="3"/>
  <c r="DP227" i="3"/>
  <c r="DO227" i="3"/>
  <c r="DN227" i="3"/>
  <c r="DM227" i="3"/>
  <c r="DL227" i="3"/>
  <c r="DK227" i="3"/>
  <c r="DJ227" i="3"/>
  <c r="DI227" i="3"/>
  <c r="DH227" i="3"/>
  <c r="DG227" i="3"/>
  <c r="DF227" i="3"/>
  <c r="DE227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DU226" i="3"/>
  <c r="DT226" i="3"/>
  <c r="DS226" i="3"/>
  <c r="DR226" i="3"/>
  <c r="DQ226" i="3"/>
  <c r="DP226" i="3"/>
  <c r="DO226" i="3"/>
  <c r="DN226" i="3"/>
  <c r="DM226" i="3"/>
  <c r="DL226" i="3"/>
  <c r="DK226" i="3"/>
  <c r="DJ226" i="3"/>
  <c r="DI226" i="3"/>
  <c r="DH226" i="3"/>
  <c r="DG226" i="3"/>
  <c r="DF226" i="3"/>
  <c r="DE226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DU225" i="3"/>
  <c r="DT225" i="3"/>
  <c r="DS225" i="3"/>
  <c r="DR225" i="3"/>
  <c r="DQ225" i="3"/>
  <c r="DP225" i="3"/>
  <c r="DO225" i="3"/>
  <c r="DN225" i="3"/>
  <c r="DM225" i="3"/>
  <c r="DL225" i="3"/>
  <c r="DK225" i="3"/>
  <c r="DJ225" i="3"/>
  <c r="DI225" i="3"/>
  <c r="DH225" i="3"/>
  <c r="DG225" i="3"/>
  <c r="DF225" i="3"/>
  <c r="DE225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DU224" i="3"/>
  <c r="DT224" i="3"/>
  <c r="DS224" i="3"/>
  <c r="DR224" i="3"/>
  <c r="DQ224" i="3"/>
  <c r="DP224" i="3"/>
  <c r="DO224" i="3"/>
  <c r="DN224" i="3"/>
  <c r="DM224" i="3"/>
  <c r="DL224" i="3"/>
  <c r="DK224" i="3"/>
  <c r="DJ224" i="3"/>
  <c r="DI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DU223" i="3"/>
  <c r="DT223" i="3"/>
  <c r="DS223" i="3"/>
  <c r="DR223" i="3"/>
  <c r="DQ223" i="3"/>
  <c r="DP223" i="3"/>
  <c r="DO223" i="3"/>
  <c r="DN223" i="3"/>
  <c r="DM223" i="3"/>
  <c r="DL223" i="3"/>
  <c r="DK223" i="3"/>
  <c r="DJ223" i="3"/>
  <c r="DI223" i="3"/>
  <c r="DH223" i="3"/>
  <c r="DG223" i="3"/>
  <c r="DF223" i="3"/>
  <c r="DE223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DU222" i="3"/>
  <c r="DT222" i="3"/>
  <c r="DS222" i="3"/>
  <c r="DR222" i="3"/>
  <c r="DQ222" i="3"/>
  <c r="DP222" i="3"/>
  <c r="DO222" i="3"/>
  <c r="DN222" i="3"/>
  <c r="DM222" i="3"/>
  <c r="DL222" i="3"/>
  <c r="DK222" i="3"/>
  <c r="DJ222" i="3"/>
  <c r="DI222" i="3"/>
  <c r="DH222" i="3"/>
  <c r="DG222" i="3"/>
  <c r="DF222" i="3"/>
  <c r="DE222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DU221" i="3"/>
  <c r="DT221" i="3"/>
  <c r="DS221" i="3"/>
  <c r="DR221" i="3"/>
  <c r="DQ221" i="3"/>
  <c r="DP221" i="3"/>
  <c r="DO221" i="3"/>
  <c r="DN221" i="3"/>
  <c r="DM221" i="3"/>
  <c r="DL221" i="3"/>
  <c r="DK221" i="3"/>
  <c r="DJ221" i="3"/>
  <c r="DI221" i="3"/>
  <c r="DH221" i="3"/>
  <c r="DG221" i="3"/>
  <c r="DF221" i="3"/>
  <c r="DE221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DU220" i="3"/>
  <c r="DT220" i="3"/>
  <c r="DS220" i="3"/>
  <c r="DR220" i="3"/>
  <c r="DQ220" i="3"/>
  <c r="DP220" i="3"/>
  <c r="DO220" i="3"/>
  <c r="DN220" i="3"/>
  <c r="DM220" i="3"/>
  <c r="DL220" i="3"/>
  <c r="DK220" i="3"/>
  <c r="DJ220" i="3"/>
  <c r="DI220" i="3"/>
  <c r="DH220" i="3"/>
  <c r="DG220" i="3"/>
  <c r="DF220" i="3"/>
  <c r="DE220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DU219" i="3"/>
  <c r="DT219" i="3"/>
  <c r="DS219" i="3"/>
  <c r="DR219" i="3"/>
  <c r="DQ219" i="3"/>
  <c r="DP219" i="3"/>
  <c r="DO219" i="3"/>
  <c r="DN219" i="3"/>
  <c r="DM219" i="3"/>
  <c r="DL219" i="3"/>
  <c r="DK219" i="3"/>
  <c r="DJ219" i="3"/>
  <c r="DI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DU218" i="3"/>
  <c r="DT218" i="3"/>
  <c r="DS218" i="3"/>
  <c r="DR218" i="3"/>
  <c r="DQ218" i="3"/>
  <c r="DP218" i="3"/>
  <c r="DO218" i="3"/>
  <c r="DN218" i="3"/>
  <c r="DM218" i="3"/>
  <c r="DL218" i="3"/>
  <c r="DK218" i="3"/>
  <c r="DJ218" i="3"/>
  <c r="DI218" i="3"/>
  <c r="DH218" i="3"/>
  <c r="DG218" i="3"/>
  <c r="DF218" i="3"/>
  <c r="DE218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DU217" i="3"/>
  <c r="DT217" i="3"/>
  <c r="DS217" i="3"/>
  <c r="DR217" i="3"/>
  <c r="DQ217" i="3"/>
  <c r="DP217" i="3"/>
  <c r="DO217" i="3"/>
  <c r="DN217" i="3"/>
  <c r="DM217" i="3"/>
  <c r="DL217" i="3"/>
  <c r="DK217" i="3"/>
  <c r="DJ217" i="3"/>
  <c r="DI217" i="3"/>
  <c r="DH217" i="3"/>
  <c r="DG217" i="3"/>
  <c r="DF217" i="3"/>
  <c r="DE217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DU216" i="3"/>
  <c r="DT216" i="3"/>
  <c r="DS216" i="3"/>
  <c r="DR216" i="3"/>
  <c r="DQ216" i="3"/>
  <c r="DP216" i="3"/>
  <c r="DO216" i="3"/>
  <c r="DN216" i="3"/>
  <c r="DM216" i="3"/>
  <c r="DL216" i="3"/>
  <c r="DK216" i="3"/>
  <c r="DJ216" i="3"/>
  <c r="DI216" i="3"/>
  <c r="DH216" i="3"/>
  <c r="DG216" i="3"/>
  <c r="DF216" i="3"/>
  <c r="DE216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DU215" i="3"/>
  <c r="DT215" i="3"/>
  <c r="DS215" i="3"/>
  <c r="DR215" i="3"/>
  <c r="DQ215" i="3"/>
  <c r="DP215" i="3"/>
  <c r="DO215" i="3"/>
  <c r="DN215" i="3"/>
  <c r="DM215" i="3"/>
  <c r="DL215" i="3"/>
  <c r="DK215" i="3"/>
  <c r="DJ215" i="3"/>
  <c r="DI215" i="3"/>
  <c r="DH215" i="3"/>
  <c r="DG215" i="3"/>
  <c r="DF215" i="3"/>
  <c r="DE215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DU214" i="3"/>
  <c r="DT214" i="3"/>
  <c r="DS214" i="3"/>
  <c r="DR214" i="3"/>
  <c r="DQ214" i="3"/>
  <c r="DP214" i="3"/>
  <c r="DO214" i="3"/>
  <c r="DN214" i="3"/>
  <c r="DM214" i="3"/>
  <c r="DL214" i="3"/>
  <c r="DK214" i="3"/>
  <c r="DJ214" i="3"/>
  <c r="DI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DU213" i="3"/>
  <c r="DT213" i="3"/>
  <c r="DS213" i="3"/>
  <c r="DR213" i="3"/>
  <c r="DQ213" i="3"/>
  <c r="DP213" i="3"/>
  <c r="DO213" i="3"/>
  <c r="DN213" i="3"/>
  <c r="DM213" i="3"/>
  <c r="DL213" i="3"/>
  <c r="DK213" i="3"/>
  <c r="DJ213" i="3"/>
  <c r="DI213" i="3"/>
  <c r="DH213" i="3"/>
  <c r="DG213" i="3"/>
  <c r="DF213" i="3"/>
  <c r="DE213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DU212" i="3"/>
  <c r="DT212" i="3"/>
  <c r="DS212" i="3"/>
  <c r="DR212" i="3"/>
  <c r="DQ212" i="3"/>
  <c r="DP212" i="3"/>
  <c r="DO212" i="3"/>
  <c r="DN212" i="3"/>
  <c r="DM212" i="3"/>
  <c r="DL212" i="3"/>
  <c r="DK212" i="3"/>
  <c r="DJ212" i="3"/>
  <c r="DI212" i="3"/>
  <c r="DH212" i="3"/>
  <c r="DG212" i="3"/>
  <c r="DF212" i="3"/>
  <c r="DE212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DU211" i="3"/>
  <c r="DT211" i="3"/>
  <c r="DS211" i="3"/>
  <c r="DR211" i="3"/>
  <c r="DQ211" i="3"/>
  <c r="DP211" i="3"/>
  <c r="DO211" i="3"/>
  <c r="DN211" i="3"/>
  <c r="DM211" i="3"/>
  <c r="DL211" i="3"/>
  <c r="DK211" i="3"/>
  <c r="DJ211" i="3"/>
  <c r="DI211" i="3"/>
  <c r="DH211" i="3"/>
  <c r="DG211" i="3"/>
  <c r="DF211" i="3"/>
  <c r="DE211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DU210" i="3"/>
  <c r="DT210" i="3"/>
  <c r="DS210" i="3"/>
  <c r="DR210" i="3"/>
  <c r="DQ210" i="3"/>
  <c r="DP210" i="3"/>
  <c r="DO210" i="3"/>
  <c r="DN210" i="3"/>
  <c r="DM210" i="3"/>
  <c r="DL210" i="3"/>
  <c r="DK210" i="3"/>
  <c r="DJ210" i="3"/>
  <c r="DI210" i="3"/>
  <c r="DH210" i="3"/>
  <c r="DG210" i="3"/>
  <c r="DF210" i="3"/>
  <c r="DE210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DU209" i="3"/>
  <c r="DT209" i="3"/>
  <c r="DS209" i="3"/>
  <c r="DR209" i="3"/>
  <c r="DQ209" i="3"/>
  <c r="DP209" i="3"/>
  <c r="DO209" i="3"/>
  <c r="DN209" i="3"/>
  <c r="DM209" i="3"/>
  <c r="DL209" i="3"/>
  <c r="DK209" i="3"/>
  <c r="DJ209" i="3"/>
  <c r="DI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DU208" i="3"/>
  <c r="DT208" i="3"/>
  <c r="DS208" i="3"/>
  <c r="DR208" i="3"/>
  <c r="DQ208" i="3"/>
  <c r="DP208" i="3"/>
  <c r="DO208" i="3"/>
  <c r="DN208" i="3"/>
  <c r="DM208" i="3"/>
  <c r="DL208" i="3"/>
  <c r="DK208" i="3"/>
  <c r="DJ208" i="3"/>
  <c r="DI208" i="3"/>
  <c r="DH208" i="3"/>
  <c r="DG208" i="3"/>
  <c r="DF208" i="3"/>
  <c r="DE208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DU207" i="3"/>
  <c r="DT207" i="3"/>
  <c r="DS207" i="3"/>
  <c r="DR207" i="3"/>
  <c r="DQ207" i="3"/>
  <c r="DP207" i="3"/>
  <c r="DO207" i="3"/>
  <c r="DN207" i="3"/>
  <c r="DM207" i="3"/>
  <c r="DL207" i="3"/>
  <c r="DK207" i="3"/>
  <c r="DJ207" i="3"/>
  <c r="DI207" i="3"/>
  <c r="DH207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DU206" i="3"/>
  <c r="DT206" i="3"/>
  <c r="DS206" i="3"/>
  <c r="DR206" i="3"/>
  <c r="DQ206" i="3"/>
  <c r="DP206" i="3"/>
  <c r="DO206" i="3"/>
  <c r="DN206" i="3"/>
  <c r="DM206" i="3"/>
  <c r="DL206" i="3"/>
  <c r="DK206" i="3"/>
  <c r="DJ206" i="3"/>
  <c r="DI206" i="3"/>
  <c r="DH206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DU205" i="3"/>
  <c r="DT205" i="3"/>
  <c r="DS205" i="3"/>
  <c r="DR205" i="3"/>
  <c r="DQ205" i="3"/>
  <c r="DP205" i="3"/>
  <c r="DO205" i="3"/>
  <c r="DN205" i="3"/>
  <c r="DM205" i="3"/>
  <c r="DL205" i="3"/>
  <c r="DK205" i="3"/>
  <c r="DJ205" i="3"/>
  <c r="DI205" i="3"/>
  <c r="DH205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DU204" i="3"/>
  <c r="DT204" i="3"/>
  <c r="DS204" i="3"/>
  <c r="DR204" i="3"/>
  <c r="DQ204" i="3"/>
  <c r="DP204" i="3"/>
  <c r="DO204" i="3"/>
  <c r="DN204" i="3"/>
  <c r="DM204" i="3"/>
  <c r="DL204" i="3"/>
  <c r="DK204" i="3"/>
  <c r="DJ204" i="3"/>
  <c r="DI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DU203" i="3"/>
  <c r="DT203" i="3"/>
  <c r="DS203" i="3"/>
  <c r="DR203" i="3"/>
  <c r="DQ203" i="3"/>
  <c r="DP203" i="3"/>
  <c r="DO203" i="3"/>
  <c r="DN203" i="3"/>
  <c r="DM203" i="3"/>
  <c r="DL203" i="3"/>
  <c r="DK203" i="3"/>
  <c r="DJ203" i="3"/>
  <c r="DI203" i="3"/>
  <c r="DH203" i="3"/>
  <c r="DG203" i="3"/>
  <c r="DF203" i="3"/>
  <c r="DE203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DU202" i="3"/>
  <c r="DT202" i="3"/>
  <c r="DS202" i="3"/>
  <c r="DR202" i="3"/>
  <c r="DQ202" i="3"/>
  <c r="DP202" i="3"/>
  <c r="DO202" i="3"/>
  <c r="DN202" i="3"/>
  <c r="DM202" i="3"/>
  <c r="DL202" i="3"/>
  <c r="DK202" i="3"/>
  <c r="DJ202" i="3"/>
  <c r="DI202" i="3"/>
  <c r="DH202" i="3"/>
  <c r="DG202" i="3"/>
  <c r="DF202" i="3"/>
  <c r="DE202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DU201" i="3"/>
  <c r="DT201" i="3"/>
  <c r="DS201" i="3"/>
  <c r="DR201" i="3"/>
  <c r="DQ201" i="3"/>
  <c r="DP201" i="3"/>
  <c r="DO201" i="3"/>
  <c r="DN201" i="3"/>
  <c r="DM201" i="3"/>
  <c r="DL201" i="3"/>
  <c r="DK201" i="3"/>
  <c r="DJ201" i="3"/>
  <c r="DI201" i="3"/>
  <c r="DH201" i="3"/>
  <c r="DG201" i="3"/>
  <c r="DF201" i="3"/>
  <c r="DE201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DU200" i="3"/>
  <c r="DT200" i="3"/>
  <c r="DS200" i="3"/>
  <c r="DR200" i="3"/>
  <c r="DQ200" i="3"/>
  <c r="DP200" i="3"/>
  <c r="DO200" i="3"/>
  <c r="DN200" i="3"/>
  <c r="DM200" i="3"/>
  <c r="DL200" i="3"/>
  <c r="DK200" i="3"/>
  <c r="DJ200" i="3"/>
  <c r="DI200" i="3"/>
  <c r="DH200" i="3"/>
  <c r="DG200" i="3"/>
  <c r="DF200" i="3"/>
  <c r="DE200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DU199" i="3"/>
  <c r="DT199" i="3"/>
  <c r="DS199" i="3"/>
  <c r="DR199" i="3"/>
  <c r="DQ199" i="3"/>
  <c r="DP199" i="3"/>
  <c r="DO199" i="3"/>
  <c r="DN199" i="3"/>
  <c r="DM199" i="3"/>
  <c r="DL199" i="3"/>
  <c r="DK199" i="3"/>
  <c r="DJ199" i="3"/>
  <c r="DI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DU198" i="3"/>
  <c r="DT198" i="3"/>
  <c r="DS198" i="3"/>
  <c r="DR198" i="3"/>
  <c r="DQ198" i="3"/>
  <c r="DP198" i="3"/>
  <c r="DO198" i="3"/>
  <c r="DN198" i="3"/>
  <c r="DM198" i="3"/>
  <c r="DL198" i="3"/>
  <c r="DK198" i="3"/>
  <c r="DJ198" i="3"/>
  <c r="DI198" i="3"/>
  <c r="DH198" i="3"/>
  <c r="DG198" i="3"/>
  <c r="DF198" i="3"/>
  <c r="DE198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DU197" i="3"/>
  <c r="DT197" i="3"/>
  <c r="DS197" i="3"/>
  <c r="DR197" i="3"/>
  <c r="DQ197" i="3"/>
  <c r="DP197" i="3"/>
  <c r="DO197" i="3"/>
  <c r="DN197" i="3"/>
  <c r="DM197" i="3"/>
  <c r="DL197" i="3"/>
  <c r="DK197" i="3"/>
  <c r="DJ197" i="3"/>
  <c r="DI197" i="3"/>
  <c r="DH197" i="3"/>
  <c r="DG197" i="3"/>
  <c r="DF197" i="3"/>
  <c r="DE197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DU196" i="3"/>
  <c r="DT196" i="3"/>
  <c r="DS196" i="3"/>
  <c r="DR196" i="3"/>
  <c r="DQ196" i="3"/>
  <c r="DP196" i="3"/>
  <c r="DO196" i="3"/>
  <c r="DN196" i="3"/>
  <c r="DM196" i="3"/>
  <c r="DL196" i="3"/>
  <c r="DK196" i="3"/>
  <c r="DJ196" i="3"/>
  <c r="DI196" i="3"/>
  <c r="DH196" i="3"/>
  <c r="DG196" i="3"/>
  <c r="DF196" i="3"/>
  <c r="DE196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DU195" i="3"/>
  <c r="DT195" i="3"/>
  <c r="DS195" i="3"/>
  <c r="DR195" i="3"/>
  <c r="DQ195" i="3"/>
  <c r="DP195" i="3"/>
  <c r="DO195" i="3"/>
  <c r="DN195" i="3"/>
  <c r="DM195" i="3"/>
  <c r="DL195" i="3"/>
  <c r="DK195" i="3"/>
  <c r="DJ195" i="3"/>
  <c r="DI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DU194" i="3"/>
  <c r="DT194" i="3"/>
  <c r="DS194" i="3"/>
  <c r="DR194" i="3"/>
  <c r="DQ194" i="3"/>
  <c r="DP194" i="3"/>
  <c r="DO194" i="3"/>
  <c r="DN194" i="3"/>
  <c r="DM194" i="3"/>
  <c r="DL194" i="3"/>
  <c r="DK194" i="3"/>
  <c r="DJ194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DU193" i="3"/>
  <c r="DT193" i="3"/>
  <c r="DS193" i="3"/>
  <c r="DR193" i="3"/>
  <c r="DQ193" i="3"/>
  <c r="DP193" i="3"/>
  <c r="DO193" i="3"/>
  <c r="DN193" i="3"/>
  <c r="DM193" i="3"/>
  <c r="DL193" i="3"/>
  <c r="DK193" i="3"/>
  <c r="DJ193" i="3"/>
  <c r="DI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DU192" i="3"/>
  <c r="DT192" i="3"/>
  <c r="DS192" i="3"/>
  <c r="DR192" i="3"/>
  <c r="DQ192" i="3"/>
  <c r="DP192" i="3"/>
  <c r="DO192" i="3"/>
  <c r="DN192" i="3"/>
  <c r="DM192" i="3"/>
  <c r="DL192" i="3"/>
  <c r="DK192" i="3"/>
  <c r="DJ192" i="3"/>
  <c r="DI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DU191" i="3"/>
  <c r="DT191" i="3"/>
  <c r="DS191" i="3"/>
  <c r="DR191" i="3"/>
  <c r="DQ191" i="3"/>
  <c r="DP191" i="3"/>
  <c r="DO191" i="3"/>
  <c r="DN191" i="3"/>
  <c r="DM191" i="3"/>
  <c r="DL191" i="3"/>
  <c r="DK191" i="3"/>
  <c r="DJ191" i="3"/>
  <c r="DI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DU190" i="3"/>
  <c r="DT190" i="3"/>
  <c r="DS190" i="3"/>
  <c r="DR190" i="3"/>
  <c r="DQ190" i="3"/>
  <c r="DP190" i="3"/>
  <c r="DO190" i="3"/>
  <c r="DN190" i="3"/>
  <c r="DM190" i="3"/>
  <c r="DL190" i="3"/>
  <c r="DK190" i="3"/>
  <c r="DJ190" i="3"/>
  <c r="DI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E169" i="3"/>
  <c r="D169" i="3"/>
  <c r="C169" i="3"/>
  <c r="B169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E168" i="3"/>
  <c r="D168" i="3"/>
  <c r="C168" i="3"/>
  <c r="B168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E167" i="3"/>
  <c r="D167" i="3"/>
  <c r="C167" i="3"/>
  <c r="B167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E166" i="3"/>
  <c r="D166" i="3"/>
  <c r="C166" i="3"/>
  <c r="B166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E165" i="3"/>
  <c r="D165" i="3"/>
  <c r="C165" i="3"/>
  <c r="B165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E164" i="3"/>
  <c r="D164" i="3"/>
  <c r="C164" i="3"/>
  <c r="B164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E163" i="3"/>
  <c r="D163" i="3"/>
  <c r="C163" i="3"/>
  <c r="B163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E162" i="3"/>
  <c r="D162" i="3"/>
  <c r="C162" i="3"/>
  <c r="B162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E161" i="3"/>
  <c r="D161" i="3"/>
  <c r="C161" i="3"/>
  <c r="A161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E160" i="3"/>
  <c r="D160" i="3"/>
  <c r="C160" i="3"/>
  <c r="A160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A158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157" i="3"/>
  <c r="BG161" i="3" s="1"/>
  <c r="A157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A156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155" i="3"/>
  <c r="C156" i="3" s="1"/>
  <c r="A155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C154" i="3"/>
  <c r="B154" i="3"/>
  <c r="A154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153" i="3"/>
  <c r="A153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A151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E142" i="3"/>
  <c r="B142" i="3"/>
  <c r="A142" i="3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E141" i="3"/>
  <c r="B141" i="3"/>
  <c r="A141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E140" i="3"/>
  <c r="E254" i="3" s="1"/>
  <c r="D140" i="3"/>
  <c r="D254" i="3" s="1"/>
  <c r="C140" i="3"/>
  <c r="C254" i="3" s="1"/>
  <c r="B140" i="3"/>
  <c r="B254" i="3" s="1"/>
  <c r="A140" i="3"/>
  <c r="A254" i="3" s="1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E139" i="3"/>
  <c r="B139" i="3"/>
  <c r="A139" i="3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E138" i="3"/>
  <c r="E253" i="3" s="1"/>
  <c r="D138" i="3"/>
  <c r="D253" i="3" s="1"/>
  <c r="C138" i="3"/>
  <c r="C253" i="3" s="1"/>
  <c r="B138" i="3"/>
  <c r="B253" i="3" s="1"/>
  <c r="A138" i="3"/>
  <c r="A253" i="3" s="1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E137" i="3"/>
  <c r="B137" i="3"/>
  <c r="A137" i="3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E136" i="3"/>
  <c r="B136" i="3"/>
  <c r="A136" i="3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E135" i="3"/>
  <c r="B135" i="3"/>
  <c r="A135" i="3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E134" i="3"/>
  <c r="B134" i="3"/>
  <c r="A134" i="3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E133" i="3"/>
  <c r="B133" i="3"/>
  <c r="A133" i="3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E132" i="3"/>
  <c r="E252" i="3" s="1"/>
  <c r="D132" i="3"/>
  <c r="D252" i="3" s="1"/>
  <c r="C132" i="3"/>
  <c r="C252" i="3" s="1"/>
  <c r="B132" i="3"/>
  <c r="B252" i="3" s="1"/>
  <c r="A132" i="3"/>
  <c r="A252" i="3" s="1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E131" i="3"/>
  <c r="E251" i="3" s="1"/>
  <c r="D131" i="3"/>
  <c r="D251" i="3" s="1"/>
  <c r="C131" i="3"/>
  <c r="C251" i="3" s="1"/>
  <c r="B131" i="3"/>
  <c r="B251" i="3" s="1"/>
  <c r="A131" i="3"/>
  <c r="A251" i="3" s="1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E130" i="3"/>
  <c r="E250" i="3" s="1"/>
  <c r="D130" i="3"/>
  <c r="D250" i="3" s="1"/>
  <c r="C130" i="3"/>
  <c r="C250" i="3" s="1"/>
  <c r="B130" i="3"/>
  <c r="B250" i="3" s="1"/>
  <c r="A130" i="3"/>
  <c r="A250" i="3" s="1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E129" i="3"/>
  <c r="B129" i="3"/>
  <c r="A129" i="3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E128" i="3"/>
  <c r="E249" i="3" s="1"/>
  <c r="D128" i="3"/>
  <c r="D249" i="3" s="1"/>
  <c r="C128" i="3"/>
  <c r="C249" i="3" s="1"/>
  <c r="B128" i="3"/>
  <c r="B249" i="3" s="1"/>
  <c r="A128" i="3"/>
  <c r="A249" i="3" s="1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E127" i="3"/>
  <c r="B127" i="3"/>
  <c r="A127" i="3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E126" i="3"/>
  <c r="B126" i="3"/>
  <c r="A126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E125" i="3"/>
  <c r="E248" i="3" s="1"/>
  <c r="D125" i="3"/>
  <c r="D248" i="3" s="1"/>
  <c r="C125" i="3"/>
  <c r="C248" i="3" s="1"/>
  <c r="B125" i="3"/>
  <c r="B248" i="3" s="1"/>
  <c r="A125" i="3"/>
  <c r="A248" i="3" s="1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E124" i="3"/>
  <c r="E247" i="3" s="1"/>
  <c r="D124" i="3"/>
  <c r="D247" i="3" s="1"/>
  <c r="C124" i="3"/>
  <c r="C247" i="3" s="1"/>
  <c r="B124" i="3"/>
  <c r="B247" i="3" s="1"/>
  <c r="A124" i="3"/>
  <c r="A247" i="3" s="1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E123" i="3"/>
  <c r="E246" i="3" s="1"/>
  <c r="D123" i="3"/>
  <c r="D246" i="3" s="1"/>
  <c r="C123" i="3"/>
  <c r="C246" i="3" s="1"/>
  <c r="B123" i="3"/>
  <c r="B246" i="3" s="1"/>
  <c r="A123" i="3"/>
  <c r="A246" i="3" s="1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E122" i="3"/>
  <c r="B122" i="3"/>
  <c r="A122" i="3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E121" i="3"/>
  <c r="E245" i="3" s="1"/>
  <c r="D121" i="3"/>
  <c r="D245" i="3" s="1"/>
  <c r="C121" i="3"/>
  <c r="C245" i="3" s="1"/>
  <c r="B121" i="3"/>
  <c r="B245" i="3" s="1"/>
  <c r="A121" i="3"/>
  <c r="A245" i="3" s="1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E120" i="3"/>
  <c r="B120" i="3"/>
  <c r="A120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E119" i="3"/>
  <c r="B119" i="3"/>
  <c r="A119" i="3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E118" i="3"/>
  <c r="B118" i="3"/>
  <c r="A118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E117" i="3"/>
  <c r="B117" i="3"/>
  <c r="A117" i="3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E116" i="3"/>
  <c r="E244" i="3" s="1"/>
  <c r="D116" i="3"/>
  <c r="D244" i="3" s="1"/>
  <c r="C116" i="3"/>
  <c r="C244" i="3" s="1"/>
  <c r="B116" i="3"/>
  <c r="B244" i="3" s="1"/>
  <c r="A116" i="3"/>
  <c r="A244" i="3" s="1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E115" i="3"/>
  <c r="B115" i="3"/>
  <c r="A115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E114" i="3"/>
  <c r="E243" i="3" s="1"/>
  <c r="D114" i="3"/>
  <c r="D243" i="3" s="1"/>
  <c r="C114" i="3"/>
  <c r="C243" i="3" s="1"/>
  <c r="B114" i="3"/>
  <c r="B243" i="3" s="1"/>
  <c r="A114" i="3"/>
  <c r="A243" i="3" s="1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E113" i="3"/>
  <c r="B113" i="3"/>
  <c r="A113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E112" i="3"/>
  <c r="B112" i="3"/>
  <c r="A112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E111" i="3"/>
  <c r="E242" i="3" s="1"/>
  <c r="D111" i="3"/>
  <c r="D242" i="3" s="1"/>
  <c r="C111" i="3"/>
  <c r="C242" i="3" s="1"/>
  <c r="B111" i="3"/>
  <c r="B242" i="3" s="1"/>
  <c r="A111" i="3"/>
  <c r="A242" i="3" s="1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E110" i="3"/>
  <c r="B110" i="3"/>
  <c r="A110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E109" i="3"/>
  <c r="E241" i="3" s="1"/>
  <c r="D109" i="3"/>
  <c r="D241" i="3" s="1"/>
  <c r="C109" i="3"/>
  <c r="C241" i="3" s="1"/>
  <c r="B109" i="3"/>
  <c r="B241" i="3" s="1"/>
  <c r="A109" i="3"/>
  <c r="A241" i="3" s="1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E108" i="3"/>
  <c r="B108" i="3"/>
  <c r="A108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E107" i="3"/>
  <c r="B107" i="3"/>
  <c r="A107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E106" i="3"/>
  <c r="E240" i="3" s="1"/>
  <c r="D106" i="3"/>
  <c r="D240" i="3" s="1"/>
  <c r="C106" i="3"/>
  <c r="C240" i="3" s="1"/>
  <c r="B106" i="3"/>
  <c r="B240" i="3" s="1"/>
  <c r="A106" i="3"/>
  <c r="A240" i="3" s="1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E105" i="3"/>
  <c r="B105" i="3"/>
  <c r="A105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E104" i="3"/>
  <c r="E239" i="3" s="1"/>
  <c r="D104" i="3"/>
  <c r="D239" i="3" s="1"/>
  <c r="C104" i="3"/>
  <c r="C239" i="3" s="1"/>
  <c r="B104" i="3"/>
  <c r="B239" i="3" s="1"/>
  <c r="A104" i="3"/>
  <c r="A239" i="3" s="1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E103" i="3"/>
  <c r="B103" i="3"/>
  <c r="A103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E102" i="3"/>
  <c r="B102" i="3"/>
  <c r="A102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E101" i="3"/>
  <c r="E238" i="3" s="1"/>
  <c r="D101" i="3"/>
  <c r="D238" i="3" s="1"/>
  <c r="C101" i="3"/>
  <c r="C238" i="3" s="1"/>
  <c r="B101" i="3"/>
  <c r="B238" i="3" s="1"/>
  <c r="A101" i="3"/>
  <c r="A238" i="3" s="1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E100" i="3"/>
  <c r="B100" i="3"/>
  <c r="A100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E99" i="3"/>
  <c r="E237" i="3" s="1"/>
  <c r="D99" i="3"/>
  <c r="D237" i="3" s="1"/>
  <c r="C99" i="3"/>
  <c r="C237" i="3" s="1"/>
  <c r="B99" i="3"/>
  <c r="B237" i="3" s="1"/>
  <c r="A99" i="3"/>
  <c r="A237" i="3" s="1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E98" i="3"/>
  <c r="B98" i="3"/>
  <c r="A98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E97" i="3"/>
  <c r="B97" i="3"/>
  <c r="A97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E96" i="3"/>
  <c r="B96" i="3"/>
  <c r="A96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E95" i="3"/>
  <c r="B95" i="3"/>
  <c r="A95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E94" i="3"/>
  <c r="B94" i="3"/>
  <c r="A94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E93" i="3"/>
  <c r="E236" i="3" s="1"/>
  <c r="D93" i="3"/>
  <c r="D236" i="3" s="1"/>
  <c r="C93" i="3"/>
  <c r="C236" i="3" s="1"/>
  <c r="B93" i="3"/>
  <c r="B236" i="3" s="1"/>
  <c r="A93" i="3"/>
  <c r="A236" i="3" s="1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E92" i="3"/>
  <c r="B92" i="3"/>
  <c r="A92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E91" i="3"/>
  <c r="E235" i="3" s="1"/>
  <c r="D91" i="3"/>
  <c r="D235" i="3" s="1"/>
  <c r="C91" i="3"/>
  <c r="C235" i="3" s="1"/>
  <c r="B91" i="3"/>
  <c r="B235" i="3" s="1"/>
  <c r="A91" i="3"/>
  <c r="A235" i="3" s="1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E90" i="3"/>
  <c r="B90" i="3"/>
  <c r="A90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E89" i="3"/>
  <c r="B89" i="3"/>
  <c r="A89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E88" i="3"/>
  <c r="B88" i="3"/>
  <c r="A88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E87" i="3"/>
  <c r="E234" i="3" s="1"/>
  <c r="D87" i="3"/>
  <c r="D234" i="3" s="1"/>
  <c r="C87" i="3"/>
  <c r="C234" i="3" s="1"/>
  <c r="B87" i="3"/>
  <c r="B234" i="3" s="1"/>
  <c r="A87" i="3"/>
  <c r="A234" i="3" s="1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E86" i="3"/>
  <c r="B86" i="3"/>
  <c r="A86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E85" i="3"/>
  <c r="B85" i="3"/>
  <c r="A85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E84" i="3"/>
  <c r="E233" i="3" s="1"/>
  <c r="D84" i="3"/>
  <c r="D233" i="3" s="1"/>
  <c r="C84" i="3"/>
  <c r="C233" i="3" s="1"/>
  <c r="B84" i="3"/>
  <c r="B233" i="3" s="1"/>
  <c r="A84" i="3"/>
  <c r="A233" i="3" s="1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E83" i="3"/>
  <c r="E232" i="3" s="1"/>
  <c r="D83" i="3"/>
  <c r="D232" i="3" s="1"/>
  <c r="C83" i="3"/>
  <c r="C232" i="3" s="1"/>
  <c r="B83" i="3"/>
  <c r="B232" i="3" s="1"/>
  <c r="A83" i="3"/>
  <c r="A232" i="3" s="1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E82" i="3"/>
  <c r="E231" i="3" s="1"/>
  <c r="D82" i="3"/>
  <c r="D231" i="3" s="1"/>
  <c r="C82" i="3"/>
  <c r="C231" i="3" s="1"/>
  <c r="B82" i="3"/>
  <c r="B231" i="3" s="1"/>
  <c r="A82" i="3"/>
  <c r="A231" i="3" s="1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E81" i="3"/>
  <c r="E230" i="3" s="1"/>
  <c r="D81" i="3"/>
  <c r="D230" i="3" s="1"/>
  <c r="C81" i="3"/>
  <c r="C230" i="3" s="1"/>
  <c r="B81" i="3"/>
  <c r="B230" i="3" s="1"/>
  <c r="A81" i="3"/>
  <c r="A230" i="3" s="1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E80" i="3"/>
  <c r="E229" i="3" s="1"/>
  <c r="D80" i="3"/>
  <c r="D229" i="3" s="1"/>
  <c r="C80" i="3"/>
  <c r="C229" i="3" s="1"/>
  <c r="B80" i="3"/>
  <c r="B229" i="3" s="1"/>
  <c r="A80" i="3"/>
  <c r="A229" i="3" s="1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E79" i="3"/>
  <c r="E228" i="3" s="1"/>
  <c r="D79" i="3"/>
  <c r="D228" i="3" s="1"/>
  <c r="C79" i="3"/>
  <c r="C228" i="3" s="1"/>
  <c r="B79" i="3"/>
  <c r="B228" i="3" s="1"/>
  <c r="A79" i="3"/>
  <c r="A228" i="3" s="1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E78" i="3"/>
  <c r="B78" i="3"/>
  <c r="A78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E77" i="3"/>
  <c r="E227" i="3" s="1"/>
  <c r="D77" i="3"/>
  <c r="D227" i="3" s="1"/>
  <c r="C77" i="3"/>
  <c r="C227" i="3" s="1"/>
  <c r="B77" i="3"/>
  <c r="B227" i="3" s="1"/>
  <c r="A77" i="3"/>
  <c r="A227" i="3" s="1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E76" i="3"/>
  <c r="B76" i="3"/>
  <c r="A76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E75" i="3"/>
  <c r="B75" i="3"/>
  <c r="A75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E74" i="3"/>
  <c r="B74" i="3"/>
  <c r="A74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E73" i="3"/>
  <c r="B73" i="3"/>
  <c r="A73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E72" i="3"/>
  <c r="E226" i="3" s="1"/>
  <c r="D72" i="3"/>
  <c r="D226" i="3" s="1"/>
  <c r="C72" i="3"/>
  <c r="C226" i="3" s="1"/>
  <c r="B72" i="3"/>
  <c r="B226" i="3" s="1"/>
  <c r="A72" i="3"/>
  <c r="A226" i="3" s="1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E71" i="3"/>
  <c r="E225" i="3" s="1"/>
  <c r="D71" i="3"/>
  <c r="D225" i="3" s="1"/>
  <c r="C71" i="3"/>
  <c r="C225" i="3" s="1"/>
  <c r="B71" i="3"/>
  <c r="B225" i="3" s="1"/>
  <c r="A71" i="3"/>
  <c r="A225" i="3" s="1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E70" i="3"/>
  <c r="E224" i="3" s="1"/>
  <c r="D70" i="3"/>
  <c r="D224" i="3" s="1"/>
  <c r="C70" i="3"/>
  <c r="C224" i="3" s="1"/>
  <c r="B70" i="3"/>
  <c r="B224" i="3" s="1"/>
  <c r="A70" i="3"/>
  <c r="A224" i="3" s="1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E69" i="3"/>
  <c r="E223" i="3" s="1"/>
  <c r="D69" i="3"/>
  <c r="D223" i="3" s="1"/>
  <c r="C69" i="3"/>
  <c r="C223" i="3" s="1"/>
  <c r="B69" i="3"/>
  <c r="B223" i="3" s="1"/>
  <c r="A69" i="3"/>
  <c r="A223" i="3" s="1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E68" i="3"/>
  <c r="B68" i="3"/>
  <c r="A68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E67" i="3"/>
  <c r="E222" i="3" s="1"/>
  <c r="D67" i="3"/>
  <c r="D222" i="3" s="1"/>
  <c r="C67" i="3"/>
  <c r="C222" i="3" s="1"/>
  <c r="B67" i="3"/>
  <c r="B222" i="3" s="1"/>
  <c r="A67" i="3"/>
  <c r="A222" i="3" s="1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E66" i="3"/>
  <c r="E221" i="3" s="1"/>
  <c r="D66" i="3"/>
  <c r="D221" i="3" s="1"/>
  <c r="C66" i="3"/>
  <c r="C221" i="3" s="1"/>
  <c r="B66" i="3"/>
  <c r="B221" i="3" s="1"/>
  <c r="A66" i="3"/>
  <c r="A221" i="3" s="1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E65" i="3"/>
  <c r="E220" i="3" s="1"/>
  <c r="D65" i="3"/>
  <c r="D220" i="3" s="1"/>
  <c r="C65" i="3"/>
  <c r="C220" i="3" s="1"/>
  <c r="B65" i="3"/>
  <c r="B220" i="3" s="1"/>
  <c r="A65" i="3"/>
  <c r="A220" i="3" s="1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E64" i="3"/>
  <c r="E219" i="3" s="1"/>
  <c r="D64" i="3"/>
  <c r="D219" i="3" s="1"/>
  <c r="C64" i="3"/>
  <c r="C219" i="3" s="1"/>
  <c r="B64" i="3"/>
  <c r="B219" i="3" s="1"/>
  <c r="A64" i="3"/>
  <c r="A219" i="3" s="1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E63" i="3"/>
  <c r="E218" i="3" s="1"/>
  <c r="D63" i="3"/>
  <c r="D218" i="3" s="1"/>
  <c r="C63" i="3"/>
  <c r="C218" i="3" s="1"/>
  <c r="B63" i="3"/>
  <c r="B218" i="3" s="1"/>
  <c r="A63" i="3"/>
  <c r="A218" i="3" s="1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E62" i="3"/>
  <c r="E217" i="3" s="1"/>
  <c r="D62" i="3"/>
  <c r="D217" i="3" s="1"/>
  <c r="C62" i="3"/>
  <c r="C217" i="3" s="1"/>
  <c r="B62" i="3"/>
  <c r="B217" i="3" s="1"/>
  <c r="A62" i="3"/>
  <c r="A217" i="3" s="1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E61" i="3"/>
  <c r="E216" i="3" s="1"/>
  <c r="D61" i="3"/>
  <c r="D216" i="3" s="1"/>
  <c r="C61" i="3"/>
  <c r="C216" i="3" s="1"/>
  <c r="B61" i="3"/>
  <c r="B216" i="3" s="1"/>
  <c r="A61" i="3"/>
  <c r="A216" i="3" s="1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E60" i="3"/>
  <c r="E215" i="3" s="1"/>
  <c r="D60" i="3"/>
  <c r="D215" i="3" s="1"/>
  <c r="C60" i="3"/>
  <c r="C215" i="3" s="1"/>
  <c r="B60" i="3"/>
  <c r="B215" i="3" s="1"/>
  <c r="A60" i="3"/>
  <c r="A215" i="3" s="1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E59" i="3"/>
  <c r="B59" i="3"/>
  <c r="A59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E58" i="3"/>
  <c r="E214" i="3" s="1"/>
  <c r="D58" i="3"/>
  <c r="D214" i="3" s="1"/>
  <c r="C58" i="3"/>
  <c r="C214" i="3" s="1"/>
  <c r="B58" i="3"/>
  <c r="B214" i="3" s="1"/>
  <c r="A58" i="3"/>
  <c r="A214" i="3" s="1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E57" i="3"/>
  <c r="E213" i="3" s="1"/>
  <c r="D57" i="3"/>
  <c r="D213" i="3" s="1"/>
  <c r="C57" i="3"/>
  <c r="C213" i="3" s="1"/>
  <c r="B57" i="3"/>
  <c r="B213" i="3" s="1"/>
  <c r="A57" i="3"/>
  <c r="A213" i="3" s="1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E56" i="3"/>
  <c r="E212" i="3" s="1"/>
  <c r="D56" i="3"/>
  <c r="D212" i="3" s="1"/>
  <c r="C56" i="3"/>
  <c r="C212" i="3" s="1"/>
  <c r="B56" i="3"/>
  <c r="B212" i="3" s="1"/>
  <c r="A56" i="3"/>
  <c r="A212" i="3" s="1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E55" i="3"/>
  <c r="E211" i="3" s="1"/>
  <c r="D55" i="3"/>
  <c r="D211" i="3" s="1"/>
  <c r="C55" i="3"/>
  <c r="C211" i="3" s="1"/>
  <c r="B55" i="3"/>
  <c r="B211" i="3" s="1"/>
  <c r="A55" i="3"/>
  <c r="A211" i="3" s="1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E54" i="3"/>
  <c r="E210" i="3" s="1"/>
  <c r="D54" i="3"/>
  <c r="D210" i="3" s="1"/>
  <c r="C54" i="3"/>
  <c r="C210" i="3" s="1"/>
  <c r="B54" i="3"/>
  <c r="B210" i="3" s="1"/>
  <c r="A54" i="3"/>
  <c r="A210" i="3" s="1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E53" i="3"/>
  <c r="E209" i="3" s="1"/>
  <c r="D53" i="3"/>
  <c r="D209" i="3" s="1"/>
  <c r="C53" i="3"/>
  <c r="C209" i="3" s="1"/>
  <c r="B53" i="3"/>
  <c r="B209" i="3" s="1"/>
  <c r="A53" i="3"/>
  <c r="A209" i="3" s="1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E52" i="3"/>
  <c r="E208" i="3" s="1"/>
  <c r="D52" i="3"/>
  <c r="D208" i="3" s="1"/>
  <c r="C52" i="3"/>
  <c r="C208" i="3" s="1"/>
  <c r="B52" i="3"/>
  <c r="B208" i="3" s="1"/>
  <c r="A52" i="3"/>
  <c r="A208" i="3" s="1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E51" i="3"/>
  <c r="E207" i="3" s="1"/>
  <c r="D51" i="3"/>
  <c r="D207" i="3" s="1"/>
  <c r="C51" i="3"/>
  <c r="C207" i="3" s="1"/>
  <c r="B51" i="3"/>
  <c r="B207" i="3" s="1"/>
  <c r="A51" i="3"/>
  <c r="A207" i="3" s="1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E50" i="3"/>
  <c r="E206" i="3" s="1"/>
  <c r="D50" i="3"/>
  <c r="D206" i="3" s="1"/>
  <c r="C50" i="3"/>
  <c r="C206" i="3" s="1"/>
  <c r="B50" i="3"/>
  <c r="B206" i="3" s="1"/>
  <c r="A50" i="3"/>
  <c r="A206" i="3" s="1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E49" i="3"/>
  <c r="E205" i="3" s="1"/>
  <c r="D49" i="3"/>
  <c r="D205" i="3" s="1"/>
  <c r="C49" i="3"/>
  <c r="C205" i="3" s="1"/>
  <c r="B49" i="3"/>
  <c r="B205" i="3" s="1"/>
  <c r="A49" i="3"/>
  <c r="A205" i="3" s="1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E48" i="3"/>
  <c r="E204" i="3" s="1"/>
  <c r="D48" i="3"/>
  <c r="D204" i="3" s="1"/>
  <c r="C48" i="3"/>
  <c r="C204" i="3" s="1"/>
  <c r="B48" i="3"/>
  <c r="B204" i="3" s="1"/>
  <c r="A48" i="3"/>
  <c r="A204" i="3" s="1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E47" i="3"/>
  <c r="E203" i="3" s="1"/>
  <c r="D47" i="3"/>
  <c r="D203" i="3" s="1"/>
  <c r="C47" i="3"/>
  <c r="C203" i="3" s="1"/>
  <c r="B47" i="3"/>
  <c r="B203" i="3" s="1"/>
  <c r="A47" i="3"/>
  <c r="A203" i="3" s="1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E46" i="3"/>
  <c r="E202" i="3" s="1"/>
  <c r="D46" i="3"/>
  <c r="D202" i="3" s="1"/>
  <c r="C46" i="3"/>
  <c r="C202" i="3" s="1"/>
  <c r="B46" i="3"/>
  <c r="B202" i="3" s="1"/>
  <c r="A46" i="3"/>
  <c r="A202" i="3" s="1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E45" i="3"/>
  <c r="E201" i="3" s="1"/>
  <c r="D45" i="3"/>
  <c r="D201" i="3" s="1"/>
  <c r="C45" i="3"/>
  <c r="C201" i="3" s="1"/>
  <c r="B45" i="3"/>
  <c r="B201" i="3" s="1"/>
  <c r="A45" i="3"/>
  <c r="A201" i="3" s="1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E44" i="3"/>
  <c r="E200" i="3" s="1"/>
  <c r="D44" i="3"/>
  <c r="D200" i="3" s="1"/>
  <c r="C44" i="3"/>
  <c r="C200" i="3" s="1"/>
  <c r="B44" i="3"/>
  <c r="B200" i="3" s="1"/>
  <c r="A44" i="3"/>
  <c r="A200" i="3" s="1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E43" i="3"/>
  <c r="E199" i="3" s="1"/>
  <c r="D43" i="3"/>
  <c r="D199" i="3" s="1"/>
  <c r="C43" i="3"/>
  <c r="C199" i="3" s="1"/>
  <c r="B43" i="3"/>
  <c r="B199" i="3" s="1"/>
  <c r="A43" i="3"/>
  <c r="A199" i="3" s="1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E42" i="3"/>
  <c r="E198" i="3" s="1"/>
  <c r="D42" i="3"/>
  <c r="D198" i="3" s="1"/>
  <c r="C42" i="3"/>
  <c r="C198" i="3" s="1"/>
  <c r="B42" i="3"/>
  <c r="B198" i="3" s="1"/>
  <c r="A42" i="3"/>
  <c r="A198" i="3" s="1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E41" i="3"/>
  <c r="E197" i="3" s="1"/>
  <c r="D41" i="3"/>
  <c r="D197" i="3" s="1"/>
  <c r="C41" i="3"/>
  <c r="C197" i="3" s="1"/>
  <c r="B41" i="3"/>
  <c r="B197" i="3" s="1"/>
  <c r="A41" i="3"/>
  <c r="A197" i="3" s="1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E40" i="3"/>
  <c r="E196" i="3" s="1"/>
  <c r="D40" i="3"/>
  <c r="D196" i="3" s="1"/>
  <c r="C40" i="3"/>
  <c r="C196" i="3" s="1"/>
  <c r="B40" i="3"/>
  <c r="B196" i="3" s="1"/>
  <c r="A40" i="3"/>
  <c r="A196" i="3" s="1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E39" i="3"/>
  <c r="E195" i="3" s="1"/>
  <c r="D39" i="3"/>
  <c r="D195" i="3" s="1"/>
  <c r="C39" i="3"/>
  <c r="C195" i="3" s="1"/>
  <c r="B39" i="3"/>
  <c r="B195" i="3" s="1"/>
  <c r="A39" i="3"/>
  <c r="A195" i="3" s="1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E38" i="3"/>
  <c r="E194" i="3" s="1"/>
  <c r="D38" i="3"/>
  <c r="D194" i="3" s="1"/>
  <c r="C38" i="3"/>
  <c r="C194" i="3" s="1"/>
  <c r="B38" i="3"/>
  <c r="B194" i="3" s="1"/>
  <c r="A38" i="3"/>
  <c r="A194" i="3" s="1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E37" i="3"/>
  <c r="E193" i="3" s="1"/>
  <c r="D37" i="3"/>
  <c r="D193" i="3" s="1"/>
  <c r="C37" i="3"/>
  <c r="C193" i="3" s="1"/>
  <c r="B37" i="3"/>
  <c r="B193" i="3" s="1"/>
  <c r="A37" i="3"/>
  <c r="A193" i="3" s="1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E36" i="3"/>
  <c r="E192" i="3" s="1"/>
  <c r="D36" i="3"/>
  <c r="D192" i="3" s="1"/>
  <c r="C36" i="3"/>
  <c r="C192" i="3" s="1"/>
  <c r="B36" i="3"/>
  <c r="B192" i="3" s="1"/>
  <c r="A36" i="3"/>
  <c r="A192" i="3" s="1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E35" i="3"/>
  <c r="E191" i="3" s="1"/>
  <c r="D35" i="3"/>
  <c r="D191" i="3" s="1"/>
  <c r="C35" i="3"/>
  <c r="C191" i="3" s="1"/>
  <c r="B35" i="3"/>
  <c r="B191" i="3" s="1"/>
  <c r="A35" i="3"/>
  <c r="A191" i="3" s="1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E34" i="3"/>
  <c r="E190" i="3" s="1"/>
  <c r="D34" i="3"/>
  <c r="D190" i="3" s="1"/>
  <c r="C34" i="3"/>
  <c r="C190" i="3" s="1"/>
  <c r="B34" i="3"/>
  <c r="B190" i="3" s="1"/>
  <c r="A34" i="3"/>
  <c r="A190" i="3" s="1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E33" i="3"/>
  <c r="E189" i="3" s="1"/>
  <c r="D33" i="3"/>
  <c r="D189" i="3" s="1"/>
  <c r="C33" i="3"/>
  <c r="C189" i="3" s="1"/>
  <c r="B33" i="3"/>
  <c r="B189" i="3" s="1"/>
  <c r="A33" i="3"/>
  <c r="A189" i="3" s="1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E32" i="3"/>
  <c r="E188" i="3" s="1"/>
  <c r="D32" i="3"/>
  <c r="D188" i="3" s="1"/>
  <c r="C32" i="3"/>
  <c r="C188" i="3" s="1"/>
  <c r="B32" i="3"/>
  <c r="B188" i="3" s="1"/>
  <c r="A32" i="3"/>
  <c r="A188" i="3" s="1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E31" i="3"/>
  <c r="E187" i="3" s="1"/>
  <c r="D31" i="3"/>
  <c r="D187" i="3" s="1"/>
  <c r="C31" i="3"/>
  <c r="C187" i="3" s="1"/>
  <c r="B31" i="3"/>
  <c r="B187" i="3" s="1"/>
  <c r="A31" i="3"/>
  <c r="A187" i="3" s="1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E30" i="3"/>
  <c r="E186" i="3" s="1"/>
  <c r="D30" i="3"/>
  <c r="D186" i="3" s="1"/>
  <c r="C30" i="3"/>
  <c r="C186" i="3" s="1"/>
  <c r="B30" i="3"/>
  <c r="B186" i="3" s="1"/>
  <c r="A30" i="3"/>
  <c r="A186" i="3" s="1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E29" i="3"/>
  <c r="E185" i="3" s="1"/>
  <c r="D29" i="3"/>
  <c r="D185" i="3" s="1"/>
  <c r="C29" i="3"/>
  <c r="C185" i="3" s="1"/>
  <c r="B29" i="3"/>
  <c r="B185" i="3" s="1"/>
  <c r="A29" i="3"/>
  <c r="A185" i="3" s="1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E28" i="3"/>
  <c r="E184" i="3" s="1"/>
  <c r="D28" i="3"/>
  <c r="D184" i="3" s="1"/>
  <c r="C28" i="3"/>
  <c r="C184" i="3" s="1"/>
  <c r="B28" i="3"/>
  <c r="B184" i="3" s="1"/>
  <c r="A28" i="3"/>
  <c r="A184" i="3" s="1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E27" i="3"/>
  <c r="B27" i="3"/>
  <c r="A27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E26" i="3"/>
  <c r="E183" i="3" s="1"/>
  <c r="D26" i="3"/>
  <c r="D183" i="3" s="1"/>
  <c r="C26" i="3"/>
  <c r="C183" i="3" s="1"/>
  <c r="B26" i="3"/>
  <c r="B183" i="3" s="1"/>
  <c r="A26" i="3"/>
  <c r="A183" i="3" s="1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E25" i="3"/>
  <c r="E182" i="3" s="1"/>
  <c r="D25" i="3"/>
  <c r="D182" i="3" s="1"/>
  <c r="C25" i="3"/>
  <c r="C182" i="3" s="1"/>
  <c r="B25" i="3"/>
  <c r="B182" i="3" s="1"/>
  <c r="A25" i="3"/>
  <c r="A182" i="3" s="1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E24" i="3"/>
  <c r="E181" i="3" s="1"/>
  <c r="D24" i="3"/>
  <c r="D181" i="3" s="1"/>
  <c r="C24" i="3"/>
  <c r="C181" i="3" s="1"/>
  <c r="B24" i="3"/>
  <c r="B181" i="3" s="1"/>
  <c r="A24" i="3"/>
  <c r="A181" i="3" s="1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E23" i="3"/>
  <c r="E180" i="3" s="1"/>
  <c r="D23" i="3"/>
  <c r="D180" i="3" s="1"/>
  <c r="C23" i="3"/>
  <c r="C180" i="3" s="1"/>
  <c r="B23" i="3"/>
  <c r="B180" i="3" s="1"/>
  <c r="A23" i="3"/>
  <c r="A180" i="3" s="1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E22" i="3"/>
  <c r="E179" i="3" s="1"/>
  <c r="D22" i="3"/>
  <c r="D179" i="3" s="1"/>
  <c r="C22" i="3"/>
  <c r="C179" i="3" s="1"/>
  <c r="B22" i="3"/>
  <c r="B179" i="3" s="1"/>
  <c r="A22" i="3"/>
  <c r="A179" i="3" s="1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E21" i="3"/>
  <c r="E178" i="3" s="1"/>
  <c r="D21" i="3"/>
  <c r="D178" i="3" s="1"/>
  <c r="C21" i="3"/>
  <c r="C178" i="3" s="1"/>
  <c r="B21" i="3"/>
  <c r="B178" i="3" s="1"/>
  <c r="A21" i="3"/>
  <c r="A178" i="3" s="1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E20" i="3"/>
  <c r="B20" i="3"/>
  <c r="A20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E19" i="3"/>
  <c r="B19" i="3"/>
  <c r="A19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E18" i="3"/>
  <c r="B18" i="3"/>
  <c r="A18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E17" i="3"/>
  <c r="E177" i="3" s="1"/>
  <c r="D17" i="3"/>
  <c r="D177" i="3" s="1"/>
  <c r="C17" i="3"/>
  <c r="C177" i="3" s="1"/>
  <c r="B17" i="3"/>
  <c r="B177" i="3" s="1"/>
  <c r="A17" i="3"/>
  <c r="A177" i="3" s="1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E16" i="3"/>
  <c r="E176" i="3" s="1"/>
  <c r="D16" i="3"/>
  <c r="D176" i="3" s="1"/>
  <c r="C16" i="3"/>
  <c r="C176" i="3" s="1"/>
  <c r="B16" i="3"/>
  <c r="B176" i="3" s="1"/>
  <c r="A16" i="3"/>
  <c r="A176" i="3" s="1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E15" i="3"/>
  <c r="E175" i="3" s="1"/>
  <c r="D15" i="3"/>
  <c r="D175" i="3" s="1"/>
  <c r="C15" i="3"/>
  <c r="C175" i="3" s="1"/>
  <c r="B15" i="3"/>
  <c r="B175" i="3" s="1"/>
  <c r="A15" i="3"/>
  <c r="A175" i="3" s="1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E14" i="3"/>
  <c r="E174" i="3" s="1"/>
  <c r="D14" i="3"/>
  <c r="D174" i="3" s="1"/>
  <c r="C14" i="3"/>
  <c r="C174" i="3" s="1"/>
  <c r="B14" i="3"/>
  <c r="B174" i="3" s="1"/>
  <c r="A14" i="3"/>
  <c r="A174" i="3" s="1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E13" i="3"/>
  <c r="B13" i="3"/>
  <c r="A13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E12" i="3"/>
  <c r="E173" i="3" s="1"/>
  <c r="D12" i="3"/>
  <c r="D173" i="3" s="1"/>
  <c r="C12" i="3"/>
  <c r="C173" i="3" s="1"/>
  <c r="B12" i="3"/>
  <c r="B173" i="3" s="1"/>
  <c r="A12" i="3"/>
  <c r="A173" i="3" s="1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E11" i="3"/>
  <c r="E172" i="3" s="1"/>
  <c r="D11" i="3"/>
  <c r="D172" i="3" s="1"/>
  <c r="C11" i="3"/>
  <c r="C172" i="3" s="1"/>
  <c r="B11" i="3"/>
  <c r="B172" i="3" s="1"/>
  <c r="A11" i="3"/>
  <c r="A172" i="3" s="1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E10" i="3"/>
  <c r="E171" i="3" s="1"/>
  <c r="D10" i="3"/>
  <c r="D171" i="3" s="1"/>
  <c r="C10" i="3"/>
  <c r="C171" i="3" s="1"/>
  <c r="B10" i="3"/>
  <c r="B171" i="3" s="1"/>
  <c r="A10" i="3"/>
  <c r="A171" i="3" s="1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E9" i="3"/>
  <c r="E170" i="3" s="1"/>
  <c r="D9" i="3"/>
  <c r="D170" i="3" s="1"/>
  <c r="C9" i="3"/>
  <c r="C170" i="3" s="1"/>
  <c r="B9" i="3"/>
  <c r="B170" i="3" s="1"/>
  <c r="A9" i="3"/>
  <c r="A170" i="3" s="1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E8" i="3"/>
  <c r="B8" i="3"/>
  <c r="A8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E7" i="3"/>
  <c r="B7" i="3"/>
  <c r="A7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E6" i="3"/>
  <c r="B6" i="3"/>
  <c r="A6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E5" i="3"/>
  <c r="B5" i="3"/>
  <c r="A5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E4" i="3"/>
  <c r="B4" i="3"/>
  <c r="A4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E3" i="3"/>
  <c r="B3" i="3"/>
  <c r="A3" i="3"/>
  <c r="E2" i="3"/>
  <c r="E2" i="2" s="1"/>
  <c r="D2" i="3"/>
  <c r="C2" i="3"/>
  <c r="B2" i="3"/>
  <c r="A2" i="3"/>
  <c r="A2" i="2" s="1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E6" i="2"/>
  <c r="D6" i="2"/>
  <c r="C6" i="2"/>
  <c r="B6" i="2"/>
  <c r="A6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D2" i="2"/>
  <c r="C2" i="2"/>
  <c r="B2" i="2"/>
  <c r="A152" i="3"/>
  <c r="AL160" i="3" l="1"/>
  <c r="BK161" i="3"/>
  <c r="R160" i="3"/>
  <c r="AM160" i="3"/>
  <c r="BH160" i="3"/>
  <c r="V161" i="3"/>
  <c r="AQ161" i="3"/>
  <c r="BL161" i="3"/>
  <c r="BG160" i="3"/>
  <c r="T161" i="3"/>
  <c r="F160" i="3"/>
  <c r="AA160" i="3"/>
  <c r="AV160" i="3"/>
  <c r="J161" i="3"/>
  <c r="AE161" i="3"/>
  <c r="AZ161" i="3"/>
  <c r="P160" i="3"/>
  <c r="AP161" i="3"/>
  <c r="G160" i="3"/>
  <c r="AB160" i="3"/>
  <c r="AX160" i="3"/>
  <c r="K161" i="3"/>
  <c r="AF161" i="3"/>
  <c r="BB161" i="3"/>
  <c r="K160" i="3"/>
  <c r="V160" i="3"/>
  <c r="AF160" i="3"/>
  <c r="AQ160" i="3"/>
  <c r="BB160" i="3"/>
  <c r="BL160" i="3"/>
  <c r="O161" i="3"/>
  <c r="Z161" i="3"/>
  <c r="AJ161" i="3"/>
  <c r="AU161" i="3"/>
  <c r="BF161" i="3"/>
  <c r="L160" i="3"/>
  <c r="W160" i="3"/>
  <c r="AH160" i="3"/>
  <c r="AR160" i="3"/>
  <c r="BC160" i="3"/>
  <c r="F161" i="3"/>
  <c r="P161" i="3"/>
  <c r="AA161" i="3"/>
  <c r="AL161" i="3"/>
  <c r="AV161" i="3"/>
  <c r="B156" i="3"/>
  <c r="B263" i="3"/>
  <c r="BM161" i="3"/>
  <c r="BI161" i="3"/>
  <c r="BE161" i="3"/>
  <c r="BA161" i="3"/>
  <c r="AW161" i="3"/>
  <c r="AS161" i="3"/>
  <c r="AO161" i="3"/>
  <c r="AK161" i="3"/>
  <c r="AG161" i="3"/>
  <c r="AC161" i="3"/>
  <c r="Y161" i="3"/>
  <c r="U161" i="3"/>
  <c r="Q161" i="3"/>
  <c r="M161" i="3"/>
  <c r="I161" i="3"/>
  <c r="BM160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I160" i="3"/>
  <c r="H160" i="3"/>
  <c r="N160" i="3"/>
  <c r="S160" i="3"/>
  <c r="X160" i="3"/>
  <c r="AD160" i="3"/>
  <c r="AI160" i="3"/>
  <c r="AN160" i="3"/>
  <c r="AT160" i="3"/>
  <c r="AY160" i="3"/>
  <c r="BD160" i="3"/>
  <c r="BJ160" i="3"/>
  <c r="G161" i="3"/>
  <c r="L161" i="3"/>
  <c r="R161" i="3"/>
  <c r="W161" i="3"/>
  <c r="AB161" i="3"/>
  <c r="AH161" i="3"/>
  <c r="AM161" i="3"/>
  <c r="AR161" i="3"/>
  <c r="AX161" i="3"/>
  <c r="BC161" i="3"/>
  <c r="BH161" i="3"/>
  <c r="J160" i="3"/>
  <c r="O160" i="3"/>
  <c r="T160" i="3"/>
  <c r="Z160" i="3"/>
  <c r="AE160" i="3"/>
  <c r="AJ160" i="3"/>
  <c r="AP160" i="3"/>
  <c r="AU160" i="3"/>
  <c r="AZ160" i="3"/>
  <c r="BF160" i="3"/>
  <c r="BK160" i="3"/>
  <c r="H161" i="3"/>
  <c r="N161" i="3"/>
  <c r="S161" i="3"/>
  <c r="X161" i="3"/>
  <c r="AD161" i="3"/>
  <c r="AI161" i="3"/>
  <c r="AN161" i="3"/>
  <c r="AT161" i="3"/>
  <c r="AY161" i="3"/>
  <c r="BD161" i="3"/>
  <c r="BJ161" i="3"/>
  <c r="K176" i="3"/>
  <c r="F177" i="3"/>
  <c r="P176" i="3"/>
  <c r="AA177" i="3"/>
  <c r="AL175" i="3"/>
  <c r="AV175" i="3"/>
  <c r="BG175" i="3"/>
  <c r="AL177" i="3"/>
  <c r="F209" i="3"/>
  <c r="F207" i="3"/>
  <c r="K175" i="3"/>
  <c r="V174" i="3"/>
  <c r="AF175" i="3"/>
  <c r="AQ174" i="3"/>
  <c r="BL176" i="3"/>
  <c r="F164" i="3"/>
  <c r="F167" i="3"/>
  <c r="F231" i="3"/>
  <c r="F247" i="3"/>
  <c r="F239" i="3"/>
  <c r="F236" i="3"/>
  <c r="F228" i="3"/>
  <c r="F220" i="3"/>
  <c r="F212" i="3"/>
  <c r="F204" i="3"/>
  <c r="F196" i="3"/>
  <c r="F188" i="3"/>
  <c r="F180" i="3"/>
  <c r="F229" i="3"/>
  <c r="F197" i="3"/>
  <c r="F171" i="3"/>
  <c r="F235" i="3"/>
  <c r="F203" i="3"/>
  <c r="F163" i="3"/>
  <c r="F201" i="3"/>
  <c r="F233" i="3"/>
  <c r="F185" i="3"/>
  <c r="AF177" i="3"/>
  <c r="F175" i="3"/>
  <c r="P174" i="3"/>
  <c r="AA175" i="3"/>
  <c r="AL174" i="3"/>
  <c r="AV174" i="3"/>
  <c r="BG174" i="3"/>
  <c r="F250" i="3"/>
  <c r="C271" i="3"/>
  <c r="C277" i="3"/>
  <c r="C269" i="3"/>
  <c r="C275" i="3"/>
  <c r="C267" i="3"/>
  <c r="C279" i="3"/>
  <c r="F193" i="3"/>
  <c r="F191" i="3"/>
  <c r="K174" i="3"/>
  <c r="V177" i="3"/>
  <c r="AQ177" i="3"/>
  <c r="BB175" i="3"/>
  <c r="BL175" i="3"/>
  <c r="F170" i="3"/>
  <c r="F187" i="3"/>
  <c r="F253" i="3"/>
  <c r="F245" i="3"/>
  <c r="F254" i="3"/>
  <c r="F234" i="3"/>
  <c r="F226" i="3"/>
  <c r="F218" i="3"/>
  <c r="F210" i="3"/>
  <c r="F202" i="3"/>
  <c r="F194" i="3"/>
  <c r="F186" i="3"/>
  <c r="F178" i="3"/>
  <c r="F221" i="3"/>
  <c r="F189" i="3"/>
  <c r="F169" i="3"/>
  <c r="F227" i="3"/>
  <c r="F195" i="3"/>
  <c r="F168" i="3"/>
  <c r="F217" i="3"/>
  <c r="F179" i="3"/>
  <c r="F248" i="3"/>
  <c r="BB176" i="3"/>
  <c r="F166" i="3"/>
  <c r="F176" i="3"/>
  <c r="P175" i="3"/>
  <c r="AA176" i="3"/>
  <c r="AL176" i="3"/>
  <c r="AV177" i="3"/>
  <c r="BG176" i="3"/>
  <c r="F242" i="3"/>
  <c r="F244" i="3"/>
  <c r="F183" i="3"/>
  <c r="V176" i="3"/>
  <c r="AF176" i="3"/>
  <c r="AQ175" i="3"/>
  <c r="BB177" i="3"/>
  <c r="BL174" i="3"/>
  <c r="F199" i="3"/>
  <c r="F251" i="3"/>
  <c r="F243" i="3"/>
  <c r="F246" i="3"/>
  <c r="F232" i="3"/>
  <c r="F224" i="3"/>
  <c r="F216" i="3"/>
  <c r="F208" i="3"/>
  <c r="F200" i="3"/>
  <c r="F192" i="3"/>
  <c r="F184" i="3"/>
  <c r="F252" i="3"/>
  <c r="F213" i="3"/>
  <c r="F181" i="3"/>
  <c r="F165" i="3"/>
  <c r="F219" i="3"/>
  <c r="F172" i="3"/>
  <c r="F174" i="3"/>
  <c r="P177" i="3"/>
  <c r="AA174" i="3"/>
  <c r="AV176" i="3"/>
  <c r="BG177" i="3"/>
  <c r="F225" i="3"/>
  <c r="F223" i="3"/>
  <c r="K177" i="3"/>
  <c r="V175" i="3"/>
  <c r="AF174" i="3"/>
  <c r="AQ176" i="3"/>
  <c r="BB174" i="3"/>
  <c r="BL177" i="3"/>
  <c r="F162" i="3"/>
  <c r="F215" i="3"/>
  <c r="F249" i="3"/>
  <c r="F241" i="3"/>
  <c r="F238" i="3"/>
  <c r="F230" i="3"/>
  <c r="F222" i="3"/>
  <c r="F214" i="3"/>
  <c r="F206" i="3"/>
  <c r="F198" i="3"/>
  <c r="F190" i="3"/>
  <c r="F182" i="3"/>
  <c r="F237" i="3"/>
  <c r="F205" i="3"/>
  <c r="F173" i="3"/>
  <c r="F240" i="3"/>
  <c r="F211" i="3"/>
  <c r="L176" i="3"/>
  <c r="AH177" i="3"/>
  <c r="BC174" i="3"/>
  <c r="R174" i="3"/>
  <c r="AM177" i="3"/>
  <c r="BH175" i="3"/>
  <c r="W177" i="3"/>
  <c r="AR176" i="3"/>
  <c r="G177" i="3"/>
  <c r="AB176" i="3"/>
  <c r="AX176" i="3"/>
  <c r="B279" i="3" l="1"/>
  <c r="B267" i="3"/>
  <c r="B275" i="3"/>
  <c r="B269" i="3"/>
  <c r="B277" i="3"/>
  <c r="B271" i="3"/>
  <c r="BF177" i="3"/>
  <c r="AJ174" i="3"/>
  <c r="O175" i="3"/>
  <c r="BJ174" i="3"/>
  <c r="AN177" i="3"/>
  <c r="S176" i="3"/>
  <c r="M176" i="3"/>
  <c r="AC177" i="3"/>
  <c r="AS176" i="3"/>
  <c r="BI177" i="3"/>
  <c r="BC177" i="3"/>
  <c r="R176" i="3"/>
  <c r="W176" i="3"/>
  <c r="AZ174" i="3"/>
  <c r="AE175" i="3"/>
  <c r="J174" i="3"/>
  <c r="BD177" i="3"/>
  <c r="AI176" i="3"/>
  <c r="N174" i="3"/>
  <c r="Q176" i="3"/>
  <c r="AG174" i="3"/>
  <c r="AW176" i="3"/>
  <c r="BM174" i="3"/>
  <c r="AM174" i="3"/>
  <c r="AR175" i="3"/>
  <c r="AU177" i="3"/>
  <c r="Z176" i="3"/>
  <c r="AY177" i="3"/>
  <c r="AD177" i="3"/>
  <c r="H176" i="3"/>
  <c r="U176" i="3"/>
  <c r="AK176" i="3"/>
  <c r="BA175" i="3"/>
  <c r="BH176" i="3"/>
  <c r="AB174" i="3"/>
  <c r="AH174" i="3"/>
  <c r="BK176" i="3"/>
  <c r="AP177" i="3"/>
  <c r="T177" i="3"/>
  <c r="AT175" i="3"/>
  <c r="X174" i="3"/>
  <c r="I176" i="3"/>
  <c r="Y174" i="3"/>
  <c r="AO176" i="3"/>
  <c r="BE177" i="3"/>
  <c r="BF174" i="3"/>
  <c r="AJ175" i="3"/>
  <c r="O174" i="3"/>
  <c r="BJ175" i="3"/>
  <c r="AN175" i="3"/>
  <c r="S174" i="3"/>
  <c r="M175" i="3"/>
  <c r="AC175" i="3"/>
  <c r="AS177" i="3"/>
  <c r="BI176" i="3"/>
  <c r="AX177" i="3"/>
  <c r="G174" i="3"/>
  <c r="L177" i="3"/>
  <c r="AZ175" i="3"/>
  <c r="AE174" i="3"/>
  <c r="J177" i="3"/>
  <c r="BD175" i="3"/>
  <c r="AI174" i="3"/>
  <c r="N175" i="3"/>
  <c r="Q177" i="3"/>
  <c r="AG176" i="3"/>
  <c r="AW174" i="3"/>
  <c r="BM177" i="3"/>
  <c r="AB177" i="3"/>
  <c r="AH176" i="3"/>
  <c r="AU176" i="3"/>
  <c r="Z177" i="3"/>
  <c r="AY175" i="3"/>
  <c r="AD176" i="3"/>
  <c r="H174" i="3"/>
  <c r="U177" i="3"/>
  <c r="AK175" i="3"/>
  <c r="BA176" i="3"/>
  <c r="BC176" i="3"/>
  <c r="R177" i="3"/>
  <c r="W175" i="3"/>
  <c r="BK175" i="3"/>
  <c r="AP175" i="3"/>
  <c r="T174" i="3"/>
  <c r="AT174" i="3"/>
  <c r="X175" i="3"/>
  <c r="I175" i="3"/>
  <c r="Y176" i="3"/>
  <c r="AO175" i="3"/>
  <c r="BE176" i="3"/>
  <c r="BF176" i="3"/>
  <c r="AJ176" i="3"/>
  <c r="O177" i="3"/>
  <c r="BJ177" i="3"/>
  <c r="AN176" i="3"/>
  <c r="S177" i="3"/>
  <c r="M177" i="3"/>
  <c r="AC176" i="3"/>
  <c r="AS175" i="3"/>
  <c r="BI175" i="3"/>
  <c r="BH177" i="3"/>
  <c r="AM176" i="3"/>
  <c r="AR177" i="3"/>
  <c r="AZ176" i="3"/>
  <c r="AE177" i="3"/>
  <c r="J176" i="3"/>
  <c r="BD176" i="3"/>
  <c r="AI177" i="3"/>
  <c r="N177" i="3"/>
  <c r="Q175" i="3"/>
  <c r="AG175" i="3"/>
  <c r="AW175" i="3"/>
  <c r="BM175" i="3"/>
  <c r="BH174" i="3"/>
  <c r="R175" i="3"/>
  <c r="W174" i="3"/>
  <c r="AU175" i="3"/>
  <c r="Z175" i="3"/>
  <c r="AY176" i="3"/>
  <c r="AD175" i="3"/>
  <c r="H177" i="3"/>
  <c r="U175" i="3"/>
  <c r="AK177" i="3"/>
  <c r="BA177" i="3"/>
  <c r="AX174" i="3"/>
  <c r="G175" i="3"/>
  <c r="L174" i="3"/>
  <c r="BK174" i="3"/>
  <c r="AP174" i="3"/>
  <c r="T175" i="3"/>
  <c r="AT176" i="3"/>
  <c r="X177" i="3"/>
  <c r="I174" i="3"/>
  <c r="Y175" i="3"/>
  <c r="AO174" i="3"/>
  <c r="BE174" i="3"/>
  <c r="BF175" i="3"/>
  <c r="AJ177" i="3"/>
  <c r="O176" i="3"/>
  <c r="BJ176" i="3"/>
  <c r="AN174" i="3"/>
  <c r="S175" i="3"/>
  <c r="M174" i="3"/>
  <c r="AC174" i="3"/>
  <c r="AS174" i="3"/>
  <c r="BI174" i="3"/>
  <c r="BC175" i="3"/>
  <c r="AB175" i="3"/>
  <c r="AH175" i="3"/>
  <c r="AZ177" i="3"/>
  <c r="AE176" i="3"/>
  <c r="J175" i="3"/>
  <c r="BD174" i="3"/>
  <c r="AI175" i="3"/>
  <c r="N176" i="3"/>
  <c r="Q174" i="3"/>
  <c r="AG177" i="3"/>
  <c r="AW177" i="3"/>
  <c r="BM176" i="3"/>
  <c r="AX175" i="3"/>
  <c r="G176" i="3"/>
  <c r="L175" i="3"/>
  <c r="AU174" i="3"/>
  <c r="Z174" i="3"/>
  <c r="AY174" i="3"/>
  <c r="AD174" i="3"/>
  <c r="H175" i="3"/>
  <c r="U174" i="3"/>
  <c r="AK174" i="3"/>
  <c r="BA174" i="3"/>
  <c r="AM175" i="3"/>
  <c r="AR174" i="3"/>
  <c r="BK177" i="3"/>
  <c r="AP176" i="3"/>
  <c r="T176" i="3"/>
  <c r="AT177" i="3"/>
  <c r="X176" i="3"/>
  <c r="I177" i="3"/>
  <c r="Y177" i="3"/>
  <c r="AO177" i="3"/>
  <c r="BE175" i="3"/>
  <c r="BI273" i="3" l="1"/>
  <c r="BI274" i="3" s="1"/>
  <c r="BE273" i="3"/>
  <c r="BE274" i="3" s="1"/>
  <c r="BA273" i="3"/>
  <c r="BA274" i="3" s="1"/>
  <c r="AW273" i="3"/>
  <c r="AW274" i="3" s="1"/>
  <c r="AS273" i="3"/>
  <c r="AS274" i="3" s="1"/>
  <c r="AO273" i="3"/>
  <c r="AO274" i="3" s="1"/>
  <c r="AK273" i="3"/>
  <c r="AK274" i="3" s="1"/>
  <c r="AG273" i="3"/>
  <c r="AG274" i="3" s="1"/>
  <c r="AC273" i="3"/>
  <c r="AC274" i="3" s="1"/>
  <c r="Y273" i="3"/>
  <c r="Y274" i="3" s="1"/>
  <c r="U273" i="3"/>
  <c r="U274" i="3" s="1"/>
  <c r="Q273" i="3"/>
  <c r="Q274" i="3" s="1"/>
  <c r="M273" i="3"/>
  <c r="M274" i="3" s="1"/>
  <c r="I273" i="3"/>
  <c r="I274" i="3" s="1"/>
  <c r="E273" i="3"/>
  <c r="E274" i="3" s="1"/>
  <c r="BH273" i="3"/>
  <c r="BH274" i="3" s="1"/>
  <c r="BD273" i="3"/>
  <c r="BD274" i="3" s="1"/>
  <c r="AZ273" i="3"/>
  <c r="AZ274" i="3" s="1"/>
  <c r="AV273" i="3"/>
  <c r="AV274" i="3" s="1"/>
  <c r="AR273" i="3"/>
  <c r="AR274" i="3" s="1"/>
  <c r="AN273" i="3"/>
  <c r="AN274" i="3" s="1"/>
  <c r="AJ273" i="3"/>
  <c r="AJ274" i="3" s="1"/>
  <c r="AF273" i="3"/>
  <c r="AF274" i="3" s="1"/>
  <c r="AB273" i="3"/>
  <c r="AB274" i="3" s="1"/>
  <c r="X273" i="3"/>
  <c r="X274" i="3" s="1"/>
  <c r="T273" i="3"/>
  <c r="T274" i="3" s="1"/>
  <c r="P273" i="3"/>
  <c r="P274" i="3" s="1"/>
  <c r="L273" i="3"/>
  <c r="L274" i="3" s="1"/>
  <c r="H273" i="3"/>
  <c r="H274" i="3" s="1"/>
  <c r="D273" i="3"/>
  <c r="D274" i="3" s="1"/>
  <c r="BJ273" i="3"/>
  <c r="BJ274" i="3" s="1"/>
  <c r="BB273" i="3"/>
  <c r="BB274" i="3" s="1"/>
  <c r="AT273" i="3"/>
  <c r="AT274" i="3" s="1"/>
  <c r="AL273" i="3"/>
  <c r="AL274" i="3" s="1"/>
  <c r="AD273" i="3"/>
  <c r="AD274" i="3" s="1"/>
  <c r="V273" i="3"/>
  <c r="V274" i="3" s="1"/>
  <c r="N273" i="3"/>
  <c r="N274" i="3" s="1"/>
  <c r="F273" i="3"/>
  <c r="F274" i="3" s="1"/>
  <c r="BC273" i="3"/>
  <c r="BC274" i="3" s="1"/>
  <c r="AQ273" i="3"/>
  <c r="AQ274" i="3" s="1"/>
  <c r="AH273" i="3"/>
  <c r="AH274" i="3" s="1"/>
  <c r="W273" i="3"/>
  <c r="W274" i="3" s="1"/>
  <c r="K273" i="3"/>
  <c r="K274" i="3" s="1"/>
  <c r="B273" i="3"/>
  <c r="B274" i="3" s="1"/>
  <c r="AY273" i="3"/>
  <c r="AY274" i="3" s="1"/>
  <c r="AP273" i="3"/>
  <c r="AP274" i="3" s="1"/>
  <c r="AE273" i="3"/>
  <c r="AE274" i="3" s="1"/>
  <c r="S273" i="3"/>
  <c r="S274" i="3" s="1"/>
  <c r="J273" i="3"/>
  <c r="J274" i="3" s="1"/>
  <c r="BG273" i="3"/>
  <c r="BG274" i="3" s="1"/>
  <c r="AM273" i="3"/>
  <c r="AM274" i="3" s="1"/>
  <c r="R273" i="3"/>
  <c r="R274" i="3" s="1"/>
  <c r="BF273" i="3"/>
  <c r="BF274" i="3" s="1"/>
  <c r="AI273" i="3"/>
  <c r="AI274" i="3" s="1"/>
  <c r="O273" i="3"/>
  <c r="O274" i="3" s="1"/>
  <c r="AX273" i="3"/>
  <c r="AX274" i="3" s="1"/>
  <c r="AA273" i="3"/>
  <c r="AA274" i="3" s="1"/>
  <c r="G273" i="3"/>
  <c r="G274" i="3" s="1"/>
  <c r="AU273" i="3"/>
  <c r="AU274" i="3" s="1"/>
  <c r="Z273" i="3"/>
  <c r="Z274" i="3" s="1"/>
  <c r="C273" i="3"/>
  <c r="C274" i="3" s="1"/>
  <c r="BI281" i="3"/>
  <c r="BI282" i="3" s="1"/>
  <c r="BE281" i="3"/>
  <c r="BE282" i="3" s="1"/>
  <c r="BA281" i="3"/>
  <c r="BA282" i="3" s="1"/>
  <c r="AW281" i="3"/>
  <c r="AW282" i="3" s="1"/>
  <c r="AS281" i="3"/>
  <c r="AS282" i="3" s="1"/>
  <c r="AO281" i="3"/>
  <c r="AO282" i="3" s="1"/>
  <c r="AK281" i="3"/>
  <c r="AK282" i="3" s="1"/>
  <c r="AG281" i="3"/>
  <c r="AG282" i="3" s="1"/>
  <c r="AC281" i="3"/>
  <c r="AC282" i="3" s="1"/>
  <c r="Y281" i="3"/>
  <c r="Y282" i="3" s="1"/>
  <c r="U281" i="3"/>
  <c r="U282" i="3" s="1"/>
  <c r="Q281" i="3"/>
  <c r="Q282" i="3" s="1"/>
  <c r="M281" i="3"/>
  <c r="M282" i="3" s="1"/>
  <c r="I281" i="3"/>
  <c r="I282" i="3" s="1"/>
  <c r="E281" i="3"/>
  <c r="E282" i="3" s="1"/>
  <c r="BH281" i="3"/>
  <c r="BH282" i="3" s="1"/>
  <c r="BD281" i="3"/>
  <c r="BD282" i="3" s="1"/>
  <c r="AZ281" i="3"/>
  <c r="AZ282" i="3" s="1"/>
  <c r="AV281" i="3"/>
  <c r="AV282" i="3" s="1"/>
  <c r="AR281" i="3"/>
  <c r="AR282" i="3" s="1"/>
  <c r="AN281" i="3"/>
  <c r="AN282" i="3" s="1"/>
  <c r="AJ281" i="3"/>
  <c r="AJ282" i="3" s="1"/>
  <c r="AF281" i="3"/>
  <c r="AF282" i="3" s="1"/>
  <c r="AB281" i="3"/>
  <c r="AB282" i="3" s="1"/>
  <c r="X281" i="3"/>
  <c r="X282" i="3" s="1"/>
  <c r="T281" i="3"/>
  <c r="T282" i="3" s="1"/>
  <c r="P281" i="3"/>
  <c r="P282" i="3" s="1"/>
  <c r="L281" i="3"/>
  <c r="L282" i="3" s="1"/>
  <c r="H281" i="3"/>
  <c r="H282" i="3" s="1"/>
  <c r="D281" i="3"/>
  <c r="D282" i="3" s="1"/>
  <c r="BG281" i="3"/>
  <c r="BG282" i="3" s="1"/>
  <c r="BC281" i="3"/>
  <c r="BC282" i="3" s="1"/>
  <c r="AY281" i="3"/>
  <c r="AY282" i="3" s="1"/>
  <c r="AU281" i="3"/>
  <c r="AU282" i="3" s="1"/>
  <c r="AQ281" i="3"/>
  <c r="AQ282" i="3" s="1"/>
  <c r="AM281" i="3"/>
  <c r="AM282" i="3" s="1"/>
  <c r="AI281" i="3"/>
  <c r="AI282" i="3" s="1"/>
  <c r="AE281" i="3"/>
  <c r="AE282" i="3" s="1"/>
  <c r="AA281" i="3"/>
  <c r="AA282" i="3" s="1"/>
  <c r="W281" i="3"/>
  <c r="W282" i="3" s="1"/>
  <c r="S281" i="3"/>
  <c r="S282" i="3" s="1"/>
  <c r="O281" i="3"/>
  <c r="O282" i="3" s="1"/>
  <c r="K281" i="3"/>
  <c r="K282" i="3" s="1"/>
  <c r="G281" i="3"/>
  <c r="G282" i="3" s="1"/>
  <c r="C281" i="3"/>
  <c r="C282" i="3" s="1"/>
  <c r="AX281" i="3"/>
  <c r="AX282" i="3" s="1"/>
  <c r="AH281" i="3"/>
  <c r="AH282" i="3" s="1"/>
  <c r="R281" i="3"/>
  <c r="R282" i="3" s="1"/>
  <c r="B281" i="3"/>
  <c r="B282" i="3" s="1"/>
  <c r="BB281" i="3"/>
  <c r="BB282" i="3" s="1"/>
  <c r="AD281" i="3"/>
  <c r="AD282" i="3" s="1"/>
  <c r="J281" i="3"/>
  <c r="J282" i="3" s="1"/>
  <c r="AT281" i="3"/>
  <c r="AT282" i="3" s="1"/>
  <c r="Z281" i="3"/>
  <c r="Z282" i="3" s="1"/>
  <c r="F281" i="3"/>
  <c r="F282" i="3" s="1"/>
  <c r="BJ281" i="3"/>
  <c r="BJ282" i="3" s="1"/>
  <c r="V281" i="3"/>
  <c r="V282" i="3" s="1"/>
  <c r="BF281" i="3"/>
  <c r="BF282" i="3" s="1"/>
  <c r="N281" i="3"/>
  <c r="N282" i="3" s="1"/>
  <c r="AP281" i="3"/>
  <c r="AP282" i="3" s="1"/>
  <c r="AL281" i="3"/>
  <c r="AL282" i="3" s="1"/>
  <c r="DF2" i="3" l="1"/>
  <c r="AX2" i="3"/>
  <c r="BZ2" i="3"/>
  <c r="R2" i="3"/>
  <c r="CX2" i="3"/>
  <c r="AP2" i="3"/>
  <c r="CP2" i="3"/>
  <c r="AH2" i="3"/>
  <c r="BV2" i="3"/>
  <c r="N2" i="3"/>
  <c r="DN2" i="3"/>
  <c r="BF2" i="3"/>
  <c r="AG2" i="3"/>
  <c r="CO2" i="3"/>
  <c r="BM2" i="3"/>
  <c r="DU2" i="3"/>
  <c r="CA2" i="3"/>
  <c r="S2" i="3"/>
  <c r="CQ2" i="3"/>
  <c r="AI2" i="3"/>
  <c r="DG2" i="3"/>
  <c r="AY2" i="3"/>
  <c r="BP2" i="3"/>
  <c r="H2" i="3"/>
  <c r="CF2" i="3"/>
  <c r="X2" i="3"/>
  <c r="CV2" i="3"/>
  <c r="AN2" i="3"/>
  <c r="DL2" i="3"/>
  <c r="BD2" i="3"/>
  <c r="BR2" i="3"/>
  <c r="J2" i="3"/>
  <c r="CT2" i="3"/>
  <c r="AL2" i="3"/>
  <c r="DR2" i="3"/>
  <c r="BJ2" i="3"/>
  <c r="DA2" i="3"/>
  <c r="AS2" i="3"/>
  <c r="CH2" i="3"/>
  <c r="Z2" i="3"/>
  <c r="BQ2" i="3"/>
  <c r="I2" i="3"/>
  <c r="CW2" i="3"/>
  <c r="AO2" i="3"/>
  <c r="BO2" i="3"/>
  <c r="G2" i="3"/>
  <c r="CE2" i="3"/>
  <c r="W2" i="3"/>
  <c r="CU2" i="3"/>
  <c r="AM2" i="3"/>
  <c r="DK2" i="3"/>
  <c r="BC2" i="3"/>
  <c r="BT2" i="3"/>
  <c r="L2" i="3"/>
  <c r="CJ2" i="3"/>
  <c r="AB2" i="3"/>
  <c r="CZ2" i="3"/>
  <c r="AR2" i="3"/>
  <c r="DP2" i="3"/>
  <c r="BH2" i="3"/>
  <c r="BN2" i="3"/>
  <c r="F2" i="3"/>
  <c r="CL2" i="3"/>
  <c r="AD2" i="3"/>
  <c r="DQ2" i="3"/>
  <c r="BI2" i="3"/>
  <c r="BU2" i="3"/>
  <c r="M2" i="3"/>
  <c r="DJ2" i="3"/>
  <c r="BB2" i="3"/>
  <c r="CS2" i="3"/>
  <c r="AK2" i="3"/>
  <c r="Q2" i="3"/>
  <c r="BY2" i="3"/>
  <c r="AW2" i="3"/>
  <c r="DE2" i="3"/>
  <c r="BS2" i="3"/>
  <c r="K2" i="3"/>
  <c r="CI2" i="3"/>
  <c r="AA2" i="3"/>
  <c r="CY2" i="3"/>
  <c r="AQ2" i="3"/>
  <c r="DO2" i="3"/>
  <c r="BG2" i="3"/>
  <c r="BX2" i="3"/>
  <c r="P2" i="3"/>
  <c r="CN2" i="3"/>
  <c r="AF2" i="3"/>
  <c r="DD2" i="3"/>
  <c r="AV2" i="3"/>
  <c r="DT2" i="3"/>
  <c r="BL2" i="3"/>
  <c r="CK2" i="3"/>
  <c r="AC2" i="3"/>
  <c r="DI2" i="3"/>
  <c r="BA2" i="3"/>
  <c r="CC2" i="3"/>
  <c r="U2" i="3"/>
  <c r="CD2" i="3"/>
  <c r="V2" i="3"/>
  <c r="DB2" i="3"/>
  <c r="AT2" i="3"/>
  <c r="CG2" i="3"/>
  <c r="Y2" i="3"/>
  <c r="DM2" i="3"/>
  <c r="BE2" i="3"/>
  <c r="BW2" i="3"/>
  <c r="O2" i="3"/>
  <c r="CM2" i="3"/>
  <c r="AE2" i="3"/>
  <c r="DC2" i="3"/>
  <c r="AU2" i="3"/>
  <c r="DS2" i="3"/>
  <c r="BK2" i="3"/>
  <c r="CB2" i="3"/>
  <c r="T2" i="3"/>
  <c r="CR2" i="3"/>
  <c r="AJ2" i="3"/>
  <c r="DH2" i="3"/>
  <c r="AZ2" i="3"/>
  <c r="AG16" i="3"/>
  <c r="AG15" i="3"/>
  <c r="AG14" i="3"/>
  <c r="AG17" i="3"/>
  <c r="AG60" i="3"/>
  <c r="AG10" i="3"/>
  <c r="AG23" i="3"/>
  <c r="AG29" i="3"/>
  <c r="AG64" i="3"/>
  <c r="AG6" i="3"/>
  <c r="AG95" i="3"/>
  <c r="AG131" i="3"/>
  <c r="AG11" i="3"/>
  <c r="AG13" i="3"/>
  <c r="AG38" i="3"/>
  <c r="AG42" i="3"/>
  <c r="AG46" i="3"/>
  <c r="AG50" i="3"/>
  <c r="AG54" i="3"/>
  <c r="AG58" i="3"/>
  <c r="AG70" i="3"/>
  <c r="AG4" i="3"/>
  <c r="AG8" i="3"/>
  <c r="AG12" i="3"/>
  <c r="AG79" i="3"/>
  <c r="AG3" i="3"/>
  <c r="AG9" i="3"/>
  <c r="AG20" i="3"/>
  <c r="AG24" i="3"/>
  <c r="AG30" i="3"/>
  <c r="AG35" i="3"/>
  <c r="AG103" i="3"/>
  <c r="AG21" i="3"/>
  <c r="AG25" i="3"/>
  <c r="AG27" i="3"/>
  <c r="AG31" i="3"/>
  <c r="AG32" i="3"/>
  <c r="AG34" i="3"/>
  <c r="AG83" i="3"/>
  <c r="AG18" i="3"/>
  <c r="AG22" i="3"/>
  <c r="AG26" i="3"/>
  <c r="AG28" i="3"/>
  <c r="AG39" i="3"/>
  <c r="AG43" i="3"/>
  <c r="AG47" i="3"/>
  <c r="AG51" i="3"/>
  <c r="AG55" i="3"/>
  <c r="AG61" i="3"/>
  <c r="AG65" i="3"/>
  <c r="AG71" i="3"/>
  <c r="AG73" i="3"/>
  <c r="AG81" i="3"/>
  <c r="AG87" i="3"/>
  <c r="AG121" i="3"/>
  <c r="AG36" i="3"/>
  <c r="AG40" i="3"/>
  <c r="AG44" i="3"/>
  <c r="AG48" i="3"/>
  <c r="AG52" i="3"/>
  <c r="AG56" i="3"/>
  <c r="AG62" i="3"/>
  <c r="AG66" i="3"/>
  <c r="AG68" i="3"/>
  <c r="AG72" i="3"/>
  <c r="AG76" i="3"/>
  <c r="AG80" i="3"/>
  <c r="AG84" i="3"/>
  <c r="AG98" i="3"/>
  <c r="AG106" i="3"/>
  <c r="AG118" i="3"/>
  <c r="AG132" i="3"/>
  <c r="AG33" i="3"/>
  <c r="AG37" i="3"/>
  <c r="AG41" i="3"/>
  <c r="AG45" i="3"/>
  <c r="AG49" i="3"/>
  <c r="AG53" i="3"/>
  <c r="AG57" i="3"/>
  <c r="AG59" i="3"/>
  <c r="AG63" i="3"/>
  <c r="AG67" i="3"/>
  <c r="AG69" i="3"/>
  <c r="AG75" i="3"/>
  <c r="AG77" i="3"/>
  <c r="AG104" i="3"/>
  <c r="AG123" i="3"/>
  <c r="AG91" i="3"/>
  <c r="AG93" i="3"/>
  <c r="AG97" i="3"/>
  <c r="AG99" i="3"/>
  <c r="AG101" i="3"/>
  <c r="AG109" i="3"/>
  <c r="AG111" i="3"/>
  <c r="AG82" i="3"/>
  <c r="AG86" i="3"/>
  <c r="AG88" i="3"/>
  <c r="AG124" i="3"/>
  <c r="AG138" i="3"/>
  <c r="AG113" i="3"/>
  <c r="AG136" i="3"/>
  <c r="AG108" i="3"/>
  <c r="AG114" i="3"/>
  <c r="AG116" i="3"/>
  <c r="AG120" i="3"/>
  <c r="AG125" i="3"/>
  <c r="AG127" i="3"/>
  <c r="AG142" i="3"/>
  <c r="AG128" i="3"/>
  <c r="AG130" i="3"/>
  <c r="AG134" i="3"/>
  <c r="AG140" i="3"/>
  <c r="Q15" i="3"/>
  <c r="Q16" i="3"/>
  <c r="Q14" i="3"/>
  <c r="Q17" i="3"/>
  <c r="Q10" i="3"/>
  <c r="Q64" i="3"/>
  <c r="Q23" i="3"/>
  <c r="Q6" i="3"/>
  <c r="Q29" i="3"/>
  <c r="Q60" i="3"/>
  <c r="Q11" i="3"/>
  <c r="Q13" i="3"/>
  <c r="Q35" i="3"/>
  <c r="Q38" i="3"/>
  <c r="Q42" i="3"/>
  <c r="Q46" i="3"/>
  <c r="Q50" i="3"/>
  <c r="Q54" i="3"/>
  <c r="Q58" i="3"/>
  <c r="Q4" i="3"/>
  <c r="Q8" i="3"/>
  <c r="Q12" i="3"/>
  <c r="Q83" i="3"/>
  <c r="Q132" i="3"/>
  <c r="Q3" i="3"/>
  <c r="Q9" i="3"/>
  <c r="Q20" i="3"/>
  <c r="Q24" i="3"/>
  <c r="Q30" i="3"/>
  <c r="Q70" i="3"/>
  <c r="Q95" i="3"/>
  <c r="Q81" i="3"/>
  <c r="Q121" i="3"/>
  <c r="Q21" i="3"/>
  <c r="Q25" i="3"/>
  <c r="Q27" i="3"/>
  <c r="Q31" i="3"/>
  <c r="Q32" i="3"/>
  <c r="Q34" i="3"/>
  <c r="Q79" i="3"/>
  <c r="Q18" i="3"/>
  <c r="Q22" i="3"/>
  <c r="Q26" i="3"/>
  <c r="Q28" i="3"/>
  <c r="Q39" i="3"/>
  <c r="Q43" i="3"/>
  <c r="Q47" i="3"/>
  <c r="Q51" i="3"/>
  <c r="Q55" i="3"/>
  <c r="Q61" i="3"/>
  <c r="Q65" i="3"/>
  <c r="Q71" i="3"/>
  <c r="Q73" i="3"/>
  <c r="Q87" i="3"/>
  <c r="Q36" i="3"/>
  <c r="Q40" i="3"/>
  <c r="Q44" i="3"/>
  <c r="Q48" i="3"/>
  <c r="Q52" i="3"/>
  <c r="Q56" i="3"/>
  <c r="Q62" i="3"/>
  <c r="Q66" i="3"/>
  <c r="Q68" i="3"/>
  <c r="Q72" i="3"/>
  <c r="Q76" i="3"/>
  <c r="Q80" i="3"/>
  <c r="Q84" i="3"/>
  <c r="Q98" i="3"/>
  <c r="Q103" i="3"/>
  <c r="Q106" i="3"/>
  <c r="Q118" i="3"/>
  <c r="Q33" i="3"/>
  <c r="Q37" i="3"/>
  <c r="Q41" i="3"/>
  <c r="Q45" i="3"/>
  <c r="Q49" i="3"/>
  <c r="Q53" i="3"/>
  <c r="Q57" i="3"/>
  <c r="Q59" i="3"/>
  <c r="Q63" i="3"/>
  <c r="Q67" i="3"/>
  <c r="Q69" i="3"/>
  <c r="Q75" i="3"/>
  <c r="Q77" i="3"/>
  <c r="Q123" i="3"/>
  <c r="Q131" i="3"/>
  <c r="Q91" i="3"/>
  <c r="Q93" i="3"/>
  <c r="Q97" i="3"/>
  <c r="Q99" i="3"/>
  <c r="Q101" i="3"/>
  <c r="Q109" i="3"/>
  <c r="Q111" i="3"/>
  <c r="Q82" i="3"/>
  <c r="Q86" i="3"/>
  <c r="Q88" i="3"/>
  <c r="Q104" i="3"/>
  <c r="Q124" i="3"/>
  <c r="Q113" i="3"/>
  <c r="Q136" i="3"/>
  <c r="Q138" i="3"/>
  <c r="Q108" i="3"/>
  <c r="Q114" i="3"/>
  <c r="Q116" i="3"/>
  <c r="Q120" i="3"/>
  <c r="Q125" i="3"/>
  <c r="Q142" i="3"/>
  <c r="Q127" i="3"/>
  <c r="Q128" i="3"/>
  <c r="Q130" i="3"/>
  <c r="Q134" i="3"/>
  <c r="Q140" i="3"/>
  <c r="AW16" i="3"/>
  <c r="AW17" i="3"/>
  <c r="AW14" i="3"/>
  <c r="AW15" i="3"/>
  <c r="AW10" i="3"/>
  <c r="AW60" i="3"/>
  <c r="AW23" i="3"/>
  <c r="AW6" i="3"/>
  <c r="AW29" i="3"/>
  <c r="AW64" i="3"/>
  <c r="AW11" i="3"/>
  <c r="AW13" i="3"/>
  <c r="AW38" i="3"/>
  <c r="AW42" i="3"/>
  <c r="AW46" i="3"/>
  <c r="AW50" i="3"/>
  <c r="AW54" i="3"/>
  <c r="AW58" i="3"/>
  <c r="AW83" i="3"/>
  <c r="AW95" i="3"/>
  <c r="AW4" i="3"/>
  <c r="AW8" i="3"/>
  <c r="AW12" i="3"/>
  <c r="AW3" i="3"/>
  <c r="AW9" i="3"/>
  <c r="AW20" i="3"/>
  <c r="AW24" i="3"/>
  <c r="AW30" i="3"/>
  <c r="AW70" i="3"/>
  <c r="AW81" i="3"/>
  <c r="AW121" i="3"/>
  <c r="AW21" i="3"/>
  <c r="AW25" i="3"/>
  <c r="AW27" i="3"/>
  <c r="AW31" i="3"/>
  <c r="AW32" i="3"/>
  <c r="AW34" i="3"/>
  <c r="AW79" i="3"/>
  <c r="AW132" i="3"/>
  <c r="AW18" i="3"/>
  <c r="AW22" i="3"/>
  <c r="AW26" i="3"/>
  <c r="AW28" i="3"/>
  <c r="AW35" i="3"/>
  <c r="AW39" i="3"/>
  <c r="AW43" i="3"/>
  <c r="AW47" i="3"/>
  <c r="AW51" i="3"/>
  <c r="AW55" i="3"/>
  <c r="AW61" i="3"/>
  <c r="AW65" i="3"/>
  <c r="AW71" i="3"/>
  <c r="AW73" i="3"/>
  <c r="AW87" i="3"/>
  <c r="AW36" i="3"/>
  <c r="AW40" i="3"/>
  <c r="AW44" i="3"/>
  <c r="AW48" i="3"/>
  <c r="AW52" i="3"/>
  <c r="AW56" i="3"/>
  <c r="AW62" i="3"/>
  <c r="AW66" i="3"/>
  <c r="AW68" i="3"/>
  <c r="AW72" i="3"/>
  <c r="AW76" i="3"/>
  <c r="AW80" i="3"/>
  <c r="AW84" i="3"/>
  <c r="AW98" i="3"/>
  <c r="AW103" i="3"/>
  <c r="AW106" i="3"/>
  <c r="AW118" i="3"/>
  <c r="AW33" i="3"/>
  <c r="AW37" i="3"/>
  <c r="AW41" i="3"/>
  <c r="AW45" i="3"/>
  <c r="AW49" i="3"/>
  <c r="AW53" i="3"/>
  <c r="AW57" i="3"/>
  <c r="AW59" i="3"/>
  <c r="AW63" i="3"/>
  <c r="AW67" i="3"/>
  <c r="AW69" i="3"/>
  <c r="AW75" i="3"/>
  <c r="AW77" i="3"/>
  <c r="AW104" i="3"/>
  <c r="AW123" i="3"/>
  <c r="AW131" i="3"/>
  <c r="AW91" i="3"/>
  <c r="AW93" i="3"/>
  <c r="AW97" i="3"/>
  <c r="AW99" i="3"/>
  <c r="AW101" i="3"/>
  <c r="AW109" i="3"/>
  <c r="AW111" i="3"/>
  <c r="AW82" i="3"/>
  <c r="AW86" i="3"/>
  <c r="AW88" i="3"/>
  <c r="AW124" i="3"/>
  <c r="AW113" i="3"/>
  <c r="AW136" i="3"/>
  <c r="AW138" i="3"/>
  <c r="AW108" i="3"/>
  <c r="AW114" i="3"/>
  <c r="AW116" i="3"/>
  <c r="AW120" i="3"/>
  <c r="AW125" i="3"/>
  <c r="AW127" i="3"/>
  <c r="AW128" i="3"/>
  <c r="AW130" i="3"/>
  <c r="AW134" i="3"/>
  <c r="AW140" i="3"/>
  <c r="AW142" i="3"/>
  <c r="AH16" i="3"/>
  <c r="AH14" i="3"/>
  <c r="AH15" i="3"/>
  <c r="AH17" i="3"/>
  <c r="AH3" i="3"/>
  <c r="AH9" i="3"/>
  <c r="AH35" i="3"/>
  <c r="AH18" i="3"/>
  <c r="AH77" i="3"/>
  <c r="AH121" i="3"/>
  <c r="AH6" i="3"/>
  <c r="AH10" i="3"/>
  <c r="AH23" i="3"/>
  <c r="AH29" i="3"/>
  <c r="AH33" i="3"/>
  <c r="AH60" i="3"/>
  <c r="AH64" i="3"/>
  <c r="AH75" i="3"/>
  <c r="AH11" i="3"/>
  <c r="AH13" i="3"/>
  <c r="AH22" i="3"/>
  <c r="AH26" i="3"/>
  <c r="AH28" i="3"/>
  <c r="AH38" i="3"/>
  <c r="AH42" i="3"/>
  <c r="AH46" i="3"/>
  <c r="AH50" i="3"/>
  <c r="AH54" i="3"/>
  <c r="AH58" i="3"/>
  <c r="AH4" i="3"/>
  <c r="AH8" i="3"/>
  <c r="AH12" i="3"/>
  <c r="AH70" i="3"/>
  <c r="AH79" i="3"/>
  <c r="AH114" i="3"/>
  <c r="AH20" i="3"/>
  <c r="AH24" i="3"/>
  <c r="AH30" i="3"/>
  <c r="AH37" i="3"/>
  <c r="AH41" i="3"/>
  <c r="AH45" i="3"/>
  <c r="AH49" i="3"/>
  <c r="AH53" i="3"/>
  <c r="AH57" i="3"/>
  <c r="AH59" i="3"/>
  <c r="AH63" i="3"/>
  <c r="AH67" i="3"/>
  <c r="AH69" i="3"/>
  <c r="AH21" i="3"/>
  <c r="AH25" i="3"/>
  <c r="AH27" i="3"/>
  <c r="AH31" i="3"/>
  <c r="AH34" i="3"/>
  <c r="AH83" i="3"/>
  <c r="AH123" i="3"/>
  <c r="AH125" i="3"/>
  <c r="AH39" i="3"/>
  <c r="AH43" i="3"/>
  <c r="AH47" i="3"/>
  <c r="AH51" i="3"/>
  <c r="AH55" i="3"/>
  <c r="AH61" i="3"/>
  <c r="AH65" i="3"/>
  <c r="AH71" i="3"/>
  <c r="AH73" i="3"/>
  <c r="AH87" i="3"/>
  <c r="AH95" i="3"/>
  <c r="AH108" i="3"/>
  <c r="AH116" i="3"/>
  <c r="AH32" i="3"/>
  <c r="AH36" i="3"/>
  <c r="AH40" i="3"/>
  <c r="AH44" i="3"/>
  <c r="AH48" i="3"/>
  <c r="AH52" i="3"/>
  <c r="AH56" i="3"/>
  <c r="AH62" i="3"/>
  <c r="AH66" i="3"/>
  <c r="AH68" i="3"/>
  <c r="AH72" i="3"/>
  <c r="AH76" i="3"/>
  <c r="AH80" i="3"/>
  <c r="AH82" i="3"/>
  <c r="AH84" i="3"/>
  <c r="AH86" i="3"/>
  <c r="AH88" i="3"/>
  <c r="AH98" i="3"/>
  <c r="AH103" i="3"/>
  <c r="AH120" i="3"/>
  <c r="AH81" i="3"/>
  <c r="AH91" i="3"/>
  <c r="AH93" i="3"/>
  <c r="AH97" i="3"/>
  <c r="AH99" i="3"/>
  <c r="AH101" i="3"/>
  <c r="AH109" i="3"/>
  <c r="AH111" i="3"/>
  <c r="AH104" i="3"/>
  <c r="AH106" i="3"/>
  <c r="AH118" i="3"/>
  <c r="AH124" i="3"/>
  <c r="AH131" i="3"/>
  <c r="AH113" i="3"/>
  <c r="AH128" i="3"/>
  <c r="AH130" i="3"/>
  <c r="AH134" i="3"/>
  <c r="AH132" i="3"/>
  <c r="AH136" i="3"/>
  <c r="AH127" i="3"/>
  <c r="AH142" i="3"/>
  <c r="AH138" i="3"/>
  <c r="AH140" i="3"/>
  <c r="BF14" i="3"/>
  <c r="BF16" i="3"/>
  <c r="BF17" i="3"/>
  <c r="BF15" i="3"/>
  <c r="BF18" i="3"/>
  <c r="BF38" i="3"/>
  <c r="BF42" i="3"/>
  <c r="BF46" i="3"/>
  <c r="BF50" i="3"/>
  <c r="BF54" i="3"/>
  <c r="BF58" i="3"/>
  <c r="BF3" i="3"/>
  <c r="BF9" i="3"/>
  <c r="BF75" i="3"/>
  <c r="BF6" i="3"/>
  <c r="BF10" i="3"/>
  <c r="BF23" i="3"/>
  <c r="BF29" i="3"/>
  <c r="BF34" i="3"/>
  <c r="BF11" i="3"/>
  <c r="BF13" i="3"/>
  <c r="BF22" i="3"/>
  <c r="BF26" i="3"/>
  <c r="BF28" i="3"/>
  <c r="BF4" i="3"/>
  <c r="BF8" i="3"/>
  <c r="BF12" i="3"/>
  <c r="BF60" i="3"/>
  <c r="BF64" i="3"/>
  <c r="BF77" i="3"/>
  <c r="BF82" i="3"/>
  <c r="BF70" i="3"/>
  <c r="BF80" i="3"/>
  <c r="BF103" i="3"/>
  <c r="BF20" i="3"/>
  <c r="BF24" i="3"/>
  <c r="BF30" i="3"/>
  <c r="BF37" i="3"/>
  <c r="BF41" i="3"/>
  <c r="BF45" i="3"/>
  <c r="BF49" i="3"/>
  <c r="BF53" i="3"/>
  <c r="BF57" i="3"/>
  <c r="BF59" i="3"/>
  <c r="BF63" i="3"/>
  <c r="BF67" i="3"/>
  <c r="BF69" i="3"/>
  <c r="BF21" i="3"/>
  <c r="BF25" i="3"/>
  <c r="BF27" i="3"/>
  <c r="BF31" i="3"/>
  <c r="BF33" i="3"/>
  <c r="BF84" i="3"/>
  <c r="BF108" i="3"/>
  <c r="BF116" i="3"/>
  <c r="BF35" i="3"/>
  <c r="BF39" i="3"/>
  <c r="BF43" i="3"/>
  <c r="BF47" i="3"/>
  <c r="BF51" i="3"/>
  <c r="BF55" i="3"/>
  <c r="BF61" i="3"/>
  <c r="BF65" i="3"/>
  <c r="BF71" i="3"/>
  <c r="BF73" i="3"/>
  <c r="BF87" i="3"/>
  <c r="BF95" i="3"/>
  <c r="BF123" i="3"/>
  <c r="BF32" i="3"/>
  <c r="BF36" i="3"/>
  <c r="BF40" i="3"/>
  <c r="BF44" i="3"/>
  <c r="BF48" i="3"/>
  <c r="BF52" i="3"/>
  <c r="BF56" i="3"/>
  <c r="BF62" i="3"/>
  <c r="BF66" i="3"/>
  <c r="BF68" i="3"/>
  <c r="BF72" i="3"/>
  <c r="BF76" i="3"/>
  <c r="BF79" i="3"/>
  <c r="BF83" i="3"/>
  <c r="BF86" i="3"/>
  <c r="BF88" i="3"/>
  <c r="BF114" i="3"/>
  <c r="BF121" i="3"/>
  <c r="BF98" i="3"/>
  <c r="BF120" i="3"/>
  <c r="BF124" i="3"/>
  <c r="BF81" i="3"/>
  <c r="BF91" i="3"/>
  <c r="BF93" i="3"/>
  <c r="BF97" i="3"/>
  <c r="BF99" i="3"/>
  <c r="BF101" i="3"/>
  <c r="BF109" i="3"/>
  <c r="BF111" i="3"/>
  <c r="BF104" i="3"/>
  <c r="BF106" i="3"/>
  <c r="BF118" i="3"/>
  <c r="BF125" i="3"/>
  <c r="BF131" i="3"/>
  <c r="BF142" i="3"/>
  <c r="BF113" i="3"/>
  <c r="BF128" i="3"/>
  <c r="BF130" i="3"/>
  <c r="BF134" i="3"/>
  <c r="BF132" i="3"/>
  <c r="BF136" i="3"/>
  <c r="BF127" i="3"/>
  <c r="BF138" i="3"/>
  <c r="BF140" i="3"/>
  <c r="AI16" i="3"/>
  <c r="AI15" i="3"/>
  <c r="AI14" i="3"/>
  <c r="AI17" i="3"/>
  <c r="AI8" i="3"/>
  <c r="AI12" i="3"/>
  <c r="AI4" i="3"/>
  <c r="AI34" i="3"/>
  <c r="AI3" i="3"/>
  <c r="AI9" i="3"/>
  <c r="AI18" i="3"/>
  <c r="AI6" i="3"/>
  <c r="AI10" i="3"/>
  <c r="AI130" i="3"/>
  <c r="AI11" i="3"/>
  <c r="AI13" i="3"/>
  <c r="AI21" i="3"/>
  <c r="AI22" i="3"/>
  <c r="AI25" i="3"/>
  <c r="AI26" i="3"/>
  <c r="AI27" i="3"/>
  <c r="AI28" i="3"/>
  <c r="AI31" i="3"/>
  <c r="AI81" i="3"/>
  <c r="AI93" i="3"/>
  <c r="AI75" i="3"/>
  <c r="AI76" i="3"/>
  <c r="AI77" i="3"/>
  <c r="AI23" i="3"/>
  <c r="AI29" i="3"/>
  <c r="AI33" i="3"/>
  <c r="AI88" i="3"/>
  <c r="AI20" i="3"/>
  <c r="AI24" i="3"/>
  <c r="AI30" i="3"/>
  <c r="AI32" i="3"/>
  <c r="AI36" i="3"/>
  <c r="AI37" i="3"/>
  <c r="AI40" i="3"/>
  <c r="AI41" i="3"/>
  <c r="AI44" i="3"/>
  <c r="AI45" i="3"/>
  <c r="AI48" i="3"/>
  <c r="AI49" i="3"/>
  <c r="AI52" i="3"/>
  <c r="AI53" i="3"/>
  <c r="AI56" i="3"/>
  <c r="AI57" i="3"/>
  <c r="AI59" i="3"/>
  <c r="AI62" i="3"/>
  <c r="AI63" i="3"/>
  <c r="AI66" i="3"/>
  <c r="AI67" i="3"/>
  <c r="AI68" i="3"/>
  <c r="AI69" i="3"/>
  <c r="AI72" i="3"/>
  <c r="AI82" i="3"/>
  <c r="AI86" i="3"/>
  <c r="AI91" i="3"/>
  <c r="AI38" i="3"/>
  <c r="AI42" i="3"/>
  <c r="AI46" i="3"/>
  <c r="AI50" i="3"/>
  <c r="AI54" i="3"/>
  <c r="AI58" i="3"/>
  <c r="AI60" i="3"/>
  <c r="AI64" i="3"/>
  <c r="AI70" i="3"/>
  <c r="AI79" i="3"/>
  <c r="AI83" i="3"/>
  <c r="AI97" i="3"/>
  <c r="AI99" i="3"/>
  <c r="AI101" i="3"/>
  <c r="AI113" i="3"/>
  <c r="AI114" i="3"/>
  <c r="AI35" i="3"/>
  <c r="AI39" i="3"/>
  <c r="AI43" i="3"/>
  <c r="AI47" i="3"/>
  <c r="AI51" i="3"/>
  <c r="AI55" i="3"/>
  <c r="AI61" i="3"/>
  <c r="AI65" i="3"/>
  <c r="AI71" i="3"/>
  <c r="AI73" i="3"/>
  <c r="AI108" i="3"/>
  <c r="AI116" i="3"/>
  <c r="AI127" i="3"/>
  <c r="AI128" i="3"/>
  <c r="AI87" i="3"/>
  <c r="AI95" i="3"/>
  <c r="AI125" i="3"/>
  <c r="AI80" i="3"/>
  <c r="AI84" i="3"/>
  <c r="AI98" i="3"/>
  <c r="AI103" i="3"/>
  <c r="AI120" i="3"/>
  <c r="AI134" i="3"/>
  <c r="AI109" i="3"/>
  <c r="AI111" i="3"/>
  <c r="AI121" i="3"/>
  <c r="AI123" i="3"/>
  <c r="AI140" i="3"/>
  <c r="AI104" i="3"/>
  <c r="AI106" i="3"/>
  <c r="AI118" i="3"/>
  <c r="AI124" i="3"/>
  <c r="AI131" i="3"/>
  <c r="AI138" i="3"/>
  <c r="AI132" i="3"/>
  <c r="AI136" i="3"/>
  <c r="AI142" i="3"/>
  <c r="J16" i="3"/>
  <c r="J14" i="3"/>
  <c r="J15" i="3"/>
  <c r="J17" i="3"/>
  <c r="J3" i="3"/>
  <c r="J18" i="3"/>
  <c r="J9" i="3"/>
  <c r="J38" i="3"/>
  <c r="J42" i="3"/>
  <c r="J46" i="3"/>
  <c r="J50" i="3"/>
  <c r="J54" i="3"/>
  <c r="J58" i="3"/>
  <c r="J6" i="3"/>
  <c r="J10" i="3"/>
  <c r="J23" i="3"/>
  <c r="J29" i="3"/>
  <c r="J77" i="3"/>
  <c r="J11" i="3"/>
  <c r="J13" i="3"/>
  <c r="J22" i="3"/>
  <c r="J26" i="3"/>
  <c r="J28" i="3"/>
  <c r="J75" i="3"/>
  <c r="J4" i="3"/>
  <c r="J8" i="3"/>
  <c r="J12" i="3"/>
  <c r="J34" i="3"/>
  <c r="J60" i="3"/>
  <c r="J64" i="3"/>
  <c r="J70" i="3"/>
  <c r="J84" i="3"/>
  <c r="J108" i="3"/>
  <c r="J116" i="3"/>
  <c r="J20" i="3"/>
  <c r="J24" i="3"/>
  <c r="J30" i="3"/>
  <c r="J37" i="3"/>
  <c r="J41" i="3"/>
  <c r="J45" i="3"/>
  <c r="J49" i="3"/>
  <c r="J53" i="3"/>
  <c r="J57" i="3"/>
  <c r="J59" i="3"/>
  <c r="J63" i="3"/>
  <c r="J67" i="3"/>
  <c r="J69" i="3"/>
  <c r="J82" i="3"/>
  <c r="J21" i="3"/>
  <c r="J25" i="3"/>
  <c r="J27" i="3"/>
  <c r="J31" i="3"/>
  <c r="J33" i="3"/>
  <c r="J35" i="3"/>
  <c r="J80" i="3"/>
  <c r="J142" i="3"/>
  <c r="J39" i="3"/>
  <c r="J43" i="3"/>
  <c r="J47" i="3"/>
  <c r="J51" i="3"/>
  <c r="J55" i="3"/>
  <c r="J61" i="3"/>
  <c r="J65" i="3"/>
  <c r="J71" i="3"/>
  <c r="J73" i="3"/>
  <c r="J87" i="3"/>
  <c r="J95" i="3"/>
  <c r="J123" i="3"/>
  <c r="J32" i="3"/>
  <c r="J36" i="3"/>
  <c r="J40" i="3"/>
  <c r="J44" i="3"/>
  <c r="J48" i="3"/>
  <c r="J52" i="3"/>
  <c r="J56" i="3"/>
  <c r="J62" i="3"/>
  <c r="J66" i="3"/>
  <c r="J68" i="3"/>
  <c r="J72" i="3"/>
  <c r="J76" i="3"/>
  <c r="J79" i="3"/>
  <c r="J83" i="3"/>
  <c r="J86" i="3"/>
  <c r="J88" i="3"/>
  <c r="J103" i="3"/>
  <c r="J114" i="3"/>
  <c r="J121" i="3"/>
  <c r="J98" i="3"/>
  <c r="J104" i="3"/>
  <c r="J120" i="3"/>
  <c r="J81" i="3"/>
  <c r="J91" i="3"/>
  <c r="J93" i="3"/>
  <c r="J97" i="3"/>
  <c r="J99" i="3"/>
  <c r="J101" i="3"/>
  <c r="J109" i="3"/>
  <c r="J111" i="3"/>
  <c r="J106" i="3"/>
  <c r="J118" i="3"/>
  <c r="J124" i="3"/>
  <c r="J125" i="3"/>
  <c r="J131" i="3"/>
  <c r="J113" i="3"/>
  <c r="J128" i="3"/>
  <c r="J130" i="3"/>
  <c r="J134" i="3"/>
  <c r="J132" i="3"/>
  <c r="J136" i="3"/>
  <c r="J127" i="3"/>
  <c r="J138" i="3"/>
  <c r="J140" i="3"/>
  <c r="Z15" i="3"/>
  <c r="Z16" i="3"/>
  <c r="Z17" i="3"/>
  <c r="Z14" i="3"/>
  <c r="Z82" i="3"/>
  <c r="Z38" i="3"/>
  <c r="Z42" i="3"/>
  <c r="Z46" i="3"/>
  <c r="Z50" i="3"/>
  <c r="Z54" i="3"/>
  <c r="Z58" i="3"/>
  <c r="Z18" i="3"/>
  <c r="Z3" i="3"/>
  <c r="Z75" i="3"/>
  <c r="Z9" i="3"/>
  <c r="Z6" i="3"/>
  <c r="Z10" i="3"/>
  <c r="Z23" i="3"/>
  <c r="Z29" i="3"/>
  <c r="Z34" i="3"/>
  <c r="Z11" i="3"/>
  <c r="Z13" i="3"/>
  <c r="Z22" i="3"/>
  <c r="Z26" i="3"/>
  <c r="Z28" i="3"/>
  <c r="Z4" i="3"/>
  <c r="Z8" i="3"/>
  <c r="Z12" i="3"/>
  <c r="Z60" i="3"/>
  <c r="Z64" i="3"/>
  <c r="Z77" i="3"/>
  <c r="Z70" i="3"/>
  <c r="Z80" i="3"/>
  <c r="Z20" i="3"/>
  <c r="Z24" i="3"/>
  <c r="Z30" i="3"/>
  <c r="Z37" i="3"/>
  <c r="Z41" i="3"/>
  <c r="Z45" i="3"/>
  <c r="Z49" i="3"/>
  <c r="Z53" i="3"/>
  <c r="Z57" i="3"/>
  <c r="Z59" i="3"/>
  <c r="Z63" i="3"/>
  <c r="Z67" i="3"/>
  <c r="Z69" i="3"/>
  <c r="Z21" i="3"/>
  <c r="Z25" i="3"/>
  <c r="Z27" i="3"/>
  <c r="Z31" i="3"/>
  <c r="Z33" i="3"/>
  <c r="Z35" i="3"/>
  <c r="Z84" i="3"/>
  <c r="Z103" i="3"/>
  <c r="Z108" i="3"/>
  <c r="Z116" i="3"/>
  <c r="Z39" i="3"/>
  <c r="Z43" i="3"/>
  <c r="Z47" i="3"/>
  <c r="Z51" i="3"/>
  <c r="Z55" i="3"/>
  <c r="Z61" i="3"/>
  <c r="Z65" i="3"/>
  <c r="Z71" i="3"/>
  <c r="Z73" i="3"/>
  <c r="Z87" i="3"/>
  <c r="Z95" i="3"/>
  <c r="Z123" i="3"/>
  <c r="Z32" i="3"/>
  <c r="Z36" i="3"/>
  <c r="Z40" i="3"/>
  <c r="Z44" i="3"/>
  <c r="Z48" i="3"/>
  <c r="Z52" i="3"/>
  <c r="Z56" i="3"/>
  <c r="Z62" i="3"/>
  <c r="Z66" i="3"/>
  <c r="Z68" i="3"/>
  <c r="Z72" i="3"/>
  <c r="Z76" i="3"/>
  <c r="Z79" i="3"/>
  <c r="Z83" i="3"/>
  <c r="Z86" i="3"/>
  <c r="Z88" i="3"/>
  <c r="Z114" i="3"/>
  <c r="Z121" i="3"/>
  <c r="Z98" i="3"/>
  <c r="Z120" i="3"/>
  <c r="Z81" i="3"/>
  <c r="Z91" i="3"/>
  <c r="Z93" i="3"/>
  <c r="Z97" i="3"/>
  <c r="Z99" i="3"/>
  <c r="Z101" i="3"/>
  <c r="Z109" i="3"/>
  <c r="Z111" i="3"/>
  <c r="Z104" i="3"/>
  <c r="Z106" i="3"/>
  <c r="Z118" i="3"/>
  <c r="Z124" i="3"/>
  <c r="Z125" i="3"/>
  <c r="Z131" i="3"/>
  <c r="Z113" i="3"/>
  <c r="Z128" i="3"/>
  <c r="Z130" i="3"/>
  <c r="Z134" i="3"/>
  <c r="Z132" i="3"/>
  <c r="Z136" i="3"/>
  <c r="Z142" i="3"/>
  <c r="Z127" i="3"/>
  <c r="Z138" i="3"/>
  <c r="Z140" i="3"/>
  <c r="W14" i="3"/>
  <c r="W16" i="3"/>
  <c r="W15" i="3"/>
  <c r="W17" i="3"/>
  <c r="W4" i="3"/>
  <c r="W3" i="3"/>
  <c r="W8" i="3"/>
  <c r="W12" i="3"/>
  <c r="W9" i="3"/>
  <c r="W21" i="3"/>
  <c r="W22" i="3"/>
  <c r="W25" i="3"/>
  <c r="W26" i="3"/>
  <c r="W27" i="3"/>
  <c r="W28" i="3"/>
  <c r="W31" i="3"/>
  <c r="W33" i="3"/>
  <c r="W62" i="3"/>
  <c r="W66" i="3"/>
  <c r="W6" i="3"/>
  <c r="W10" i="3"/>
  <c r="W18" i="3"/>
  <c r="W36" i="3"/>
  <c r="W40" i="3"/>
  <c r="W44" i="3"/>
  <c r="W48" i="3"/>
  <c r="W52" i="3"/>
  <c r="W56" i="3"/>
  <c r="W59" i="3"/>
  <c r="W63" i="3"/>
  <c r="W11" i="3"/>
  <c r="W13" i="3"/>
  <c r="W37" i="3"/>
  <c r="W41" i="3"/>
  <c r="W45" i="3"/>
  <c r="W49" i="3"/>
  <c r="W53" i="3"/>
  <c r="W57" i="3"/>
  <c r="W138" i="3"/>
  <c r="W67" i="3"/>
  <c r="W68" i="3"/>
  <c r="W69" i="3"/>
  <c r="W72" i="3"/>
  <c r="W79" i="3"/>
  <c r="W101" i="3"/>
  <c r="W23" i="3"/>
  <c r="W29" i="3"/>
  <c r="W32" i="3"/>
  <c r="W99" i="3"/>
  <c r="W20" i="3"/>
  <c r="W24" i="3"/>
  <c r="W30" i="3"/>
  <c r="W34" i="3"/>
  <c r="W75" i="3"/>
  <c r="W76" i="3"/>
  <c r="W77" i="3"/>
  <c r="W81" i="3"/>
  <c r="W83" i="3"/>
  <c r="W97" i="3"/>
  <c r="W38" i="3"/>
  <c r="W42" i="3"/>
  <c r="W46" i="3"/>
  <c r="W50" i="3"/>
  <c r="W54" i="3"/>
  <c r="W58" i="3"/>
  <c r="W60" i="3"/>
  <c r="W64" i="3"/>
  <c r="W70" i="3"/>
  <c r="W86" i="3"/>
  <c r="W88" i="3"/>
  <c r="W91" i="3"/>
  <c r="W93" i="3"/>
  <c r="W120" i="3"/>
  <c r="W35" i="3"/>
  <c r="W39" i="3"/>
  <c r="W43" i="3"/>
  <c r="W47" i="3"/>
  <c r="W51" i="3"/>
  <c r="W55" i="3"/>
  <c r="W61" i="3"/>
  <c r="W65" i="3"/>
  <c r="W71" i="3"/>
  <c r="W73" i="3"/>
  <c r="W82" i="3"/>
  <c r="W125" i="3"/>
  <c r="W87" i="3"/>
  <c r="W95" i="3"/>
  <c r="W103" i="3"/>
  <c r="W80" i="3"/>
  <c r="W84" i="3"/>
  <c r="W98" i="3"/>
  <c r="W108" i="3"/>
  <c r="W113" i="3"/>
  <c r="W114" i="3"/>
  <c r="W116" i="3"/>
  <c r="W109" i="3"/>
  <c r="W111" i="3"/>
  <c r="W121" i="3"/>
  <c r="W123" i="3"/>
  <c r="W127" i="3"/>
  <c r="W128" i="3"/>
  <c r="W130" i="3"/>
  <c r="W134" i="3"/>
  <c r="W104" i="3"/>
  <c r="W106" i="3"/>
  <c r="W118" i="3"/>
  <c r="W124" i="3"/>
  <c r="W131" i="3"/>
  <c r="W132" i="3"/>
  <c r="W136" i="3"/>
  <c r="W140" i="3"/>
  <c r="W142" i="3"/>
  <c r="AB14" i="3"/>
  <c r="AB15" i="3"/>
  <c r="AB17" i="3"/>
  <c r="AB16" i="3"/>
  <c r="AB24" i="3"/>
  <c r="AB25" i="3"/>
  <c r="AB13" i="3"/>
  <c r="AB30" i="3"/>
  <c r="AB31" i="3"/>
  <c r="AB20" i="3"/>
  <c r="AB21" i="3"/>
  <c r="AB11" i="3"/>
  <c r="AB27" i="3"/>
  <c r="AB4" i="3"/>
  <c r="AB8" i="3"/>
  <c r="AB12" i="3"/>
  <c r="AB35" i="3"/>
  <c r="AB71" i="3"/>
  <c r="AB72" i="3"/>
  <c r="AB3" i="3"/>
  <c r="AB9" i="3"/>
  <c r="AB61" i="3"/>
  <c r="AB62" i="3"/>
  <c r="AB65" i="3"/>
  <c r="AB66" i="3"/>
  <c r="AB6" i="3"/>
  <c r="AB10" i="3"/>
  <c r="AB33" i="3"/>
  <c r="AB36" i="3"/>
  <c r="AB39" i="3"/>
  <c r="AB40" i="3"/>
  <c r="AB43" i="3"/>
  <c r="AB44" i="3"/>
  <c r="AB47" i="3"/>
  <c r="AB48" i="3"/>
  <c r="AB51" i="3"/>
  <c r="AB52" i="3"/>
  <c r="AB55" i="3"/>
  <c r="AB56" i="3"/>
  <c r="AB68" i="3"/>
  <c r="AB73" i="3"/>
  <c r="AB81" i="3"/>
  <c r="AB132" i="3"/>
  <c r="AB18" i="3"/>
  <c r="AB22" i="3"/>
  <c r="AB26" i="3"/>
  <c r="AB28" i="3"/>
  <c r="AB32" i="3"/>
  <c r="AB76" i="3"/>
  <c r="AB91" i="3"/>
  <c r="AB124" i="3"/>
  <c r="AB23" i="3"/>
  <c r="AB29" i="3"/>
  <c r="AB93" i="3"/>
  <c r="AB37" i="3"/>
  <c r="AB41" i="3"/>
  <c r="AB45" i="3"/>
  <c r="AB49" i="3"/>
  <c r="AB53" i="3"/>
  <c r="AB57" i="3"/>
  <c r="AB59" i="3"/>
  <c r="AB63" i="3"/>
  <c r="AB67" i="3"/>
  <c r="AB69" i="3"/>
  <c r="AB75" i="3"/>
  <c r="AB77" i="3"/>
  <c r="AB80" i="3"/>
  <c r="AB84" i="3"/>
  <c r="AB34" i="3"/>
  <c r="AB38" i="3"/>
  <c r="AB42" i="3"/>
  <c r="AB46" i="3"/>
  <c r="AB50" i="3"/>
  <c r="AB54" i="3"/>
  <c r="AB58" i="3"/>
  <c r="AB60" i="3"/>
  <c r="AB64" i="3"/>
  <c r="AB70" i="3"/>
  <c r="AB82" i="3"/>
  <c r="AB97" i="3"/>
  <c r="AB98" i="3"/>
  <c r="AB99" i="3"/>
  <c r="AB101" i="3"/>
  <c r="AB86" i="3"/>
  <c r="AB88" i="3"/>
  <c r="AB104" i="3"/>
  <c r="AB106" i="3"/>
  <c r="AB113" i="3"/>
  <c r="AB118" i="3"/>
  <c r="AB79" i="3"/>
  <c r="AB83" i="3"/>
  <c r="AB87" i="3"/>
  <c r="AB95" i="3"/>
  <c r="AB127" i="3"/>
  <c r="AB108" i="3"/>
  <c r="AB114" i="3"/>
  <c r="AB116" i="3"/>
  <c r="AB120" i="3"/>
  <c r="AB138" i="3"/>
  <c r="AB103" i="3"/>
  <c r="AB109" i="3"/>
  <c r="AB111" i="3"/>
  <c r="AB121" i="3"/>
  <c r="AB123" i="3"/>
  <c r="AB136" i="3"/>
  <c r="AB128" i="3"/>
  <c r="AB130" i="3"/>
  <c r="AB134" i="3"/>
  <c r="AB125" i="3"/>
  <c r="AB131" i="3"/>
  <c r="AB140" i="3"/>
  <c r="AB142" i="3"/>
  <c r="AD16" i="3"/>
  <c r="AD14" i="3"/>
  <c r="AD15" i="3"/>
  <c r="AD17" i="3"/>
  <c r="AD9" i="3"/>
  <c r="AD3" i="3"/>
  <c r="AD28" i="3"/>
  <c r="AD26" i="3"/>
  <c r="AD69" i="3"/>
  <c r="AD22" i="3"/>
  <c r="AD37" i="3"/>
  <c r="AD41" i="3"/>
  <c r="AD45" i="3"/>
  <c r="AD49" i="3"/>
  <c r="AD53" i="3"/>
  <c r="AD57" i="3"/>
  <c r="AD6" i="3"/>
  <c r="AD10" i="3"/>
  <c r="AD67" i="3"/>
  <c r="AD11" i="3"/>
  <c r="AD13" i="3"/>
  <c r="AD18" i="3"/>
  <c r="AD34" i="3"/>
  <c r="AD84" i="3"/>
  <c r="AD4" i="3"/>
  <c r="AD8" i="3"/>
  <c r="AD12" i="3"/>
  <c r="AD23" i="3"/>
  <c r="AD29" i="3"/>
  <c r="AD59" i="3"/>
  <c r="AD63" i="3"/>
  <c r="AD82" i="3"/>
  <c r="AD88" i="3"/>
  <c r="AD109" i="3"/>
  <c r="AD20" i="3"/>
  <c r="AD24" i="3"/>
  <c r="AD30" i="3"/>
  <c r="AD33" i="3"/>
  <c r="AD35" i="3"/>
  <c r="AD75" i="3"/>
  <c r="AD77" i="3"/>
  <c r="AD80" i="3"/>
  <c r="AD86" i="3"/>
  <c r="AD87" i="3"/>
  <c r="AD125" i="3"/>
  <c r="AD21" i="3"/>
  <c r="AD25" i="3"/>
  <c r="AD27" i="3"/>
  <c r="AD31" i="3"/>
  <c r="AD38" i="3"/>
  <c r="AD42" i="3"/>
  <c r="AD46" i="3"/>
  <c r="AD50" i="3"/>
  <c r="AD54" i="3"/>
  <c r="AD58" i="3"/>
  <c r="AD60" i="3"/>
  <c r="AD64" i="3"/>
  <c r="AD70" i="3"/>
  <c r="AD95" i="3"/>
  <c r="AD130" i="3"/>
  <c r="AD131" i="3"/>
  <c r="AD39" i="3"/>
  <c r="AD43" i="3"/>
  <c r="AD47" i="3"/>
  <c r="AD51" i="3"/>
  <c r="AD55" i="3"/>
  <c r="AD61" i="3"/>
  <c r="AD65" i="3"/>
  <c r="AD71" i="3"/>
  <c r="AD73" i="3"/>
  <c r="AD79" i="3"/>
  <c r="AD83" i="3"/>
  <c r="AD111" i="3"/>
  <c r="AD32" i="3"/>
  <c r="AD36" i="3"/>
  <c r="AD40" i="3"/>
  <c r="AD44" i="3"/>
  <c r="AD48" i="3"/>
  <c r="AD52" i="3"/>
  <c r="AD56" i="3"/>
  <c r="AD62" i="3"/>
  <c r="AD66" i="3"/>
  <c r="AD68" i="3"/>
  <c r="AD72" i="3"/>
  <c r="AD76" i="3"/>
  <c r="AD120" i="3"/>
  <c r="AD98" i="3"/>
  <c r="AD108" i="3"/>
  <c r="AD114" i="3"/>
  <c r="AD116" i="3"/>
  <c r="AD134" i="3"/>
  <c r="AD81" i="3"/>
  <c r="AD91" i="3"/>
  <c r="AD93" i="3"/>
  <c r="AD97" i="3"/>
  <c r="AD99" i="3"/>
  <c r="AD101" i="3"/>
  <c r="AD103" i="3"/>
  <c r="AD121" i="3"/>
  <c r="AD123" i="3"/>
  <c r="AD128" i="3"/>
  <c r="AD104" i="3"/>
  <c r="AD106" i="3"/>
  <c r="AD118" i="3"/>
  <c r="AD124" i="3"/>
  <c r="AD113" i="3"/>
  <c r="AD132" i="3"/>
  <c r="AD136" i="3"/>
  <c r="AD127" i="3"/>
  <c r="AD138" i="3"/>
  <c r="AD140" i="3"/>
  <c r="AD142" i="3"/>
  <c r="BG15" i="3"/>
  <c r="BG17" i="3"/>
  <c r="BG14" i="3"/>
  <c r="BG16" i="3"/>
  <c r="BG4" i="3"/>
  <c r="BG8" i="3"/>
  <c r="BG12" i="3"/>
  <c r="BG114" i="3"/>
  <c r="BG116" i="3"/>
  <c r="BG3" i="3"/>
  <c r="BG9" i="3"/>
  <c r="BG18" i="3"/>
  <c r="BG108" i="3"/>
  <c r="BG6" i="3"/>
  <c r="BG10" i="3"/>
  <c r="BG32" i="3"/>
  <c r="BG33" i="3"/>
  <c r="BG83" i="3"/>
  <c r="BG11" i="3"/>
  <c r="BG13" i="3"/>
  <c r="BG21" i="3"/>
  <c r="BG22" i="3"/>
  <c r="BG25" i="3"/>
  <c r="BG26" i="3"/>
  <c r="BG27" i="3"/>
  <c r="BG28" i="3"/>
  <c r="BG88" i="3"/>
  <c r="BG75" i="3"/>
  <c r="BG76" i="3"/>
  <c r="BG77" i="3"/>
  <c r="BG86" i="3"/>
  <c r="BG91" i="3"/>
  <c r="BG134" i="3"/>
  <c r="BG138" i="3"/>
  <c r="BG23" i="3"/>
  <c r="BG29" i="3"/>
  <c r="BG34" i="3"/>
  <c r="BG79" i="3"/>
  <c r="BG93" i="3"/>
  <c r="BG20" i="3"/>
  <c r="BG24" i="3"/>
  <c r="BG30" i="3"/>
  <c r="BG36" i="3"/>
  <c r="BG37" i="3"/>
  <c r="BG40" i="3"/>
  <c r="BG41" i="3"/>
  <c r="BG44" i="3"/>
  <c r="BG45" i="3"/>
  <c r="BG48" i="3"/>
  <c r="BG49" i="3"/>
  <c r="BG52" i="3"/>
  <c r="BG53" i="3"/>
  <c r="BG56" i="3"/>
  <c r="BG57" i="3"/>
  <c r="BG59" i="3"/>
  <c r="BG62" i="3"/>
  <c r="BG63" i="3"/>
  <c r="BG66" i="3"/>
  <c r="BG67" i="3"/>
  <c r="BG68" i="3"/>
  <c r="BG69" i="3"/>
  <c r="BG72" i="3"/>
  <c r="BG113" i="3"/>
  <c r="BG38" i="3"/>
  <c r="BG42" i="3"/>
  <c r="BG46" i="3"/>
  <c r="BG50" i="3"/>
  <c r="BG54" i="3"/>
  <c r="BG58" i="3"/>
  <c r="BG60" i="3"/>
  <c r="BG64" i="3"/>
  <c r="BG70" i="3"/>
  <c r="BG82" i="3"/>
  <c r="BG97" i="3"/>
  <c r="BG99" i="3"/>
  <c r="BG101" i="3"/>
  <c r="BG103" i="3"/>
  <c r="BG31" i="3"/>
  <c r="BG35" i="3"/>
  <c r="BG39" i="3"/>
  <c r="BG43" i="3"/>
  <c r="BG47" i="3"/>
  <c r="BG51" i="3"/>
  <c r="BG55" i="3"/>
  <c r="BG61" i="3"/>
  <c r="BG65" i="3"/>
  <c r="BG71" i="3"/>
  <c r="BG73" i="3"/>
  <c r="BG81" i="3"/>
  <c r="BG87" i="3"/>
  <c r="BG95" i="3"/>
  <c r="BG127" i="3"/>
  <c r="BG128" i="3"/>
  <c r="BG80" i="3"/>
  <c r="BG84" i="3"/>
  <c r="BG98" i="3"/>
  <c r="BG120" i="3"/>
  <c r="BG124" i="3"/>
  <c r="BG130" i="3"/>
  <c r="BG109" i="3"/>
  <c r="BG111" i="3"/>
  <c r="BG121" i="3"/>
  <c r="BG123" i="3"/>
  <c r="BG104" i="3"/>
  <c r="BG106" i="3"/>
  <c r="BG118" i="3"/>
  <c r="BG125" i="3"/>
  <c r="BG131" i="3"/>
  <c r="BG140" i="3"/>
  <c r="BG132" i="3"/>
  <c r="BG136" i="3"/>
  <c r="BG142" i="3"/>
  <c r="BL16" i="3"/>
  <c r="BL15" i="3"/>
  <c r="BL17" i="3"/>
  <c r="BL14" i="3"/>
  <c r="BL11" i="3"/>
  <c r="BL32" i="3"/>
  <c r="BL13" i="3"/>
  <c r="BL33" i="3"/>
  <c r="BL4" i="3"/>
  <c r="BL8" i="3"/>
  <c r="BL12" i="3"/>
  <c r="BL113" i="3"/>
  <c r="BL3" i="3"/>
  <c r="BL9" i="3"/>
  <c r="BL20" i="3"/>
  <c r="BL21" i="3"/>
  <c r="BL24" i="3"/>
  <c r="BL25" i="3"/>
  <c r="BL27" i="3"/>
  <c r="BL30" i="3"/>
  <c r="BL6" i="3"/>
  <c r="BL10" i="3"/>
  <c r="BL76" i="3"/>
  <c r="BL98" i="3"/>
  <c r="BL101" i="3"/>
  <c r="BL84" i="3"/>
  <c r="BL99" i="3"/>
  <c r="BL118" i="3"/>
  <c r="BL18" i="3"/>
  <c r="BL22" i="3"/>
  <c r="BL26" i="3"/>
  <c r="BL28" i="3"/>
  <c r="BL35" i="3"/>
  <c r="BL36" i="3"/>
  <c r="BL39" i="3"/>
  <c r="BL40" i="3"/>
  <c r="BL43" i="3"/>
  <c r="BL44" i="3"/>
  <c r="BL47" i="3"/>
  <c r="BL48" i="3"/>
  <c r="BL51" i="3"/>
  <c r="BL52" i="3"/>
  <c r="BL55" i="3"/>
  <c r="BL56" i="3"/>
  <c r="BL61" i="3"/>
  <c r="BL62" i="3"/>
  <c r="BL65" i="3"/>
  <c r="BL66" i="3"/>
  <c r="BL68" i="3"/>
  <c r="BL71" i="3"/>
  <c r="BL72" i="3"/>
  <c r="BL73" i="3"/>
  <c r="BL97" i="3"/>
  <c r="BL23" i="3"/>
  <c r="BL29" i="3"/>
  <c r="BL31" i="3"/>
  <c r="BL80" i="3"/>
  <c r="BL106" i="3"/>
  <c r="BL37" i="3"/>
  <c r="BL41" i="3"/>
  <c r="BL45" i="3"/>
  <c r="BL49" i="3"/>
  <c r="BL53" i="3"/>
  <c r="BL57" i="3"/>
  <c r="BL59" i="3"/>
  <c r="BL63" i="3"/>
  <c r="BL67" i="3"/>
  <c r="BL69" i="3"/>
  <c r="BL75" i="3"/>
  <c r="BL77" i="3"/>
  <c r="BL82" i="3"/>
  <c r="BL104" i="3"/>
  <c r="BL124" i="3"/>
  <c r="BL34" i="3"/>
  <c r="BL38" i="3"/>
  <c r="BL42" i="3"/>
  <c r="BL46" i="3"/>
  <c r="BL50" i="3"/>
  <c r="BL54" i="3"/>
  <c r="BL58" i="3"/>
  <c r="BL60" i="3"/>
  <c r="BL64" i="3"/>
  <c r="BL70" i="3"/>
  <c r="BL81" i="3"/>
  <c r="BL91" i="3"/>
  <c r="BL93" i="3"/>
  <c r="BL86" i="3"/>
  <c r="BL88" i="3"/>
  <c r="BL79" i="3"/>
  <c r="BL83" i="3"/>
  <c r="BL87" i="3"/>
  <c r="BL95" i="3"/>
  <c r="BL136" i="3"/>
  <c r="BL108" i="3"/>
  <c r="BL114" i="3"/>
  <c r="BL116" i="3"/>
  <c r="BL120" i="3"/>
  <c r="BL103" i="3"/>
  <c r="BL109" i="3"/>
  <c r="BL111" i="3"/>
  <c r="BL121" i="3"/>
  <c r="BL123" i="3"/>
  <c r="BL127" i="3"/>
  <c r="BL132" i="3"/>
  <c r="BL138" i="3"/>
  <c r="BL128" i="3"/>
  <c r="BL130" i="3"/>
  <c r="BL134" i="3"/>
  <c r="BL140" i="3"/>
  <c r="BL125" i="3"/>
  <c r="BL131" i="3"/>
  <c r="BL142" i="3"/>
  <c r="V15" i="3"/>
  <c r="V14" i="3"/>
  <c r="V17" i="3"/>
  <c r="V16" i="3"/>
  <c r="V3" i="3"/>
  <c r="V26" i="3"/>
  <c r="V9" i="3"/>
  <c r="V22" i="3"/>
  <c r="V67" i="3"/>
  <c r="V28" i="3"/>
  <c r="V33" i="3"/>
  <c r="V6" i="3"/>
  <c r="V10" i="3"/>
  <c r="V18" i="3"/>
  <c r="V59" i="3"/>
  <c r="V63" i="3"/>
  <c r="V79" i="3"/>
  <c r="V86" i="3"/>
  <c r="V11" i="3"/>
  <c r="V13" i="3"/>
  <c r="V37" i="3"/>
  <c r="V41" i="3"/>
  <c r="V45" i="3"/>
  <c r="V49" i="3"/>
  <c r="V53" i="3"/>
  <c r="V57" i="3"/>
  <c r="V87" i="3"/>
  <c r="V4" i="3"/>
  <c r="V8" i="3"/>
  <c r="V12" i="3"/>
  <c r="V23" i="3"/>
  <c r="V29" i="3"/>
  <c r="V35" i="3"/>
  <c r="V69" i="3"/>
  <c r="V95" i="3"/>
  <c r="V20" i="3"/>
  <c r="V24" i="3"/>
  <c r="V30" i="3"/>
  <c r="V34" i="3"/>
  <c r="V75" i="3"/>
  <c r="V77" i="3"/>
  <c r="V83" i="3"/>
  <c r="V103" i="3"/>
  <c r="V120" i="3"/>
  <c r="V21" i="3"/>
  <c r="V25" i="3"/>
  <c r="V27" i="3"/>
  <c r="V31" i="3"/>
  <c r="V38" i="3"/>
  <c r="V42" i="3"/>
  <c r="V46" i="3"/>
  <c r="V50" i="3"/>
  <c r="V54" i="3"/>
  <c r="V58" i="3"/>
  <c r="V60" i="3"/>
  <c r="V64" i="3"/>
  <c r="V70" i="3"/>
  <c r="V88" i="3"/>
  <c r="V111" i="3"/>
  <c r="V39" i="3"/>
  <c r="V43" i="3"/>
  <c r="V47" i="3"/>
  <c r="V51" i="3"/>
  <c r="V55" i="3"/>
  <c r="V61" i="3"/>
  <c r="V65" i="3"/>
  <c r="V71" i="3"/>
  <c r="V73" i="3"/>
  <c r="V80" i="3"/>
  <c r="V82" i="3"/>
  <c r="V84" i="3"/>
  <c r="V128" i="3"/>
  <c r="V32" i="3"/>
  <c r="V36" i="3"/>
  <c r="V40" i="3"/>
  <c r="V44" i="3"/>
  <c r="V48" i="3"/>
  <c r="V52" i="3"/>
  <c r="V56" i="3"/>
  <c r="V62" i="3"/>
  <c r="V66" i="3"/>
  <c r="V68" i="3"/>
  <c r="V72" i="3"/>
  <c r="V76" i="3"/>
  <c r="V109" i="3"/>
  <c r="V134" i="3"/>
  <c r="V98" i="3"/>
  <c r="V108" i="3"/>
  <c r="V114" i="3"/>
  <c r="V116" i="3"/>
  <c r="V130" i="3"/>
  <c r="V131" i="3"/>
  <c r="V142" i="3"/>
  <c r="V81" i="3"/>
  <c r="V91" i="3"/>
  <c r="V93" i="3"/>
  <c r="V97" i="3"/>
  <c r="V99" i="3"/>
  <c r="V101" i="3"/>
  <c r="V104" i="3"/>
  <c r="V121" i="3"/>
  <c r="V123" i="3"/>
  <c r="V106" i="3"/>
  <c r="V118" i="3"/>
  <c r="V124" i="3"/>
  <c r="V113" i="3"/>
  <c r="V125" i="3"/>
  <c r="V132" i="3"/>
  <c r="V136" i="3"/>
  <c r="V127" i="3"/>
  <c r="V138" i="3"/>
  <c r="V140" i="3"/>
  <c r="O15" i="3"/>
  <c r="O16" i="3"/>
  <c r="O14" i="3"/>
  <c r="O17" i="3"/>
  <c r="O8" i="3"/>
  <c r="O12" i="3"/>
  <c r="O63" i="3"/>
  <c r="O3" i="3"/>
  <c r="O36" i="3"/>
  <c r="O40" i="3"/>
  <c r="O44" i="3"/>
  <c r="O48" i="3"/>
  <c r="O52" i="3"/>
  <c r="O56" i="3"/>
  <c r="O4" i="3"/>
  <c r="O59" i="3"/>
  <c r="O18" i="3"/>
  <c r="O9" i="3"/>
  <c r="O21" i="3"/>
  <c r="O22" i="3"/>
  <c r="O25" i="3"/>
  <c r="O26" i="3"/>
  <c r="O27" i="3"/>
  <c r="O28" i="3"/>
  <c r="O31" i="3"/>
  <c r="O32" i="3"/>
  <c r="O34" i="3"/>
  <c r="O37" i="3"/>
  <c r="O41" i="3"/>
  <c r="O45" i="3"/>
  <c r="O49" i="3"/>
  <c r="O53" i="3"/>
  <c r="O57" i="3"/>
  <c r="O99" i="3"/>
  <c r="O6" i="3"/>
  <c r="O10" i="3"/>
  <c r="O11" i="3"/>
  <c r="O13" i="3"/>
  <c r="O62" i="3"/>
  <c r="O66" i="3"/>
  <c r="O82" i="3"/>
  <c r="O67" i="3"/>
  <c r="O68" i="3"/>
  <c r="O69" i="3"/>
  <c r="O72" i="3"/>
  <c r="O97" i="3"/>
  <c r="O103" i="3"/>
  <c r="O120" i="3"/>
  <c r="O23" i="3"/>
  <c r="O29" i="3"/>
  <c r="O20" i="3"/>
  <c r="O24" i="3"/>
  <c r="O30" i="3"/>
  <c r="O33" i="3"/>
  <c r="O75" i="3"/>
  <c r="O76" i="3"/>
  <c r="O77" i="3"/>
  <c r="O101" i="3"/>
  <c r="O38" i="3"/>
  <c r="O42" i="3"/>
  <c r="O46" i="3"/>
  <c r="O50" i="3"/>
  <c r="O54" i="3"/>
  <c r="O58" i="3"/>
  <c r="O60" i="3"/>
  <c r="O64" i="3"/>
  <c r="O70" i="3"/>
  <c r="O81" i="3"/>
  <c r="O86" i="3"/>
  <c r="O88" i="3"/>
  <c r="O91" i="3"/>
  <c r="O93" i="3"/>
  <c r="O35" i="3"/>
  <c r="O39" i="3"/>
  <c r="O43" i="3"/>
  <c r="O47" i="3"/>
  <c r="O51" i="3"/>
  <c r="O55" i="3"/>
  <c r="O61" i="3"/>
  <c r="O65" i="3"/>
  <c r="O71" i="3"/>
  <c r="O73" i="3"/>
  <c r="O79" i="3"/>
  <c r="O83" i="3"/>
  <c r="O87" i="3"/>
  <c r="O95" i="3"/>
  <c r="O80" i="3"/>
  <c r="O84" i="3"/>
  <c r="O98" i="3"/>
  <c r="O108" i="3"/>
  <c r="O113" i="3"/>
  <c r="O114" i="3"/>
  <c r="O116" i="3"/>
  <c r="O109" i="3"/>
  <c r="O111" i="3"/>
  <c r="O121" i="3"/>
  <c r="O123" i="3"/>
  <c r="O125" i="3"/>
  <c r="O127" i="3"/>
  <c r="O128" i="3"/>
  <c r="O130" i="3"/>
  <c r="O134" i="3"/>
  <c r="O104" i="3"/>
  <c r="O106" i="3"/>
  <c r="O118" i="3"/>
  <c r="O124" i="3"/>
  <c r="O140" i="3"/>
  <c r="O131" i="3"/>
  <c r="O132" i="3"/>
  <c r="O136" i="3"/>
  <c r="O138" i="3"/>
  <c r="O142" i="3"/>
  <c r="T15" i="3"/>
  <c r="T17" i="3"/>
  <c r="T16" i="3"/>
  <c r="T14" i="3"/>
  <c r="T18" i="3"/>
  <c r="T62" i="3"/>
  <c r="T31" i="3"/>
  <c r="T61" i="3"/>
  <c r="T30" i="3"/>
  <c r="T11" i="3"/>
  <c r="T20" i="3"/>
  <c r="T21" i="3"/>
  <c r="T27" i="3"/>
  <c r="T65" i="3"/>
  <c r="T66" i="3"/>
  <c r="T72" i="3"/>
  <c r="T13" i="3"/>
  <c r="T24" i="3"/>
  <c r="T25" i="3"/>
  <c r="T71" i="3"/>
  <c r="T4" i="3"/>
  <c r="T8" i="3"/>
  <c r="T12" i="3"/>
  <c r="T36" i="3"/>
  <c r="T39" i="3"/>
  <c r="T40" i="3"/>
  <c r="T43" i="3"/>
  <c r="T44" i="3"/>
  <c r="T47" i="3"/>
  <c r="T48" i="3"/>
  <c r="T51" i="3"/>
  <c r="T52" i="3"/>
  <c r="T55" i="3"/>
  <c r="T56" i="3"/>
  <c r="T84" i="3"/>
  <c r="T3" i="3"/>
  <c r="T9" i="3"/>
  <c r="T68" i="3"/>
  <c r="T73" i="3"/>
  <c r="T6" i="3"/>
  <c r="T10" i="3"/>
  <c r="T32" i="3"/>
  <c r="T91" i="3"/>
  <c r="T93" i="3"/>
  <c r="T22" i="3"/>
  <c r="T26" i="3"/>
  <c r="T28" i="3"/>
  <c r="T35" i="3"/>
  <c r="T76" i="3"/>
  <c r="T80" i="3"/>
  <c r="T82" i="3"/>
  <c r="T23" i="3"/>
  <c r="T29" i="3"/>
  <c r="T33" i="3"/>
  <c r="T140" i="3"/>
  <c r="T37" i="3"/>
  <c r="T41" i="3"/>
  <c r="T45" i="3"/>
  <c r="T49" i="3"/>
  <c r="T53" i="3"/>
  <c r="T57" i="3"/>
  <c r="T59" i="3"/>
  <c r="T63" i="3"/>
  <c r="T67" i="3"/>
  <c r="T69" i="3"/>
  <c r="T75" i="3"/>
  <c r="T77" i="3"/>
  <c r="T81" i="3"/>
  <c r="T127" i="3"/>
  <c r="T34" i="3"/>
  <c r="T38" i="3"/>
  <c r="T42" i="3"/>
  <c r="T46" i="3"/>
  <c r="T50" i="3"/>
  <c r="T54" i="3"/>
  <c r="T58" i="3"/>
  <c r="T60" i="3"/>
  <c r="T64" i="3"/>
  <c r="T70" i="3"/>
  <c r="T97" i="3"/>
  <c r="T98" i="3"/>
  <c r="T99" i="3"/>
  <c r="T101" i="3"/>
  <c r="T104" i="3"/>
  <c r="T124" i="3"/>
  <c r="T86" i="3"/>
  <c r="T88" i="3"/>
  <c r="T106" i="3"/>
  <c r="T113" i="3"/>
  <c r="T118" i="3"/>
  <c r="T132" i="3"/>
  <c r="T79" i="3"/>
  <c r="T83" i="3"/>
  <c r="T87" i="3"/>
  <c r="T95" i="3"/>
  <c r="T108" i="3"/>
  <c r="T114" i="3"/>
  <c r="T116" i="3"/>
  <c r="T120" i="3"/>
  <c r="T103" i="3"/>
  <c r="T109" i="3"/>
  <c r="T111" i="3"/>
  <c r="T121" i="3"/>
  <c r="T123" i="3"/>
  <c r="T136" i="3"/>
  <c r="T128" i="3"/>
  <c r="T130" i="3"/>
  <c r="T134" i="3"/>
  <c r="T125" i="3"/>
  <c r="T131" i="3"/>
  <c r="T138" i="3"/>
  <c r="T142" i="3"/>
  <c r="AX17" i="3"/>
  <c r="AX15" i="3"/>
  <c r="AX14" i="3"/>
  <c r="AX16" i="3"/>
  <c r="AX18" i="3"/>
  <c r="AX3" i="3"/>
  <c r="AX9" i="3"/>
  <c r="AX6" i="3"/>
  <c r="AX10" i="3"/>
  <c r="AX23" i="3"/>
  <c r="AX29" i="3"/>
  <c r="AX60" i="3"/>
  <c r="AX64" i="3"/>
  <c r="AX11" i="3"/>
  <c r="AX13" i="3"/>
  <c r="AX22" i="3"/>
  <c r="AX26" i="3"/>
  <c r="AX28" i="3"/>
  <c r="AX38" i="3"/>
  <c r="AX42" i="3"/>
  <c r="AX46" i="3"/>
  <c r="AX50" i="3"/>
  <c r="AX54" i="3"/>
  <c r="AX58" i="3"/>
  <c r="AX77" i="3"/>
  <c r="AX4" i="3"/>
  <c r="AX8" i="3"/>
  <c r="AX12" i="3"/>
  <c r="AX33" i="3"/>
  <c r="AX75" i="3"/>
  <c r="AX70" i="3"/>
  <c r="AX83" i="3"/>
  <c r="AX123" i="3"/>
  <c r="AX20" i="3"/>
  <c r="AX24" i="3"/>
  <c r="AX30" i="3"/>
  <c r="AX37" i="3"/>
  <c r="AX41" i="3"/>
  <c r="AX45" i="3"/>
  <c r="AX49" i="3"/>
  <c r="AX53" i="3"/>
  <c r="AX57" i="3"/>
  <c r="AX59" i="3"/>
  <c r="AX63" i="3"/>
  <c r="AX67" i="3"/>
  <c r="AX69" i="3"/>
  <c r="AX121" i="3"/>
  <c r="AX21" i="3"/>
  <c r="AX25" i="3"/>
  <c r="AX27" i="3"/>
  <c r="AX31" i="3"/>
  <c r="AX34" i="3"/>
  <c r="AX79" i="3"/>
  <c r="AX114" i="3"/>
  <c r="AX35" i="3"/>
  <c r="AX39" i="3"/>
  <c r="AX43" i="3"/>
  <c r="AX47" i="3"/>
  <c r="AX51" i="3"/>
  <c r="AX55" i="3"/>
  <c r="AX61" i="3"/>
  <c r="AX65" i="3"/>
  <c r="AX71" i="3"/>
  <c r="AX73" i="3"/>
  <c r="AX87" i="3"/>
  <c r="AX95" i="3"/>
  <c r="AX108" i="3"/>
  <c r="AX116" i="3"/>
  <c r="AX32" i="3"/>
  <c r="AX36" i="3"/>
  <c r="AX40" i="3"/>
  <c r="AX44" i="3"/>
  <c r="AX48" i="3"/>
  <c r="AX52" i="3"/>
  <c r="AX56" i="3"/>
  <c r="AX62" i="3"/>
  <c r="AX66" i="3"/>
  <c r="AX68" i="3"/>
  <c r="AX72" i="3"/>
  <c r="AX76" i="3"/>
  <c r="AX80" i="3"/>
  <c r="AX82" i="3"/>
  <c r="AX84" i="3"/>
  <c r="AX86" i="3"/>
  <c r="AX88" i="3"/>
  <c r="AX98" i="3"/>
  <c r="AX103" i="3"/>
  <c r="AX120" i="3"/>
  <c r="AX142" i="3"/>
  <c r="AX81" i="3"/>
  <c r="AX91" i="3"/>
  <c r="AX93" i="3"/>
  <c r="AX97" i="3"/>
  <c r="AX99" i="3"/>
  <c r="AX101" i="3"/>
  <c r="AX109" i="3"/>
  <c r="AX111" i="3"/>
  <c r="AX125" i="3"/>
  <c r="AX104" i="3"/>
  <c r="AX106" i="3"/>
  <c r="AX118" i="3"/>
  <c r="AX124" i="3"/>
  <c r="AX131" i="3"/>
  <c r="AX113" i="3"/>
  <c r="AX128" i="3"/>
  <c r="AX130" i="3"/>
  <c r="AX134" i="3"/>
  <c r="AX132" i="3"/>
  <c r="AX136" i="3"/>
  <c r="AX127" i="3"/>
  <c r="AX138" i="3"/>
  <c r="AX140" i="3"/>
  <c r="AP17" i="3"/>
  <c r="AP16" i="3"/>
  <c r="AP15" i="3"/>
  <c r="AP14" i="3"/>
  <c r="AP38" i="3"/>
  <c r="AP42" i="3"/>
  <c r="AP46" i="3"/>
  <c r="AP50" i="3"/>
  <c r="AP54" i="3"/>
  <c r="AP58" i="3"/>
  <c r="AP3" i="3"/>
  <c r="AP9" i="3"/>
  <c r="AP18" i="3"/>
  <c r="AP6" i="3"/>
  <c r="AP10" i="3"/>
  <c r="AP23" i="3"/>
  <c r="AP29" i="3"/>
  <c r="AP77" i="3"/>
  <c r="AP11" i="3"/>
  <c r="AP13" i="3"/>
  <c r="AP22" i="3"/>
  <c r="AP26" i="3"/>
  <c r="AP28" i="3"/>
  <c r="AP75" i="3"/>
  <c r="AP4" i="3"/>
  <c r="AP8" i="3"/>
  <c r="AP12" i="3"/>
  <c r="AP34" i="3"/>
  <c r="AP60" i="3"/>
  <c r="AP64" i="3"/>
  <c r="AP70" i="3"/>
  <c r="AP84" i="3"/>
  <c r="AP108" i="3"/>
  <c r="AP116" i="3"/>
  <c r="AP20" i="3"/>
  <c r="AP24" i="3"/>
  <c r="AP30" i="3"/>
  <c r="AP37" i="3"/>
  <c r="AP41" i="3"/>
  <c r="AP45" i="3"/>
  <c r="AP49" i="3"/>
  <c r="AP53" i="3"/>
  <c r="AP57" i="3"/>
  <c r="AP59" i="3"/>
  <c r="AP63" i="3"/>
  <c r="AP67" i="3"/>
  <c r="AP69" i="3"/>
  <c r="AP82" i="3"/>
  <c r="AP21" i="3"/>
  <c r="AP25" i="3"/>
  <c r="AP27" i="3"/>
  <c r="AP31" i="3"/>
  <c r="AP33" i="3"/>
  <c r="AP35" i="3"/>
  <c r="AP80" i="3"/>
  <c r="AP39" i="3"/>
  <c r="AP43" i="3"/>
  <c r="AP47" i="3"/>
  <c r="AP51" i="3"/>
  <c r="AP55" i="3"/>
  <c r="AP61" i="3"/>
  <c r="AP65" i="3"/>
  <c r="AP71" i="3"/>
  <c r="AP73" i="3"/>
  <c r="AP87" i="3"/>
  <c r="AP95" i="3"/>
  <c r="AP123" i="3"/>
  <c r="AP32" i="3"/>
  <c r="AP36" i="3"/>
  <c r="AP40" i="3"/>
  <c r="AP44" i="3"/>
  <c r="AP48" i="3"/>
  <c r="AP52" i="3"/>
  <c r="AP56" i="3"/>
  <c r="AP62" i="3"/>
  <c r="AP66" i="3"/>
  <c r="AP68" i="3"/>
  <c r="AP72" i="3"/>
  <c r="AP76" i="3"/>
  <c r="AP79" i="3"/>
  <c r="AP83" i="3"/>
  <c r="AP86" i="3"/>
  <c r="AP88" i="3"/>
  <c r="AP103" i="3"/>
  <c r="AP114" i="3"/>
  <c r="AP121" i="3"/>
  <c r="AP98" i="3"/>
  <c r="AP120" i="3"/>
  <c r="AP81" i="3"/>
  <c r="AP91" i="3"/>
  <c r="AP93" i="3"/>
  <c r="AP97" i="3"/>
  <c r="AP99" i="3"/>
  <c r="AP101" i="3"/>
  <c r="AP109" i="3"/>
  <c r="AP111" i="3"/>
  <c r="AP104" i="3"/>
  <c r="AP106" i="3"/>
  <c r="AP118" i="3"/>
  <c r="AP124" i="3"/>
  <c r="AP125" i="3"/>
  <c r="AP131" i="3"/>
  <c r="AP113" i="3"/>
  <c r="AP128" i="3"/>
  <c r="AP130" i="3"/>
  <c r="AP134" i="3"/>
  <c r="AP132" i="3"/>
  <c r="AP136" i="3"/>
  <c r="AP127" i="3"/>
  <c r="AP142" i="3"/>
  <c r="AP138" i="3"/>
  <c r="AP140" i="3"/>
  <c r="N14" i="3"/>
  <c r="N16" i="3"/>
  <c r="N15" i="3"/>
  <c r="N17" i="3"/>
  <c r="N3" i="3"/>
  <c r="N9" i="3"/>
  <c r="N22" i="3"/>
  <c r="N34" i="3"/>
  <c r="N28" i="3"/>
  <c r="N37" i="3"/>
  <c r="N41" i="3"/>
  <c r="N45" i="3"/>
  <c r="N49" i="3"/>
  <c r="N53" i="3"/>
  <c r="N57" i="3"/>
  <c r="N26" i="3"/>
  <c r="N6" i="3"/>
  <c r="N10" i="3"/>
  <c r="N11" i="3"/>
  <c r="N13" i="3"/>
  <c r="N69" i="3"/>
  <c r="N4" i="3"/>
  <c r="N8" i="3"/>
  <c r="N12" i="3"/>
  <c r="N18" i="3"/>
  <c r="N23" i="3"/>
  <c r="N29" i="3"/>
  <c r="N59" i="3"/>
  <c r="N63" i="3"/>
  <c r="N67" i="3"/>
  <c r="N80" i="3"/>
  <c r="N88" i="3"/>
  <c r="N104" i="3"/>
  <c r="N20" i="3"/>
  <c r="N24" i="3"/>
  <c r="N30" i="3"/>
  <c r="N33" i="3"/>
  <c r="N35" i="3"/>
  <c r="N75" i="3"/>
  <c r="N77" i="3"/>
  <c r="N84" i="3"/>
  <c r="N86" i="3"/>
  <c r="N87" i="3"/>
  <c r="N21" i="3"/>
  <c r="N25" i="3"/>
  <c r="N27" i="3"/>
  <c r="N31" i="3"/>
  <c r="N38" i="3"/>
  <c r="N42" i="3"/>
  <c r="N46" i="3"/>
  <c r="N50" i="3"/>
  <c r="N54" i="3"/>
  <c r="N58" i="3"/>
  <c r="N60" i="3"/>
  <c r="N64" i="3"/>
  <c r="N70" i="3"/>
  <c r="N82" i="3"/>
  <c r="N95" i="3"/>
  <c r="N109" i="3"/>
  <c r="N39" i="3"/>
  <c r="N43" i="3"/>
  <c r="N47" i="3"/>
  <c r="N51" i="3"/>
  <c r="N55" i="3"/>
  <c r="N61" i="3"/>
  <c r="N65" i="3"/>
  <c r="N71" i="3"/>
  <c r="N73" i="3"/>
  <c r="N79" i="3"/>
  <c r="N83" i="3"/>
  <c r="N111" i="3"/>
  <c r="N130" i="3"/>
  <c r="N131" i="3"/>
  <c r="N32" i="3"/>
  <c r="N36" i="3"/>
  <c r="N40" i="3"/>
  <c r="N44" i="3"/>
  <c r="N48" i="3"/>
  <c r="N52" i="3"/>
  <c r="N56" i="3"/>
  <c r="N62" i="3"/>
  <c r="N66" i="3"/>
  <c r="N68" i="3"/>
  <c r="N72" i="3"/>
  <c r="N76" i="3"/>
  <c r="N120" i="3"/>
  <c r="N98" i="3"/>
  <c r="N108" i="3"/>
  <c r="N114" i="3"/>
  <c r="N116" i="3"/>
  <c r="N125" i="3"/>
  <c r="N134" i="3"/>
  <c r="N81" i="3"/>
  <c r="N91" i="3"/>
  <c r="N93" i="3"/>
  <c r="N97" i="3"/>
  <c r="N99" i="3"/>
  <c r="N101" i="3"/>
  <c r="N103" i="3"/>
  <c r="N121" i="3"/>
  <c r="N123" i="3"/>
  <c r="N128" i="3"/>
  <c r="N106" i="3"/>
  <c r="N118" i="3"/>
  <c r="N124" i="3"/>
  <c r="N113" i="3"/>
  <c r="N132" i="3"/>
  <c r="N136" i="3"/>
  <c r="N127" i="3"/>
  <c r="N138" i="3"/>
  <c r="N140" i="3"/>
  <c r="N142" i="3"/>
  <c r="S16" i="3"/>
  <c r="S15" i="3"/>
  <c r="S14" i="3"/>
  <c r="S17" i="3"/>
  <c r="S8" i="3"/>
  <c r="S12" i="3"/>
  <c r="S3" i="3"/>
  <c r="S4" i="3"/>
  <c r="S9" i="3"/>
  <c r="S6" i="3"/>
  <c r="S10" i="3"/>
  <c r="S34" i="3"/>
  <c r="S93" i="3"/>
  <c r="S127" i="3"/>
  <c r="S11" i="3"/>
  <c r="S13" i="3"/>
  <c r="S18" i="3"/>
  <c r="S21" i="3"/>
  <c r="S22" i="3"/>
  <c r="S25" i="3"/>
  <c r="S26" i="3"/>
  <c r="S27" i="3"/>
  <c r="S28" i="3"/>
  <c r="S31" i="3"/>
  <c r="S75" i="3"/>
  <c r="S76" i="3"/>
  <c r="S77" i="3"/>
  <c r="S82" i="3"/>
  <c r="S128" i="3"/>
  <c r="S23" i="3"/>
  <c r="S29" i="3"/>
  <c r="S33" i="3"/>
  <c r="S81" i="3"/>
  <c r="S88" i="3"/>
  <c r="S140" i="3"/>
  <c r="S20" i="3"/>
  <c r="S24" i="3"/>
  <c r="S30" i="3"/>
  <c r="S32" i="3"/>
  <c r="S36" i="3"/>
  <c r="S37" i="3"/>
  <c r="S40" i="3"/>
  <c r="S41" i="3"/>
  <c r="S44" i="3"/>
  <c r="S45" i="3"/>
  <c r="S48" i="3"/>
  <c r="S49" i="3"/>
  <c r="S52" i="3"/>
  <c r="S53" i="3"/>
  <c r="S56" i="3"/>
  <c r="S57" i="3"/>
  <c r="S59" i="3"/>
  <c r="S62" i="3"/>
  <c r="S63" i="3"/>
  <c r="S66" i="3"/>
  <c r="S67" i="3"/>
  <c r="S68" i="3"/>
  <c r="S69" i="3"/>
  <c r="S72" i="3"/>
  <c r="S86" i="3"/>
  <c r="S91" i="3"/>
  <c r="S38" i="3"/>
  <c r="S42" i="3"/>
  <c r="S46" i="3"/>
  <c r="S50" i="3"/>
  <c r="S54" i="3"/>
  <c r="S58" i="3"/>
  <c r="S60" i="3"/>
  <c r="S64" i="3"/>
  <c r="S70" i="3"/>
  <c r="S79" i="3"/>
  <c r="S83" i="3"/>
  <c r="S97" i="3"/>
  <c r="S99" i="3"/>
  <c r="S101" i="3"/>
  <c r="S113" i="3"/>
  <c r="S114" i="3"/>
  <c r="S125" i="3"/>
  <c r="S35" i="3"/>
  <c r="S39" i="3"/>
  <c r="S43" i="3"/>
  <c r="S47" i="3"/>
  <c r="S51" i="3"/>
  <c r="S55" i="3"/>
  <c r="S61" i="3"/>
  <c r="S65" i="3"/>
  <c r="S71" i="3"/>
  <c r="S73" i="3"/>
  <c r="S108" i="3"/>
  <c r="S116" i="3"/>
  <c r="S130" i="3"/>
  <c r="S87" i="3"/>
  <c r="S95" i="3"/>
  <c r="S80" i="3"/>
  <c r="S84" i="3"/>
  <c r="S98" i="3"/>
  <c r="S103" i="3"/>
  <c r="S120" i="3"/>
  <c r="S134" i="3"/>
  <c r="S109" i="3"/>
  <c r="S111" i="3"/>
  <c r="S121" i="3"/>
  <c r="S123" i="3"/>
  <c r="S104" i="3"/>
  <c r="S106" i="3"/>
  <c r="S118" i="3"/>
  <c r="S124" i="3"/>
  <c r="S131" i="3"/>
  <c r="S138" i="3"/>
  <c r="S132" i="3"/>
  <c r="S136" i="3"/>
  <c r="S142" i="3"/>
  <c r="AY16" i="3"/>
  <c r="AY17" i="3"/>
  <c r="AY15" i="3"/>
  <c r="AY14" i="3"/>
  <c r="AY8" i="3"/>
  <c r="AY12" i="3"/>
  <c r="AY4" i="3"/>
  <c r="AY93" i="3"/>
  <c r="AY3" i="3"/>
  <c r="AY9" i="3"/>
  <c r="AY18" i="3"/>
  <c r="AY6" i="3"/>
  <c r="AY10" i="3"/>
  <c r="AY34" i="3"/>
  <c r="AY125" i="3"/>
  <c r="AY11" i="3"/>
  <c r="AY13" i="3"/>
  <c r="AY21" i="3"/>
  <c r="AY22" i="3"/>
  <c r="AY25" i="3"/>
  <c r="AY26" i="3"/>
  <c r="AY27" i="3"/>
  <c r="AY28" i="3"/>
  <c r="AY31" i="3"/>
  <c r="AY75" i="3"/>
  <c r="AY76" i="3"/>
  <c r="AY77" i="3"/>
  <c r="AY82" i="3"/>
  <c r="AY23" i="3"/>
  <c r="AY29" i="3"/>
  <c r="AY33" i="3"/>
  <c r="AY81" i="3"/>
  <c r="AY88" i="3"/>
  <c r="AY127" i="3"/>
  <c r="AY20" i="3"/>
  <c r="AY24" i="3"/>
  <c r="AY30" i="3"/>
  <c r="AY32" i="3"/>
  <c r="AY36" i="3"/>
  <c r="AY37" i="3"/>
  <c r="AY40" i="3"/>
  <c r="AY41" i="3"/>
  <c r="AY44" i="3"/>
  <c r="AY45" i="3"/>
  <c r="AY48" i="3"/>
  <c r="AY49" i="3"/>
  <c r="AY52" i="3"/>
  <c r="AY53" i="3"/>
  <c r="AY56" i="3"/>
  <c r="AY57" i="3"/>
  <c r="AY59" i="3"/>
  <c r="AY62" i="3"/>
  <c r="AY63" i="3"/>
  <c r="AY66" i="3"/>
  <c r="AY67" i="3"/>
  <c r="AY68" i="3"/>
  <c r="AY69" i="3"/>
  <c r="AY72" i="3"/>
  <c r="AY86" i="3"/>
  <c r="AY91" i="3"/>
  <c r="AY128" i="3"/>
  <c r="AY38" i="3"/>
  <c r="AY42" i="3"/>
  <c r="AY46" i="3"/>
  <c r="AY50" i="3"/>
  <c r="AY54" i="3"/>
  <c r="AY58" i="3"/>
  <c r="AY60" i="3"/>
  <c r="AY64" i="3"/>
  <c r="AY70" i="3"/>
  <c r="AY79" i="3"/>
  <c r="AY83" i="3"/>
  <c r="AY97" i="3"/>
  <c r="AY99" i="3"/>
  <c r="AY101" i="3"/>
  <c r="AY113" i="3"/>
  <c r="AY114" i="3"/>
  <c r="AY35" i="3"/>
  <c r="AY39" i="3"/>
  <c r="AY43" i="3"/>
  <c r="AY47" i="3"/>
  <c r="AY51" i="3"/>
  <c r="AY55" i="3"/>
  <c r="AY61" i="3"/>
  <c r="AY65" i="3"/>
  <c r="AY71" i="3"/>
  <c r="AY73" i="3"/>
  <c r="AY108" i="3"/>
  <c r="AY116" i="3"/>
  <c r="AY130" i="3"/>
  <c r="AY87" i="3"/>
  <c r="AY95" i="3"/>
  <c r="AY140" i="3"/>
  <c r="AY80" i="3"/>
  <c r="AY84" i="3"/>
  <c r="AY98" i="3"/>
  <c r="AY103" i="3"/>
  <c r="AY120" i="3"/>
  <c r="AY134" i="3"/>
  <c r="AY109" i="3"/>
  <c r="AY111" i="3"/>
  <c r="AY121" i="3"/>
  <c r="AY123" i="3"/>
  <c r="AY104" i="3"/>
  <c r="AY106" i="3"/>
  <c r="AY118" i="3"/>
  <c r="AY124" i="3"/>
  <c r="AY131" i="3"/>
  <c r="AY138" i="3"/>
  <c r="AY132" i="3"/>
  <c r="AY136" i="3"/>
  <c r="AY142" i="3"/>
  <c r="X15" i="3"/>
  <c r="X17" i="3"/>
  <c r="X14" i="3"/>
  <c r="X16" i="3"/>
  <c r="X35" i="3"/>
  <c r="X13" i="3"/>
  <c r="X11" i="3"/>
  <c r="X4" i="3"/>
  <c r="X8" i="3"/>
  <c r="X12" i="3"/>
  <c r="X3" i="3"/>
  <c r="X9" i="3"/>
  <c r="X20" i="3"/>
  <c r="X21" i="3"/>
  <c r="X24" i="3"/>
  <c r="X25" i="3"/>
  <c r="X27" i="3"/>
  <c r="X30" i="3"/>
  <c r="X31" i="3"/>
  <c r="X76" i="3"/>
  <c r="X81" i="3"/>
  <c r="X97" i="3"/>
  <c r="X6" i="3"/>
  <c r="X10" i="3"/>
  <c r="X18" i="3"/>
  <c r="X136" i="3"/>
  <c r="X22" i="3"/>
  <c r="X26" i="3"/>
  <c r="X28" i="3"/>
  <c r="X33" i="3"/>
  <c r="X36" i="3"/>
  <c r="X39" i="3"/>
  <c r="X40" i="3"/>
  <c r="X43" i="3"/>
  <c r="X44" i="3"/>
  <c r="X47" i="3"/>
  <c r="X48" i="3"/>
  <c r="X51" i="3"/>
  <c r="X52" i="3"/>
  <c r="X55" i="3"/>
  <c r="X56" i="3"/>
  <c r="X61" i="3"/>
  <c r="X62" i="3"/>
  <c r="X65" i="3"/>
  <c r="X66" i="3"/>
  <c r="X68" i="3"/>
  <c r="X71" i="3"/>
  <c r="X72" i="3"/>
  <c r="X73" i="3"/>
  <c r="X98" i="3"/>
  <c r="X101" i="3"/>
  <c r="X104" i="3"/>
  <c r="X23" i="3"/>
  <c r="X29" i="3"/>
  <c r="X32" i="3"/>
  <c r="X82" i="3"/>
  <c r="X99" i="3"/>
  <c r="X37" i="3"/>
  <c r="X41" i="3"/>
  <c r="X45" i="3"/>
  <c r="X49" i="3"/>
  <c r="X53" i="3"/>
  <c r="X57" i="3"/>
  <c r="X59" i="3"/>
  <c r="X63" i="3"/>
  <c r="X67" i="3"/>
  <c r="X69" i="3"/>
  <c r="X75" i="3"/>
  <c r="X77" i="3"/>
  <c r="X34" i="3"/>
  <c r="X38" i="3"/>
  <c r="X42" i="3"/>
  <c r="X46" i="3"/>
  <c r="X50" i="3"/>
  <c r="X54" i="3"/>
  <c r="X58" i="3"/>
  <c r="X60" i="3"/>
  <c r="X64" i="3"/>
  <c r="X70" i="3"/>
  <c r="X80" i="3"/>
  <c r="X84" i="3"/>
  <c r="X91" i="3"/>
  <c r="X93" i="3"/>
  <c r="X106" i="3"/>
  <c r="X113" i="3"/>
  <c r="X118" i="3"/>
  <c r="X86" i="3"/>
  <c r="X88" i="3"/>
  <c r="X124" i="3"/>
  <c r="X79" i="3"/>
  <c r="X83" i="3"/>
  <c r="X87" i="3"/>
  <c r="X95" i="3"/>
  <c r="X142" i="3"/>
  <c r="X108" i="3"/>
  <c r="X114" i="3"/>
  <c r="X116" i="3"/>
  <c r="X120" i="3"/>
  <c r="X140" i="3"/>
  <c r="X103" i="3"/>
  <c r="X109" i="3"/>
  <c r="X111" i="3"/>
  <c r="X121" i="3"/>
  <c r="X123" i="3"/>
  <c r="X127" i="3"/>
  <c r="X132" i="3"/>
  <c r="X128" i="3"/>
  <c r="X130" i="3"/>
  <c r="X134" i="3"/>
  <c r="X138" i="3"/>
  <c r="X125" i="3"/>
  <c r="X131" i="3"/>
  <c r="BD15" i="3"/>
  <c r="BD16" i="3"/>
  <c r="BD17" i="3"/>
  <c r="BD14" i="3"/>
  <c r="BD13" i="3"/>
  <c r="BD11" i="3"/>
  <c r="BD97" i="3"/>
  <c r="BD4" i="3"/>
  <c r="BD8" i="3"/>
  <c r="BD12" i="3"/>
  <c r="BD81" i="3"/>
  <c r="BD3" i="3"/>
  <c r="BD9" i="3"/>
  <c r="BD20" i="3"/>
  <c r="BD21" i="3"/>
  <c r="BD24" i="3"/>
  <c r="BD25" i="3"/>
  <c r="BD27" i="3"/>
  <c r="BD30" i="3"/>
  <c r="BD31" i="3"/>
  <c r="BD76" i="3"/>
  <c r="BD6" i="3"/>
  <c r="BD10" i="3"/>
  <c r="BD18" i="3"/>
  <c r="BD22" i="3"/>
  <c r="BD26" i="3"/>
  <c r="BD28" i="3"/>
  <c r="BD33" i="3"/>
  <c r="BD35" i="3"/>
  <c r="BD36" i="3"/>
  <c r="BD39" i="3"/>
  <c r="BD40" i="3"/>
  <c r="BD43" i="3"/>
  <c r="BD44" i="3"/>
  <c r="BD47" i="3"/>
  <c r="BD48" i="3"/>
  <c r="BD51" i="3"/>
  <c r="BD52" i="3"/>
  <c r="BD55" i="3"/>
  <c r="BD56" i="3"/>
  <c r="BD61" i="3"/>
  <c r="BD62" i="3"/>
  <c r="BD65" i="3"/>
  <c r="BD66" i="3"/>
  <c r="BD68" i="3"/>
  <c r="BD71" i="3"/>
  <c r="BD72" i="3"/>
  <c r="BD73" i="3"/>
  <c r="BD98" i="3"/>
  <c r="BD101" i="3"/>
  <c r="BD104" i="3"/>
  <c r="BD23" i="3"/>
  <c r="BD29" i="3"/>
  <c r="BD32" i="3"/>
  <c r="BD82" i="3"/>
  <c r="BD99" i="3"/>
  <c r="BD136" i="3"/>
  <c r="BD37" i="3"/>
  <c r="BD41" i="3"/>
  <c r="BD45" i="3"/>
  <c r="BD49" i="3"/>
  <c r="BD53" i="3"/>
  <c r="BD57" i="3"/>
  <c r="BD59" i="3"/>
  <c r="BD63" i="3"/>
  <c r="BD67" i="3"/>
  <c r="BD69" i="3"/>
  <c r="BD75" i="3"/>
  <c r="BD77" i="3"/>
  <c r="BD34" i="3"/>
  <c r="BD38" i="3"/>
  <c r="BD42" i="3"/>
  <c r="BD46" i="3"/>
  <c r="BD50" i="3"/>
  <c r="BD54" i="3"/>
  <c r="BD58" i="3"/>
  <c r="BD60" i="3"/>
  <c r="BD64" i="3"/>
  <c r="BD70" i="3"/>
  <c r="BD80" i="3"/>
  <c r="BD84" i="3"/>
  <c r="BD91" i="3"/>
  <c r="BD93" i="3"/>
  <c r="BD106" i="3"/>
  <c r="BD113" i="3"/>
  <c r="BD118" i="3"/>
  <c r="BD86" i="3"/>
  <c r="BD88" i="3"/>
  <c r="BD79" i="3"/>
  <c r="BD83" i="3"/>
  <c r="BD87" i="3"/>
  <c r="BD95" i="3"/>
  <c r="BD108" i="3"/>
  <c r="BD114" i="3"/>
  <c r="BD116" i="3"/>
  <c r="BD120" i="3"/>
  <c r="BD140" i="3"/>
  <c r="BD103" i="3"/>
  <c r="BD109" i="3"/>
  <c r="BD111" i="3"/>
  <c r="BD121" i="3"/>
  <c r="BD123" i="3"/>
  <c r="BD124" i="3"/>
  <c r="BD127" i="3"/>
  <c r="BD132" i="3"/>
  <c r="BD128" i="3"/>
  <c r="BD130" i="3"/>
  <c r="BD134" i="3"/>
  <c r="BD138" i="3"/>
  <c r="BD125" i="3"/>
  <c r="BD131" i="3"/>
  <c r="BD142" i="3"/>
  <c r="AL14" i="3"/>
  <c r="AL17" i="3"/>
  <c r="AL16" i="3"/>
  <c r="AL15" i="3"/>
  <c r="AL22" i="3"/>
  <c r="AL28" i="3"/>
  <c r="AL3" i="3"/>
  <c r="AL9" i="3"/>
  <c r="AL26" i="3"/>
  <c r="AL83" i="3"/>
  <c r="AL6" i="3"/>
  <c r="AL10" i="3"/>
  <c r="AL35" i="3"/>
  <c r="AL59" i="3"/>
  <c r="AL63" i="3"/>
  <c r="AL69" i="3"/>
  <c r="AL11" i="3"/>
  <c r="AL13" i="3"/>
  <c r="AL18" i="3"/>
  <c r="AL33" i="3"/>
  <c r="AL37" i="3"/>
  <c r="AL41" i="3"/>
  <c r="AL45" i="3"/>
  <c r="AL49" i="3"/>
  <c r="AL53" i="3"/>
  <c r="AL57" i="3"/>
  <c r="AL67" i="3"/>
  <c r="AL86" i="3"/>
  <c r="AL120" i="3"/>
  <c r="AL134" i="3"/>
  <c r="AL4" i="3"/>
  <c r="AL8" i="3"/>
  <c r="AL12" i="3"/>
  <c r="AL23" i="3"/>
  <c r="AL29" i="3"/>
  <c r="AL87" i="3"/>
  <c r="AL95" i="3"/>
  <c r="AL111" i="3"/>
  <c r="AL20" i="3"/>
  <c r="AL24" i="3"/>
  <c r="AL30" i="3"/>
  <c r="AL34" i="3"/>
  <c r="AL75" i="3"/>
  <c r="AL77" i="3"/>
  <c r="AL79" i="3"/>
  <c r="AL128" i="3"/>
  <c r="AL21" i="3"/>
  <c r="AL25" i="3"/>
  <c r="AL27" i="3"/>
  <c r="AL31" i="3"/>
  <c r="AL38" i="3"/>
  <c r="AL42" i="3"/>
  <c r="AL46" i="3"/>
  <c r="AL50" i="3"/>
  <c r="AL54" i="3"/>
  <c r="AL58" i="3"/>
  <c r="AL60" i="3"/>
  <c r="AL64" i="3"/>
  <c r="AL70" i="3"/>
  <c r="AL88" i="3"/>
  <c r="AL39" i="3"/>
  <c r="AL43" i="3"/>
  <c r="AL47" i="3"/>
  <c r="AL51" i="3"/>
  <c r="AL55" i="3"/>
  <c r="AL61" i="3"/>
  <c r="AL65" i="3"/>
  <c r="AL71" i="3"/>
  <c r="AL73" i="3"/>
  <c r="AL80" i="3"/>
  <c r="AL82" i="3"/>
  <c r="AL84" i="3"/>
  <c r="AL103" i="3"/>
  <c r="AL32" i="3"/>
  <c r="AL36" i="3"/>
  <c r="AL40" i="3"/>
  <c r="AL44" i="3"/>
  <c r="AL48" i="3"/>
  <c r="AL52" i="3"/>
  <c r="AL56" i="3"/>
  <c r="AL62" i="3"/>
  <c r="AL66" i="3"/>
  <c r="AL68" i="3"/>
  <c r="AL72" i="3"/>
  <c r="AL76" i="3"/>
  <c r="AL109" i="3"/>
  <c r="AL142" i="3"/>
  <c r="AL98" i="3"/>
  <c r="AL108" i="3"/>
  <c r="AL114" i="3"/>
  <c r="AL116" i="3"/>
  <c r="AL130" i="3"/>
  <c r="AL131" i="3"/>
  <c r="AL81" i="3"/>
  <c r="AL91" i="3"/>
  <c r="AL93" i="3"/>
  <c r="AL97" i="3"/>
  <c r="AL99" i="3"/>
  <c r="AL101" i="3"/>
  <c r="AL121" i="3"/>
  <c r="AL123" i="3"/>
  <c r="AL104" i="3"/>
  <c r="AL106" i="3"/>
  <c r="AL118" i="3"/>
  <c r="AL124" i="3"/>
  <c r="AL113" i="3"/>
  <c r="AL125" i="3"/>
  <c r="AL132" i="3"/>
  <c r="AL136" i="3"/>
  <c r="AL127" i="3"/>
  <c r="AL138" i="3"/>
  <c r="AL140" i="3"/>
  <c r="AS17" i="3"/>
  <c r="AS15" i="3"/>
  <c r="AS16" i="3"/>
  <c r="AS14" i="3"/>
  <c r="AS6" i="3"/>
  <c r="AS35" i="3"/>
  <c r="AS39" i="3"/>
  <c r="AS43" i="3"/>
  <c r="AS47" i="3"/>
  <c r="AS51" i="3"/>
  <c r="AS55" i="3"/>
  <c r="AS81" i="3"/>
  <c r="AS10" i="3"/>
  <c r="AS11" i="3"/>
  <c r="AS13" i="3"/>
  <c r="AS20" i="3"/>
  <c r="AS24" i="3"/>
  <c r="AS30" i="3"/>
  <c r="AS4" i="3"/>
  <c r="AS8" i="3"/>
  <c r="AS12" i="3"/>
  <c r="AS23" i="3"/>
  <c r="AS29" i="3"/>
  <c r="AS3" i="3"/>
  <c r="AS9" i="3"/>
  <c r="AS61" i="3"/>
  <c r="AS65" i="3"/>
  <c r="AS71" i="3"/>
  <c r="AS73" i="3"/>
  <c r="AS79" i="3"/>
  <c r="AS21" i="3"/>
  <c r="AS25" i="3"/>
  <c r="AS27" i="3"/>
  <c r="AS31" i="3"/>
  <c r="AS38" i="3"/>
  <c r="AS42" i="3"/>
  <c r="AS46" i="3"/>
  <c r="AS50" i="3"/>
  <c r="AS54" i="3"/>
  <c r="AS58" i="3"/>
  <c r="AS60" i="3"/>
  <c r="AS64" i="3"/>
  <c r="AS70" i="3"/>
  <c r="AS109" i="3"/>
  <c r="AS111" i="3"/>
  <c r="AS18" i="3"/>
  <c r="AS22" i="3"/>
  <c r="AS26" i="3"/>
  <c r="AS28" i="3"/>
  <c r="AS32" i="3"/>
  <c r="AS34" i="3"/>
  <c r="AS83" i="3"/>
  <c r="AS98" i="3"/>
  <c r="AS36" i="3"/>
  <c r="AS40" i="3"/>
  <c r="AS44" i="3"/>
  <c r="AS48" i="3"/>
  <c r="AS52" i="3"/>
  <c r="AS56" i="3"/>
  <c r="AS62" i="3"/>
  <c r="AS66" i="3"/>
  <c r="AS68" i="3"/>
  <c r="AS72" i="3"/>
  <c r="AS76" i="3"/>
  <c r="AS124" i="3"/>
  <c r="AS33" i="3"/>
  <c r="AS37" i="3"/>
  <c r="AS41" i="3"/>
  <c r="AS45" i="3"/>
  <c r="AS49" i="3"/>
  <c r="AS53" i="3"/>
  <c r="AS57" i="3"/>
  <c r="AS59" i="3"/>
  <c r="AS63" i="3"/>
  <c r="AS67" i="3"/>
  <c r="AS69" i="3"/>
  <c r="AS75" i="3"/>
  <c r="AS77" i="3"/>
  <c r="AS80" i="3"/>
  <c r="AS84" i="3"/>
  <c r="AS87" i="3"/>
  <c r="AS95" i="3"/>
  <c r="AS125" i="3"/>
  <c r="AS91" i="3"/>
  <c r="AS93" i="3"/>
  <c r="AS97" i="3"/>
  <c r="AS99" i="3"/>
  <c r="AS101" i="3"/>
  <c r="AS103" i="3"/>
  <c r="AS121" i="3"/>
  <c r="AS123" i="3"/>
  <c r="AS136" i="3"/>
  <c r="AS82" i="3"/>
  <c r="AS86" i="3"/>
  <c r="AS88" i="3"/>
  <c r="AS104" i="3"/>
  <c r="AS106" i="3"/>
  <c r="AS118" i="3"/>
  <c r="AS113" i="3"/>
  <c r="AS132" i="3"/>
  <c r="AS140" i="3"/>
  <c r="AS108" i="3"/>
  <c r="AS114" i="3"/>
  <c r="AS116" i="3"/>
  <c r="AS120" i="3"/>
  <c r="AS131" i="3"/>
  <c r="AS142" i="3"/>
  <c r="AS127" i="3"/>
  <c r="AS138" i="3"/>
  <c r="AS128" i="3"/>
  <c r="AS130" i="3"/>
  <c r="AS134" i="3"/>
  <c r="I16" i="3"/>
  <c r="I17" i="3"/>
  <c r="I15" i="3"/>
  <c r="I14" i="3"/>
  <c r="I6" i="3"/>
  <c r="I23" i="3"/>
  <c r="I10" i="3"/>
  <c r="I29" i="3"/>
  <c r="I84" i="3"/>
  <c r="I11" i="3"/>
  <c r="I13" i="3"/>
  <c r="I125" i="3"/>
  <c r="I4" i="3"/>
  <c r="I8" i="3"/>
  <c r="I12" i="3"/>
  <c r="I34" i="3"/>
  <c r="I60" i="3"/>
  <c r="I64" i="3"/>
  <c r="I70" i="3"/>
  <c r="I106" i="3"/>
  <c r="I3" i="3"/>
  <c r="I9" i="3"/>
  <c r="I20" i="3"/>
  <c r="I24" i="3"/>
  <c r="I30" i="3"/>
  <c r="I32" i="3"/>
  <c r="I38" i="3"/>
  <c r="I42" i="3"/>
  <c r="I46" i="3"/>
  <c r="I50" i="3"/>
  <c r="I54" i="3"/>
  <c r="I58" i="3"/>
  <c r="I123" i="3"/>
  <c r="I87" i="3"/>
  <c r="I21" i="3"/>
  <c r="I25" i="3"/>
  <c r="I27" i="3"/>
  <c r="I31" i="3"/>
  <c r="I35" i="3"/>
  <c r="I80" i="3"/>
  <c r="I95" i="3"/>
  <c r="I118" i="3"/>
  <c r="I18" i="3"/>
  <c r="I22" i="3"/>
  <c r="I26" i="3"/>
  <c r="I28" i="3"/>
  <c r="I39" i="3"/>
  <c r="I43" i="3"/>
  <c r="I47" i="3"/>
  <c r="I51" i="3"/>
  <c r="I55" i="3"/>
  <c r="I61" i="3"/>
  <c r="I65" i="3"/>
  <c r="I71" i="3"/>
  <c r="I73" i="3"/>
  <c r="I36" i="3"/>
  <c r="I40" i="3"/>
  <c r="I44" i="3"/>
  <c r="I48" i="3"/>
  <c r="I52" i="3"/>
  <c r="I56" i="3"/>
  <c r="I62" i="3"/>
  <c r="I66" i="3"/>
  <c r="I68" i="3"/>
  <c r="I72" i="3"/>
  <c r="I76" i="3"/>
  <c r="I79" i="3"/>
  <c r="I81" i="3"/>
  <c r="I83" i="3"/>
  <c r="I98" i="3"/>
  <c r="I121" i="3"/>
  <c r="I33" i="3"/>
  <c r="I37" i="3"/>
  <c r="I41" i="3"/>
  <c r="I45" i="3"/>
  <c r="I49" i="3"/>
  <c r="I53" i="3"/>
  <c r="I57" i="3"/>
  <c r="I59" i="3"/>
  <c r="I63" i="3"/>
  <c r="I67" i="3"/>
  <c r="I69" i="3"/>
  <c r="I75" i="3"/>
  <c r="I77" i="3"/>
  <c r="I104" i="3"/>
  <c r="I91" i="3"/>
  <c r="I93" i="3"/>
  <c r="I97" i="3"/>
  <c r="I99" i="3"/>
  <c r="I101" i="3"/>
  <c r="I109" i="3"/>
  <c r="I111" i="3"/>
  <c r="I82" i="3"/>
  <c r="I86" i="3"/>
  <c r="I88" i="3"/>
  <c r="I103" i="3"/>
  <c r="I124" i="3"/>
  <c r="I131" i="3"/>
  <c r="I132" i="3"/>
  <c r="I140" i="3"/>
  <c r="I113" i="3"/>
  <c r="I136" i="3"/>
  <c r="I108" i="3"/>
  <c r="I114" i="3"/>
  <c r="I116" i="3"/>
  <c r="I120" i="3"/>
  <c r="I127" i="3"/>
  <c r="I128" i="3"/>
  <c r="I130" i="3"/>
  <c r="I134" i="3"/>
  <c r="I138" i="3"/>
  <c r="I142" i="3"/>
  <c r="G15" i="3"/>
  <c r="G14" i="3"/>
  <c r="G16" i="3"/>
  <c r="G17" i="3"/>
  <c r="G4" i="3"/>
  <c r="G3" i="3"/>
  <c r="G8" i="3"/>
  <c r="G12" i="3"/>
  <c r="G9" i="3"/>
  <c r="G21" i="3"/>
  <c r="G22" i="3"/>
  <c r="G25" i="3"/>
  <c r="G26" i="3"/>
  <c r="G27" i="3"/>
  <c r="G28" i="3"/>
  <c r="G31" i="3"/>
  <c r="G62" i="3"/>
  <c r="G66" i="3"/>
  <c r="G6" i="3"/>
  <c r="G10" i="3"/>
  <c r="G18" i="3"/>
  <c r="G36" i="3"/>
  <c r="G40" i="3"/>
  <c r="G44" i="3"/>
  <c r="G48" i="3"/>
  <c r="G52" i="3"/>
  <c r="G56" i="3"/>
  <c r="G59" i="3"/>
  <c r="G63" i="3"/>
  <c r="G11" i="3"/>
  <c r="G13" i="3"/>
  <c r="G33" i="3"/>
  <c r="G37" i="3"/>
  <c r="G41" i="3"/>
  <c r="G45" i="3"/>
  <c r="G49" i="3"/>
  <c r="G53" i="3"/>
  <c r="G57" i="3"/>
  <c r="G67" i="3"/>
  <c r="G68" i="3"/>
  <c r="G69" i="3"/>
  <c r="G72" i="3"/>
  <c r="G81" i="3"/>
  <c r="G83" i="3"/>
  <c r="G101" i="3"/>
  <c r="G23" i="3"/>
  <c r="G29" i="3"/>
  <c r="G32" i="3"/>
  <c r="G99" i="3"/>
  <c r="G20" i="3"/>
  <c r="G24" i="3"/>
  <c r="G30" i="3"/>
  <c r="G34" i="3"/>
  <c r="G75" i="3"/>
  <c r="G76" i="3"/>
  <c r="G77" i="3"/>
  <c r="G79" i="3"/>
  <c r="G97" i="3"/>
  <c r="G38" i="3"/>
  <c r="G42" i="3"/>
  <c r="G46" i="3"/>
  <c r="G50" i="3"/>
  <c r="G54" i="3"/>
  <c r="G58" i="3"/>
  <c r="G60" i="3"/>
  <c r="G64" i="3"/>
  <c r="G70" i="3"/>
  <c r="G86" i="3"/>
  <c r="G88" i="3"/>
  <c r="G91" i="3"/>
  <c r="G93" i="3"/>
  <c r="G120" i="3"/>
  <c r="G35" i="3"/>
  <c r="G39" i="3"/>
  <c r="G43" i="3"/>
  <c r="G47" i="3"/>
  <c r="G51" i="3"/>
  <c r="G55" i="3"/>
  <c r="G61" i="3"/>
  <c r="G65" i="3"/>
  <c r="G71" i="3"/>
  <c r="G73" i="3"/>
  <c r="G82" i="3"/>
  <c r="G87" i="3"/>
  <c r="G95" i="3"/>
  <c r="G103" i="3"/>
  <c r="G80" i="3"/>
  <c r="G84" i="3"/>
  <c r="G98" i="3"/>
  <c r="G108" i="3"/>
  <c r="G113" i="3"/>
  <c r="G114" i="3"/>
  <c r="G116" i="3"/>
  <c r="G125" i="3"/>
  <c r="G109" i="3"/>
  <c r="G111" i="3"/>
  <c r="G121" i="3"/>
  <c r="G123" i="3"/>
  <c r="G127" i="3"/>
  <c r="G128" i="3"/>
  <c r="G130" i="3"/>
  <c r="G134" i="3"/>
  <c r="G138" i="3"/>
  <c r="G104" i="3"/>
  <c r="G106" i="3"/>
  <c r="G118" i="3"/>
  <c r="G124" i="3"/>
  <c r="G131" i="3"/>
  <c r="G132" i="3"/>
  <c r="G136" i="3"/>
  <c r="G140" i="3"/>
  <c r="G142" i="3"/>
  <c r="AM16" i="3"/>
  <c r="AM15" i="3"/>
  <c r="AM14" i="3"/>
  <c r="AM17" i="3"/>
  <c r="AM4" i="3"/>
  <c r="AM8" i="3"/>
  <c r="AM12" i="3"/>
  <c r="AM3" i="3"/>
  <c r="AM9" i="3"/>
  <c r="AM21" i="3"/>
  <c r="AM22" i="3"/>
  <c r="AM25" i="3"/>
  <c r="AM26" i="3"/>
  <c r="AM27" i="3"/>
  <c r="AM28" i="3"/>
  <c r="AM31" i="3"/>
  <c r="AM62" i="3"/>
  <c r="AM66" i="3"/>
  <c r="AM6" i="3"/>
  <c r="AM10" i="3"/>
  <c r="AM36" i="3"/>
  <c r="AM40" i="3"/>
  <c r="AM44" i="3"/>
  <c r="AM48" i="3"/>
  <c r="AM52" i="3"/>
  <c r="AM56" i="3"/>
  <c r="AM59" i="3"/>
  <c r="AM63" i="3"/>
  <c r="AM11" i="3"/>
  <c r="AM13" i="3"/>
  <c r="AM18" i="3"/>
  <c r="AM33" i="3"/>
  <c r="AM37" i="3"/>
  <c r="AM41" i="3"/>
  <c r="AM45" i="3"/>
  <c r="AM49" i="3"/>
  <c r="AM53" i="3"/>
  <c r="AM57" i="3"/>
  <c r="AM67" i="3"/>
  <c r="AM68" i="3"/>
  <c r="AM69" i="3"/>
  <c r="AM72" i="3"/>
  <c r="AM81" i="3"/>
  <c r="AM83" i="3"/>
  <c r="AM101" i="3"/>
  <c r="AM23" i="3"/>
  <c r="AM29" i="3"/>
  <c r="AM32" i="3"/>
  <c r="AM99" i="3"/>
  <c r="AM20" i="3"/>
  <c r="AM24" i="3"/>
  <c r="AM30" i="3"/>
  <c r="AM34" i="3"/>
  <c r="AM75" i="3"/>
  <c r="AM76" i="3"/>
  <c r="AM77" i="3"/>
  <c r="AM79" i="3"/>
  <c r="AM97" i="3"/>
  <c r="AM38" i="3"/>
  <c r="AM42" i="3"/>
  <c r="AM46" i="3"/>
  <c r="AM50" i="3"/>
  <c r="AM54" i="3"/>
  <c r="AM58" i="3"/>
  <c r="AM60" i="3"/>
  <c r="AM64" i="3"/>
  <c r="AM70" i="3"/>
  <c r="AM86" i="3"/>
  <c r="AM88" i="3"/>
  <c r="AM91" i="3"/>
  <c r="AM93" i="3"/>
  <c r="AM120" i="3"/>
  <c r="AM35" i="3"/>
  <c r="AM39" i="3"/>
  <c r="AM43" i="3"/>
  <c r="AM47" i="3"/>
  <c r="AM51" i="3"/>
  <c r="AM55" i="3"/>
  <c r="AM61" i="3"/>
  <c r="AM65" i="3"/>
  <c r="AM71" i="3"/>
  <c r="AM73" i="3"/>
  <c r="AM82" i="3"/>
  <c r="AM87" i="3"/>
  <c r="AM95" i="3"/>
  <c r="AM103" i="3"/>
  <c r="AM80" i="3"/>
  <c r="AM84" i="3"/>
  <c r="AM98" i="3"/>
  <c r="AM108" i="3"/>
  <c r="AM113" i="3"/>
  <c r="AM114" i="3"/>
  <c r="AM116" i="3"/>
  <c r="AM125" i="3"/>
  <c r="AM109" i="3"/>
  <c r="AM111" i="3"/>
  <c r="AM121" i="3"/>
  <c r="AM123" i="3"/>
  <c r="AM127" i="3"/>
  <c r="AM128" i="3"/>
  <c r="AM130" i="3"/>
  <c r="AM134" i="3"/>
  <c r="AM138" i="3"/>
  <c r="AM104" i="3"/>
  <c r="AM106" i="3"/>
  <c r="AM118" i="3"/>
  <c r="AM124" i="3"/>
  <c r="AM131" i="3"/>
  <c r="AM132" i="3"/>
  <c r="AM136" i="3"/>
  <c r="AM140" i="3"/>
  <c r="AM142" i="3"/>
  <c r="L17" i="3"/>
  <c r="L15" i="3"/>
  <c r="L14" i="3"/>
  <c r="L16" i="3"/>
  <c r="L20" i="3"/>
  <c r="L21" i="3"/>
  <c r="L13" i="3"/>
  <c r="L27" i="3"/>
  <c r="L24" i="3"/>
  <c r="L25" i="3"/>
  <c r="L11" i="3"/>
  <c r="L30" i="3"/>
  <c r="L31" i="3"/>
  <c r="L4" i="3"/>
  <c r="L8" i="3"/>
  <c r="L12" i="3"/>
  <c r="L33" i="3"/>
  <c r="L68" i="3"/>
  <c r="L73" i="3"/>
  <c r="L3" i="3"/>
  <c r="L9" i="3"/>
  <c r="L18" i="3"/>
  <c r="L61" i="3"/>
  <c r="L62" i="3"/>
  <c r="L65" i="3"/>
  <c r="L66" i="3"/>
  <c r="L124" i="3"/>
  <c r="L6" i="3"/>
  <c r="L10" i="3"/>
  <c r="L35" i="3"/>
  <c r="L36" i="3"/>
  <c r="L39" i="3"/>
  <c r="L40" i="3"/>
  <c r="L43" i="3"/>
  <c r="L44" i="3"/>
  <c r="L47" i="3"/>
  <c r="L48" i="3"/>
  <c r="L51" i="3"/>
  <c r="L52" i="3"/>
  <c r="L55" i="3"/>
  <c r="L56" i="3"/>
  <c r="L71" i="3"/>
  <c r="L72" i="3"/>
  <c r="L22" i="3"/>
  <c r="L26" i="3"/>
  <c r="L28" i="3"/>
  <c r="L32" i="3"/>
  <c r="L76" i="3"/>
  <c r="L91" i="3"/>
  <c r="L23" i="3"/>
  <c r="L29" i="3"/>
  <c r="L81" i="3"/>
  <c r="L93" i="3"/>
  <c r="L37" i="3"/>
  <c r="L41" i="3"/>
  <c r="L45" i="3"/>
  <c r="L49" i="3"/>
  <c r="L53" i="3"/>
  <c r="L57" i="3"/>
  <c r="L59" i="3"/>
  <c r="L63" i="3"/>
  <c r="L67" i="3"/>
  <c r="L69" i="3"/>
  <c r="L75" i="3"/>
  <c r="L77" i="3"/>
  <c r="L80" i="3"/>
  <c r="L84" i="3"/>
  <c r="L34" i="3"/>
  <c r="L38" i="3"/>
  <c r="L42" i="3"/>
  <c r="L46" i="3"/>
  <c r="L50" i="3"/>
  <c r="L54" i="3"/>
  <c r="L58" i="3"/>
  <c r="L60" i="3"/>
  <c r="L64" i="3"/>
  <c r="L70" i="3"/>
  <c r="L82" i="3"/>
  <c r="L97" i="3"/>
  <c r="L98" i="3"/>
  <c r="L99" i="3"/>
  <c r="L101" i="3"/>
  <c r="L132" i="3"/>
  <c r="L86" i="3"/>
  <c r="L88" i="3"/>
  <c r="L106" i="3"/>
  <c r="L113" i="3"/>
  <c r="L118" i="3"/>
  <c r="L79" i="3"/>
  <c r="L83" i="3"/>
  <c r="L87" i="3"/>
  <c r="L95" i="3"/>
  <c r="L104" i="3"/>
  <c r="L127" i="3"/>
  <c r="L138" i="3"/>
  <c r="L108" i="3"/>
  <c r="L114" i="3"/>
  <c r="L116" i="3"/>
  <c r="L120" i="3"/>
  <c r="L103" i="3"/>
  <c r="L109" i="3"/>
  <c r="L111" i="3"/>
  <c r="L121" i="3"/>
  <c r="L123" i="3"/>
  <c r="L136" i="3"/>
  <c r="L128" i="3"/>
  <c r="L130" i="3"/>
  <c r="L134" i="3"/>
  <c r="L142" i="3"/>
  <c r="L125" i="3"/>
  <c r="L131" i="3"/>
  <c r="L140" i="3"/>
  <c r="AR17" i="3"/>
  <c r="AR14" i="3"/>
  <c r="AR15" i="3"/>
  <c r="AR16" i="3"/>
  <c r="AR21" i="3"/>
  <c r="AR20" i="3"/>
  <c r="AR13" i="3"/>
  <c r="AR27" i="3"/>
  <c r="AR24" i="3"/>
  <c r="AR25" i="3"/>
  <c r="AR11" i="3"/>
  <c r="AR30" i="3"/>
  <c r="AR31" i="3"/>
  <c r="AR4" i="3"/>
  <c r="AR8" i="3"/>
  <c r="AR12" i="3"/>
  <c r="AR33" i="3"/>
  <c r="AR68" i="3"/>
  <c r="AR73" i="3"/>
  <c r="AR3" i="3"/>
  <c r="AR9" i="3"/>
  <c r="AR61" i="3"/>
  <c r="AR62" i="3"/>
  <c r="AR65" i="3"/>
  <c r="AR66" i="3"/>
  <c r="AR6" i="3"/>
  <c r="AR10" i="3"/>
  <c r="AR35" i="3"/>
  <c r="AR36" i="3"/>
  <c r="AR39" i="3"/>
  <c r="AR40" i="3"/>
  <c r="AR43" i="3"/>
  <c r="AR44" i="3"/>
  <c r="AR47" i="3"/>
  <c r="AR48" i="3"/>
  <c r="AR51" i="3"/>
  <c r="AR52" i="3"/>
  <c r="AR55" i="3"/>
  <c r="AR56" i="3"/>
  <c r="AR71" i="3"/>
  <c r="AR72" i="3"/>
  <c r="AR124" i="3"/>
  <c r="AR18" i="3"/>
  <c r="AR22" i="3"/>
  <c r="AR26" i="3"/>
  <c r="AR28" i="3"/>
  <c r="AR32" i="3"/>
  <c r="AR76" i="3"/>
  <c r="AR91" i="3"/>
  <c r="AR23" i="3"/>
  <c r="AR29" i="3"/>
  <c r="AR81" i="3"/>
  <c r="AR93" i="3"/>
  <c r="AR37" i="3"/>
  <c r="AR41" i="3"/>
  <c r="AR45" i="3"/>
  <c r="AR49" i="3"/>
  <c r="AR53" i="3"/>
  <c r="AR57" i="3"/>
  <c r="AR59" i="3"/>
  <c r="AR63" i="3"/>
  <c r="AR67" i="3"/>
  <c r="AR69" i="3"/>
  <c r="AR75" i="3"/>
  <c r="AR77" i="3"/>
  <c r="AR80" i="3"/>
  <c r="AR84" i="3"/>
  <c r="AR34" i="3"/>
  <c r="AR38" i="3"/>
  <c r="AR42" i="3"/>
  <c r="AR46" i="3"/>
  <c r="AR50" i="3"/>
  <c r="AR54" i="3"/>
  <c r="AR58" i="3"/>
  <c r="AR60" i="3"/>
  <c r="AR64" i="3"/>
  <c r="AR70" i="3"/>
  <c r="AR82" i="3"/>
  <c r="AR97" i="3"/>
  <c r="AR98" i="3"/>
  <c r="AR99" i="3"/>
  <c r="AR101" i="3"/>
  <c r="AR132" i="3"/>
  <c r="AR138" i="3"/>
  <c r="AR86" i="3"/>
  <c r="AR88" i="3"/>
  <c r="AR104" i="3"/>
  <c r="AR106" i="3"/>
  <c r="AR113" i="3"/>
  <c r="AR118" i="3"/>
  <c r="AR79" i="3"/>
  <c r="AR83" i="3"/>
  <c r="AR87" i="3"/>
  <c r="AR95" i="3"/>
  <c r="AR127" i="3"/>
  <c r="AR108" i="3"/>
  <c r="AR114" i="3"/>
  <c r="AR116" i="3"/>
  <c r="AR120" i="3"/>
  <c r="AR142" i="3"/>
  <c r="AR103" i="3"/>
  <c r="AR109" i="3"/>
  <c r="AR111" i="3"/>
  <c r="AR121" i="3"/>
  <c r="AR123" i="3"/>
  <c r="AR136" i="3"/>
  <c r="AR128" i="3"/>
  <c r="AR130" i="3"/>
  <c r="AR134" i="3"/>
  <c r="AR125" i="3"/>
  <c r="AR131" i="3"/>
  <c r="AR140" i="3"/>
  <c r="F93" i="3"/>
  <c r="F48" i="3"/>
  <c r="F80" i="3"/>
  <c r="F47" i="3"/>
  <c r="F121" i="3"/>
  <c r="F63" i="3"/>
  <c r="F30" i="3"/>
  <c r="F77" i="3"/>
  <c r="F125" i="3"/>
  <c r="F111" i="3"/>
  <c r="F43" i="3"/>
  <c r="F83" i="3"/>
  <c r="F44" i="3"/>
  <c r="F57" i="3"/>
  <c r="F14" i="3"/>
  <c r="F101" i="3"/>
  <c r="F50" i="3"/>
  <c r="F99" i="3"/>
  <c r="F55" i="3"/>
  <c r="F82" i="3"/>
  <c r="F79" i="3"/>
  <c r="F40" i="3"/>
  <c r="F41" i="3"/>
  <c r="F45" i="3"/>
  <c r="F15" i="3"/>
  <c r="F9" i="3"/>
  <c r="F140" i="3"/>
  <c r="F54" i="3"/>
  <c r="F21" i="3"/>
  <c r="F39" i="3"/>
  <c r="F116" i="3"/>
  <c r="F131" i="3"/>
  <c r="F70" i="3"/>
  <c r="F36" i="3"/>
  <c r="F24" i="3"/>
  <c r="F71" i="3"/>
  <c r="F60" i="3"/>
  <c r="F81" i="3"/>
  <c r="F42" i="3"/>
  <c r="F49" i="3"/>
  <c r="F53" i="3"/>
  <c r="F124" i="3"/>
  <c r="F65" i="3"/>
  <c r="F32" i="3"/>
  <c r="F10" i="3"/>
  <c r="F84" i="3"/>
  <c r="F37" i="3"/>
  <c r="F31" i="3"/>
  <c r="F87" i="3"/>
  <c r="F46" i="3"/>
  <c r="F66" i="3"/>
  <c r="F62" i="3"/>
  <c r="F16" i="3"/>
  <c r="F26" i="3"/>
  <c r="F114" i="3"/>
  <c r="F61" i="3"/>
  <c r="F28" i="3"/>
  <c r="F64" i="3"/>
  <c r="F69" i="3"/>
  <c r="F128" i="3"/>
  <c r="F67" i="3"/>
  <c r="F34" i="3"/>
  <c r="F12" i="3"/>
  <c r="F17" i="3"/>
  <c r="F51" i="3"/>
  <c r="F104" i="3"/>
  <c r="F56" i="3"/>
  <c r="F23" i="3"/>
  <c r="F91" i="3"/>
  <c r="F29" i="3"/>
  <c r="F130" i="3"/>
  <c r="F35" i="3"/>
  <c r="F138" i="3"/>
  <c r="F72" i="3"/>
  <c r="F38" i="3"/>
  <c r="F33" i="3"/>
  <c r="F22" i="3"/>
  <c r="F123" i="3"/>
  <c r="F52" i="3"/>
  <c r="F132" i="3"/>
  <c r="F11" i="3"/>
  <c r="F109" i="3"/>
  <c r="F58" i="3"/>
  <c r="F25" i="3"/>
  <c r="F106" i="3"/>
  <c r="F3" i="3"/>
  <c r="F86" i="3"/>
  <c r="F6" i="3"/>
  <c r="F18" i="3"/>
  <c r="F59" i="3"/>
  <c r="F120" i="3"/>
  <c r="F13" i="3"/>
  <c r="F4" i="3"/>
  <c r="F8" i="3"/>
  <c r="F95" i="3"/>
  <c r="F20" i="3"/>
  <c r="F75" i="3"/>
  <c r="F134" i="3"/>
  <c r="F27" i="3"/>
  <c r="F88" i="3"/>
  <c r="F73" i="3"/>
  <c r="F103" i="3"/>
  <c r="F68" i="3"/>
  <c r="F76" i="3"/>
  <c r="F98" i="3"/>
  <c r="F108" i="3"/>
  <c r="F97" i="3"/>
  <c r="F118" i="3"/>
  <c r="F113" i="3"/>
  <c r="F136" i="3"/>
  <c r="F127" i="3"/>
  <c r="F142" i="3"/>
  <c r="BI17" i="3"/>
  <c r="BI14" i="3"/>
  <c r="BI16" i="3"/>
  <c r="BI15" i="3"/>
  <c r="BI31" i="3"/>
  <c r="BI6" i="3"/>
  <c r="BI10" i="3"/>
  <c r="BI35" i="3"/>
  <c r="BI39" i="3"/>
  <c r="BI43" i="3"/>
  <c r="BI47" i="3"/>
  <c r="BI51" i="3"/>
  <c r="BI55" i="3"/>
  <c r="BI109" i="3"/>
  <c r="BI11" i="3"/>
  <c r="BI13" i="3"/>
  <c r="BI20" i="3"/>
  <c r="BI24" i="3"/>
  <c r="BI30" i="3"/>
  <c r="BI140" i="3"/>
  <c r="BI4" i="3"/>
  <c r="BI8" i="3"/>
  <c r="BI12" i="3"/>
  <c r="BI23" i="3"/>
  <c r="BI29" i="3"/>
  <c r="BI3" i="3"/>
  <c r="BI9" i="3"/>
  <c r="BI61" i="3"/>
  <c r="BI65" i="3"/>
  <c r="BI111" i="3"/>
  <c r="BI71" i="3"/>
  <c r="BI73" i="3"/>
  <c r="BI83" i="3"/>
  <c r="BI21" i="3"/>
  <c r="BI25" i="3"/>
  <c r="BI27" i="3"/>
  <c r="BI38" i="3"/>
  <c r="BI42" i="3"/>
  <c r="BI46" i="3"/>
  <c r="BI50" i="3"/>
  <c r="BI54" i="3"/>
  <c r="BI58" i="3"/>
  <c r="BI60" i="3"/>
  <c r="BI64" i="3"/>
  <c r="BI70" i="3"/>
  <c r="BI81" i="3"/>
  <c r="BI18" i="3"/>
  <c r="BI22" i="3"/>
  <c r="BI26" i="3"/>
  <c r="BI28" i="3"/>
  <c r="BI32" i="3"/>
  <c r="BI34" i="3"/>
  <c r="BI79" i="3"/>
  <c r="BI98" i="3"/>
  <c r="BI36" i="3"/>
  <c r="BI40" i="3"/>
  <c r="BI44" i="3"/>
  <c r="BI48" i="3"/>
  <c r="BI52" i="3"/>
  <c r="BI56" i="3"/>
  <c r="BI62" i="3"/>
  <c r="BI66" i="3"/>
  <c r="BI68" i="3"/>
  <c r="BI72" i="3"/>
  <c r="BI76" i="3"/>
  <c r="BI33" i="3"/>
  <c r="BI37" i="3"/>
  <c r="BI41" i="3"/>
  <c r="BI45" i="3"/>
  <c r="BI49" i="3"/>
  <c r="BI53" i="3"/>
  <c r="BI57" i="3"/>
  <c r="BI59" i="3"/>
  <c r="BI63" i="3"/>
  <c r="BI67" i="3"/>
  <c r="BI69" i="3"/>
  <c r="BI75" i="3"/>
  <c r="BI77" i="3"/>
  <c r="BI80" i="3"/>
  <c r="BI84" i="3"/>
  <c r="BI87" i="3"/>
  <c r="BI95" i="3"/>
  <c r="BI91" i="3"/>
  <c r="BI93" i="3"/>
  <c r="BI97" i="3"/>
  <c r="BI99" i="3"/>
  <c r="BI101" i="3"/>
  <c r="BI103" i="3"/>
  <c r="BI121" i="3"/>
  <c r="BI123" i="3"/>
  <c r="BI136" i="3"/>
  <c r="BI82" i="3"/>
  <c r="BI86" i="3"/>
  <c r="BI88" i="3"/>
  <c r="BI104" i="3"/>
  <c r="BI106" i="3"/>
  <c r="BI118" i="3"/>
  <c r="BI113" i="3"/>
  <c r="BI132" i="3"/>
  <c r="BI108" i="3"/>
  <c r="BI114" i="3"/>
  <c r="BI116" i="3"/>
  <c r="BI120" i="3"/>
  <c r="BI125" i="3"/>
  <c r="BI131" i="3"/>
  <c r="BI127" i="3"/>
  <c r="BI138" i="3"/>
  <c r="BI142" i="3"/>
  <c r="BI124" i="3"/>
  <c r="BI128" i="3"/>
  <c r="BI130" i="3"/>
  <c r="BI134" i="3"/>
  <c r="BB16" i="3"/>
  <c r="BB17" i="3"/>
  <c r="BB15" i="3"/>
  <c r="BB14" i="3"/>
  <c r="BB26" i="3"/>
  <c r="BB3" i="3"/>
  <c r="BB9" i="3"/>
  <c r="BB22" i="3"/>
  <c r="BB33" i="3"/>
  <c r="BB79" i="3"/>
  <c r="BB28" i="3"/>
  <c r="BB67" i="3"/>
  <c r="BB87" i="3"/>
  <c r="BB103" i="3"/>
  <c r="BB6" i="3"/>
  <c r="BB10" i="3"/>
  <c r="BB59" i="3"/>
  <c r="BB63" i="3"/>
  <c r="BB11" i="3"/>
  <c r="BB13" i="3"/>
  <c r="BB18" i="3"/>
  <c r="BB37" i="3"/>
  <c r="BB41" i="3"/>
  <c r="BB45" i="3"/>
  <c r="BB49" i="3"/>
  <c r="BB53" i="3"/>
  <c r="BB57" i="3"/>
  <c r="BB4" i="3"/>
  <c r="BB8" i="3"/>
  <c r="BB12" i="3"/>
  <c r="BB23" i="3"/>
  <c r="BB29" i="3"/>
  <c r="BB69" i="3"/>
  <c r="BB86" i="3"/>
  <c r="BB95" i="3"/>
  <c r="BB124" i="3"/>
  <c r="BB20" i="3"/>
  <c r="BB24" i="3"/>
  <c r="BB30" i="3"/>
  <c r="BB34" i="3"/>
  <c r="BB75" i="3"/>
  <c r="BB77" i="3"/>
  <c r="BB83" i="3"/>
  <c r="BB120" i="3"/>
  <c r="BB21" i="3"/>
  <c r="BB25" i="3"/>
  <c r="BB27" i="3"/>
  <c r="BB31" i="3"/>
  <c r="BB38" i="3"/>
  <c r="BB42" i="3"/>
  <c r="BB46" i="3"/>
  <c r="BB50" i="3"/>
  <c r="BB54" i="3"/>
  <c r="BB58" i="3"/>
  <c r="BB60" i="3"/>
  <c r="BB64" i="3"/>
  <c r="BB70" i="3"/>
  <c r="BB88" i="3"/>
  <c r="BB111" i="3"/>
  <c r="BB35" i="3"/>
  <c r="BB39" i="3"/>
  <c r="BB43" i="3"/>
  <c r="BB47" i="3"/>
  <c r="BB51" i="3"/>
  <c r="BB55" i="3"/>
  <c r="BB61" i="3"/>
  <c r="BB65" i="3"/>
  <c r="BB71" i="3"/>
  <c r="BB73" i="3"/>
  <c r="BB80" i="3"/>
  <c r="BB82" i="3"/>
  <c r="BB84" i="3"/>
  <c r="BB128" i="3"/>
  <c r="BB32" i="3"/>
  <c r="BB36" i="3"/>
  <c r="BB40" i="3"/>
  <c r="BB44" i="3"/>
  <c r="BB48" i="3"/>
  <c r="BB52" i="3"/>
  <c r="BB56" i="3"/>
  <c r="BB62" i="3"/>
  <c r="BB66" i="3"/>
  <c r="BB68" i="3"/>
  <c r="BB72" i="3"/>
  <c r="BB76" i="3"/>
  <c r="BB109" i="3"/>
  <c r="BB134" i="3"/>
  <c r="BB98" i="3"/>
  <c r="BB108" i="3"/>
  <c r="BB114" i="3"/>
  <c r="BB116" i="3"/>
  <c r="BB130" i="3"/>
  <c r="BB131" i="3"/>
  <c r="BB81" i="3"/>
  <c r="BB91" i="3"/>
  <c r="BB93" i="3"/>
  <c r="BB97" i="3"/>
  <c r="BB99" i="3"/>
  <c r="BB101" i="3"/>
  <c r="BB121" i="3"/>
  <c r="BB123" i="3"/>
  <c r="BB104" i="3"/>
  <c r="BB106" i="3"/>
  <c r="BB118" i="3"/>
  <c r="BB113" i="3"/>
  <c r="BB125" i="3"/>
  <c r="BB132" i="3"/>
  <c r="BB136" i="3"/>
  <c r="BB142" i="3"/>
  <c r="BB127" i="3"/>
  <c r="BB138" i="3"/>
  <c r="BB140" i="3"/>
  <c r="K15" i="3"/>
  <c r="K14" i="3"/>
  <c r="K16" i="3"/>
  <c r="K17" i="3"/>
  <c r="K4" i="3"/>
  <c r="K79" i="3"/>
  <c r="K33" i="3"/>
  <c r="K3" i="3"/>
  <c r="K8" i="3"/>
  <c r="K12" i="3"/>
  <c r="K32" i="3"/>
  <c r="K88" i="3"/>
  <c r="K9" i="3"/>
  <c r="K18" i="3"/>
  <c r="K6" i="3"/>
  <c r="K10" i="3"/>
  <c r="K103" i="3"/>
  <c r="K11" i="3"/>
  <c r="K13" i="3"/>
  <c r="K21" i="3"/>
  <c r="K22" i="3"/>
  <c r="K25" i="3"/>
  <c r="K26" i="3"/>
  <c r="K27" i="3"/>
  <c r="K28" i="3"/>
  <c r="K31" i="3"/>
  <c r="K75" i="3"/>
  <c r="K76" i="3"/>
  <c r="K77" i="3"/>
  <c r="K86" i="3"/>
  <c r="K91" i="3"/>
  <c r="K113" i="3"/>
  <c r="K23" i="3"/>
  <c r="K29" i="3"/>
  <c r="K34" i="3"/>
  <c r="K83" i="3"/>
  <c r="K93" i="3"/>
  <c r="K108" i="3"/>
  <c r="K114" i="3"/>
  <c r="K116" i="3"/>
  <c r="K20" i="3"/>
  <c r="K24" i="3"/>
  <c r="K30" i="3"/>
  <c r="K36" i="3"/>
  <c r="K37" i="3"/>
  <c r="K40" i="3"/>
  <c r="K41" i="3"/>
  <c r="K44" i="3"/>
  <c r="K45" i="3"/>
  <c r="K48" i="3"/>
  <c r="K49" i="3"/>
  <c r="K52" i="3"/>
  <c r="K53" i="3"/>
  <c r="K56" i="3"/>
  <c r="K57" i="3"/>
  <c r="K59" i="3"/>
  <c r="K62" i="3"/>
  <c r="K63" i="3"/>
  <c r="K66" i="3"/>
  <c r="K67" i="3"/>
  <c r="K68" i="3"/>
  <c r="K69" i="3"/>
  <c r="K72" i="3"/>
  <c r="K38" i="3"/>
  <c r="K42" i="3"/>
  <c r="K46" i="3"/>
  <c r="K50" i="3"/>
  <c r="K54" i="3"/>
  <c r="K58" i="3"/>
  <c r="K60" i="3"/>
  <c r="K64" i="3"/>
  <c r="K70" i="3"/>
  <c r="K82" i="3"/>
  <c r="K97" i="3"/>
  <c r="K99" i="3"/>
  <c r="K101" i="3"/>
  <c r="K134" i="3"/>
  <c r="K35" i="3"/>
  <c r="K39" i="3"/>
  <c r="K43" i="3"/>
  <c r="K47" i="3"/>
  <c r="K51" i="3"/>
  <c r="K55" i="3"/>
  <c r="K61" i="3"/>
  <c r="K65" i="3"/>
  <c r="K71" i="3"/>
  <c r="K73" i="3"/>
  <c r="K81" i="3"/>
  <c r="K87" i="3"/>
  <c r="K95" i="3"/>
  <c r="K127" i="3"/>
  <c r="K128" i="3"/>
  <c r="K80" i="3"/>
  <c r="K84" i="3"/>
  <c r="K98" i="3"/>
  <c r="K120" i="3"/>
  <c r="K130" i="3"/>
  <c r="K109" i="3"/>
  <c r="K111" i="3"/>
  <c r="K121" i="3"/>
  <c r="K123" i="3"/>
  <c r="K104" i="3"/>
  <c r="K106" i="3"/>
  <c r="K118" i="3"/>
  <c r="K124" i="3"/>
  <c r="K125" i="3"/>
  <c r="K138" i="3"/>
  <c r="K131" i="3"/>
  <c r="K140" i="3"/>
  <c r="K132" i="3"/>
  <c r="K136" i="3"/>
  <c r="K142" i="3"/>
  <c r="AQ15" i="3"/>
  <c r="AQ17" i="3"/>
  <c r="AQ16" i="3"/>
  <c r="AQ14" i="3"/>
  <c r="AQ4" i="3"/>
  <c r="AQ33" i="3"/>
  <c r="AQ32" i="3"/>
  <c r="AQ8" i="3"/>
  <c r="AQ12" i="3"/>
  <c r="AQ3" i="3"/>
  <c r="AQ9" i="3"/>
  <c r="AQ18" i="3"/>
  <c r="AQ6" i="3"/>
  <c r="AQ10" i="3"/>
  <c r="AQ88" i="3"/>
  <c r="AQ11" i="3"/>
  <c r="AQ13" i="3"/>
  <c r="AQ21" i="3"/>
  <c r="AQ22" i="3"/>
  <c r="AQ25" i="3"/>
  <c r="AQ26" i="3"/>
  <c r="AQ27" i="3"/>
  <c r="AQ28" i="3"/>
  <c r="AQ31" i="3"/>
  <c r="AQ79" i="3"/>
  <c r="AQ75" i="3"/>
  <c r="AQ76" i="3"/>
  <c r="AQ77" i="3"/>
  <c r="AQ86" i="3"/>
  <c r="AQ91" i="3"/>
  <c r="AQ113" i="3"/>
  <c r="AQ23" i="3"/>
  <c r="AQ29" i="3"/>
  <c r="AQ34" i="3"/>
  <c r="AQ83" i="3"/>
  <c r="AQ93" i="3"/>
  <c r="AQ103" i="3"/>
  <c r="AQ108" i="3"/>
  <c r="AQ114" i="3"/>
  <c r="AQ116" i="3"/>
  <c r="AQ20" i="3"/>
  <c r="AQ24" i="3"/>
  <c r="AQ30" i="3"/>
  <c r="AQ36" i="3"/>
  <c r="AQ37" i="3"/>
  <c r="AQ40" i="3"/>
  <c r="AQ41" i="3"/>
  <c r="AQ44" i="3"/>
  <c r="AQ45" i="3"/>
  <c r="AQ48" i="3"/>
  <c r="AQ49" i="3"/>
  <c r="AQ52" i="3"/>
  <c r="AQ53" i="3"/>
  <c r="AQ56" i="3"/>
  <c r="AQ57" i="3"/>
  <c r="AQ59" i="3"/>
  <c r="AQ62" i="3"/>
  <c r="AQ63" i="3"/>
  <c r="AQ66" i="3"/>
  <c r="AQ67" i="3"/>
  <c r="AQ68" i="3"/>
  <c r="AQ69" i="3"/>
  <c r="AQ72" i="3"/>
  <c r="AQ38" i="3"/>
  <c r="AQ42" i="3"/>
  <c r="AQ46" i="3"/>
  <c r="AQ50" i="3"/>
  <c r="AQ54" i="3"/>
  <c r="AQ58" i="3"/>
  <c r="AQ60" i="3"/>
  <c r="AQ64" i="3"/>
  <c r="AQ70" i="3"/>
  <c r="AQ82" i="3"/>
  <c r="AQ97" i="3"/>
  <c r="AQ99" i="3"/>
  <c r="AQ101" i="3"/>
  <c r="AQ134" i="3"/>
  <c r="AQ35" i="3"/>
  <c r="AQ39" i="3"/>
  <c r="AQ43" i="3"/>
  <c r="AQ47" i="3"/>
  <c r="AQ51" i="3"/>
  <c r="AQ55" i="3"/>
  <c r="AQ61" i="3"/>
  <c r="AQ65" i="3"/>
  <c r="AQ71" i="3"/>
  <c r="AQ73" i="3"/>
  <c r="AQ81" i="3"/>
  <c r="AQ87" i="3"/>
  <c r="AQ95" i="3"/>
  <c r="AQ127" i="3"/>
  <c r="AQ128" i="3"/>
  <c r="AQ80" i="3"/>
  <c r="AQ84" i="3"/>
  <c r="AQ98" i="3"/>
  <c r="AQ120" i="3"/>
  <c r="AQ130" i="3"/>
  <c r="AQ109" i="3"/>
  <c r="AQ111" i="3"/>
  <c r="AQ121" i="3"/>
  <c r="AQ123" i="3"/>
  <c r="AQ104" i="3"/>
  <c r="AQ106" i="3"/>
  <c r="AQ118" i="3"/>
  <c r="AQ124" i="3"/>
  <c r="AQ125" i="3"/>
  <c r="AQ138" i="3"/>
  <c r="AQ131" i="3"/>
  <c r="AQ140" i="3"/>
  <c r="AQ132" i="3"/>
  <c r="AQ136" i="3"/>
  <c r="AQ142" i="3"/>
  <c r="P16" i="3"/>
  <c r="P17" i="3"/>
  <c r="P14" i="3"/>
  <c r="P15" i="3"/>
  <c r="P11" i="3"/>
  <c r="P13" i="3"/>
  <c r="P98" i="3"/>
  <c r="P101" i="3"/>
  <c r="P4" i="3"/>
  <c r="P8" i="3"/>
  <c r="P12" i="3"/>
  <c r="P18" i="3"/>
  <c r="P76" i="3"/>
  <c r="P3" i="3"/>
  <c r="P9" i="3"/>
  <c r="P20" i="3"/>
  <c r="P21" i="3"/>
  <c r="P24" i="3"/>
  <c r="P25" i="3"/>
  <c r="P27" i="3"/>
  <c r="P30" i="3"/>
  <c r="P31" i="3"/>
  <c r="P32" i="3"/>
  <c r="P33" i="3"/>
  <c r="P6" i="3"/>
  <c r="P10" i="3"/>
  <c r="P80" i="3"/>
  <c r="P99" i="3"/>
  <c r="P106" i="3"/>
  <c r="P22" i="3"/>
  <c r="P26" i="3"/>
  <c r="P28" i="3"/>
  <c r="P36" i="3"/>
  <c r="P39" i="3"/>
  <c r="P40" i="3"/>
  <c r="P43" i="3"/>
  <c r="P44" i="3"/>
  <c r="P47" i="3"/>
  <c r="P48" i="3"/>
  <c r="P51" i="3"/>
  <c r="P52" i="3"/>
  <c r="P55" i="3"/>
  <c r="P56" i="3"/>
  <c r="P61" i="3"/>
  <c r="P62" i="3"/>
  <c r="P65" i="3"/>
  <c r="P66" i="3"/>
  <c r="P68" i="3"/>
  <c r="P71" i="3"/>
  <c r="P72" i="3"/>
  <c r="P73" i="3"/>
  <c r="P97" i="3"/>
  <c r="P113" i="3"/>
  <c r="P23" i="3"/>
  <c r="P29" i="3"/>
  <c r="P35" i="3"/>
  <c r="P84" i="3"/>
  <c r="P118" i="3"/>
  <c r="P138" i="3"/>
  <c r="P37" i="3"/>
  <c r="P41" i="3"/>
  <c r="P45" i="3"/>
  <c r="P49" i="3"/>
  <c r="P53" i="3"/>
  <c r="P57" i="3"/>
  <c r="P59" i="3"/>
  <c r="P63" i="3"/>
  <c r="P67" i="3"/>
  <c r="P69" i="3"/>
  <c r="P75" i="3"/>
  <c r="P77" i="3"/>
  <c r="P82" i="3"/>
  <c r="P34" i="3"/>
  <c r="P38" i="3"/>
  <c r="P42" i="3"/>
  <c r="P46" i="3"/>
  <c r="P50" i="3"/>
  <c r="P54" i="3"/>
  <c r="P58" i="3"/>
  <c r="P60" i="3"/>
  <c r="P64" i="3"/>
  <c r="P70" i="3"/>
  <c r="P81" i="3"/>
  <c r="P91" i="3"/>
  <c r="P93" i="3"/>
  <c r="P86" i="3"/>
  <c r="P88" i="3"/>
  <c r="P104" i="3"/>
  <c r="P124" i="3"/>
  <c r="P79" i="3"/>
  <c r="P83" i="3"/>
  <c r="P87" i="3"/>
  <c r="P95" i="3"/>
  <c r="P136" i="3"/>
  <c r="P108" i="3"/>
  <c r="P114" i="3"/>
  <c r="P116" i="3"/>
  <c r="P120" i="3"/>
  <c r="P142" i="3"/>
  <c r="P103" i="3"/>
  <c r="P109" i="3"/>
  <c r="P111" i="3"/>
  <c r="P121" i="3"/>
  <c r="P123" i="3"/>
  <c r="P127" i="3"/>
  <c r="P132" i="3"/>
  <c r="P128" i="3"/>
  <c r="P130" i="3"/>
  <c r="P134" i="3"/>
  <c r="P140" i="3"/>
  <c r="P125" i="3"/>
  <c r="P131" i="3"/>
  <c r="AV14" i="3"/>
  <c r="AV17" i="3"/>
  <c r="AV15" i="3"/>
  <c r="AV16" i="3"/>
  <c r="AV11" i="3"/>
  <c r="AV13" i="3"/>
  <c r="AV4" i="3"/>
  <c r="AV8" i="3"/>
  <c r="AV12" i="3"/>
  <c r="AV76" i="3"/>
  <c r="AV3" i="3"/>
  <c r="AV9" i="3"/>
  <c r="AV20" i="3"/>
  <c r="AV21" i="3"/>
  <c r="AV24" i="3"/>
  <c r="AV25" i="3"/>
  <c r="AV27" i="3"/>
  <c r="AV30" i="3"/>
  <c r="AV31" i="3"/>
  <c r="AV32" i="3"/>
  <c r="AV33" i="3"/>
  <c r="AV98" i="3"/>
  <c r="AV101" i="3"/>
  <c r="AV6" i="3"/>
  <c r="AV10" i="3"/>
  <c r="AV80" i="3"/>
  <c r="AV99" i="3"/>
  <c r="AV106" i="3"/>
  <c r="AV18" i="3"/>
  <c r="AV22" i="3"/>
  <c r="AV26" i="3"/>
  <c r="AV28" i="3"/>
  <c r="AV35" i="3"/>
  <c r="AV36" i="3"/>
  <c r="AV39" i="3"/>
  <c r="AV40" i="3"/>
  <c r="AV43" i="3"/>
  <c r="AV44" i="3"/>
  <c r="AV47" i="3"/>
  <c r="AV48" i="3"/>
  <c r="AV51" i="3"/>
  <c r="AV52" i="3"/>
  <c r="AV55" i="3"/>
  <c r="AV56" i="3"/>
  <c r="AV61" i="3"/>
  <c r="AV62" i="3"/>
  <c r="AV65" i="3"/>
  <c r="AV66" i="3"/>
  <c r="AV68" i="3"/>
  <c r="AV71" i="3"/>
  <c r="AV72" i="3"/>
  <c r="AV73" i="3"/>
  <c r="AV97" i="3"/>
  <c r="AV113" i="3"/>
  <c r="AV23" i="3"/>
  <c r="AV29" i="3"/>
  <c r="AV84" i="3"/>
  <c r="AV118" i="3"/>
  <c r="AV37" i="3"/>
  <c r="AV41" i="3"/>
  <c r="AV45" i="3"/>
  <c r="AV49" i="3"/>
  <c r="AV53" i="3"/>
  <c r="AV57" i="3"/>
  <c r="AV59" i="3"/>
  <c r="AV63" i="3"/>
  <c r="AV67" i="3"/>
  <c r="AV69" i="3"/>
  <c r="AV75" i="3"/>
  <c r="AV77" i="3"/>
  <c r="AV82" i="3"/>
  <c r="AV104" i="3"/>
  <c r="AV34" i="3"/>
  <c r="AV38" i="3"/>
  <c r="AV42" i="3"/>
  <c r="AV46" i="3"/>
  <c r="AV50" i="3"/>
  <c r="AV54" i="3"/>
  <c r="AV58" i="3"/>
  <c r="AV60" i="3"/>
  <c r="AV64" i="3"/>
  <c r="AV70" i="3"/>
  <c r="AV81" i="3"/>
  <c r="AV91" i="3"/>
  <c r="AV93" i="3"/>
  <c r="AV86" i="3"/>
  <c r="AV88" i="3"/>
  <c r="AV124" i="3"/>
  <c r="AV138" i="3"/>
  <c r="AV79" i="3"/>
  <c r="AV83" i="3"/>
  <c r="AV87" i="3"/>
  <c r="AV95" i="3"/>
  <c r="AV136" i="3"/>
  <c r="AV108" i="3"/>
  <c r="AV114" i="3"/>
  <c r="AV116" i="3"/>
  <c r="AV120" i="3"/>
  <c r="AV103" i="3"/>
  <c r="AV109" i="3"/>
  <c r="AV111" i="3"/>
  <c r="AV121" i="3"/>
  <c r="AV123" i="3"/>
  <c r="AV127" i="3"/>
  <c r="AV132" i="3"/>
  <c r="AV128" i="3"/>
  <c r="AV130" i="3"/>
  <c r="AV134" i="3"/>
  <c r="AV140" i="3"/>
  <c r="AV142" i="3"/>
  <c r="AV125" i="3"/>
  <c r="AV131" i="3"/>
  <c r="AC16" i="3"/>
  <c r="AC17" i="3"/>
  <c r="AC14" i="3"/>
  <c r="AC15" i="3"/>
  <c r="AC39" i="3"/>
  <c r="AC43" i="3"/>
  <c r="AC47" i="3"/>
  <c r="AC51" i="3"/>
  <c r="AC55" i="3"/>
  <c r="AC6" i="3"/>
  <c r="AC10" i="3"/>
  <c r="AC11" i="3"/>
  <c r="AC13" i="3"/>
  <c r="AC20" i="3"/>
  <c r="AC24" i="3"/>
  <c r="AC30" i="3"/>
  <c r="AC4" i="3"/>
  <c r="AC8" i="3"/>
  <c r="AC12" i="3"/>
  <c r="AC23" i="3"/>
  <c r="AC29" i="3"/>
  <c r="AC35" i="3"/>
  <c r="AC111" i="3"/>
  <c r="AC3" i="3"/>
  <c r="AC9" i="3"/>
  <c r="AC61" i="3"/>
  <c r="AC65" i="3"/>
  <c r="AC109" i="3"/>
  <c r="AC71" i="3"/>
  <c r="AC73" i="3"/>
  <c r="AC83" i="3"/>
  <c r="AC21" i="3"/>
  <c r="AC25" i="3"/>
  <c r="AC27" i="3"/>
  <c r="AC31" i="3"/>
  <c r="AC38" i="3"/>
  <c r="AC42" i="3"/>
  <c r="AC46" i="3"/>
  <c r="AC50" i="3"/>
  <c r="AC54" i="3"/>
  <c r="AC58" i="3"/>
  <c r="AC60" i="3"/>
  <c r="AC64" i="3"/>
  <c r="AC70" i="3"/>
  <c r="AC81" i="3"/>
  <c r="AC18" i="3"/>
  <c r="AC22" i="3"/>
  <c r="AC26" i="3"/>
  <c r="AC28" i="3"/>
  <c r="AC32" i="3"/>
  <c r="AC34" i="3"/>
  <c r="AC79" i="3"/>
  <c r="AC98" i="3"/>
  <c r="AC36" i="3"/>
  <c r="AC40" i="3"/>
  <c r="AC44" i="3"/>
  <c r="AC48" i="3"/>
  <c r="AC52" i="3"/>
  <c r="AC56" i="3"/>
  <c r="AC62" i="3"/>
  <c r="AC66" i="3"/>
  <c r="AC68" i="3"/>
  <c r="AC72" i="3"/>
  <c r="AC76" i="3"/>
  <c r="AC124" i="3"/>
  <c r="AC33" i="3"/>
  <c r="AC37" i="3"/>
  <c r="AC41" i="3"/>
  <c r="AC45" i="3"/>
  <c r="AC49" i="3"/>
  <c r="AC53" i="3"/>
  <c r="AC57" i="3"/>
  <c r="AC59" i="3"/>
  <c r="AC63" i="3"/>
  <c r="AC67" i="3"/>
  <c r="AC69" i="3"/>
  <c r="AC75" i="3"/>
  <c r="AC77" i="3"/>
  <c r="AC80" i="3"/>
  <c r="AC84" i="3"/>
  <c r="AC87" i="3"/>
  <c r="AC95" i="3"/>
  <c r="AC91" i="3"/>
  <c r="AC93" i="3"/>
  <c r="AC97" i="3"/>
  <c r="AC99" i="3"/>
  <c r="AC101" i="3"/>
  <c r="AC103" i="3"/>
  <c r="AC121" i="3"/>
  <c r="AC123" i="3"/>
  <c r="AC136" i="3"/>
  <c r="AC140" i="3"/>
  <c r="AC82" i="3"/>
  <c r="AC86" i="3"/>
  <c r="AC88" i="3"/>
  <c r="AC104" i="3"/>
  <c r="AC106" i="3"/>
  <c r="AC118" i="3"/>
  <c r="AC125" i="3"/>
  <c r="AC113" i="3"/>
  <c r="AC132" i="3"/>
  <c r="AC142" i="3"/>
  <c r="AC108" i="3"/>
  <c r="AC114" i="3"/>
  <c r="AC116" i="3"/>
  <c r="AC120" i="3"/>
  <c r="AC131" i="3"/>
  <c r="AC127" i="3"/>
  <c r="AC138" i="3"/>
  <c r="AC128" i="3"/>
  <c r="AC130" i="3"/>
  <c r="AC134" i="3"/>
  <c r="U15" i="3"/>
  <c r="U16" i="3"/>
  <c r="U17" i="3"/>
  <c r="U14" i="3"/>
  <c r="U6" i="3"/>
  <c r="U32" i="3"/>
  <c r="U10" i="3"/>
  <c r="U11" i="3"/>
  <c r="U13" i="3"/>
  <c r="U20" i="3"/>
  <c r="U24" i="3"/>
  <c r="U30" i="3"/>
  <c r="U61" i="3"/>
  <c r="U65" i="3"/>
  <c r="U136" i="3"/>
  <c r="U4" i="3"/>
  <c r="U8" i="3"/>
  <c r="U12" i="3"/>
  <c r="U23" i="3"/>
  <c r="U29" i="3"/>
  <c r="U39" i="3"/>
  <c r="U43" i="3"/>
  <c r="U47" i="3"/>
  <c r="U51" i="3"/>
  <c r="U55" i="3"/>
  <c r="U3" i="3"/>
  <c r="U9" i="3"/>
  <c r="U34" i="3"/>
  <c r="U71" i="3"/>
  <c r="U73" i="3"/>
  <c r="U84" i="3"/>
  <c r="U98" i="3"/>
  <c r="U124" i="3"/>
  <c r="U21" i="3"/>
  <c r="U25" i="3"/>
  <c r="U27" i="3"/>
  <c r="U31" i="3"/>
  <c r="U38" i="3"/>
  <c r="U42" i="3"/>
  <c r="U46" i="3"/>
  <c r="U50" i="3"/>
  <c r="U54" i="3"/>
  <c r="U58" i="3"/>
  <c r="U60" i="3"/>
  <c r="U64" i="3"/>
  <c r="U70" i="3"/>
  <c r="U18" i="3"/>
  <c r="U22" i="3"/>
  <c r="U26" i="3"/>
  <c r="U28" i="3"/>
  <c r="U35" i="3"/>
  <c r="U80" i="3"/>
  <c r="U36" i="3"/>
  <c r="U40" i="3"/>
  <c r="U44" i="3"/>
  <c r="U48" i="3"/>
  <c r="U52" i="3"/>
  <c r="U56" i="3"/>
  <c r="U62" i="3"/>
  <c r="U66" i="3"/>
  <c r="U68" i="3"/>
  <c r="U72" i="3"/>
  <c r="U76" i="3"/>
  <c r="U109" i="3"/>
  <c r="U33" i="3"/>
  <c r="U37" i="3"/>
  <c r="U41" i="3"/>
  <c r="U45" i="3"/>
  <c r="U49" i="3"/>
  <c r="U53" i="3"/>
  <c r="U57" i="3"/>
  <c r="U59" i="3"/>
  <c r="U63" i="3"/>
  <c r="U67" i="3"/>
  <c r="U69" i="3"/>
  <c r="U75" i="3"/>
  <c r="U77" i="3"/>
  <c r="U79" i="3"/>
  <c r="U81" i="3"/>
  <c r="U83" i="3"/>
  <c r="U87" i="3"/>
  <c r="U95" i="3"/>
  <c r="U103" i="3"/>
  <c r="U111" i="3"/>
  <c r="U91" i="3"/>
  <c r="U93" i="3"/>
  <c r="U97" i="3"/>
  <c r="U99" i="3"/>
  <c r="U101" i="3"/>
  <c r="U104" i="3"/>
  <c r="U121" i="3"/>
  <c r="U123" i="3"/>
  <c r="U82" i="3"/>
  <c r="U86" i="3"/>
  <c r="U88" i="3"/>
  <c r="U106" i="3"/>
  <c r="U118" i="3"/>
  <c r="U113" i="3"/>
  <c r="U125" i="3"/>
  <c r="U132" i="3"/>
  <c r="U108" i="3"/>
  <c r="U114" i="3"/>
  <c r="U116" i="3"/>
  <c r="U120" i="3"/>
  <c r="U131" i="3"/>
  <c r="U138" i="3"/>
  <c r="U127" i="3"/>
  <c r="U140" i="3"/>
  <c r="U128" i="3"/>
  <c r="U130" i="3"/>
  <c r="U134" i="3"/>
  <c r="U142" i="3"/>
  <c r="AT16" i="3"/>
  <c r="AT15" i="3"/>
  <c r="AT17" i="3"/>
  <c r="AT14" i="3"/>
  <c r="AT53" i="3"/>
  <c r="AT41" i="3"/>
  <c r="AT49" i="3"/>
  <c r="AT57" i="3"/>
  <c r="AT37" i="3"/>
  <c r="AT45" i="3"/>
  <c r="AT9" i="3"/>
  <c r="AT3" i="3"/>
  <c r="AT34" i="3"/>
  <c r="AT22" i="3"/>
  <c r="AT28" i="3"/>
  <c r="AT26" i="3"/>
  <c r="AT6" i="3"/>
  <c r="AT10" i="3"/>
  <c r="AT11" i="3"/>
  <c r="AT13" i="3"/>
  <c r="AT18" i="3"/>
  <c r="AT69" i="3"/>
  <c r="AT80" i="3"/>
  <c r="AT4" i="3"/>
  <c r="AT8" i="3"/>
  <c r="AT12" i="3"/>
  <c r="AT23" i="3"/>
  <c r="AT29" i="3"/>
  <c r="AT59" i="3"/>
  <c r="AT63" i="3"/>
  <c r="AT67" i="3"/>
  <c r="AT88" i="3"/>
  <c r="AT20" i="3"/>
  <c r="AT24" i="3"/>
  <c r="AT30" i="3"/>
  <c r="AT33" i="3"/>
  <c r="AT75" i="3"/>
  <c r="AT77" i="3"/>
  <c r="AT84" i="3"/>
  <c r="AT86" i="3"/>
  <c r="AT87" i="3"/>
  <c r="AT21" i="3"/>
  <c r="AT25" i="3"/>
  <c r="AT27" i="3"/>
  <c r="AT31" i="3"/>
  <c r="AT38" i="3"/>
  <c r="AT42" i="3"/>
  <c r="AT46" i="3"/>
  <c r="AT50" i="3"/>
  <c r="AT54" i="3"/>
  <c r="AT58" i="3"/>
  <c r="AT60" i="3"/>
  <c r="AT64" i="3"/>
  <c r="AT70" i="3"/>
  <c r="AT82" i="3"/>
  <c r="AT95" i="3"/>
  <c r="AT109" i="3"/>
  <c r="AT35" i="3"/>
  <c r="AT39" i="3"/>
  <c r="AT43" i="3"/>
  <c r="AT47" i="3"/>
  <c r="AT51" i="3"/>
  <c r="AT55" i="3"/>
  <c r="AT61" i="3"/>
  <c r="AT65" i="3"/>
  <c r="AT71" i="3"/>
  <c r="AT73" i="3"/>
  <c r="AT79" i="3"/>
  <c r="AT83" i="3"/>
  <c r="AT111" i="3"/>
  <c r="AT130" i="3"/>
  <c r="AT131" i="3"/>
  <c r="AT32" i="3"/>
  <c r="AT36" i="3"/>
  <c r="AT40" i="3"/>
  <c r="AT44" i="3"/>
  <c r="AT48" i="3"/>
  <c r="AT52" i="3"/>
  <c r="AT56" i="3"/>
  <c r="AT62" i="3"/>
  <c r="AT66" i="3"/>
  <c r="AT68" i="3"/>
  <c r="AT72" i="3"/>
  <c r="AT76" i="3"/>
  <c r="AT120" i="3"/>
  <c r="AT98" i="3"/>
  <c r="AT108" i="3"/>
  <c r="AT114" i="3"/>
  <c r="AT116" i="3"/>
  <c r="AT125" i="3"/>
  <c r="AT134" i="3"/>
  <c r="AT81" i="3"/>
  <c r="AT91" i="3"/>
  <c r="AT93" i="3"/>
  <c r="AT97" i="3"/>
  <c r="AT99" i="3"/>
  <c r="AT101" i="3"/>
  <c r="AT103" i="3"/>
  <c r="AT121" i="3"/>
  <c r="AT123" i="3"/>
  <c r="AT128" i="3"/>
  <c r="AT104" i="3"/>
  <c r="AT106" i="3"/>
  <c r="AT118" i="3"/>
  <c r="AT124" i="3"/>
  <c r="AT113" i="3"/>
  <c r="AT132" i="3"/>
  <c r="AT136" i="3"/>
  <c r="AT127" i="3"/>
  <c r="AT138" i="3"/>
  <c r="AT140" i="3"/>
  <c r="AT142" i="3"/>
  <c r="BE16" i="3"/>
  <c r="BE14" i="3"/>
  <c r="BE17" i="3"/>
  <c r="BE15" i="3"/>
  <c r="BE29" i="3"/>
  <c r="BE6" i="3"/>
  <c r="BE34" i="3"/>
  <c r="BE70" i="3"/>
  <c r="BE10" i="3"/>
  <c r="BE23" i="3"/>
  <c r="BE11" i="3"/>
  <c r="BE13" i="3"/>
  <c r="BE32" i="3"/>
  <c r="BE4" i="3"/>
  <c r="BE8" i="3"/>
  <c r="BE12" i="3"/>
  <c r="BE60" i="3"/>
  <c r="BE64" i="3"/>
  <c r="BE118" i="3"/>
  <c r="BE3" i="3"/>
  <c r="BE9" i="3"/>
  <c r="BE20" i="3"/>
  <c r="BE24" i="3"/>
  <c r="BE30" i="3"/>
  <c r="BE38" i="3"/>
  <c r="BE42" i="3"/>
  <c r="BE46" i="3"/>
  <c r="BE50" i="3"/>
  <c r="BE54" i="3"/>
  <c r="BE58" i="3"/>
  <c r="BE80" i="3"/>
  <c r="BE87" i="3"/>
  <c r="BE21" i="3"/>
  <c r="BE25" i="3"/>
  <c r="BE27" i="3"/>
  <c r="BE31" i="3"/>
  <c r="BE84" i="3"/>
  <c r="BE95" i="3"/>
  <c r="BE106" i="3"/>
  <c r="BE123" i="3"/>
  <c r="BE18" i="3"/>
  <c r="BE22" i="3"/>
  <c r="BE26" i="3"/>
  <c r="BE28" i="3"/>
  <c r="BE35" i="3"/>
  <c r="BE39" i="3"/>
  <c r="BE43" i="3"/>
  <c r="BE47" i="3"/>
  <c r="BE51" i="3"/>
  <c r="BE55" i="3"/>
  <c r="BE61" i="3"/>
  <c r="BE65" i="3"/>
  <c r="BE71" i="3"/>
  <c r="BE73" i="3"/>
  <c r="BE104" i="3"/>
  <c r="BE36" i="3"/>
  <c r="BE40" i="3"/>
  <c r="BE44" i="3"/>
  <c r="BE48" i="3"/>
  <c r="BE52" i="3"/>
  <c r="BE56" i="3"/>
  <c r="BE62" i="3"/>
  <c r="BE66" i="3"/>
  <c r="BE68" i="3"/>
  <c r="BE72" i="3"/>
  <c r="BE76" i="3"/>
  <c r="BE79" i="3"/>
  <c r="BE81" i="3"/>
  <c r="BE83" i="3"/>
  <c r="BE98" i="3"/>
  <c r="BE121" i="3"/>
  <c r="BE33" i="3"/>
  <c r="BE37" i="3"/>
  <c r="BE41" i="3"/>
  <c r="BE45" i="3"/>
  <c r="BE49" i="3"/>
  <c r="BE53" i="3"/>
  <c r="BE57" i="3"/>
  <c r="BE59" i="3"/>
  <c r="BE63" i="3"/>
  <c r="BE67" i="3"/>
  <c r="BE69" i="3"/>
  <c r="BE75" i="3"/>
  <c r="BE77" i="3"/>
  <c r="BE91" i="3"/>
  <c r="BE93" i="3"/>
  <c r="BE97" i="3"/>
  <c r="BE99" i="3"/>
  <c r="BE101" i="3"/>
  <c r="BE109" i="3"/>
  <c r="BE111" i="3"/>
  <c r="BE125" i="3"/>
  <c r="BE82" i="3"/>
  <c r="BE86" i="3"/>
  <c r="BE88" i="3"/>
  <c r="BE103" i="3"/>
  <c r="BE131" i="3"/>
  <c r="BE132" i="3"/>
  <c r="BE113" i="3"/>
  <c r="BE136" i="3"/>
  <c r="BE108" i="3"/>
  <c r="BE114" i="3"/>
  <c r="BE116" i="3"/>
  <c r="BE120" i="3"/>
  <c r="BE140" i="3"/>
  <c r="BE127" i="3"/>
  <c r="BE124" i="3"/>
  <c r="BE128" i="3"/>
  <c r="BE130" i="3"/>
  <c r="BE134" i="3"/>
  <c r="BE138" i="3"/>
  <c r="BE142" i="3"/>
  <c r="AE15" i="3"/>
  <c r="AE16" i="3"/>
  <c r="AE14" i="3"/>
  <c r="AE17" i="3"/>
  <c r="AE8" i="3"/>
  <c r="AE12" i="3"/>
  <c r="AE63" i="3"/>
  <c r="AE4" i="3"/>
  <c r="AE36" i="3"/>
  <c r="AE40" i="3"/>
  <c r="AE44" i="3"/>
  <c r="AE48" i="3"/>
  <c r="AE52" i="3"/>
  <c r="AE56" i="3"/>
  <c r="AE59" i="3"/>
  <c r="AE3" i="3"/>
  <c r="AE9" i="3"/>
  <c r="AE21" i="3"/>
  <c r="AE22" i="3"/>
  <c r="AE25" i="3"/>
  <c r="AE26" i="3"/>
  <c r="AE27" i="3"/>
  <c r="AE28" i="3"/>
  <c r="AE31" i="3"/>
  <c r="AE37" i="3"/>
  <c r="AE41" i="3"/>
  <c r="AE45" i="3"/>
  <c r="AE49" i="3"/>
  <c r="AE53" i="3"/>
  <c r="AE57" i="3"/>
  <c r="AE6" i="3"/>
  <c r="AE10" i="3"/>
  <c r="AE99" i="3"/>
  <c r="AE11" i="3"/>
  <c r="AE13" i="3"/>
  <c r="AE18" i="3"/>
  <c r="AE32" i="3"/>
  <c r="AE34" i="3"/>
  <c r="AE62" i="3"/>
  <c r="AE66" i="3"/>
  <c r="AE67" i="3"/>
  <c r="AE68" i="3"/>
  <c r="AE69" i="3"/>
  <c r="AE72" i="3"/>
  <c r="AE97" i="3"/>
  <c r="AE23" i="3"/>
  <c r="AE29" i="3"/>
  <c r="AE82" i="3"/>
  <c r="AE20" i="3"/>
  <c r="AE24" i="3"/>
  <c r="AE30" i="3"/>
  <c r="AE33" i="3"/>
  <c r="AE75" i="3"/>
  <c r="AE76" i="3"/>
  <c r="AE77" i="3"/>
  <c r="AE101" i="3"/>
  <c r="AE120" i="3"/>
  <c r="AE38" i="3"/>
  <c r="AE42" i="3"/>
  <c r="AE46" i="3"/>
  <c r="AE50" i="3"/>
  <c r="AE54" i="3"/>
  <c r="AE58" i="3"/>
  <c r="AE60" i="3"/>
  <c r="AE64" i="3"/>
  <c r="AE70" i="3"/>
  <c r="AE81" i="3"/>
  <c r="AE86" i="3"/>
  <c r="AE88" i="3"/>
  <c r="AE91" i="3"/>
  <c r="AE93" i="3"/>
  <c r="AE35" i="3"/>
  <c r="AE39" i="3"/>
  <c r="AE43" i="3"/>
  <c r="AE47" i="3"/>
  <c r="AE51" i="3"/>
  <c r="AE55" i="3"/>
  <c r="AE61" i="3"/>
  <c r="AE65" i="3"/>
  <c r="AE71" i="3"/>
  <c r="AE73" i="3"/>
  <c r="AE79" i="3"/>
  <c r="AE83" i="3"/>
  <c r="AE103" i="3"/>
  <c r="AE87" i="3"/>
  <c r="AE95" i="3"/>
  <c r="AE80" i="3"/>
  <c r="AE84" i="3"/>
  <c r="AE98" i="3"/>
  <c r="AE108" i="3"/>
  <c r="AE113" i="3"/>
  <c r="AE114" i="3"/>
  <c r="AE116" i="3"/>
  <c r="AE140" i="3"/>
  <c r="AE109" i="3"/>
  <c r="AE111" i="3"/>
  <c r="AE121" i="3"/>
  <c r="AE123" i="3"/>
  <c r="AE125" i="3"/>
  <c r="AE127" i="3"/>
  <c r="AE128" i="3"/>
  <c r="AE130" i="3"/>
  <c r="AE134" i="3"/>
  <c r="AE104" i="3"/>
  <c r="AE106" i="3"/>
  <c r="AE118" i="3"/>
  <c r="AE124" i="3"/>
  <c r="AE131" i="3"/>
  <c r="AE132" i="3"/>
  <c r="AE136" i="3"/>
  <c r="AE138" i="3"/>
  <c r="AE142" i="3"/>
  <c r="BK15" i="3"/>
  <c r="BK14" i="3"/>
  <c r="BK16" i="3"/>
  <c r="BK17" i="3"/>
  <c r="BK8" i="3"/>
  <c r="BK12" i="3"/>
  <c r="BK36" i="3"/>
  <c r="BK40" i="3"/>
  <c r="BK44" i="3"/>
  <c r="BK48" i="3"/>
  <c r="BK52" i="3"/>
  <c r="BK56" i="3"/>
  <c r="BK59" i="3"/>
  <c r="BK4" i="3"/>
  <c r="BK63" i="3"/>
  <c r="BK99" i="3"/>
  <c r="BK3" i="3"/>
  <c r="BK9" i="3"/>
  <c r="BK21" i="3"/>
  <c r="BK22" i="3"/>
  <c r="BK25" i="3"/>
  <c r="BK26" i="3"/>
  <c r="BK27" i="3"/>
  <c r="BK28" i="3"/>
  <c r="BK37" i="3"/>
  <c r="BK41" i="3"/>
  <c r="BK45" i="3"/>
  <c r="BK49" i="3"/>
  <c r="BK53" i="3"/>
  <c r="BK57" i="3"/>
  <c r="BK6" i="3"/>
  <c r="BK10" i="3"/>
  <c r="BK11" i="3"/>
  <c r="BK13" i="3"/>
  <c r="BK18" i="3"/>
  <c r="BK32" i="3"/>
  <c r="BK34" i="3"/>
  <c r="BK62" i="3"/>
  <c r="BK66" i="3"/>
  <c r="BK67" i="3"/>
  <c r="BK68" i="3"/>
  <c r="BK69" i="3"/>
  <c r="BK72" i="3"/>
  <c r="BK97" i="3"/>
  <c r="BK140" i="3"/>
  <c r="BK23" i="3"/>
  <c r="BK29" i="3"/>
  <c r="BK82" i="3"/>
  <c r="BK124" i="3"/>
  <c r="BK20" i="3"/>
  <c r="BK24" i="3"/>
  <c r="BK30" i="3"/>
  <c r="BK33" i="3"/>
  <c r="BK75" i="3"/>
  <c r="BK76" i="3"/>
  <c r="BK77" i="3"/>
  <c r="BK101" i="3"/>
  <c r="BK120" i="3"/>
  <c r="BK38" i="3"/>
  <c r="BK42" i="3"/>
  <c r="BK46" i="3"/>
  <c r="BK50" i="3"/>
  <c r="BK54" i="3"/>
  <c r="BK58" i="3"/>
  <c r="BK60" i="3"/>
  <c r="BK64" i="3"/>
  <c r="BK70" i="3"/>
  <c r="BK81" i="3"/>
  <c r="BK86" i="3"/>
  <c r="BK88" i="3"/>
  <c r="BK91" i="3"/>
  <c r="BK93" i="3"/>
  <c r="BK31" i="3"/>
  <c r="BK35" i="3"/>
  <c r="BK39" i="3"/>
  <c r="BK43" i="3"/>
  <c r="BK47" i="3"/>
  <c r="BK51" i="3"/>
  <c r="BK55" i="3"/>
  <c r="BK61" i="3"/>
  <c r="BK65" i="3"/>
  <c r="BK71" i="3"/>
  <c r="BK73" i="3"/>
  <c r="BK79" i="3"/>
  <c r="BK83" i="3"/>
  <c r="BK103" i="3"/>
  <c r="BK87" i="3"/>
  <c r="BK95" i="3"/>
  <c r="BK80" i="3"/>
  <c r="BK84" i="3"/>
  <c r="BK98" i="3"/>
  <c r="BK108" i="3"/>
  <c r="BK113" i="3"/>
  <c r="BK114" i="3"/>
  <c r="BK116" i="3"/>
  <c r="BK109" i="3"/>
  <c r="BK111" i="3"/>
  <c r="BK121" i="3"/>
  <c r="BK123" i="3"/>
  <c r="BK127" i="3"/>
  <c r="BK128" i="3"/>
  <c r="BK130" i="3"/>
  <c r="BK134" i="3"/>
  <c r="BK104" i="3"/>
  <c r="BK106" i="3"/>
  <c r="BK118" i="3"/>
  <c r="BK125" i="3"/>
  <c r="BK131" i="3"/>
  <c r="BK132" i="3"/>
  <c r="BK136" i="3"/>
  <c r="BK138" i="3"/>
  <c r="BK142" i="3"/>
  <c r="AJ14" i="3"/>
  <c r="AJ17" i="3"/>
  <c r="AJ15" i="3"/>
  <c r="AJ16" i="3"/>
  <c r="AJ27" i="3"/>
  <c r="AJ11" i="3"/>
  <c r="AJ24" i="3"/>
  <c r="AJ25" i="3"/>
  <c r="AJ61" i="3"/>
  <c r="AJ62" i="3"/>
  <c r="AJ30" i="3"/>
  <c r="AJ31" i="3"/>
  <c r="AJ13" i="3"/>
  <c r="AJ20" i="3"/>
  <c r="AJ21" i="3"/>
  <c r="AJ65" i="3"/>
  <c r="AJ66" i="3"/>
  <c r="AJ68" i="3"/>
  <c r="AJ73" i="3"/>
  <c r="AJ91" i="3"/>
  <c r="AJ4" i="3"/>
  <c r="AJ8" i="3"/>
  <c r="AJ12" i="3"/>
  <c r="AJ32" i="3"/>
  <c r="AJ36" i="3"/>
  <c r="AJ39" i="3"/>
  <c r="AJ40" i="3"/>
  <c r="AJ43" i="3"/>
  <c r="AJ44" i="3"/>
  <c r="AJ47" i="3"/>
  <c r="AJ48" i="3"/>
  <c r="AJ51" i="3"/>
  <c r="AJ52" i="3"/>
  <c r="AJ55" i="3"/>
  <c r="AJ56" i="3"/>
  <c r="AJ80" i="3"/>
  <c r="AJ82" i="3"/>
  <c r="AJ3" i="3"/>
  <c r="AJ9" i="3"/>
  <c r="AJ71" i="3"/>
  <c r="AJ72" i="3"/>
  <c r="AJ6" i="3"/>
  <c r="AJ10" i="3"/>
  <c r="AJ93" i="3"/>
  <c r="AJ127" i="3"/>
  <c r="AJ18" i="3"/>
  <c r="AJ22" i="3"/>
  <c r="AJ26" i="3"/>
  <c r="AJ28" i="3"/>
  <c r="AJ35" i="3"/>
  <c r="AJ76" i="3"/>
  <c r="AJ84" i="3"/>
  <c r="AJ23" i="3"/>
  <c r="AJ29" i="3"/>
  <c r="AJ33" i="3"/>
  <c r="AJ37" i="3"/>
  <c r="AJ41" i="3"/>
  <c r="AJ45" i="3"/>
  <c r="AJ49" i="3"/>
  <c r="AJ53" i="3"/>
  <c r="AJ57" i="3"/>
  <c r="AJ59" i="3"/>
  <c r="AJ63" i="3"/>
  <c r="AJ67" i="3"/>
  <c r="AJ69" i="3"/>
  <c r="AJ75" i="3"/>
  <c r="AJ77" i="3"/>
  <c r="AJ81" i="3"/>
  <c r="AJ34" i="3"/>
  <c r="AJ38" i="3"/>
  <c r="AJ42" i="3"/>
  <c r="AJ46" i="3"/>
  <c r="AJ50" i="3"/>
  <c r="AJ54" i="3"/>
  <c r="AJ58" i="3"/>
  <c r="AJ60" i="3"/>
  <c r="AJ64" i="3"/>
  <c r="AJ70" i="3"/>
  <c r="AJ97" i="3"/>
  <c r="AJ98" i="3"/>
  <c r="AJ99" i="3"/>
  <c r="AJ101" i="3"/>
  <c r="AJ124" i="3"/>
  <c r="AJ86" i="3"/>
  <c r="AJ88" i="3"/>
  <c r="AJ104" i="3"/>
  <c r="AJ106" i="3"/>
  <c r="AJ113" i="3"/>
  <c r="AJ118" i="3"/>
  <c r="AJ132" i="3"/>
  <c r="AJ79" i="3"/>
  <c r="AJ83" i="3"/>
  <c r="AJ87" i="3"/>
  <c r="AJ95" i="3"/>
  <c r="AJ108" i="3"/>
  <c r="AJ114" i="3"/>
  <c r="AJ116" i="3"/>
  <c r="AJ120" i="3"/>
  <c r="AJ103" i="3"/>
  <c r="AJ109" i="3"/>
  <c r="AJ111" i="3"/>
  <c r="AJ121" i="3"/>
  <c r="AJ123" i="3"/>
  <c r="AJ136" i="3"/>
  <c r="AJ140" i="3"/>
  <c r="AJ128" i="3"/>
  <c r="AJ130" i="3"/>
  <c r="AJ134" i="3"/>
  <c r="AJ125" i="3"/>
  <c r="AJ131" i="3"/>
  <c r="AJ138" i="3"/>
  <c r="AJ142" i="3"/>
  <c r="BM14" i="3"/>
  <c r="BM16" i="3"/>
  <c r="BM17" i="3"/>
  <c r="BM15" i="3"/>
  <c r="BM64" i="3"/>
  <c r="BM23" i="3"/>
  <c r="BM10" i="3"/>
  <c r="BM29" i="3"/>
  <c r="BM60" i="3"/>
  <c r="BM6" i="3"/>
  <c r="BM11" i="3"/>
  <c r="BM13" i="3"/>
  <c r="BM31" i="3"/>
  <c r="BM38" i="3"/>
  <c r="BM42" i="3"/>
  <c r="BM46" i="3"/>
  <c r="BM50" i="3"/>
  <c r="BM54" i="3"/>
  <c r="BM58" i="3"/>
  <c r="BM70" i="3"/>
  <c r="BM79" i="3"/>
  <c r="BM4" i="3"/>
  <c r="BM8" i="3"/>
  <c r="BM12" i="3"/>
  <c r="BM95" i="3"/>
  <c r="BM3" i="3"/>
  <c r="BM9" i="3"/>
  <c r="BM20" i="3"/>
  <c r="BM24" i="3"/>
  <c r="BM30" i="3"/>
  <c r="BM21" i="3"/>
  <c r="BM25" i="3"/>
  <c r="BM27" i="3"/>
  <c r="BM32" i="3"/>
  <c r="BM34" i="3"/>
  <c r="BM83" i="3"/>
  <c r="BM103" i="3"/>
  <c r="BM131" i="3"/>
  <c r="BM138" i="3"/>
  <c r="BM18" i="3"/>
  <c r="BM22" i="3"/>
  <c r="BM26" i="3"/>
  <c r="BM28" i="3"/>
  <c r="BM35" i="3"/>
  <c r="BM39" i="3"/>
  <c r="BM43" i="3"/>
  <c r="BM47" i="3"/>
  <c r="BM51" i="3"/>
  <c r="BM55" i="3"/>
  <c r="BM61" i="3"/>
  <c r="BM65" i="3"/>
  <c r="BM71" i="3"/>
  <c r="BM73" i="3"/>
  <c r="BM81" i="3"/>
  <c r="BM87" i="3"/>
  <c r="BM121" i="3"/>
  <c r="BM36" i="3"/>
  <c r="BM40" i="3"/>
  <c r="BM44" i="3"/>
  <c r="BM48" i="3"/>
  <c r="BM52" i="3"/>
  <c r="BM56" i="3"/>
  <c r="BM62" i="3"/>
  <c r="BM66" i="3"/>
  <c r="BM68" i="3"/>
  <c r="BM72" i="3"/>
  <c r="BM76" i="3"/>
  <c r="BM80" i="3"/>
  <c r="BM84" i="3"/>
  <c r="BM98" i="3"/>
  <c r="BM106" i="3"/>
  <c r="BM118" i="3"/>
  <c r="BM125" i="3"/>
  <c r="BM132" i="3"/>
  <c r="BM33" i="3"/>
  <c r="BM37" i="3"/>
  <c r="BM41" i="3"/>
  <c r="BM45" i="3"/>
  <c r="BM49" i="3"/>
  <c r="BM53" i="3"/>
  <c r="BM57" i="3"/>
  <c r="BM59" i="3"/>
  <c r="BM63" i="3"/>
  <c r="BM67" i="3"/>
  <c r="BM69" i="3"/>
  <c r="BM75" i="3"/>
  <c r="BM77" i="3"/>
  <c r="BM104" i="3"/>
  <c r="BM123" i="3"/>
  <c r="BM91" i="3"/>
  <c r="BM93" i="3"/>
  <c r="BM97" i="3"/>
  <c r="BM99" i="3"/>
  <c r="BM101" i="3"/>
  <c r="BM109" i="3"/>
  <c r="BM111" i="3"/>
  <c r="BM82" i="3"/>
  <c r="BM86" i="3"/>
  <c r="BM88" i="3"/>
  <c r="BM113" i="3"/>
  <c r="BM136" i="3"/>
  <c r="BM108" i="3"/>
  <c r="BM114" i="3"/>
  <c r="BM116" i="3"/>
  <c r="BM120" i="3"/>
  <c r="BM127" i="3"/>
  <c r="BM124" i="3"/>
  <c r="BM128" i="3"/>
  <c r="BM130" i="3"/>
  <c r="BM134" i="3"/>
  <c r="BM140" i="3"/>
  <c r="BM142" i="3"/>
  <c r="R15" i="3"/>
  <c r="R16" i="3"/>
  <c r="R17" i="3"/>
  <c r="R14" i="3"/>
  <c r="R9" i="3"/>
  <c r="R3" i="3"/>
  <c r="R6" i="3"/>
  <c r="R10" i="3"/>
  <c r="R23" i="3"/>
  <c r="R29" i="3"/>
  <c r="R60" i="3"/>
  <c r="R64" i="3"/>
  <c r="R11" i="3"/>
  <c r="R13" i="3"/>
  <c r="R18" i="3"/>
  <c r="R22" i="3"/>
  <c r="R26" i="3"/>
  <c r="R28" i="3"/>
  <c r="R35" i="3"/>
  <c r="R38" i="3"/>
  <c r="R42" i="3"/>
  <c r="R46" i="3"/>
  <c r="R50" i="3"/>
  <c r="R54" i="3"/>
  <c r="R58" i="3"/>
  <c r="R77" i="3"/>
  <c r="R4" i="3"/>
  <c r="R8" i="3"/>
  <c r="R12" i="3"/>
  <c r="R33" i="3"/>
  <c r="R75" i="3"/>
  <c r="R70" i="3"/>
  <c r="R83" i="3"/>
  <c r="R123" i="3"/>
  <c r="R20" i="3"/>
  <c r="R24" i="3"/>
  <c r="R30" i="3"/>
  <c r="R37" i="3"/>
  <c r="R41" i="3"/>
  <c r="R45" i="3"/>
  <c r="R49" i="3"/>
  <c r="R53" i="3"/>
  <c r="R57" i="3"/>
  <c r="R59" i="3"/>
  <c r="R63" i="3"/>
  <c r="R67" i="3"/>
  <c r="R69" i="3"/>
  <c r="R121" i="3"/>
  <c r="R21" i="3"/>
  <c r="R25" i="3"/>
  <c r="R27" i="3"/>
  <c r="R31" i="3"/>
  <c r="R34" i="3"/>
  <c r="R79" i="3"/>
  <c r="R114" i="3"/>
  <c r="R39" i="3"/>
  <c r="R43" i="3"/>
  <c r="R47" i="3"/>
  <c r="R51" i="3"/>
  <c r="R55" i="3"/>
  <c r="R61" i="3"/>
  <c r="R65" i="3"/>
  <c r="R71" i="3"/>
  <c r="R73" i="3"/>
  <c r="R87" i="3"/>
  <c r="R95" i="3"/>
  <c r="R104" i="3"/>
  <c r="R108" i="3"/>
  <c r="R116" i="3"/>
  <c r="R32" i="3"/>
  <c r="R36" i="3"/>
  <c r="R40" i="3"/>
  <c r="R44" i="3"/>
  <c r="R48" i="3"/>
  <c r="R52" i="3"/>
  <c r="R56" i="3"/>
  <c r="R62" i="3"/>
  <c r="R66" i="3"/>
  <c r="R68" i="3"/>
  <c r="R72" i="3"/>
  <c r="R76" i="3"/>
  <c r="R80" i="3"/>
  <c r="R82" i="3"/>
  <c r="R84" i="3"/>
  <c r="R86" i="3"/>
  <c r="R88" i="3"/>
  <c r="R98" i="3"/>
  <c r="R103" i="3"/>
  <c r="R120" i="3"/>
  <c r="R81" i="3"/>
  <c r="R91" i="3"/>
  <c r="R93" i="3"/>
  <c r="R97" i="3"/>
  <c r="R99" i="3"/>
  <c r="R101" i="3"/>
  <c r="R109" i="3"/>
  <c r="R111" i="3"/>
  <c r="R125" i="3"/>
  <c r="R106" i="3"/>
  <c r="R118" i="3"/>
  <c r="R124" i="3"/>
  <c r="R131" i="3"/>
  <c r="R113" i="3"/>
  <c r="R128" i="3"/>
  <c r="R130" i="3"/>
  <c r="R134" i="3"/>
  <c r="R132" i="3"/>
  <c r="R136" i="3"/>
  <c r="R142" i="3"/>
  <c r="R127" i="3"/>
  <c r="R138" i="3"/>
  <c r="R140" i="3"/>
  <c r="H16" i="3"/>
  <c r="H14" i="3"/>
  <c r="H15" i="3"/>
  <c r="H17" i="3"/>
  <c r="H13" i="3"/>
  <c r="H11" i="3"/>
  <c r="H76" i="3"/>
  <c r="H4" i="3"/>
  <c r="H8" i="3"/>
  <c r="H12" i="3"/>
  <c r="H97" i="3"/>
  <c r="H3" i="3"/>
  <c r="H9" i="3"/>
  <c r="H20" i="3"/>
  <c r="H21" i="3"/>
  <c r="H24" i="3"/>
  <c r="H25" i="3"/>
  <c r="H27" i="3"/>
  <c r="H30" i="3"/>
  <c r="H31" i="3"/>
  <c r="H35" i="3"/>
  <c r="H6" i="3"/>
  <c r="H10" i="3"/>
  <c r="H18" i="3"/>
  <c r="H82" i="3"/>
  <c r="H22" i="3"/>
  <c r="H26" i="3"/>
  <c r="H28" i="3"/>
  <c r="H33" i="3"/>
  <c r="H36" i="3"/>
  <c r="H39" i="3"/>
  <c r="H40" i="3"/>
  <c r="H43" i="3"/>
  <c r="H44" i="3"/>
  <c r="H47" i="3"/>
  <c r="H48" i="3"/>
  <c r="H51" i="3"/>
  <c r="H52" i="3"/>
  <c r="H55" i="3"/>
  <c r="H56" i="3"/>
  <c r="H61" i="3"/>
  <c r="H62" i="3"/>
  <c r="H65" i="3"/>
  <c r="H66" i="3"/>
  <c r="H68" i="3"/>
  <c r="H71" i="3"/>
  <c r="H72" i="3"/>
  <c r="H73" i="3"/>
  <c r="H81" i="3"/>
  <c r="H98" i="3"/>
  <c r="H101" i="3"/>
  <c r="H142" i="3"/>
  <c r="H23" i="3"/>
  <c r="H29" i="3"/>
  <c r="H32" i="3"/>
  <c r="H99" i="3"/>
  <c r="H37" i="3"/>
  <c r="H41" i="3"/>
  <c r="H45" i="3"/>
  <c r="H49" i="3"/>
  <c r="H53" i="3"/>
  <c r="H57" i="3"/>
  <c r="H59" i="3"/>
  <c r="H63" i="3"/>
  <c r="H67" i="3"/>
  <c r="H69" i="3"/>
  <c r="H75" i="3"/>
  <c r="H77" i="3"/>
  <c r="H104" i="3"/>
  <c r="H34" i="3"/>
  <c r="H38" i="3"/>
  <c r="H42" i="3"/>
  <c r="H46" i="3"/>
  <c r="H50" i="3"/>
  <c r="H54" i="3"/>
  <c r="H58" i="3"/>
  <c r="H60" i="3"/>
  <c r="H64" i="3"/>
  <c r="H70" i="3"/>
  <c r="H80" i="3"/>
  <c r="H84" i="3"/>
  <c r="H91" i="3"/>
  <c r="H93" i="3"/>
  <c r="H106" i="3"/>
  <c r="H113" i="3"/>
  <c r="H118" i="3"/>
  <c r="H136" i="3"/>
  <c r="H86" i="3"/>
  <c r="H88" i="3"/>
  <c r="H124" i="3"/>
  <c r="H140" i="3"/>
  <c r="H79" i="3"/>
  <c r="H83" i="3"/>
  <c r="H87" i="3"/>
  <c r="H95" i="3"/>
  <c r="H108" i="3"/>
  <c r="H114" i="3"/>
  <c r="H116" i="3"/>
  <c r="H120" i="3"/>
  <c r="H103" i="3"/>
  <c r="H109" i="3"/>
  <c r="H111" i="3"/>
  <c r="H121" i="3"/>
  <c r="H123" i="3"/>
  <c r="H127" i="3"/>
  <c r="H132" i="3"/>
  <c r="H128" i="3"/>
  <c r="H130" i="3"/>
  <c r="H134" i="3"/>
  <c r="H138" i="3"/>
  <c r="H125" i="3"/>
  <c r="H131" i="3"/>
  <c r="AN15" i="3"/>
  <c r="AN16" i="3"/>
  <c r="AN17" i="3"/>
  <c r="AN14" i="3"/>
  <c r="AN13" i="3"/>
  <c r="AN76" i="3"/>
  <c r="AN11" i="3"/>
  <c r="AN4" i="3"/>
  <c r="AN8" i="3"/>
  <c r="AN12" i="3"/>
  <c r="AN3" i="3"/>
  <c r="AN9" i="3"/>
  <c r="AN20" i="3"/>
  <c r="AN21" i="3"/>
  <c r="AN24" i="3"/>
  <c r="AN25" i="3"/>
  <c r="AN27" i="3"/>
  <c r="AN30" i="3"/>
  <c r="AN31" i="3"/>
  <c r="AN35" i="3"/>
  <c r="AN6" i="3"/>
  <c r="AN10" i="3"/>
  <c r="AN97" i="3"/>
  <c r="AN104" i="3"/>
  <c r="AN82" i="3"/>
  <c r="AN18" i="3"/>
  <c r="AN22" i="3"/>
  <c r="AN26" i="3"/>
  <c r="AN28" i="3"/>
  <c r="AN33" i="3"/>
  <c r="AN36" i="3"/>
  <c r="AN39" i="3"/>
  <c r="AN40" i="3"/>
  <c r="AN43" i="3"/>
  <c r="AN44" i="3"/>
  <c r="AN47" i="3"/>
  <c r="AN48" i="3"/>
  <c r="AN51" i="3"/>
  <c r="AN52" i="3"/>
  <c r="AN55" i="3"/>
  <c r="AN56" i="3"/>
  <c r="AN61" i="3"/>
  <c r="AN62" i="3"/>
  <c r="AN65" i="3"/>
  <c r="AN66" i="3"/>
  <c r="AN68" i="3"/>
  <c r="AN71" i="3"/>
  <c r="AN72" i="3"/>
  <c r="AN73" i="3"/>
  <c r="AN81" i="3"/>
  <c r="AN98" i="3"/>
  <c r="AN101" i="3"/>
  <c r="AN23" i="3"/>
  <c r="AN29" i="3"/>
  <c r="AN32" i="3"/>
  <c r="AN99" i="3"/>
  <c r="AN37" i="3"/>
  <c r="AN41" i="3"/>
  <c r="AN45" i="3"/>
  <c r="AN49" i="3"/>
  <c r="AN53" i="3"/>
  <c r="AN57" i="3"/>
  <c r="AN59" i="3"/>
  <c r="AN63" i="3"/>
  <c r="AN67" i="3"/>
  <c r="AN69" i="3"/>
  <c r="AN75" i="3"/>
  <c r="AN77" i="3"/>
  <c r="AN140" i="3"/>
  <c r="AN34" i="3"/>
  <c r="AN38" i="3"/>
  <c r="AN42" i="3"/>
  <c r="AN46" i="3"/>
  <c r="AN50" i="3"/>
  <c r="AN54" i="3"/>
  <c r="AN58" i="3"/>
  <c r="AN60" i="3"/>
  <c r="AN64" i="3"/>
  <c r="AN70" i="3"/>
  <c r="AN80" i="3"/>
  <c r="AN84" i="3"/>
  <c r="AN91" i="3"/>
  <c r="AN93" i="3"/>
  <c r="AN106" i="3"/>
  <c r="AN113" i="3"/>
  <c r="AN118" i="3"/>
  <c r="AN136" i="3"/>
  <c r="AN86" i="3"/>
  <c r="AN88" i="3"/>
  <c r="AN124" i="3"/>
  <c r="AN79" i="3"/>
  <c r="AN83" i="3"/>
  <c r="AN87" i="3"/>
  <c r="AN95" i="3"/>
  <c r="AN108" i="3"/>
  <c r="AN114" i="3"/>
  <c r="AN116" i="3"/>
  <c r="AN120" i="3"/>
  <c r="AN103" i="3"/>
  <c r="AN109" i="3"/>
  <c r="AN111" i="3"/>
  <c r="AN121" i="3"/>
  <c r="AN123" i="3"/>
  <c r="AN127" i="3"/>
  <c r="AN132" i="3"/>
  <c r="AN128" i="3"/>
  <c r="AN130" i="3"/>
  <c r="AN134" i="3"/>
  <c r="AN138" i="3"/>
  <c r="AN142" i="3"/>
  <c r="AN125" i="3"/>
  <c r="AN131" i="3"/>
  <c r="BJ17" i="3"/>
  <c r="BJ14" i="3"/>
  <c r="BJ16" i="3"/>
  <c r="BJ15" i="3"/>
  <c r="BJ9" i="3"/>
  <c r="BJ28" i="3"/>
  <c r="BJ3" i="3"/>
  <c r="BJ26" i="3"/>
  <c r="BJ37" i="3"/>
  <c r="BJ41" i="3"/>
  <c r="BJ45" i="3"/>
  <c r="BJ49" i="3"/>
  <c r="BJ53" i="3"/>
  <c r="BJ57" i="3"/>
  <c r="BJ69" i="3"/>
  <c r="BJ22" i="3"/>
  <c r="BJ6" i="3"/>
  <c r="BJ10" i="3"/>
  <c r="BJ67" i="3"/>
  <c r="BJ84" i="3"/>
  <c r="BJ11" i="3"/>
  <c r="BJ13" i="3"/>
  <c r="BJ18" i="3"/>
  <c r="BJ34" i="3"/>
  <c r="BJ4" i="3"/>
  <c r="BJ8" i="3"/>
  <c r="BJ12" i="3"/>
  <c r="BJ23" i="3"/>
  <c r="BJ29" i="3"/>
  <c r="BJ59" i="3"/>
  <c r="BJ63" i="3"/>
  <c r="BJ82" i="3"/>
  <c r="BJ88" i="3"/>
  <c r="BJ109" i="3"/>
  <c r="BJ130" i="3"/>
  <c r="BJ131" i="3"/>
  <c r="BJ20" i="3"/>
  <c r="BJ24" i="3"/>
  <c r="BJ30" i="3"/>
  <c r="BJ31" i="3"/>
  <c r="BJ33" i="3"/>
  <c r="BJ75" i="3"/>
  <c r="BJ77" i="3"/>
  <c r="BJ80" i="3"/>
  <c r="BJ86" i="3"/>
  <c r="BJ87" i="3"/>
  <c r="BJ21" i="3"/>
  <c r="BJ25" i="3"/>
  <c r="BJ27" i="3"/>
  <c r="BJ38" i="3"/>
  <c r="BJ42" i="3"/>
  <c r="BJ46" i="3"/>
  <c r="BJ50" i="3"/>
  <c r="BJ54" i="3"/>
  <c r="BJ58" i="3"/>
  <c r="BJ60" i="3"/>
  <c r="BJ64" i="3"/>
  <c r="BJ70" i="3"/>
  <c r="BJ95" i="3"/>
  <c r="BJ35" i="3"/>
  <c r="BJ39" i="3"/>
  <c r="BJ43" i="3"/>
  <c r="BJ47" i="3"/>
  <c r="BJ51" i="3"/>
  <c r="BJ55" i="3"/>
  <c r="BJ61" i="3"/>
  <c r="BJ65" i="3"/>
  <c r="BJ71" i="3"/>
  <c r="BJ73" i="3"/>
  <c r="BJ79" i="3"/>
  <c r="BJ83" i="3"/>
  <c r="BJ111" i="3"/>
  <c r="BJ32" i="3"/>
  <c r="BJ36" i="3"/>
  <c r="BJ40" i="3"/>
  <c r="BJ44" i="3"/>
  <c r="BJ48" i="3"/>
  <c r="BJ52" i="3"/>
  <c r="BJ56" i="3"/>
  <c r="BJ62" i="3"/>
  <c r="BJ66" i="3"/>
  <c r="BJ68" i="3"/>
  <c r="BJ72" i="3"/>
  <c r="BJ76" i="3"/>
  <c r="BJ120" i="3"/>
  <c r="BJ98" i="3"/>
  <c r="BJ108" i="3"/>
  <c r="BJ114" i="3"/>
  <c r="BJ116" i="3"/>
  <c r="BJ134" i="3"/>
  <c r="BJ81" i="3"/>
  <c r="BJ91" i="3"/>
  <c r="BJ93" i="3"/>
  <c r="BJ97" i="3"/>
  <c r="BJ99" i="3"/>
  <c r="BJ101" i="3"/>
  <c r="BJ103" i="3"/>
  <c r="BJ121" i="3"/>
  <c r="BJ123" i="3"/>
  <c r="BJ125" i="3"/>
  <c r="BJ128" i="3"/>
  <c r="BJ104" i="3"/>
  <c r="BJ106" i="3"/>
  <c r="BJ118" i="3"/>
  <c r="BJ113" i="3"/>
  <c r="BJ124" i="3"/>
  <c r="BJ132" i="3"/>
  <c r="BJ136" i="3"/>
  <c r="BJ127" i="3"/>
  <c r="BJ138" i="3"/>
  <c r="BJ140" i="3"/>
  <c r="BJ142" i="3"/>
  <c r="AO14" i="3"/>
  <c r="AO16" i="3"/>
  <c r="AO17" i="3"/>
  <c r="AO15" i="3"/>
  <c r="AO6" i="3"/>
  <c r="AO23" i="3"/>
  <c r="AO10" i="3"/>
  <c r="AO29" i="3"/>
  <c r="AO123" i="3"/>
  <c r="AO11" i="3"/>
  <c r="AO13" i="3"/>
  <c r="AO4" i="3"/>
  <c r="AO8" i="3"/>
  <c r="AO12" i="3"/>
  <c r="AO34" i="3"/>
  <c r="AO60" i="3"/>
  <c r="AO64" i="3"/>
  <c r="AO70" i="3"/>
  <c r="AO3" i="3"/>
  <c r="AO9" i="3"/>
  <c r="AO20" i="3"/>
  <c r="AO24" i="3"/>
  <c r="AO30" i="3"/>
  <c r="AO32" i="3"/>
  <c r="AO38" i="3"/>
  <c r="AO42" i="3"/>
  <c r="AO46" i="3"/>
  <c r="AO50" i="3"/>
  <c r="AO54" i="3"/>
  <c r="AO58" i="3"/>
  <c r="AO84" i="3"/>
  <c r="AO106" i="3"/>
  <c r="AO87" i="3"/>
  <c r="AO104" i="3"/>
  <c r="AO21" i="3"/>
  <c r="AO25" i="3"/>
  <c r="AO27" i="3"/>
  <c r="AO31" i="3"/>
  <c r="AO35" i="3"/>
  <c r="AO80" i="3"/>
  <c r="AO95" i="3"/>
  <c r="AO118" i="3"/>
  <c r="AO18" i="3"/>
  <c r="AO22" i="3"/>
  <c r="AO26" i="3"/>
  <c r="AO28" i="3"/>
  <c r="AO39" i="3"/>
  <c r="AO43" i="3"/>
  <c r="AO47" i="3"/>
  <c r="AO51" i="3"/>
  <c r="AO55" i="3"/>
  <c r="AO61" i="3"/>
  <c r="AO65" i="3"/>
  <c r="AO71" i="3"/>
  <c r="AO73" i="3"/>
  <c r="AO36" i="3"/>
  <c r="AO40" i="3"/>
  <c r="AO44" i="3"/>
  <c r="AO48" i="3"/>
  <c r="AO52" i="3"/>
  <c r="AO56" i="3"/>
  <c r="AO62" i="3"/>
  <c r="AO66" i="3"/>
  <c r="AO68" i="3"/>
  <c r="AO72" i="3"/>
  <c r="AO76" i="3"/>
  <c r="AO79" i="3"/>
  <c r="AO81" i="3"/>
  <c r="AO83" i="3"/>
  <c r="AO98" i="3"/>
  <c r="AO121" i="3"/>
  <c r="AO125" i="3"/>
  <c r="AO33" i="3"/>
  <c r="AO37" i="3"/>
  <c r="AO41" i="3"/>
  <c r="AO45" i="3"/>
  <c r="AO49" i="3"/>
  <c r="AO53" i="3"/>
  <c r="AO57" i="3"/>
  <c r="AO59" i="3"/>
  <c r="AO63" i="3"/>
  <c r="AO67" i="3"/>
  <c r="AO69" i="3"/>
  <c r="AO75" i="3"/>
  <c r="AO77" i="3"/>
  <c r="AO140" i="3"/>
  <c r="AO91" i="3"/>
  <c r="AO93" i="3"/>
  <c r="AO97" i="3"/>
  <c r="AO99" i="3"/>
  <c r="AO101" i="3"/>
  <c r="AO109" i="3"/>
  <c r="AO111" i="3"/>
  <c r="AO82" i="3"/>
  <c r="AO86" i="3"/>
  <c r="AO88" i="3"/>
  <c r="AO103" i="3"/>
  <c r="AO124" i="3"/>
  <c r="AO131" i="3"/>
  <c r="AO132" i="3"/>
  <c r="AO113" i="3"/>
  <c r="AO136" i="3"/>
  <c r="AO108" i="3"/>
  <c r="AO114" i="3"/>
  <c r="AO116" i="3"/>
  <c r="AO120" i="3"/>
  <c r="AO127" i="3"/>
  <c r="AO128" i="3"/>
  <c r="AO130" i="3"/>
  <c r="AO134" i="3"/>
  <c r="AO138" i="3"/>
  <c r="AO142" i="3"/>
  <c r="BC17" i="3"/>
  <c r="BC16" i="3"/>
  <c r="BC15" i="3"/>
  <c r="BC14" i="3"/>
  <c r="BC4" i="3"/>
  <c r="BC8" i="3"/>
  <c r="BC12" i="3"/>
  <c r="BC3" i="3"/>
  <c r="BC9" i="3"/>
  <c r="BC21" i="3"/>
  <c r="BC22" i="3"/>
  <c r="BC25" i="3"/>
  <c r="BC26" i="3"/>
  <c r="BC27" i="3"/>
  <c r="BC28" i="3"/>
  <c r="BC31" i="3"/>
  <c r="BC33" i="3"/>
  <c r="BC62" i="3"/>
  <c r="BC6" i="3"/>
  <c r="BC10" i="3"/>
  <c r="BC36" i="3"/>
  <c r="BC40" i="3"/>
  <c r="BC44" i="3"/>
  <c r="BC48" i="3"/>
  <c r="BC52" i="3"/>
  <c r="BC56" i="3"/>
  <c r="BC59" i="3"/>
  <c r="BC63" i="3"/>
  <c r="BC11" i="3"/>
  <c r="BC13" i="3"/>
  <c r="BC18" i="3"/>
  <c r="BC37" i="3"/>
  <c r="BC41" i="3"/>
  <c r="BC45" i="3"/>
  <c r="BC49" i="3"/>
  <c r="BC53" i="3"/>
  <c r="BC57" i="3"/>
  <c r="BC66" i="3"/>
  <c r="BC67" i="3"/>
  <c r="BC68" i="3"/>
  <c r="BC69" i="3"/>
  <c r="BC72" i="3"/>
  <c r="BC79" i="3"/>
  <c r="BC101" i="3"/>
  <c r="BC125" i="3"/>
  <c r="BC23" i="3"/>
  <c r="BC29" i="3"/>
  <c r="BC32" i="3"/>
  <c r="BC99" i="3"/>
  <c r="BC20" i="3"/>
  <c r="BC24" i="3"/>
  <c r="BC30" i="3"/>
  <c r="BC34" i="3"/>
  <c r="BC75" i="3"/>
  <c r="BC76" i="3"/>
  <c r="BC77" i="3"/>
  <c r="BC81" i="3"/>
  <c r="BC83" i="3"/>
  <c r="BC97" i="3"/>
  <c r="BC38" i="3"/>
  <c r="BC42" i="3"/>
  <c r="BC46" i="3"/>
  <c r="BC50" i="3"/>
  <c r="BC54" i="3"/>
  <c r="BC58" i="3"/>
  <c r="BC60" i="3"/>
  <c r="BC64" i="3"/>
  <c r="BC70" i="3"/>
  <c r="BC86" i="3"/>
  <c r="BC88" i="3"/>
  <c r="BC91" i="3"/>
  <c r="BC93" i="3"/>
  <c r="BC120" i="3"/>
  <c r="BC35" i="3"/>
  <c r="BC39" i="3"/>
  <c r="BC43" i="3"/>
  <c r="BC47" i="3"/>
  <c r="BC51" i="3"/>
  <c r="BC55" i="3"/>
  <c r="BC61" i="3"/>
  <c r="BC65" i="3"/>
  <c r="BC71" i="3"/>
  <c r="BC73" i="3"/>
  <c r="BC82" i="3"/>
  <c r="BC87" i="3"/>
  <c r="BC95" i="3"/>
  <c r="BC103" i="3"/>
  <c r="BC80" i="3"/>
  <c r="BC84" i="3"/>
  <c r="BC98" i="3"/>
  <c r="BC108" i="3"/>
  <c r="BC113" i="3"/>
  <c r="BC114" i="3"/>
  <c r="BC116" i="3"/>
  <c r="BC138" i="3"/>
  <c r="BC109" i="3"/>
  <c r="BC111" i="3"/>
  <c r="BC121" i="3"/>
  <c r="BC123" i="3"/>
  <c r="BC124" i="3"/>
  <c r="BC127" i="3"/>
  <c r="BC128" i="3"/>
  <c r="BC130" i="3"/>
  <c r="BC134" i="3"/>
  <c r="BC104" i="3"/>
  <c r="BC106" i="3"/>
  <c r="BC118" i="3"/>
  <c r="BC131" i="3"/>
  <c r="BC132" i="3"/>
  <c r="BC136" i="3"/>
  <c r="BC140" i="3"/>
  <c r="BC142" i="3"/>
  <c r="BH16" i="3"/>
  <c r="BH14" i="3"/>
  <c r="BH17" i="3"/>
  <c r="BH15" i="3"/>
  <c r="BH25" i="3"/>
  <c r="BH66" i="3"/>
  <c r="BH24" i="3"/>
  <c r="BH13" i="3"/>
  <c r="BH30" i="3"/>
  <c r="BH20" i="3"/>
  <c r="BH21" i="3"/>
  <c r="BH11" i="3"/>
  <c r="BH27" i="3"/>
  <c r="BH4" i="3"/>
  <c r="BH8" i="3"/>
  <c r="BH12" i="3"/>
  <c r="BH71" i="3"/>
  <c r="BH72" i="3"/>
  <c r="BH3" i="3"/>
  <c r="BH9" i="3"/>
  <c r="BH61" i="3"/>
  <c r="BH62" i="3"/>
  <c r="BH65" i="3"/>
  <c r="BH6" i="3"/>
  <c r="BH10" i="3"/>
  <c r="BH31" i="3"/>
  <c r="BH33" i="3"/>
  <c r="BH35" i="3"/>
  <c r="BH36" i="3"/>
  <c r="BH39" i="3"/>
  <c r="BH40" i="3"/>
  <c r="BH43" i="3"/>
  <c r="BH44" i="3"/>
  <c r="BH47" i="3"/>
  <c r="BH48" i="3"/>
  <c r="BH51" i="3"/>
  <c r="BH52" i="3"/>
  <c r="BH55" i="3"/>
  <c r="BH56" i="3"/>
  <c r="BH68" i="3"/>
  <c r="BH73" i="3"/>
  <c r="BH81" i="3"/>
  <c r="BH18" i="3"/>
  <c r="BH22" i="3"/>
  <c r="BH26" i="3"/>
  <c r="BH28" i="3"/>
  <c r="BH32" i="3"/>
  <c r="BH76" i="3"/>
  <c r="BH91" i="3"/>
  <c r="BH23" i="3"/>
  <c r="BH29" i="3"/>
  <c r="BH93" i="3"/>
  <c r="BH132" i="3"/>
  <c r="BH37" i="3"/>
  <c r="BH41" i="3"/>
  <c r="BH45" i="3"/>
  <c r="BH49" i="3"/>
  <c r="BH53" i="3"/>
  <c r="BH57" i="3"/>
  <c r="BH59" i="3"/>
  <c r="BH63" i="3"/>
  <c r="BH67" i="3"/>
  <c r="BH69" i="3"/>
  <c r="BH75" i="3"/>
  <c r="BH77" i="3"/>
  <c r="BH80" i="3"/>
  <c r="BH84" i="3"/>
  <c r="BH34" i="3"/>
  <c r="BH38" i="3"/>
  <c r="BH42" i="3"/>
  <c r="BH46" i="3"/>
  <c r="BH50" i="3"/>
  <c r="BH54" i="3"/>
  <c r="BH58" i="3"/>
  <c r="BH60" i="3"/>
  <c r="BH64" i="3"/>
  <c r="BH70" i="3"/>
  <c r="BH82" i="3"/>
  <c r="BH97" i="3"/>
  <c r="BH98" i="3"/>
  <c r="BH99" i="3"/>
  <c r="BH101" i="3"/>
  <c r="BH86" i="3"/>
  <c r="BH88" i="3"/>
  <c r="BH104" i="3"/>
  <c r="BH106" i="3"/>
  <c r="BH113" i="3"/>
  <c r="BH118" i="3"/>
  <c r="BH79" i="3"/>
  <c r="BH83" i="3"/>
  <c r="BH87" i="3"/>
  <c r="BH95" i="3"/>
  <c r="BH127" i="3"/>
  <c r="BH108" i="3"/>
  <c r="BH114" i="3"/>
  <c r="BH116" i="3"/>
  <c r="BH120" i="3"/>
  <c r="BH124" i="3"/>
  <c r="BH138" i="3"/>
  <c r="BH103" i="3"/>
  <c r="BH109" i="3"/>
  <c r="BH111" i="3"/>
  <c r="BH121" i="3"/>
  <c r="BH123" i="3"/>
  <c r="BH136" i="3"/>
  <c r="BH142" i="3"/>
  <c r="BH128" i="3"/>
  <c r="BH130" i="3"/>
  <c r="BH134" i="3"/>
  <c r="BH125" i="3"/>
  <c r="BH131" i="3"/>
  <c r="BH140" i="3"/>
  <c r="M16" i="3"/>
  <c r="M14" i="3"/>
  <c r="M15" i="3"/>
  <c r="M17" i="3"/>
  <c r="M43" i="3"/>
  <c r="M51" i="3"/>
  <c r="M39" i="3"/>
  <c r="M47" i="3"/>
  <c r="M55" i="3"/>
  <c r="M6" i="3"/>
  <c r="M10" i="3"/>
  <c r="M35" i="3"/>
  <c r="M11" i="3"/>
  <c r="M13" i="3"/>
  <c r="M20" i="3"/>
  <c r="M24" i="3"/>
  <c r="M30" i="3"/>
  <c r="M81" i="3"/>
  <c r="M4" i="3"/>
  <c r="M8" i="3"/>
  <c r="M12" i="3"/>
  <c r="M23" i="3"/>
  <c r="M29" i="3"/>
  <c r="M104" i="3"/>
  <c r="M3" i="3"/>
  <c r="M9" i="3"/>
  <c r="M61" i="3"/>
  <c r="M65" i="3"/>
  <c r="M71" i="3"/>
  <c r="M73" i="3"/>
  <c r="M79" i="3"/>
  <c r="M125" i="3"/>
  <c r="M21" i="3"/>
  <c r="M25" i="3"/>
  <c r="M27" i="3"/>
  <c r="M31" i="3"/>
  <c r="M38" i="3"/>
  <c r="M42" i="3"/>
  <c r="M46" i="3"/>
  <c r="M50" i="3"/>
  <c r="M54" i="3"/>
  <c r="M58" i="3"/>
  <c r="M60" i="3"/>
  <c r="M64" i="3"/>
  <c r="M70" i="3"/>
  <c r="M109" i="3"/>
  <c r="M111" i="3"/>
  <c r="M18" i="3"/>
  <c r="M22" i="3"/>
  <c r="M26" i="3"/>
  <c r="M28" i="3"/>
  <c r="M32" i="3"/>
  <c r="M34" i="3"/>
  <c r="M83" i="3"/>
  <c r="M98" i="3"/>
  <c r="M36" i="3"/>
  <c r="M40" i="3"/>
  <c r="M44" i="3"/>
  <c r="M48" i="3"/>
  <c r="M52" i="3"/>
  <c r="M56" i="3"/>
  <c r="M62" i="3"/>
  <c r="M66" i="3"/>
  <c r="M68" i="3"/>
  <c r="M72" i="3"/>
  <c r="M76" i="3"/>
  <c r="M124" i="3"/>
  <c r="M33" i="3"/>
  <c r="M37" i="3"/>
  <c r="M41" i="3"/>
  <c r="M45" i="3"/>
  <c r="M49" i="3"/>
  <c r="M53" i="3"/>
  <c r="M57" i="3"/>
  <c r="M59" i="3"/>
  <c r="M63" i="3"/>
  <c r="M67" i="3"/>
  <c r="M69" i="3"/>
  <c r="M75" i="3"/>
  <c r="M77" i="3"/>
  <c r="M80" i="3"/>
  <c r="M84" i="3"/>
  <c r="M87" i="3"/>
  <c r="M95" i="3"/>
  <c r="M91" i="3"/>
  <c r="M93" i="3"/>
  <c r="M97" i="3"/>
  <c r="M99" i="3"/>
  <c r="M101" i="3"/>
  <c r="M103" i="3"/>
  <c r="M121" i="3"/>
  <c r="M123" i="3"/>
  <c r="M136" i="3"/>
  <c r="M82" i="3"/>
  <c r="M86" i="3"/>
  <c r="M88" i="3"/>
  <c r="M106" i="3"/>
  <c r="M118" i="3"/>
  <c r="M113" i="3"/>
  <c r="M132" i="3"/>
  <c r="M140" i="3"/>
  <c r="M108" i="3"/>
  <c r="M114" i="3"/>
  <c r="M116" i="3"/>
  <c r="M120" i="3"/>
  <c r="M131" i="3"/>
  <c r="M127" i="3"/>
  <c r="M138" i="3"/>
  <c r="M128" i="3"/>
  <c r="M130" i="3"/>
  <c r="M134" i="3"/>
  <c r="M142" i="3"/>
  <c r="AK17" i="3"/>
  <c r="AK16" i="3"/>
  <c r="AK15" i="3"/>
  <c r="AK14" i="3"/>
  <c r="AK6" i="3"/>
  <c r="AK10" i="3"/>
  <c r="AK11" i="3"/>
  <c r="AK13" i="3"/>
  <c r="AK20" i="3"/>
  <c r="AK24" i="3"/>
  <c r="AK30" i="3"/>
  <c r="AK34" i="3"/>
  <c r="AK61" i="3"/>
  <c r="AK65" i="3"/>
  <c r="AK4" i="3"/>
  <c r="AK8" i="3"/>
  <c r="AK12" i="3"/>
  <c r="AK23" i="3"/>
  <c r="AK29" i="3"/>
  <c r="AK32" i="3"/>
  <c r="AK39" i="3"/>
  <c r="AK43" i="3"/>
  <c r="AK47" i="3"/>
  <c r="AK51" i="3"/>
  <c r="AK55" i="3"/>
  <c r="AK3" i="3"/>
  <c r="AK9" i="3"/>
  <c r="AK71" i="3"/>
  <c r="AK73" i="3"/>
  <c r="AK80" i="3"/>
  <c r="AK98" i="3"/>
  <c r="AK103" i="3"/>
  <c r="AK21" i="3"/>
  <c r="AK25" i="3"/>
  <c r="AK27" i="3"/>
  <c r="AK31" i="3"/>
  <c r="AK38" i="3"/>
  <c r="AK42" i="3"/>
  <c r="AK46" i="3"/>
  <c r="AK50" i="3"/>
  <c r="AK54" i="3"/>
  <c r="AK58" i="3"/>
  <c r="AK60" i="3"/>
  <c r="AK64" i="3"/>
  <c r="AK70" i="3"/>
  <c r="AK18" i="3"/>
  <c r="AK22" i="3"/>
  <c r="AK26" i="3"/>
  <c r="AK28" i="3"/>
  <c r="AK35" i="3"/>
  <c r="AK84" i="3"/>
  <c r="AK124" i="3"/>
  <c r="AK36" i="3"/>
  <c r="AK40" i="3"/>
  <c r="AK44" i="3"/>
  <c r="AK48" i="3"/>
  <c r="AK52" i="3"/>
  <c r="AK56" i="3"/>
  <c r="AK62" i="3"/>
  <c r="AK66" i="3"/>
  <c r="AK68" i="3"/>
  <c r="AK72" i="3"/>
  <c r="AK76" i="3"/>
  <c r="AK109" i="3"/>
  <c r="AK136" i="3"/>
  <c r="AK138" i="3"/>
  <c r="AK142" i="3"/>
  <c r="AK33" i="3"/>
  <c r="AK37" i="3"/>
  <c r="AK41" i="3"/>
  <c r="AK45" i="3"/>
  <c r="AK49" i="3"/>
  <c r="AK53" i="3"/>
  <c r="AK57" i="3"/>
  <c r="AK59" i="3"/>
  <c r="AK63" i="3"/>
  <c r="AK67" i="3"/>
  <c r="AK69" i="3"/>
  <c r="AK75" i="3"/>
  <c r="AK77" i="3"/>
  <c r="AK79" i="3"/>
  <c r="AK81" i="3"/>
  <c r="AK83" i="3"/>
  <c r="AK87" i="3"/>
  <c r="AK95" i="3"/>
  <c r="AK111" i="3"/>
  <c r="AK91" i="3"/>
  <c r="AK93" i="3"/>
  <c r="AK97" i="3"/>
  <c r="AK99" i="3"/>
  <c r="AK101" i="3"/>
  <c r="AK121" i="3"/>
  <c r="AK123" i="3"/>
  <c r="AK82" i="3"/>
  <c r="AK86" i="3"/>
  <c r="AK88" i="3"/>
  <c r="AK104" i="3"/>
  <c r="AK106" i="3"/>
  <c r="AK118" i="3"/>
  <c r="AK113" i="3"/>
  <c r="AK125" i="3"/>
  <c r="AK132" i="3"/>
  <c r="AK108" i="3"/>
  <c r="AK114" i="3"/>
  <c r="AK116" i="3"/>
  <c r="AK120" i="3"/>
  <c r="AK131" i="3"/>
  <c r="AK127" i="3"/>
  <c r="AK140" i="3"/>
  <c r="AK128" i="3"/>
  <c r="AK130" i="3"/>
  <c r="AK134" i="3"/>
  <c r="AA16" i="3"/>
  <c r="AA17" i="3"/>
  <c r="AA14" i="3"/>
  <c r="AA15" i="3"/>
  <c r="AA4" i="3"/>
  <c r="AA3" i="3"/>
  <c r="AA8" i="3"/>
  <c r="AA12" i="3"/>
  <c r="AA108" i="3"/>
  <c r="AA9" i="3"/>
  <c r="AA18" i="3"/>
  <c r="AA88" i="3"/>
  <c r="AA6" i="3"/>
  <c r="AA10" i="3"/>
  <c r="AA32" i="3"/>
  <c r="AA33" i="3"/>
  <c r="AA11" i="3"/>
  <c r="AA13" i="3"/>
  <c r="AA21" i="3"/>
  <c r="AA22" i="3"/>
  <c r="AA25" i="3"/>
  <c r="AA26" i="3"/>
  <c r="AA27" i="3"/>
  <c r="AA28" i="3"/>
  <c r="AA31" i="3"/>
  <c r="AA83" i="3"/>
  <c r="AA114" i="3"/>
  <c r="AA116" i="3"/>
  <c r="AA75" i="3"/>
  <c r="AA76" i="3"/>
  <c r="AA77" i="3"/>
  <c r="AA86" i="3"/>
  <c r="AA91" i="3"/>
  <c r="AA23" i="3"/>
  <c r="AA29" i="3"/>
  <c r="AA34" i="3"/>
  <c r="AA79" i="3"/>
  <c r="AA93" i="3"/>
  <c r="AA20" i="3"/>
  <c r="AA24" i="3"/>
  <c r="AA30" i="3"/>
  <c r="AA36" i="3"/>
  <c r="AA37" i="3"/>
  <c r="AA40" i="3"/>
  <c r="AA41" i="3"/>
  <c r="AA44" i="3"/>
  <c r="AA45" i="3"/>
  <c r="AA48" i="3"/>
  <c r="AA49" i="3"/>
  <c r="AA52" i="3"/>
  <c r="AA53" i="3"/>
  <c r="AA56" i="3"/>
  <c r="AA57" i="3"/>
  <c r="AA59" i="3"/>
  <c r="AA62" i="3"/>
  <c r="AA63" i="3"/>
  <c r="AA66" i="3"/>
  <c r="AA67" i="3"/>
  <c r="AA68" i="3"/>
  <c r="AA69" i="3"/>
  <c r="AA72" i="3"/>
  <c r="AA113" i="3"/>
  <c r="AA134" i="3"/>
  <c r="AA38" i="3"/>
  <c r="AA42" i="3"/>
  <c r="AA46" i="3"/>
  <c r="AA50" i="3"/>
  <c r="AA54" i="3"/>
  <c r="AA58" i="3"/>
  <c r="AA60" i="3"/>
  <c r="AA64" i="3"/>
  <c r="AA70" i="3"/>
  <c r="AA82" i="3"/>
  <c r="AA97" i="3"/>
  <c r="AA99" i="3"/>
  <c r="AA101" i="3"/>
  <c r="AA103" i="3"/>
  <c r="AA35" i="3"/>
  <c r="AA39" i="3"/>
  <c r="AA43" i="3"/>
  <c r="AA47" i="3"/>
  <c r="AA51" i="3"/>
  <c r="AA55" i="3"/>
  <c r="AA61" i="3"/>
  <c r="AA65" i="3"/>
  <c r="AA71" i="3"/>
  <c r="AA73" i="3"/>
  <c r="AA81" i="3"/>
  <c r="AA87" i="3"/>
  <c r="AA95" i="3"/>
  <c r="AA127" i="3"/>
  <c r="AA128" i="3"/>
  <c r="AA138" i="3"/>
  <c r="AA80" i="3"/>
  <c r="AA84" i="3"/>
  <c r="AA98" i="3"/>
  <c r="AA120" i="3"/>
  <c r="AA130" i="3"/>
  <c r="AA109" i="3"/>
  <c r="AA111" i="3"/>
  <c r="AA121" i="3"/>
  <c r="AA123" i="3"/>
  <c r="AA104" i="3"/>
  <c r="AA106" i="3"/>
  <c r="AA118" i="3"/>
  <c r="AA124" i="3"/>
  <c r="AA125" i="3"/>
  <c r="AA131" i="3"/>
  <c r="AA140" i="3"/>
  <c r="AA132" i="3"/>
  <c r="AA136" i="3"/>
  <c r="AA142" i="3"/>
  <c r="AF17" i="3"/>
  <c r="AF16" i="3"/>
  <c r="AF14" i="3"/>
  <c r="AF15" i="3"/>
  <c r="AF33" i="3"/>
  <c r="AF11" i="3"/>
  <c r="AF32" i="3"/>
  <c r="AF13" i="3"/>
  <c r="AF113" i="3"/>
  <c r="AF4" i="3"/>
  <c r="AF8" i="3"/>
  <c r="AF12" i="3"/>
  <c r="AF98" i="3"/>
  <c r="AF101" i="3"/>
  <c r="AF3" i="3"/>
  <c r="AF9" i="3"/>
  <c r="AF20" i="3"/>
  <c r="AF21" i="3"/>
  <c r="AF24" i="3"/>
  <c r="AF25" i="3"/>
  <c r="AF27" i="3"/>
  <c r="AF30" i="3"/>
  <c r="AF31" i="3"/>
  <c r="AF6" i="3"/>
  <c r="AF10" i="3"/>
  <c r="AF76" i="3"/>
  <c r="AF84" i="3"/>
  <c r="AF99" i="3"/>
  <c r="AF118" i="3"/>
  <c r="AF18" i="3"/>
  <c r="AF22" i="3"/>
  <c r="AF26" i="3"/>
  <c r="AF28" i="3"/>
  <c r="AF36" i="3"/>
  <c r="AF39" i="3"/>
  <c r="AF40" i="3"/>
  <c r="AF43" i="3"/>
  <c r="AF44" i="3"/>
  <c r="AF47" i="3"/>
  <c r="AF48" i="3"/>
  <c r="AF51" i="3"/>
  <c r="AF52" i="3"/>
  <c r="AF55" i="3"/>
  <c r="AF56" i="3"/>
  <c r="AF61" i="3"/>
  <c r="AF62" i="3"/>
  <c r="AF65" i="3"/>
  <c r="AF66" i="3"/>
  <c r="AF68" i="3"/>
  <c r="AF71" i="3"/>
  <c r="AF72" i="3"/>
  <c r="AF73" i="3"/>
  <c r="AF97" i="3"/>
  <c r="AF23" i="3"/>
  <c r="AF29" i="3"/>
  <c r="AF35" i="3"/>
  <c r="AF80" i="3"/>
  <c r="AF106" i="3"/>
  <c r="AF37" i="3"/>
  <c r="AF41" i="3"/>
  <c r="AF45" i="3"/>
  <c r="AF49" i="3"/>
  <c r="AF53" i="3"/>
  <c r="AF57" i="3"/>
  <c r="AF59" i="3"/>
  <c r="AF63" i="3"/>
  <c r="AF67" i="3"/>
  <c r="AF69" i="3"/>
  <c r="AF75" i="3"/>
  <c r="AF77" i="3"/>
  <c r="AF82" i="3"/>
  <c r="AF104" i="3"/>
  <c r="AF34" i="3"/>
  <c r="AF38" i="3"/>
  <c r="AF42" i="3"/>
  <c r="AF46" i="3"/>
  <c r="AF50" i="3"/>
  <c r="AF54" i="3"/>
  <c r="AF58" i="3"/>
  <c r="AF60" i="3"/>
  <c r="AF64" i="3"/>
  <c r="AF70" i="3"/>
  <c r="AF81" i="3"/>
  <c r="AF91" i="3"/>
  <c r="AF93" i="3"/>
  <c r="AF86" i="3"/>
  <c r="AF88" i="3"/>
  <c r="AF124" i="3"/>
  <c r="AF79" i="3"/>
  <c r="AF83" i="3"/>
  <c r="AF87" i="3"/>
  <c r="AF95" i="3"/>
  <c r="AF136" i="3"/>
  <c r="AF108" i="3"/>
  <c r="AF114" i="3"/>
  <c r="AF116" i="3"/>
  <c r="AF120" i="3"/>
  <c r="AF103" i="3"/>
  <c r="AF109" i="3"/>
  <c r="AF111" i="3"/>
  <c r="AF121" i="3"/>
  <c r="AF123" i="3"/>
  <c r="AF127" i="3"/>
  <c r="AF132" i="3"/>
  <c r="AF138" i="3"/>
  <c r="AF142" i="3"/>
  <c r="AF128" i="3"/>
  <c r="AF130" i="3"/>
  <c r="AF134" i="3"/>
  <c r="AF140" i="3"/>
  <c r="AF125" i="3"/>
  <c r="AF131" i="3"/>
  <c r="BA16" i="3"/>
  <c r="BA14" i="3"/>
  <c r="BA17" i="3"/>
  <c r="BA15" i="3"/>
  <c r="BA6" i="3"/>
  <c r="BA10" i="3"/>
  <c r="BA32" i="3"/>
  <c r="BA11" i="3"/>
  <c r="BA13" i="3"/>
  <c r="BA20" i="3"/>
  <c r="BA24" i="3"/>
  <c r="BA30" i="3"/>
  <c r="BA61" i="3"/>
  <c r="BA65" i="3"/>
  <c r="BA4" i="3"/>
  <c r="BA8" i="3"/>
  <c r="BA12" i="3"/>
  <c r="BA23" i="3"/>
  <c r="BA29" i="3"/>
  <c r="BA35" i="3"/>
  <c r="BA39" i="3"/>
  <c r="BA43" i="3"/>
  <c r="BA47" i="3"/>
  <c r="BA51" i="3"/>
  <c r="BA55" i="3"/>
  <c r="BA3" i="3"/>
  <c r="BA9" i="3"/>
  <c r="BA34" i="3"/>
  <c r="BA71" i="3"/>
  <c r="BA73" i="3"/>
  <c r="BA84" i="3"/>
  <c r="BA98" i="3"/>
  <c r="BA21" i="3"/>
  <c r="BA25" i="3"/>
  <c r="BA27" i="3"/>
  <c r="BA31" i="3"/>
  <c r="BA38" i="3"/>
  <c r="BA42" i="3"/>
  <c r="BA46" i="3"/>
  <c r="BA50" i="3"/>
  <c r="BA54" i="3"/>
  <c r="BA58" i="3"/>
  <c r="BA60" i="3"/>
  <c r="BA64" i="3"/>
  <c r="BA70" i="3"/>
  <c r="BA136" i="3"/>
  <c r="BA18" i="3"/>
  <c r="BA22" i="3"/>
  <c r="BA26" i="3"/>
  <c r="BA28" i="3"/>
  <c r="BA80" i="3"/>
  <c r="BA36" i="3"/>
  <c r="BA40" i="3"/>
  <c r="BA44" i="3"/>
  <c r="BA48" i="3"/>
  <c r="BA52" i="3"/>
  <c r="BA56" i="3"/>
  <c r="BA62" i="3"/>
  <c r="BA66" i="3"/>
  <c r="BA68" i="3"/>
  <c r="BA72" i="3"/>
  <c r="BA76" i="3"/>
  <c r="BA109" i="3"/>
  <c r="BA33" i="3"/>
  <c r="BA37" i="3"/>
  <c r="BA41" i="3"/>
  <c r="BA45" i="3"/>
  <c r="BA49" i="3"/>
  <c r="BA53" i="3"/>
  <c r="BA57" i="3"/>
  <c r="BA59" i="3"/>
  <c r="BA63" i="3"/>
  <c r="BA67" i="3"/>
  <c r="BA69" i="3"/>
  <c r="BA75" i="3"/>
  <c r="BA77" i="3"/>
  <c r="BA79" i="3"/>
  <c r="BA81" i="3"/>
  <c r="BA83" i="3"/>
  <c r="BA87" i="3"/>
  <c r="BA95" i="3"/>
  <c r="BA103" i="3"/>
  <c r="BA111" i="3"/>
  <c r="BA91" i="3"/>
  <c r="BA93" i="3"/>
  <c r="BA97" i="3"/>
  <c r="BA99" i="3"/>
  <c r="BA101" i="3"/>
  <c r="BA121" i="3"/>
  <c r="BA123" i="3"/>
  <c r="BA82" i="3"/>
  <c r="BA86" i="3"/>
  <c r="BA88" i="3"/>
  <c r="BA104" i="3"/>
  <c r="BA106" i="3"/>
  <c r="BA118" i="3"/>
  <c r="BA142" i="3"/>
  <c r="BA113" i="3"/>
  <c r="BA125" i="3"/>
  <c r="BA132" i="3"/>
  <c r="BA108" i="3"/>
  <c r="BA114" i="3"/>
  <c r="BA116" i="3"/>
  <c r="BA120" i="3"/>
  <c r="BA131" i="3"/>
  <c r="BA138" i="3"/>
  <c r="BA127" i="3"/>
  <c r="BA140" i="3"/>
  <c r="BA124" i="3"/>
  <c r="BA128" i="3"/>
  <c r="BA130" i="3"/>
  <c r="BA134" i="3"/>
  <c r="Y15" i="3"/>
  <c r="Y14" i="3"/>
  <c r="Y17" i="3"/>
  <c r="Y16" i="3"/>
  <c r="Y29" i="3"/>
  <c r="Y80" i="3"/>
  <c r="Y70" i="3"/>
  <c r="Y6" i="3"/>
  <c r="Y10" i="3"/>
  <c r="Y34" i="3"/>
  <c r="Y23" i="3"/>
  <c r="Y11" i="3"/>
  <c r="Y13" i="3"/>
  <c r="Y32" i="3"/>
  <c r="Y118" i="3"/>
  <c r="Y4" i="3"/>
  <c r="Y8" i="3"/>
  <c r="Y12" i="3"/>
  <c r="Y60" i="3"/>
  <c r="Y64" i="3"/>
  <c r="Y3" i="3"/>
  <c r="Y9" i="3"/>
  <c r="Y20" i="3"/>
  <c r="Y24" i="3"/>
  <c r="Y30" i="3"/>
  <c r="Y38" i="3"/>
  <c r="Y42" i="3"/>
  <c r="Y46" i="3"/>
  <c r="Y50" i="3"/>
  <c r="Y54" i="3"/>
  <c r="Y58" i="3"/>
  <c r="Y87" i="3"/>
  <c r="Y21" i="3"/>
  <c r="Y25" i="3"/>
  <c r="Y27" i="3"/>
  <c r="Y31" i="3"/>
  <c r="Y35" i="3"/>
  <c r="Y84" i="3"/>
  <c r="Y95" i="3"/>
  <c r="Y106" i="3"/>
  <c r="Y123" i="3"/>
  <c r="Y18" i="3"/>
  <c r="Y22" i="3"/>
  <c r="Y26" i="3"/>
  <c r="Y28" i="3"/>
  <c r="Y39" i="3"/>
  <c r="Y43" i="3"/>
  <c r="Y47" i="3"/>
  <c r="Y51" i="3"/>
  <c r="Y55" i="3"/>
  <c r="Y61" i="3"/>
  <c r="Y65" i="3"/>
  <c r="Y71" i="3"/>
  <c r="Y73" i="3"/>
  <c r="Y104" i="3"/>
  <c r="Y36" i="3"/>
  <c r="Y40" i="3"/>
  <c r="Y44" i="3"/>
  <c r="Y48" i="3"/>
  <c r="Y52" i="3"/>
  <c r="Y56" i="3"/>
  <c r="Y62" i="3"/>
  <c r="Y66" i="3"/>
  <c r="Y68" i="3"/>
  <c r="Y72" i="3"/>
  <c r="Y76" i="3"/>
  <c r="Y79" i="3"/>
  <c r="Y81" i="3"/>
  <c r="Y83" i="3"/>
  <c r="Y98" i="3"/>
  <c r="Y121" i="3"/>
  <c r="Y33" i="3"/>
  <c r="Y37" i="3"/>
  <c r="Y41" i="3"/>
  <c r="Y45" i="3"/>
  <c r="Y49" i="3"/>
  <c r="Y53" i="3"/>
  <c r="Y57" i="3"/>
  <c r="Y59" i="3"/>
  <c r="Y63" i="3"/>
  <c r="Y67" i="3"/>
  <c r="Y69" i="3"/>
  <c r="Y75" i="3"/>
  <c r="Y77" i="3"/>
  <c r="Y91" i="3"/>
  <c r="Y93" i="3"/>
  <c r="Y97" i="3"/>
  <c r="Y99" i="3"/>
  <c r="Y101" i="3"/>
  <c r="Y109" i="3"/>
  <c r="Y111" i="3"/>
  <c r="Y125" i="3"/>
  <c r="Y82" i="3"/>
  <c r="Y86" i="3"/>
  <c r="Y88" i="3"/>
  <c r="Y103" i="3"/>
  <c r="Y124" i="3"/>
  <c r="Y131" i="3"/>
  <c r="Y132" i="3"/>
  <c r="Y113" i="3"/>
  <c r="Y136" i="3"/>
  <c r="Y108" i="3"/>
  <c r="Y114" i="3"/>
  <c r="Y116" i="3"/>
  <c r="Y120" i="3"/>
  <c r="Y140" i="3"/>
  <c r="Y127" i="3"/>
  <c r="Y128" i="3"/>
  <c r="Y130" i="3"/>
  <c r="Y134" i="3"/>
  <c r="Y138" i="3"/>
  <c r="Y142" i="3"/>
  <c r="AU17" i="3"/>
  <c r="AU16" i="3"/>
  <c r="AU14" i="3"/>
  <c r="AU15" i="3"/>
  <c r="AU8" i="3"/>
  <c r="AU12" i="3"/>
  <c r="AU59" i="3"/>
  <c r="AU4" i="3"/>
  <c r="AU63" i="3"/>
  <c r="AU36" i="3"/>
  <c r="AU40" i="3"/>
  <c r="AU44" i="3"/>
  <c r="AU48" i="3"/>
  <c r="AU52" i="3"/>
  <c r="AU56" i="3"/>
  <c r="AU3" i="3"/>
  <c r="AU9" i="3"/>
  <c r="AU21" i="3"/>
  <c r="AU22" i="3"/>
  <c r="AU25" i="3"/>
  <c r="AU26" i="3"/>
  <c r="AU27" i="3"/>
  <c r="AU28" i="3"/>
  <c r="AU31" i="3"/>
  <c r="AU32" i="3"/>
  <c r="AU34" i="3"/>
  <c r="AU37" i="3"/>
  <c r="AU41" i="3"/>
  <c r="AU45" i="3"/>
  <c r="AU49" i="3"/>
  <c r="AU53" i="3"/>
  <c r="AU57" i="3"/>
  <c r="AU6" i="3"/>
  <c r="AU10" i="3"/>
  <c r="AU82" i="3"/>
  <c r="AU11" i="3"/>
  <c r="AU13" i="3"/>
  <c r="AU18" i="3"/>
  <c r="AU62" i="3"/>
  <c r="AU99" i="3"/>
  <c r="AU66" i="3"/>
  <c r="AU67" i="3"/>
  <c r="AU68" i="3"/>
  <c r="AU69" i="3"/>
  <c r="AU72" i="3"/>
  <c r="AU97" i="3"/>
  <c r="AU120" i="3"/>
  <c r="AU23" i="3"/>
  <c r="AU29" i="3"/>
  <c r="AU20" i="3"/>
  <c r="AU24" i="3"/>
  <c r="AU30" i="3"/>
  <c r="AU33" i="3"/>
  <c r="AU75" i="3"/>
  <c r="AU76" i="3"/>
  <c r="AU77" i="3"/>
  <c r="AU101" i="3"/>
  <c r="AU103" i="3"/>
  <c r="AU38" i="3"/>
  <c r="AU42" i="3"/>
  <c r="AU46" i="3"/>
  <c r="AU50" i="3"/>
  <c r="AU54" i="3"/>
  <c r="AU58" i="3"/>
  <c r="AU60" i="3"/>
  <c r="AU64" i="3"/>
  <c r="AU70" i="3"/>
  <c r="AU81" i="3"/>
  <c r="AU86" i="3"/>
  <c r="AU88" i="3"/>
  <c r="AU91" i="3"/>
  <c r="AU93" i="3"/>
  <c r="AU35" i="3"/>
  <c r="AU39" i="3"/>
  <c r="AU43" i="3"/>
  <c r="AU47" i="3"/>
  <c r="AU51" i="3"/>
  <c r="AU55" i="3"/>
  <c r="AU61" i="3"/>
  <c r="AU65" i="3"/>
  <c r="AU71" i="3"/>
  <c r="AU73" i="3"/>
  <c r="AU79" i="3"/>
  <c r="AU83" i="3"/>
  <c r="AU87" i="3"/>
  <c r="AU95" i="3"/>
  <c r="AU80" i="3"/>
  <c r="AU84" i="3"/>
  <c r="AU98" i="3"/>
  <c r="AU108" i="3"/>
  <c r="AU113" i="3"/>
  <c r="AU114" i="3"/>
  <c r="AU116" i="3"/>
  <c r="AU109" i="3"/>
  <c r="AU111" i="3"/>
  <c r="AU121" i="3"/>
  <c r="AU123" i="3"/>
  <c r="AU125" i="3"/>
  <c r="AU127" i="3"/>
  <c r="AU128" i="3"/>
  <c r="AU130" i="3"/>
  <c r="AU134" i="3"/>
  <c r="AU104" i="3"/>
  <c r="AU106" i="3"/>
  <c r="AU118" i="3"/>
  <c r="AU124" i="3"/>
  <c r="AU140" i="3"/>
  <c r="AU131" i="3"/>
  <c r="AU132" i="3"/>
  <c r="AU136" i="3"/>
  <c r="AU138" i="3"/>
  <c r="AU142" i="3"/>
  <c r="AZ14" i="3"/>
  <c r="AZ17" i="3"/>
  <c r="AZ15" i="3"/>
  <c r="AZ16" i="3"/>
  <c r="AZ30" i="3"/>
  <c r="AZ71" i="3"/>
  <c r="AZ65" i="3"/>
  <c r="AZ31" i="3"/>
  <c r="AZ11" i="3"/>
  <c r="AZ20" i="3"/>
  <c r="AZ21" i="3"/>
  <c r="AZ27" i="3"/>
  <c r="AZ61" i="3"/>
  <c r="AZ62" i="3"/>
  <c r="AZ13" i="3"/>
  <c r="AZ24" i="3"/>
  <c r="AZ25" i="3"/>
  <c r="AZ72" i="3"/>
  <c r="AZ84" i="3"/>
  <c r="AZ4" i="3"/>
  <c r="AZ8" i="3"/>
  <c r="AZ12" i="3"/>
  <c r="AZ35" i="3"/>
  <c r="AZ36" i="3"/>
  <c r="AZ39" i="3"/>
  <c r="AZ40" i="3"/>
  <c r="AZ43" i="3"/>
  <c r="AZ44" i="3"/>
  <c r="AZ47" i="3"/>
  <c r="AZ48" i="3"/>
  <c r="AZ51" i="3"/>
  <c r="AZ52" i="3"/>
  <c r="AZ55" i="3"/>
  <c r="AZ56" i="3"/>
  <c r="AZ91" i="3"/>
  <c r="AZ3" i="3"/>
  <c r="AZ9" i="3"/>
  <c r="AZ68" i="3"/>
  <c r="AZ73" i="3"/>
  <c r="AZ6" i="3"/>
  <c r="AZ10" i="3"/>
  <c r="AZ32" i="3"/>
  <c r="AZ66" i="3"/>
  <c r="AZ93" i="3"/>
  <c r="AZ18" i="3"/>
  <c r="AZ22" i="3"/>
  <c r="AZ26" i="3"/>
  <c r="AZ28" i="3"/>
  <c r="AZ76" i="3"/>
  <c r="AZ80" i="3"/>
  <c r="AZ82" i="3"/>
  <c r="AZ23" i="3"/>
  <c r="AZ29" i="3"/>
  <c r="AZ33" i="3"/>
  <c r="AZ37" i="3"/>
  <c r="AZ41" i="3"/>
  <c r="AZ45" i="3"/>
  <c r="AZ49" i="3"/>
  <c r="AZ53" i="3"/>
  <c r="AZ57" i="3"/>
  <c r="AZ59" i="3"/>
  <c r="AZ63" i="3"/>
  <c r="AZ67" i="3"/>
  <c r="AZ69" i="3"/>
  <c r="AZ75" i="3"/>
  <c r="AZ77" i="3"/>
  <c r="AZ81" i="3"/>
  <c r="AZ127" i="3"/>
  <c r="AZ34" i="3"/>
  <c r="AZ38" i="3"/>
  <c r="AZ42" i="3"/>
  <c r="AZ46" i="3"/>
  <c r="AZ50" i="3"/>
  <c r="AZ54" i="3"/>
  <c r="AZ58" i="3"/>
  <c r="AZ60" i="3"/>
  <c r="AZ64" i="3"/>
  <c r="AZ70" i="3"/>
  <c r="AZ97" i="3"/>
  <c r="AZ98" i="3"/>
  <c r="AZ99" i="3"/>
  <c r="AZ101" i="3"/>
  <c r="AZ124" i="3"/>
  <c r="AZ86" i="3"/>
  <c r="AZ88" i="3"/>
  <c r="AZ104" i="3"/>
  <c r="AZ106" i="3"/>
  <c r="AZ113" i="3"/>
  <c r="AZ118" i="3"/>
  <c r="AZ132" i="3"/>
  <c r="AZ79" i="3"/>
  <c r="AZ83" i="3"/>
  <c r="AZ87" i="3"/>
  <c r="AZ95" i="3"/>
  <c r="AZ140" i="3"/>
  <c r="AZ108" i="3"/>
  <c r="AZ114" i="3"/>
  <c r="AZ116" i="3"/>
  <c r="AZ120" i="3"/>
  <c r="AZ103" i="3"/>
  <c r="AZ109" i="3"/>
  <c r="AZ111" i="3"/>
  <c r="AZ121" i="3"/>
  <c r="AZ123" i="3"/>
  <c r="AZ136" i="3"/>
  <c r="AZ128" i="3"/>
  <c r="AZ130" i="3"/>
  <c r="AZ134" i="3"/>
  <c r="AZ125" i="3"/>
  <c r="AZ131" i="3"/>
  <c r="AZ138" i="3"/>
  <c r="AZ142" i="3"/>
  <c r="B12" i="5" l="1"/>
  <c r="B11" i="5"/>
  <c r="B10" i="5"/>
  <c r="B9" i="5"/>
  <c r="B8" i="5"/>
  <c r="B7" i="5"/>
  <c r="B6" i="5"/>
  <c r="B5" i="5"/>
  <c r="B4" i="5"/>
  <c r="B2" i="5"/>
  <c r="AZ142" i="2"/>
  <c r="AZ138" i="2"/>
  <c r="AZ131" i="2"/>
  <c r="AZ125" i="2"/>
  <c r="AZ134" i="2"/>
  <c r="AZ130" i="2"/>
  <c r="AZ128" i="2"/>
  <c r="AZ136" i="2"/>
  <c r="AZ123" i="2"/>
  <c r="AZ121" i="2"/>
  <c r="AZ111" i="2"/>
  <c r="AZ109" i="2"/>
  <c r="AZ103" i="2"/>
  <c r="AZ120" i="2"/>
  <c r="AZ116" i="2"/>
  <c r="AZ114" i="2"/>
  <c r="AZ108" i="2"/>
  <c r="AZ140" i="2"/>
  <c r="AZ95" i="2"/>
  <c r="AZ87" i="2"/>
  <c r="AZ83" i="2"/>
  <c r="AZ79" i="2"/>
  <c r="AZ132" i="2"/>
  <c r="AZ118" i="2"/>
  <c r="AZ113" i="2"/>
  <c r="AZ106" i="2"/>
  <c r="AZ104" i="2"/>
  <c r="AZ88" i="2"/>
  <c r="AZ86" i="2"/>
  <c r="AZ124" i="2"/>
  <c r="AZ101" i="2"/>
  <c r="AZ99" i="2"/>
  <c r="AZ98" i="2"/>
  <c r="AZ97" i="2"/>
  <c r="AZ70" i="2"/>
  <c r="AZ64" i="2"/>
  <c r="AZ60" i="2"/>
  <c r="AZ58" i="2"/>
  <c r="AZ54" i="2"/>
  <c r="AZ50" i="2"/>
  <c r="AZ46" i="2"/>
  <c r="AZ42" i="2"/>
  <c r="AZ38" i="2"/>
  <c r="AZ34" i="2"/>
  <c r="AZ127" i="2"/>
  <c r="AZ81" i="2"/>
  <c r="AZ77" i="2"/>
  <c r="AZ75" i="2"/>
  <c r="AZ69" i="2"/>
  <c r="AZ67" i="2"/>
  <c r="AZ63" i="2"/>
  <c r="AZ59" i="2"/>
  <c r="AZ57" i="2"/>
  <c r="AZ53" i="2"/>
  <c r="AZ49" i="2"/>
  <c r="AZ45" i="2"/>
  <c r="AZ41" i="2"/>
  <c r="AZ37" i="2"/>
  <c r="AZ33" i="2"/>
  <c r="AZ29" i="2"/>
  <c r="AZ23" i="2"/>
  <c r="AZ82" i="2"/>
  <c r="AZ80" i="2"/>
  <c r="AZ76" i="2"/>
  <c r="AZ28" i="2"/>
  <c r="AZ26" i="2"/>
  <c r="AZ22" i="2"/>
  <c r="AZ18" i="2"/>
  <c r="AZ93" i="2"/>
  <c r="AZ66" i="2"/>
  <c r="AZ32" i="2"/>
  <c r="AZ10" i="2"/>
  <c r="AZ6" i="2"/>
  <c r="AZ73" i="2"/>
  <c r="AZ68" i="2"/>
  <c r="AZ9" i="2"/>
  <c r="AZ3" i="2"/>
  <c r="AZ91" i="2"/>
  <c r="AZ56" i="2"/>
  <c r="AZ55" i="2"/>
  <c r="AZ52" i="2"/>
  <c r="AZ51" i="2"/>
  <c r="AZ48" i="2"/>
  <c r="AZ47" i="2"/>
  <c r="AZ44" i="2"/>
  <c r="AZ43" i="2"/>
  <c r="AZ40" i="2"/>
  <c r="AZ39" i="2"/>
  <c r="AZ36" i="2"/>
  <c r="AZ35" i="2"/>
  <c r="AZ12" i="2"/>
  <c r="AZ8" i="2"/>
  <c r="AZ4" i="2"/>
  <c r="AZ84" i="2"/>
  <c r="AZ72" i="2"/>
  <c r="AZ25" i="2"/>
  <c r="AZ24" i="2"/>
  <c r="AZ13" i="2"/>
  <c r="AZ62" i="2"/>
  <c r="AZ61" i="2"/>
  <c r="AZ27" i="2"/>
  <c r="AZ21" i="2"/>
  <c r="AZ20" i="2"/>
  <c r="AZ11" i="2"/>
  <c r="AZ31" i="2"/>
  <c r="AZ65" i="2"/>
  <c r="AZ71" i="2"/>
  <c r="AZ30" i="2"/>
  <c r="AZ16" i="2"/>
  <c r="AZ15" i="2"/>
  <c r="AZ17" i="2"/>
  <c r="AZ14" i="2"/>
  <c r="AU142" i="2"/>
  <c r="AU138" i="2"/>
  <c r="AU136" i="2"/>
  <c r="AU132" i="2"/>
  <c r="AU131" i="2"/>
  <c r="AU140" i="2"/>
  <c r="AU124" i="2"/>
  <c r="AU118" i="2"/>
  <c r="AU106" i="2"/>
  <c r="AU104" i="2"/>
  <c r="AU134" i="2"/>
  <c r="AU130" i="2"/>
  <c r="AU128" i="2"/>
  <c r="AU127" i="2"/>
  <c r="AU125" i="2"/>
  <c r="AU123" i="2"/>
  <c r="AU121" i="2"/>
  <c r="AU111" i="2"/>
  <c r="AU109" i="2"/>
  <c r="AU116" i="2"/>
  <c r="AU114" i="2"/>
  <c r="AU113" i="2"/>
  <c r="AU108" i="2"/>
  <c r="AU98" i="2"/>
  <c r="AU84" i="2"/>
  <c r="AU80" i="2"/>
  <c r="AU95" i="2"/>
  <c r="AU87" i="2"/>
  <c r="AU83" i="2"/>
  <c r="AU79" i="2"/>
  <c r="AU73" i="2"/>
  <c r="AU71" i="2"/>
  <c r="AU65" i="2"/>
  <c r="AU61" i="2"/>
  <c r="AU55" i="2"/>
  <c r="AU51" i="2"/>
  <c r="AU47" i="2"/>
  <c r="AU43" i="2"/>
  <c r="AU39" i="2"/>
  <c r="AU35" i="2"/>
  <c r="AU93" i="2"/>
  <c r="AU91" i="2"/>
  <c r="AU88" i="2"/>
  <c r="AU86" i="2"/>
  <c r="AU81" i="2"/>
  <c r="AU70" i="2"/>
  <c r="AU64" i="2"/>
  <c r="AU60" i="2"/>
  <c r="AU58" i="2"/>
  <c r="AU54" i="2"/>
  <c r="AU50" i="2"/>
  <c r="AU46" i="2"/>
  <c r="AU42" i="2"/>
  <c r="AU38" i="2"/>
  <c r="AU103" i="2"/>
  <c r="AU101" i="2"/>
  <c r="AU77" i="2"/>
  <c r="AU76" i="2"/>
  <c r="AU75" i="2"/>
  <c r="AU33" i="2"/>
  <c r="AU30" i="2"/>
  <c r="AU24" i="2"/>
  <c r="AU20" i="2"/>
  <c r="AU29" i="2"/>
  <c r="AU23" i="2"/>
  <c r="AU120" i="2"/>
  <c r="AU97" i="2"/>
  <c r="AU72" i="2"/>
  <c r="AU69" i="2"/>
  <c r="AU68" i="2"/>
  <c r="AU67" i="2"/>
  <c r="AU66" i="2"/>
  <c r="AU99" i="2"/>
  <c r="AU62" i="2"/>
  <c r="AU18" i="2"/>
  <c r="AU13" i="2"/>
  <c r="AU11" i="2"/>
  <c r="AU82" i="2"/>
  <c r="AU10" i="2"/>
  <c r="AU6" i="2"/>
  <c r="AU57" i="2"/>
  <c r="AU53" i="2"/>
  <c r="AU49" i="2"/>
  <c r="AU45" i="2"/>
  <c r="AU41" i="2"/>
  <c r="AU37" i="2"/>
  <c r="AU34" i="2"/>
  <c r="AU32" i="2"/>
  <c r="AU31" i="2"/>
  <c r="AU28" i="2"/>
  <c r="AU27" i="2"/>
  <c r="AU26" i="2"/>
  <c r="AU25" i="2"/>
  <c r="AU22" i="2"/>
  <c r="AU21" i="2"/>
  <c r="AU9" i="2"/>
  <c r="AU3" i="2"/>
  <c r="AU56" i="2"/>
  <c r="AU52" i="2"/>
  <c r="AU48" i="2"/>
  <c r="AU44" i="2"/>
  <c r="AU40" i="2"/>
  <c r="AU36" i="2"/>
  <c r="AU63" i="2"/>
  <c r="AU4" i="2"/>
  <c r="AU59" i="2"/>
  <c r="AU12" i="2"/>
  <c r="AU8" i="2"/>
  <c r="AU15" i="2"/>
  <c r="AU14" i="2"/>
  <c r="AU16" i="2"/>
  <c r="AU17" i="2"/>
  <c r="Y142" i="2"/>
  <c r="Y138" i="2"/>
  <c r="Y134" i="2"/>
  <c r="Y130" i="2"/>
  <c r="Y128" i="2"/>
  <c r="Y127" i="2"/>
  <c r="Y140" i="2"/>
  <c r="Y120" i="2"/>
  <c r="Y116" i="2"/>
  <c r="Y114" i="2"/>
  <c r="Y108" i="2"/>
  <c r="Y136" i="2"/>
  <c r="Y113" i="2"/>
  <c r="Y132" i="2"/>
  <c r="Y131" i="2"/>
  <c r="Y124" i="2"/>
  <c r="Y103" i="2"/>
  <c r="Y88" i="2"/>
  <c r="Y86" i="2"/>
  <c r="Y82" i="2"/>
  <c r="Y125" i="2"/>
  <c r="Y111" i="2"/>
  <c r="Y109" i="2"/>
  <c r="Y101" i="2"/>
  <c r="Y99" i="2"/>
  <c r="Y97" i="2"/>
  <c r="Y93" i="2"/>
  <c r="Y91" i="2"/>
  <c r="Y77" i="2"/>
  <c r="Y75" i="2"/>
  <c r="Y69" i="2"/>
  <c r="Y67" i="2"/>
  <c r="Y63" i="2"/>
  <c r="Y59" i="2"/>
  <c r="Y57" i="2"/>
  <c r="Y53" i="2"/>
  <c r="Y49" i="2"/>
  <c r="Y45" i="2"/>
  <c r="Y41" i="2"/>
  <c r="Y37" i="2"/>
  <c r="Y33" i="2"/>
  <c r="Y121" i="2"/>
  <c r="Y98" i="2"/>
  <c r="Y83" i="2"/>
  <c r="Y81" i="2"/>
  <c r="Y79" i="2"/>
  <c r="Y76" i="2"/>
  <c r="Y72" i="2"/>
  <c r="Y68" i="2"/>
  <c r="Y66" i="2"/>
  <c r="Y62" i="2"/>
  <c r="Y56" i="2"/>
  <c r="Y52" i="2"/>
  <c r="Y48" i="2"/>
  <c r="Y44" i="2"/>
  <c r="Y40" i="2"/>
  <c r="Y36" i="2"/>
  <c r="Y104" i="2"/>
  <c r="Y73" i="2"/>
  <c r="Y71" i="2"/>
  <c r="Y65" i="2"/>
  <c r="Y61" i="2"/>
  <c r="Y55" i="2"/>
  <c r="Y51" i="2"/>
  <c r="Y47" i="2"/>
  <c r="Y43" i="2"/>
  <c r="Y39" i="2"/>
  <c r="Y28" i="2"/>
  <c r="Y26" i="2"/>
  <c r="Y22" i="2"/>
  <c r="Y18" i="2"/>
  <c r="Y123" i="2"/>
  <c r="Y106" i="2"/>
  <c r="Y95" i="2"/>
  <c r="Y84" i="2"/>
  <c r="Y35" i="2"/>
  <c r="Y31" i="2"/>
  <c r="Y27" i="2"/>
  <c r="Y25" i="2"/>
  <c r="Y21" i="2"/>
  <c r="Y87" i="2"/>
  <c r="Y58" i="2"/>
  <c r="Y54" i="2"/>
  <c r="Y50" i="2"/>
  <c r="Y46" i="2"/>
  <c r="Y42" i="2"/>
  <c r="Y38" i="2"/>
  <c r="Y30" i="2"/>
  <c r="Y24" i="2"/>
  <c r="Y20" i="2"/>
  <c r="Y9" i="2"/>
  <c r="Y3" i="2"/>
  <c r="Y64" i="2"/>
  <c r="Y60" i="2"/>
  <c r="Y12" i="2"/>
  <c r="Y8" i="2"/>
  <c r="Y4" i="2"/>
  <c r="Y118" i="2"/>
  <c r="Y32" i="2"/>
  <c r="Y13" i="2"/>
  <c r="Y11" i="2"/>
  <c r="Y23" i="2"/>
  <c r="Y34" i="2"/>
  <c r="Y10" i="2"/>
  <c r="Y6" i="2"/>
  <c r="Y70" i="2"/>
  <c r="Y80" i="2"/>
  <c r="Y29" i="2"/>
  <c r="Y16" i="2"/>
  <c r="Y17" i="2"/>
  <c r="Y14" i="2"/>
  <c r="Y15" i="2"/>
  <c r="BA134" i="2"/>
  <c r="BA130" i="2"/>
  <c r="BA128" i="2"/>
  <c r="BA124" i="2"/>
  <c r="BA140" i="2"/>
  <c r="BA127" i="2"/>
  <c r="BA138" i="2"/>
  <c r="BA131" i="2"/>
  <c r="BA120" i="2"/>
  <c r="BA116" i="2"/>
  <c r="BA114" i="2"/>
  <c r="BA108" i="2"/>
  <c r="BA132" i="2"/>
  <c r="BA125" i="2"/>
  <c r="BA113" i="2"/>
  <c r="BA142" i="2"/>
  <c r="BA118" i="2"/>
  <c r="BA106" i="2"/>
  <c r="BA104" i="2"/>
  <c r="BA88" i="2"/>
  <c r="BA86" i="2"/>
  <c r="BA82" i="2"/>
  <c r="BA123" i="2"/>
  <c r="BA121" i="2"/>
  <c r="BA101" i="2"/>
  <c r="BA99" i="2"/>
  <c r="BA97" i="2"/>
  <c r="BA93" i="2"/>
  <c r="BA91" i="2"/>
  <c r="BA111" i="2"/>
  <c r="BA103" i="2"/>
  <c r="BA95" i="2"/>
  <c r="BA87" i="2"/>
  <c r="BA83" i="2"/>
  <c r="BA81" i="2"/>
  <c r="BA79" i="2"/>
  <c r="BA77" i="2"/>
  <c r="BA75" i="2"/>
  <c r="BA69" i="2"/>
  <c r="BA67" i="2"/>
  <c r="BA63" i="2"/>
  <c r="BA59" i="2"/>
  <c r="BA57" i="2"/>
  <c r="BA53" i="2"/>
  <c r="BA49" i="2"/>
  <c r="BA45" i="2"/>
  <c r="BA41" i="2"/>
  <c r="BA37" i="2"/>
  <c r="BA33" i="2"/>
  <c r="BA109" i="2"/>
  <c r="BA76" i="2"/>
  <c r="BA72" i="2"/>
  <c r="BA68" i="2"/>
  <c r="BA66" i="2"/>
  <c r="BA62" i="2"/>
  <c r="BA56" i="2"/>
  <c r="BA52" i="2"/>
  <c r="BA48" i="2"/>
  <c r="BA44" i="2"/>
  <c r="BA40" i="2"/>
  <c r="BA36" i="2"/>
  <c r="BA80" i="2"/>
  <c r="BA28" i="2"/>
  <c r="BA26" i="2"/>
  <c r="BA22" i="2"/>
  <c r="BA18" i="2"/>
  <c r="BA136" i="2"/>
  <c r="BA70" i="2"/>
  <c r="BA64" i="2"/>
  <c r="BA60" i="2"/>
  <c r="BA58" i="2"/>
  <c r="BA54" i="2"/>
  <c r="BA50" i="2"/>
  <c r="BA46" i="2"/>
  <c r="BA42" i="2"/>
  <c r="BA38" i="2"/>
  <c r="BA31" i="2"/>
  <c r="BA27" i="2"/>
  <c r="BA25" i="2"/>
  <c r="BA21" i="2"/>
  <c r="BA98" i="2"/>
  <c r="BA84" i="2"/>
  <c r="BA73" i="2"/>
  <c r="BA71" i="2"/>
  <c r="BA34" i="2"/>
  <c r="BA9" i="2"/>
  <c r="BA3" i="2"/>
  <c r="BA55" i="2"/>
  <c r="BA51" i="2"/>
  <c r="BA47" i="2"/>
  <c r="BA43" i="2"/>
  <c r="BA39" i="2"/>
  <c r="BA35" i="2"/>
  <c r="BA29" i="2"/>
  <c r="BA23" i="2"/>
  <c r="BA12" i="2"/>
  <c r="BA8" i="2"/>
  <c r="BA4" i="2"/>
  <c r="BA65" i="2"/>
  <c r="BA61" i="2"/>
  <c r="BA30" i="2"/>
  <c r="BA24" i="2"/>
  <c r="BA20" i="2"/>
  <c r="BA13" i="2"/>
  <c r="BA11" i="2"/>
  <c r="BA32" i="2"/>
  <c r="BA10" i="2"/>
  <c r="BA6" i="2"/>
  <c r="BA15" i="2"/>
  <c r="BA17" i="2"/>
  <c r="BA14" i="2"/>
  <c r="BA16" i="2"/>
  <c r="AF131" i="2"/>
  <c r="AF125" i="2"/>
  <c r="AF140" i="2"/>
  <c r="AF134" i="2"/>
  <c r="AF130" i="2"/>
  <c r="AF128" i="2"/>
  <c r="AF142" i="2"/>
  <c r="AF138" i="2"/>
  <c r="AF132" i="2"/>
  <c r="AF127" i="2"/>
  <c r="AF123" i="2"/>
  <c r="AF121" i="2"/>
  <c r="AF111" i="2"/>
  <c r="AF109" i="2"/>
  <c r="AF103" i="2"/>
  <c r="AF120" i="2"/>
  <c r="AF116" i="2"/>
  <c r="AF114" i="2"/>
  <c r="AF108" i="2"/>
  <c r="AF136" i="2"/>
  <c r="AF95" i="2"/>
  <c r="AF87" i="2"/>
  <c r="AF83" i="2"/>
  <c r="AF79" i="2"/>
  <c r="AF124" i="2"/>
  <c r="AF88" i="2"/>
  <c r="AF86" i="2"/>
  <c r="AF93" i="2"/>
  <c r="AF91" i="2"/>
  <c r="AF81" i="2"/>
  <c r="AF70" i="2"/>
  <c r="AF64" i="2"/>
  <c r="AF60" i="2"/>
  <c r="AF58" i="2"/>
  <c r="AF54" i="2"/>
  <c r="AF50" i="2"/>
  <c r="AF46" i="2"/>
  <c r="AF42" i="2"/>
  <c r="AF38" i="2"/>
  <c r="AF34" i="2"/>
  <c r="AF104" i="2"/>
  <c r="AF82" i="2"/>
  <c r="AF77" i="2"/>
  <c r="AF75" i="2"/>
  <c r="AF69" i="2"/>
  <c r="AF67" i="2"/>
  <c r="AF63" i="2"/>
  <c r="AF59" i="2"/>
  <c r="AF57" i="2"/>
  <c r="AF53" i="2"/>
  <c r="AF49" i="2"/>
  <c r="AF45" i="2"/>
  <c r="AF41" i="2"/>
  <c r="AF37" i="2"/>
  <c r="AF106" i="2"/>
  <c r="AF80" i="2"/>
  <c r="AF35" i="2"/>
  <c r="AF29" i="2"/>
  <c r="AF23" i="2"/>
  <c r="AF97" i="2"/>
  <c r="AF73" i="2"/>
  <c r="AF72" i="2"/>
  <c r="AF71" i="2"/>
  <c r="AF68" i="2"/>
  <c r="AF66" i="2"/>
  <c r="AF65" i="2"/>
  <c r="AF62" i="2"/>
  <c r="AF61" i="2"/>
  <c r="AF56" i="2"/>
  <c r="AF55" i="2"/>
  <c r="AF52" i="2"/>
  <c r="AF51" i="2"/>
  <c r="AF48" i="2"/>
  <c r="AF47" i="2"/>
  <c r="AF44" i="2"/>
  <c r="AF43" i="2"/>
  <c r="AF40" i="2"/>
  <c r="AF39" i="2"/>
  <c r="AF36" i="2"/>
  <c r="AF28" i="2"/>
  <c r="AF26" i="2"/>
  <c r="AF22" i="2"/>
  <c r="AF18" i="2"/>
  <c r="AF118" i="2"/>
  <c r="AF99" i="2"/>
  <c r="AF84" i="2"/>
  <c r="AF76" i="2"/>
  <c r="AF10" i="2"/>
  <c r="AF6" i="2"/>
  <c r="AF31" i="2"/>
  <c r="AF30" i="2"/>
  <c r="AF27" i="2"/>
  <c r="AF25" i="2"/>
  <c r="AF24" i="2"/>
  <c r="AF21" i="2"/>
  <c r="AF20" i="2"/>
  <c r="AF9" i="2"/>
  <c r="AF3" i="2"/>
  <c r="AF101" i="2"/>
  <c r="AF98" i="2"/>
  <c r="AF12" i="2"/>
  <c r="AF8" i="2"/>
  <c r="AF4" i="2"/>
  <c r="AF113" i="2"/>
  <c r="AF13" i="2"/>
  <c r="AF32" i="2"/>
  <c r="AF11" i="2"/>
  <c r="AF33" i="2"/>
  <c r="AF15" i="2"/>
  <c r="AF14" i="2"/>
  <c r="AF16" i="2"/>
  <c r="AF17" i="2"/>
  <c r="AA142" i="2"/>
  <c r="AA136" i="2"/>
  <c r="AA132" i="2"/>
  <c r="AA140" i="2"/>
  <c r="AA131" i="2"/>
  <c r="AA125" i="2"/>
  <c r="AA124" i="2"/>
  <c r="AA118" i="2"/>
  <c r="AA106" i="2"/>
  <c r="AA104" i="2"/>
  <c r="AA123" i="2"/>
  <c r="AA121" i="2"/>
  <c r="AA111" i="2"/>
  <c r="AA109" i="2"/>
  <c r="AA130" i="2"/>
  <c r="AA120" i="2"/>
  <c r="AA98" i="2"/>
  <c r="AA84" i="2"/>
  <c r="AA80" i="2"/>
  <c r="AA138" i="2"/>
  <c r="AA128" i="2"/>
  <c r="AA127" i="2"/>
  <c r="AA95" i="2"/>
  <c r="AA87" i="2"/>
  <c r="AA81" i="2"/>
  <c r="AA73" i="2"/>
  <c r="AA71" i="2"/>
  <c r="AA65" i="2"/>
  <c r="AA61" i="2"/>
  <c r="AA55" i="2"/>
  <c r="AA51" i="2"/>
  <c r="AA47" i="2"/>
  <c r="AA43" i="2"/>
  <c r="AA39" i="2"/>
  <c r="AA35" i="2"/>
  <c r="AA103" i="2"/>
  <c r="AA101" i="2"/>
  <c r="AA99" i="2"/>
  <c r="AA97" i="2"/>
  <c r="AA82" i="2"/>
  <c r="AA70" i="2"/>
  <c r="AA64" i="2"/>
  <c r="AA60" i="2"/>
  <c r="AA58" i="2"/>
  <c r="AA54" i="2"/>
  <c r="AA50" i="2"/>
  <c r="AA46" i="2"/>
  <c r="AA42" i="2"/>
  <c r="AA38" i="2"/>
  <c r="AA134" i="2"/>
  <c r="AA113" i="2"/>
  <c r="AA72" i="2"/>
  <c r="AA69" i="2"/>
  <c r="AA68" i="2"/>
  <c r="AA67" i="2"/>
  <c r="AA66" i="2"/>
  <c r="AA63" i="2"/>
  <c r="AA62" i="2"/>
  <c r="AA59" i="2"/>
  <c r="AA57" i="2"/>
  <c r="AA56" i="2"/>
  <c r="AA53" i="2"/>
  <c r="AA52" i="2"/>
  <c r="AA49" i="2"/>
  <c r="AA48" i="2"/>
  <c r="AA45" i="2"/>
  <c r="AA44" i="2"/>
  <c r="AA41" i="2"/>
  <c r="AA40" i="2"/>
  <c r="AA37" i="2"/>
  <c r="AA36" i="2"/>
  <c r="AA30" i="2"/>
  <c r="AA24" i="2"/>
  <c r="AA20" i="2"/>
  <c r="AA93" i="2"/>
  <c r="AA79" i="2"/>
  <c r="AA34" i="2"/>
  <c r="AA29" i="2"/>
  <c r="AA23" i="2"/>
  <c r="AA91" i="2"/>
  <c r="AA86" i="2"/>
  <c r="AA77" i="2"/>
  <c r="AA76" i="2"/>
  <c r="AA75" i="2"/>
  <c r="AA116" i="2"/>
  <c r="AA114" i="2"/>
  <c r="AA83" i="2"/>
  <c r="AA31" i="2"/>
  <c r="AA28" i="2"/>
  <c r="AA27" i="2"/>
  <c r="AA26" i="2"/>
  <c r="AA25" i="2"/>
  <c r="AA22" i="2"/>
  <c r="AA21" i="2"/>
  <c r="AA13" i="2"/>
  <c r="AA11" i="2"/>
  <c r="AA33" i="2"/>
  <c r="AA32" i="2"/>
  <c r="AA10" i="2"/>
  <c r="AA6" i="2"/>
  <c r="AA88" i="2"/>
  <c r="AA18" i="2"/>
  <c r="AA9" i="2"/>
  <c r="AA108" i="2"/>
  <c r="AA12" i="2"/>
  <c r="AA8" i="2"/>
  <c r="AA3" i="2"/>
  <c r="AA4" i="2"/>
  <c r="AA15" i="2"/>
  <c r="AA14" i="2"/>
  <c r="AA17" i="2"/>
  <c r="AA16" i="2"/>
  <c r="AK134" i="2"/>
  <c r="AK130" i="2"/>
  <c r="AK128" i="2"/>
  <c r="AK140" i="2"/>
  <c r="AK127" i="2"/>
  <c r="AK131" i="2"/>
  <c r="AK120" i="2"/>
  <c r="AK116" i="2"/>
  <c r="AK114" i="2"/>
  <c r="AK108" i="2"/>
  <c r="AK132" i="2"/>
  <c r="AK125" i="2"/>
  <c r="AK113" i="2"/>
  <c r="AK118" i="2"/>
  <c r="AK106" i="2"/>
  <c r="AK104" i="2"/>
  <c r="AK88" i="2"/>
  <c r="AK86" i="2"/>
  <c r="AK82" i="2"/>
  <c r="AK123" i="2"/>
  <c r="AK121" i="2"/>
  <c r="AK101" i="2"/>
  <c r="AK99" i="2"/>
  <c r="AK97" i="2"/>
  <c r="AK93" i="2"/>
  <c r="AK91" i="2"/>
  <c r="AK111" i="2"/>
  <c r="AK95" i="2"/>
  <c r="AK87" i="2"/>
  <c r="AK83" i="2"/>
  <c r="AK81" i="2"/>
  <c r="AK79" i="2"/>
  <c r="AK77" i="2"/>
  <c r="AK75" i="2"/>
  <c r="AK69" i="2"/>
  <c r="AK67" i="2"/>
  <c r="AK63" i="2"/>
  <c r="AK59" i="2"/>
  <c r="AK57" i="2"/>
  <c r="AK53" i="2"/>
  <c r="AK49" i="2"/>
  <c r="AK45" i="2"/>
  <c r="AK41" i="2"/>
  <c r="AK37" i="2"/>
  <c r="AK33" i="2"/>
  <c r="AK142" i="2"/>
  <c r="AK138" i="2"/>
  <c r="AK136" i="2"/>
  <c r="AK109" i="2"/>
  <c r="AK76" i="2"/>
  <c r="AK72" i="2"/>
  <c r="AK68" i="2"/>
  <c r="AK66" i="2"/>
  <c r="AK62" i="2"/>
  <c r="AK56" i="2"/>
  <c r="AK52" i="2"/>
  <c r="AK48" i="2"/>
  <c r="AK44" i="2"/>
  <c r="AK40" i="2"/>
  <c r="AK36" i="2"/>
  <c r="AK124" i="2"/>
  <c r="AK84" i="2"/>
  <c r="AK35" i="2"/>
  <c r="AK28" i="2"/>
  <c r="AK26" i="2"/>
  <c r="AK22" i="2"/>
  <c r="AK18" i="2"/>
  <c r="AK70" i="2"/>
  <c r="AK64" i="2"/>
  <c r="AK60" i="2"/>
  <c r="AK58" i="2"/>
  <c r="AK54" i="2"/>
  <c r="AK50" i="2"/>
  <c r="AK46" i="2"/>
  <c r="AK42" i="2"/>
  <c r="AK38" i="2"/>
  <c r="AK31" i="2"/>
  <c r="AK27" i="2"/>
  <c r="AK25" i="2"/>
  <c r="AK21" i="2"/>
  <c r="AK103" i="2"/>
  <c r="AK98" i="2"/>
  <c r="AK80" i="2"/>
  <c r="AK73" i="2"/>
  <c r="AK71" i="2"/>
  <c r="AK9" i="2"/>
  <c r="AK3" i="2"/>
  <c r="AK55" i="2"/>
  <c r="AK51" i="2"/>
  <c r="AK47" i="2"/>
  <c r="AK43" i="2"/>
  <c r="AK39" i="2"/>
  <c r="AK32" i="2"/>
  <c r="AK29" i="2"/>
  <c r="AK23" i="2"/>
  <c r="AK12" i="2"/>
  <c r="AK8" i="2"/>
  <c r="AK4" i="2"/>
  <c r="AK65" i="2"/>
  <c r="AK61" i="2"/>
  <c r="AK34" i="2"/>
  <c r="AK30" i="2"/>
  <c r="AK24" i="2"/>
  <c r="AK20" i="2"/>
  <c r="AK13" i="2"/>
  <c r="AK11" i="2"/>
  <c r="AK10" i="2"/>
  <c r="AK6" i="2"/>
  <c r="AK14" i="2"/>
  <c r="AK15" i="2"/>
  <c r="AK16" i="2"/>
  <c r="AK17" i="2"/>
  <c r="M142" i="2"/>
  <c r="M134" i="2"/>
  <c r="M130" i="2"/>
  <c r="M128" i="2"/>
  <c r="M138" i="2"/>
  <c r="M127" i="2"/>
  <c r="M131" i="2"/>
  <c r="M120" i="2"/>
  <c r="M116" i="2"/>
  <c r="M114" i="2"/>
  <c r="M108" i="2"/>
  <c r="M140" i="2"/>
  <c r="M132" i="2"/>
  <c r="M113" i="2"/>
  <c r="M118" i="2"/>
  <c r="M106" i="2"/>
  <c r="M88" i="2"/>
  <c r="M86" i="2"/>
  <c r="M82" i="2"/>
  <c r="M136" i="2"/>
  <c r="M123" i="2"/>
  <c r="M121" i="2"/>
  <c r="M103" i="2"/>
  <c r="M101" i="2"/>
  <c r="M99" i="2"/>
  <c r="M97" i="2"/>
  <c r="M93" i="2"/>
  <c r="M91" i="2"/>
  <c r="M95" i="2"/>
  <c r="M87" i="2"/>
  <c r="M84" i="2"/>
  <c r="M80" i="2"/>
  <c r="M77" i="2"/>
  <c r="M75" i="2"/>
  <c r="M69" i="2"/>
  <c r="M67" i="2"/>
  <c r="M63" i="2"/>
  <c r="M59" i="2"/>
  <c r="M57" i="2"/>
  <c r="M53" i="2"/>
  <c r="M49" i="2"/>
  <c r="M45" i="2"/>
  <c r="M41" i="2"/>
  <c r="M37" i="2"/>
  <c r="M33" i="2"/>
  <c r="M124" i="2"/>
  <c r="M76" i="2"/>
  <c r="M72" i="2"/>
  <c r="M68" i="2"/>
  <c r="M66" i="2"/>
  <c r="M62" i="2"/>
  <c r="M56" i="2"/>
  <c r="M52" i="2"/>
  <c r="M48" i="2"/>
  <c r="M44" i="2"/>
  <c r="M40" i="2"/>
  <c r="M36" i="2"/>
  <c r="M98" i="2"/>
  <c r="M83" i="2"/>
  <c r="M34" i="2"/>
  <c r="M32" i="2"/>
  <c r="M28" i="2"/>
  <c r="M26" i="2"/>
  <c r="M22" i="2"/>
  <c r="M18" i="2"/>
  <c r="M111" i="2"/>
  <c r="M109" i="2"/>
  <c r="M70" i="2"/>
  <c r="M64" i="2"/>
  <c r="M60" i="2"/>
  <c r="M58" i="2"/>
  <c r="M54" i="2"/>
  <c r="M50" i="2"/>
  <c r="M46" i="2"/>
  <c r="M42" i="2"/>
  <c r="M38" i="2"/>
  <c r="M31" i="2"/>
  <c r="M27" i="2"/>
  <c r="M25" i="2"/>
  <c r="M21" i="2"/>
  <c r="M125" i="2"/>
  <c r="M79" i="2"/>
  <c r="M73" i="2"/>
  <c r="M71" i="2"/>
  <c r="M65" i="2"/>
  <c r="M61" i="2"/>
  <c r="M9" i="2"/>
  <c r="M3" i="2"/>
  <c r="M104" i="2"/>
  <c r="M29" i="2"/>
  <c r="M23" i="2"/>
  <c r="M12" i="2"/>
  <c r="M8" i="2"/>
  <c r="M4" i="2"/>
  <c r="M81" i="2"/>
  <c r="M30" i="2"/>
  <c r="M24" i="2"/>
  <c r="M20" i="2"/>
  <c r="M13" i="2"/>
  <c r="M11" i="2"/>
  <c r="M35" i="2"/>
  <c r="M10" i="2"/>
  <c r="M6" i="2"/>
  <c r="M55" i="2"/>
  <c r="M47" i="2"/>
  <c r="M39" i="2"/>
  <c r="M51" i="2"/>
  <c r="M43" i="2"/>
  <c r="M17" i="2"/>
  <c r="M15" i="2"/>
  <c r="M14" i="2"/>
  <c r="M16" i="2"/>
  <c r="BH140" i="2"/>
  <c r="BH131" i="2"/>
  <c r="BH125" i="2"/>
  <c r="BH134" i="2"/>
  <c r="BH130" i="2"/>
  <c r="BH128" i="2"/>
  <c r="BH142" i="2"/>
  <c r="BH136" i="2"/>
  <c r="BH123" i="2"/>
  <c r="BH121" i="2"/>
  <c r="BH111" i="2"/>
  <c r="BH109" i="2"/>
  <c r="BH103" i="2"/>
  <c r="BH138" i="2"/>
  <c r="BH124" i="2"/>
  <c r="BH120" i="2"/>
  <c r="BH116" i="2"/>
  <c r="BH114" i="2"/>
  <c r="BH108" i="2"/>
  <c r="BH127" i="2"/>
  <c r="BH95" i="2"/>
  <c r="BH87" i="2"/>
  <c r="BH83" i="2"/>
  <c r="BH79" i="2"/>
  <c r="BH118" i="2"/>
  <c r="BH113" i="2"/>
  <c r="BH106" i="2"/>
  <c r="BH104" i="2"/>
  <c r="BH88" i="2"/>
  <c r="BH86" i="2"/>
  <c r="BH101" i="2"/>
  <c r="BH99" i="2"/>
  <c r="BH98" i="2"/>
  <c r="BH97" i="2"/>
  <c r="BH82" i="2"/>
  <c r="BH70" i="2"/>
  <c r="BH64" i="2"/>
  <c r="BH60" i="2"/>
  <c r="BH58" i="2"/>
  <c r="BH54" i="2"/>
  <c r="BH50" i="2"/>
  <c r="BH46" i="2"/>
  <c r="BH42" i="2"/>
  <c r="BH38" i="2"/>
  <c r="BH34" i="2"/>
  <c r="BH84" i="2"/>
  <c r="BH80" i="2"/>
  <c r="BH77" i="2"/>
  <c r="BH75" i="2"/>
  <c r="BH69" i="2"/>
  <c r="BH67" i="2"/>
  <c r="BH63" i="2"/>
  <c r="BH59" i="2"/>
  <c r="BH57" i="2"/>
  <c r="BH53" i="2"/>
  <c r="BH49" i="2"/>
  <c r="BH45" i="2"/>
  <c r="BH41" i="2"/>
  <c r="BH37" i="2"/>
  <c r="BH132" i="2"/>
  <c r="BH93" i="2"/>
  <c r="BH29" i="2"/>
  <c r="BH23" i="2"/>
  <c r="BH91" i="2"/>
  <c r="BH76" i="2"/>
  <c r="BH32" i="2"/>
  <c r="BH28" i="2"/>
  <c r="BH26" i="2"/>
  <c r="BH22" i="2"/>
  <c r="BH18" i="2"/>
  <c r="BH81" i="2"/>
  <c r="BH73" i="2"/>
  <c r="BH68" i="2"/>
  <c r="BH56" i="2"/>
  <c r="BH55" i="2"/>
  <c r="BH52" i="2"/>
  <c r="BH51" i="2"/>
  <c r="BH48" i="2"/>
  <c r="BH47" i="2"/>
  <c r="BH44" i="2"/>
  <c r="BH43" i="2"/>
  <c r="BH40" i="2"/>
  <c r="BH39" i="2"/>
  <c r="BH36" i="2"/>
  <c r="BH35" i="2"/>
  <c r="BH33" i="2"/>
  <c r="BH31" i="2"/>
  <c r="BH10" i="2"/>
  <c r="BH6" i="2"/>
  <c r="BH65" i="2"/>
  <c r="BH62" i="2"/>
  <c r="BH61" i="2"/>
  <c r="BH9" i="2"/>
  <c r="BH3" i="2"/>
  <c r="BH72" i="2"/>
  <c r="BH71" i="2"/>
  <c r="BH12" i="2"/>
  <c r="BH8" i="2"/>
  <c r="BH4" i="2"/>
  <c r="BH27" i="2"/>
  <c r="BH11" i="2"/>
  <c r="BH21" i="2"/>
  <c r="BH20" i="2"/>
  <c r="BH30" i="2"/>
  <c r="BH13" i="2"/>
  <c r="BH24" i="2"/>
  <c r="BH66" i="2"/>
  <c r="BH25" i="2"/>
  <c r="BH15" i="2"/>
  <c r="BH17" i="2"/>
  <c r="BH14" i="2"/>
  <c r="BH16" i="2"/>
  <c r="BC142" i="2"/>
  <c r="BC140" i="2"/>
  <c r="BC136" i="2"/>
  <c r="BC132" i="2"/>
  <c r="BC131" i="2"/>
  <c r="BC118" i="2"/>
  <c r="BC106" i="2"/>
  <c r="BC104" i="2"/>
  <c r="BC134" i="2"/>
  <c r="BC130" i="2"/>
  <c r="BC128" i="2"/>
  <c r="BC127" i="2"/>
  <c r="BC124" i="2"/>
  <c r="BC123" i="2"/>
  <c r="BC121" i="2"/>
  <c r="BC111" i="2"/>
  <c r="BC109" i="2"/>
  <c r="BC138" i="2"/>
  <c r="BC116" i="2"/>
  <c r="BC114" i="2"/>
  <c r="BC113" i="2"/>
  <c r="BC108" i="2"/>
  <c r="BC98" i="2"/>
  <c r="BC84" i="2"/>
  <c r="BC80" i="2"/>
  <c r="BC103" i="2"/>
  <c r="BC95" i="2"/>
  <c r="BC87" i="2"/>
  <c r="BC82" i="2"/>
  <c r="BC73" i="2"/>
  <c r="BC71" i="2"/>
  <c r="BC65" i="2"/>
  <c r="BC61" i="2"/>
  <c r="BC55" i="2"/>
  <c r="BC51" i="2"/>
  <c r="BC47" i="2"/>
  <c r="BC43" i="2"/>
  <c r="BC39" i="2"/>
  <c r="BC35" i="2"/>
  <c r="BC120" i="2"/>
  <c r="BC93" i="2"/>
  <c r="BC91" i="2"/>
  <c r="BC88" i="2"/>
  <c r="BC86" i="2"/>
  <c r="BC70" i="2"/>
  <c r="BC64" i="2"/>
  <c r="BC60" i="2"/>
  <c r="BC58" i="2"/>
  <c r="BC54" i="2"/>
  <c r="BC50" i="2"/>
  <c r="BC46" i="2"/>
  <c r="BC42" i="2"/>
  <c r="BC38" i="2"/>
  <c r="BC97" i="2"/>
  <c r="BC83" i="2"/>
  <c r="BC81" i="2"/>
  <c r="BC77" i="2"/>
  <c r="BC76" i="2"/>
  <c r="BC75" i="2"/>
  <c r="BC34" i="2"/>
  <c r="BC30" i="2"/>
  <c r="BC24" i="2"/>
  <c r="BC20" i="2"/>
  <c r="BC99" i="2"/>
  <c r="BC32" i="2"/>
  <c r="BC29" i="2"/>
  <c r="BC23" i="2"/>
  <c r="BC125" i="2"/>
  <c r="BC101" i="2"/>
  <c r="BC79" i="2"/>
  <c r="BC72" i="2"/>
  <c r="BC69" i="2"/>
  <c r="BC68" i="2"/>
  <c r="BC67" i="2"/>
  <c r="BC66" i="2"/>
  <c r="BC57" i="2"/>
  <c r="BC53" i="2"/>
  <c r="BC49" i="2"/>
  <c r="BC45" i="2"/>
  <c r="BC41" i="2"/>
  <c r="BC37" i="2"/>
  <c r="BC18" i="2"/>
  <c r="BC13" i="2"/>
  <c r="BC11" i="2"/>
  <c r="BC63" i="2"/>
  <c r="BC59" i="2"/>
  <c r="BC56" i="2"/>
  <c r="BC52" i="2"/>
  <c r="BC48" i="2"/>
  <c r="BC44" i="2"/>
  <c r="BC40" i="2"/>
  <c r="BC36" i="2"/>
  <c r="BC10" i="2"/>
  <c r="BC6" i="2"/>
  <c r="BC62" i="2"/>
  <c r="BC33" i="2"/>
  <c r="BC31" i="2"/>
  <c r="BC28" i="2"/>
  <c r="BC27" i="2"/>
  <c r="BC26" i="2"/>
  <c r="BC25" i="2"/>
  <c r="BC22" i="2"/>
  <c r="BC21" i="2"/>
  <c r="BC9" i="2"/>
  <c r="BC3" i="2"/>
  <c r="BC12" i="2"/>
  <c r="BC8" i="2"/>
  <c r="BC4" i="2"/>
  <c r="BC14" i="2"/>
  <c r="BC15" i="2"/>
  <c r="BC16" i="2"/>
  <c r="BC17" i="2"/>
  <c r="AO142" i="2"/>
  <c r="AO138" i="2"/>
  <c r="AO134" i="2"/>
  <c r="AO130" i="2"/>
  <c r="AO128" i="2"/>
  <c r="AO127" i="2"/>
  <c r="AO120" i="2"/>
  <c r="AO116" i="2"/>
  <c r="AO114" i="2"/>
  <c r="AO108" i="2"/>
  <c r="AO136" i="2"/>
  <c r="AO113" i="2"/>
  <c r="AO132" i="2"/>
  <c r="AO131" i="2"/>
  <c r="AO124" i="2"/>
  <c r="AO103" i="2"/>
  <c r="AO88" i="2"/>
  <c r="AO86" i="2"/>
  <c r="AO82" i="2"/>
  <c r="AO111" i="2"/>
  <c r="AO109" i="2"/>
  <c r="AO101" i="2"/>
  <c r="AO99" i="2"/>
  <c r="AO97" i="2"/>
  <c r="AO93" i="2"/>
  <c r="AO91" i="2"/>
  <c r="AO140" i="2"/>
  <c r="AO77" i="2"/>
  <c r="AO75" i="2"/>
  <c r="AO69" i="2"/>
  <c r="AO67" i="2"/>
  <c r="AO63" i="2"/>
  <c r="AO59" i="2"/>
  <c r="AO57" i="2"/>
  <c r="AO53" i="2"/>
  <c r="AO49" i="2"/>
  <c r="AO45" i="2"/>
  <c r="AO41" i="2"/>
  <c r="AO37" i="2"/>
  <c r="AO33" i="2"/>
  <c r="AO125" i="2"/>
  <c r="AO121" i="2"/>
  <c r="AO98" i="2"/>
  <c r="AO83" i="2"/>
  <c r="AO81" i="2"/>
  <c r="AO79" i="2"/>
  <c r="AO76" i="2"/>
  <c r="AO72" i="2"/>
  <c r="AO68" i="2"/>
  <c r="AO66" i="2"/>
  <c r="AO62" i="2"/>
  <c r="AO56" i="2"/>
  <c r="AO52" i="2"/>
  <c r="AO48" i="2"/>
  <c r="AO44" i="2"/>
  <c r="AO40" i="2"/>
  <c r="AO36" i="2"/>
  <c r="AO73" i="2"/>
  <c r="AO71" i="2"/>
  <c r="AO65" i="2"/>
  <c r="AO61" i="2"/>
  <c r="AO55" i="2"/>
  <c r="AO51" i="2"/>
  <c r="AO47" i="2"/>
  <c r="AO43" i="2"/>
  <c r="AO39" i="2"/>
  <c r="AO28" i="2"/>
  <c r="AO26" i="2"/>
  <c r="AO22" i="2"/>
  <c r="AO18" i="2"/>
  <c r="AO118" i="2"/>
  <c r="AO95" i="2"/>
  <c r="AO80" i="2"/>
  <c r="AO35" i="2"/>
  <c r="AO31" i="2"/>
  <c r="AO27" i="2"/>
  <c r="AO25" i="2"/>
  <c r="AO21" i="2"/>
  <c r="AO104" i="2"/>
  <c r="AO87" i="2"/>
  <c r="AO106" i="2"/>
  <c r="AO84" i="2"/>
  <c r="AO58" i="2"/>
  <c r="AO54" i="2"/>
  <c r="AO50" i="2"/>
  <c r="AO46" i="2"/>
  <c r="AO42" i="2"/>
  <c r="AO38" i="2"/>
  <c r="AO32" i="2"/>
  <c r="AO30" i="2"/>
  <c r="AO24" i="2"/>
  <c r="AO20" i="2"/>
  <c r="AO9" i="2"/>
  <c r="AO3" i="2"/>
  <c r="AO70" i="2"/>
  <c r="AO64" i="2"/>
  <c r="AO60" i="2"/>
  <c r="AO34" i="2"/>
  <c r="AO12" i="2"/>
  <c r="AO8" i="2"/>
  <c r="AO4" i="2"/>
  <c r="AO13" i="2"/>
  <c r="AO11" i="2"/>
  <c r="AO123" i="2"/>
  <c r="AO29" i="2"/>
  <c r="AO10" i="2"/>
  <c r="AO23" i="2"/>
  <c r="AO6" i="2"/>
  <c r="AO15" i="2"/>
  <c r="AO17" i="2"/>
  <c r="AO16" i="2"/>
  <c r="AO14" i="2"/>
  <c r="BJ142" i="2"/>
  <c r="BJ140" i="2"/>
  <c r="BJ138" i="2"/>
  <c r="BJ127" i="2"/>
  <c r="BJ136" i="2"/>
  <c r="BJ132" i="2"/>
  <c r="BJ124" i="2"/>
  <c r="BJ113" i="2"/>
  <c r="BJ118" i="2"/>
  <c r="BJ106" i="2"/>
  <c r="BJ104" i="2"/>
  <c r="BJ128" i="2"/>
  <c r="BJ125" i="2"/>
  <c r="BJ123" i="2"/>
  <c r="BJ121" i="2"/>
  <c r="BJ103" i="2"/>
  <c r="BJ101" i="2"/>
  <c r="BJ99" i="2"/>
  <c r="BJ97" i="2"/>
  <c r="BJ93" i="2"/>
  <c r="BJ91" i="2"/>
  <c r="BJ81" i="2"/>
  <c r="BJ134" i="2"/>
  <c r="BJ116" i="2"/>
  <c r="BJ114" i="2"/>
  <c r="BJ108" i="2"/>
  <c r="BJ98" i="2"/>
  <c r="BJ120" i="2"/>
  <c r="BJ76" i="2"/>
  <c r="BJ72" i="2"/>
  <c r="BJ68" i="2"/>
  <c r="BJ66" i="2"/>
  <c r="BJ62" i="2"/>
  <c r="BJ56" i="2"/>
  <c r="BJ52" i="2"/>
  <c r="BJ48" i="2"/>
  <c r="BJ44" i="2"/>
  <c r="BJ40" i="2"/>
  <c r="BJ36" i="2"/>
  <c r="BJ32" i="2"/>
  <c r="BJ111" i="2"/>
  <c r="BJ83" i="2"/>
  <c r="BJ79" i="2"/>
  <c r="BJ73" i="2"/>
  <c r="BJ71" i="2"/>
  <c r="BJ65" i="2"/>
  <c r="BJ61" i="2"/>
  <c r="BJ55" i="2"/>
  <c r="BJ51" i="2"/>
  <c r="BJ47" i="2"/>
  <c r="BJ43" i="2"/>
  <c r="BJ39" i="2"/>
  <c r="BJ35" i="2"/>
  <c r="BJ95" i="2"/>
  <c r="BJ70" i="2"/>
  <c r="BJ64" i="2"/>
  <c r="BJ60" i="2"/>
  <c r="BJ58" i="2"/>
  <c r="BJ54" i="2"/>
  <c r="BJ50" i="2"/>
  <c r="BJ46" i="2"/>
  <c r="BJ42" i="2"/>
  <c r="BJ38" i="2"/>
  <c r="BJ27" i="2"/>
  <c r="BJ25" i="2"/>
  <c r="BJ21" i="2"/>
  <c r="BJ87" i="2"/>
  <c r="BJ86" i="2"/>
  <c r="BJ80" i="2"/>
  <c r="BJ77" i="2"/>
  <c r="BJ75" i="2"/>
  <c r="BJ33" i="2"/>
  <c r="BJ31" i="2"/>
  <c r="BJ30" i="2"/>
  <c r="BJ24" i="2"/>
  <c r="BJ20" i="2"/>
  <c r="BJ131" i="2"/>
  <c r="BJ130" i="2"/>
  <c r="BJ109" i="2"/>
  <c r="BJ88" i="2"/>
  <c r="BJ82" i="2"/>
  <c r="BJ63" i="2"/>
  <c r="BJ59" i="2"/>
  <c r="BJ29" i="2"/>
  <c r="BJ23" i="2"/>
  <c r="BJ12" i="2"/>
  <c r="BJ8" i="2"/>
  <c r="BJ4" i="2"/>
  <c r="BJ34" i="2"/>
  <c r="BJ18" i="2"/>
  <c r="BJ13" i="2"/>
  <c r="BJ11" i="2"/>
  <c r="BJ84" i="2"/>
  <c r="BJ67" i="2"/>
  <c r="BJ10" i="2"/>
  <c r="BJ6" i="2"/>
  <c r="BJ22" i="2"/>
  <c r="BJ69" i="2"/>
  <c r="BJ57" i="2"/>
  <c r="BJ53" i="2"/>
  <c r="BJ49" i="2"/>
  <c r="BJ45" i="2"/>
  <c r="BJ41" i="2"/>
  <c r="BJ37" i="2"/>
  <c r="BJ26" i="2"/>
  <c r="BJ3" i="2"/>
  <c r="BJ28" i="2"/>
  <c r="BJ9" i="2"/>
  <c r="BJ15" i="2"/>
  <c r="BJ16" i="2"/>
  <c r="BJ14" i="2"/>
  <c r="BJ17" i="2"/>
  <c r="AN131" i="2"/>
  <c r="AN125" i="2"/>
  <c r="AN142" i="2"/>
  <c r="AN138" i="2"/>
  <c r="AN134" i="2"/>
  <c r="AN130" i="2"/>
  <c r="AN128" i="2"/>
  <c r="AN132" i="2"/>
  <c r="AN127" i="2"/>
  <c r="AN123" i="2"/>
  <c r="AN121" i="2"/>
  <c r="AN111" i="2"/>
  <c r="AN109" i="2"/>
  <c r="AN103" i="2"/>
  <c r="AN120" i="2"/>
  <c r="AN116" i="2"/>
  <c r="AN114" i="2"/>
  <c r="AN108" i="2"/>
  <c r="AN95" i="2"/>
  <c r="AN87" i="2"/>
  <c r="AN83" i="2"/>
  <c r="AN79" i="2"/>
  <c r="AN124" i="2"/>
  <c r="AN88" i="2"/>
  <c r="AN86" i="2"/>
  <c r="AN136" i="2"/>
  <c r="AN118" i="2"/>
  <c r="AN113" i="2"/>
  <c r="AN106" i="2"/>
  <c r="AN93" i="2"/>
  <c r="AN91" i="2"/>
  <c r="AN84" i="2"/>
  <c r="AN80" i="2"/>
  <c r="AN70" i="2"/>
  <c r="AN64" i="2"/>
  <c r="AN60" i="2"/>
  <c r="AN58" i="2"/>
  <c r="AN54" i="2"/>
  <c r="AN50" i="2"/>
  <c r="AN46" i="2"/>
  <c r="AN42" i="2"/>
  <c r="AN38" i="2"/>
  <c r="AN34" i="2"/>
  <c r="AN140" i="2"/>
  <c r="AN77" i="2"/>
  <c r="AN75" i="2"/>
  <c r="AN69" i="2"/>
  <c r="AN67" i="2"/>
  <c r="AN63" i="2"/>
  <c r="AN59" i="2"/>
  <c r="AN57" i="2"/>
  <c r="AN53" i="2"/>
  <c r="AN49" i="2"/>
  <c r="AN45" i="2"/>
  <c r="AN41" i="2"/>
  <c r="AN37" i="2"/>
  <c r="AN99" i="2"/>
  <c r="AN32" i="2"/>
  <c r="AN29" i="2"/>
  <c r="AN23" i="2"/>
  <c r="AN101" i="2"/>
  <c r="AN98" i="2"/>
  <c r="AN81" i="2"/>
  <c r="AN73" i="2"/>
  <c r="AN72" i="2"/>
  <c r="AN71" i="2"/>
  <c r="AN68" i="2"/>
  <c r="AN66" i="2"/>
  <c r="AN65" i="2"/>
  <c r="AN62" i="2"/>
  <c r="AN61" i="2"/>
  <c r="AN56" i="2"/>
  <c r="AN55" i="2"/>
  <c r="AN52" i="2"/>
  <c r="AN51" i="2"/>
  <c r="AN48" i="2"/>
  <c r="AN47" i="2"/>
  <c r="AN44" i="2"/>
  <c r="AN43" i="2"/>
  <c r="AN40" i="2"/>
  <c r="AN39" i="2"/>
  <c r="AN36" i="2"/>
  <c r="AN33" i="2"/>
  <c r="AN28" i="2"/>
  <c r="AN26" i="2"/>
  <c r="AN22" i="2"/>
  <c r="AN18" i="2"/>
  <c r="AN82" i="2"/>
  <c r="AN104" i="2"/>
  <c r="AN97" i="2"/>
  <c r="AN10" i="2"/>
  <c r="AN6" i="2"/>
  <c r="AN35" i="2"/>
  <c r="AN31" i="2"/>
  <c r="AN30" i="2"/>
  <c r="AN27" i="2"/>
  <c r="AN25" i="2"/>
  <c r="AN24" i="2"/>
  <c r="AN21" i="2"/>
  <c r="AN20" i="2"/>
  <c r="AN9" i="2"/>
  <c r="AN3" i="2"/>
  <c r="AN12" i="2"/>
  <c r="AN8" i="2"/>
  <c r="AN4" i="2"/>
  <c r="AN11" i="2"/>
  <c r="AN76" i="2"/>
  <c r="AN13" i="2"/>
  <c r="AN14" i="2"/>
  <c r="AN17" i="2"/>
  <c r="AN16" i="2"/>
  <c r="AN15" i="2"/>
  <c r="H131" i="2"/>
  <c r="H125" i="2"/>
  <c r="H138" i="2"/>
  <c r="H134" i="2"/>
  <c r="H130" i="2"/>
  <c r="H128" i="2"/>
  <c r="H132" i="2"/>
  <c r="H127" i="2"/>
  <c r="H123" i="2"/>
  <c r="H121" i="2"/>
  <c r="H111" i="2"/>
  <c r="H109" i="2"/>
  <c r="H103" i="2"/>
  <c r="H120" i="2"/>
  <c r="H116" i="2"/>
  <c r="H114" i="2"/>
  <c r="H108" i="2"/>
  <c r="H95" i="2"/>
  <c r="H87" i="2"/>
  <c r="H83" i="2"/>
  <c r="H79" i="2"/>
  <c r="H140" i="2"/>
  <c r="H124" i="2"/>
  <c r="H88" i="2"/>
  <c r="H86" i="2"/>
  <c r="H136" i="2"/>
  <c r="H118" i="2"/>
  <c r="H113" i="2"/>
  <c r="H106" i="2"/>
  <c r="H93" i="2"/>
  <c r="H91" i="2"/>
  <c r="H84" i="2"/>
  <c r="H80" i="2"/>
  <c r="H70" i="2"/>
  <c r="H64" i="2"/>
  <c r="H60" i="2"/>
  <c r="H58" i="2"/>
  <c r="H54" i="2"/>
  <c r="H50" i="2"/>
  <c r="H46" i="2"/>
  <c r="H42" i="2"/>
  <c r="H38" i="2"/>
  <c r="H34" i="2"/>
  <c r="H104" i="2"/>
  <c r="H77" i="2"/>
  <c r="H75" i="2"/>
  <c r="H69" i="2"/>
  <c r="H67" i="2"/>
  <c r="H63" i="2"/>
  <c r="H59" i="2"/>
  <c r="H57" i="2"/>
  <c r="H53" i="2"/>
  <c r="H49" i="2"/>
  <c r="H45" i="2"/>
  <c r="H41" i="2"/>
  <c r="H37" i="2"/>
  <c r="H99" i="2"/>
  <c r="H32" i="2"/>
  <c r="H29" i="2"/>
  <c r="H23" i="2"/>
  <c r="H142" i="2"/>
  <c r="H101" i="2"/>
  <c r="H98" i="2"/>
  <c r="H81" i="2"/>
  <c r="H73" i="2"/>
  <c r="H72" i="2"/>
  <c r="H71" i="2"/>
  <c r="H68" i="2"/>
  <c r="H66" i="2"/>
  <c r="H65" i="2"/>
  <c r="H62" i="2"/>
  <c r="H61" i="2"/>
  <c r="H56" i="2"/>
  <c r="H55" i="2"/>
  <c r="H52" i="2"/>
  <c r="H51" i="2"/>
  <c r="H48" i="2"/>
  <c r="H47" i="2"/>
  <c r="H44" i="2"/>
  <c r="H43" i="2"/>
  <c r="H40" i="2"/>
  <c r="H39" i="2"/>
  <c r="H36" i="2"/>
  <c r="H33" i="2"/>
  <c r="H28" i="2"/>
  <c r="H26" i="2"/>
  <c r="H22" i="2"/>
  <c r="H82" i="2"/>
  <c r="H18" i="2"/>
  <c r="H10" i="2"/>
  <c r="H6" i="2"/>
  <c r="H35" i="2"/>
  <c r="H31" i="2"/>
  <c r="H30" i="2"/>
  <c r="H27" i="2"/>
  <c r="H25" i="2"/>
  <c r="H24" i="2"/>
  <c r="H21" i="2"/>
  <c r="H20" i="2"/>
  <c r="H9" i="2"/>
  <c r="H3" i="2"/>
  <c r="H97" i="2"/>
  <c r="H12" i="2"/>
  <c r="H8" i="2"/>
  <c r="H4" i="2"/>
  <c r="H76" i="2"/>
  <c r="H11" i="2"/>
  <c r="H13" i="2"/>
  <c r="H17" i="2"/>
  <c r="H15" i="2"/>
  <c r="H14" i="2"/>
  <c r="H16" i="2"/>
  <c r="R140" i="2"/>
  <c r="R138" i="2"/>
  <c r="R127" i="2"/>
  <c r="R142" i="2"/>
  <c r="R136" i="2"/>
  <c r="R132" i="2"/>
  <c r="R134" i="2"/>
  <c r="R130" i="2"/>
  <c r="R128" i="2"/>
  <c r="R113" i="2"/>
  <c r="R131" i="2"/>
  <c r="R124" i="2"/>
  <c r="R118" i="2"/>
  <c r="R106" i="2"/>
  <c r="R125" i="2"/>
  <c r="R111" i="2"/>
  <c r="R109" i="2"/>
  <c r="R101" i="2"/>
  <c r="R99" i="2"/>
  <c r="R97" i="2"/>
  <c r="R93" i="2"/>
  <c r="R91" i="2"/>
  <c r="R81" i="2"/>
  <c r="R120" i="2"/>
  <c r="R103" i="2"/>
  <c r="R98" i="2"/>
  <c r="R88" i="2"/>
  <c r="R86" i="2"/>
  <c r="R84" i="2"/>
  <c r="R82" i="2"/>
  <c r="R80" i="2"/>
  <c r="R76" i="2"/>
  <c r="R72" i="2"/>
  <c r="R68" i="2"/>
  <c r="R66" i="2"/>
  <c r="R62" i="2"/>
  <c r="R56" i="2"/>
  <c r="R52" i="2"/>
  <c r="R48" i="2"/>
  <c r="R44" i="2"/>
  <c r="R40" i="2"/>
  <c r="R36" i="2"/>
  <c r="R32" i="2"/>
  <c r="R116" i="2"/>
  <c r="R108" i="2"/>
  <c r="R104" i="2"/>
  <c r="R95" i="2"/>
  <c r="R87" i="2"/>
  <c r="R73" i="2"/>
  <c r="R71" i="2"/>
  <c r="R65" i="2"/>
  <c r="R61" i="2"/>
  <c r="R55" i="2"/>
  <c r="R51" i="2"/>
  <c r="R47" i="2"/>
  <c r="R43" i="2"/>
  <c r="R39" i="2"/>
  <c r="R114" i="2"/>
  <c r="R79" i="2"/>
  <c r="R34" i="2"/>
  <c r="R31" i="2"/>
  <c r="R27" i="2"/>
  <c r="R25" i="2"/>
  <c r="R21" i="2"/>
  <c r="R121" i="2"/>
  <c r="R69" i="2"/>
  <c r="R67" i="2"/>
  <c r="R63" i="2"/>
  <c r="R59" i="2"/>
  <c r="R57" i="2"/>
  <c r="R53" i="2"/>
  <c r="R49" i="2"/>
  <c r="R45" i="2"/>
  <c r="R41" i="2"/>
  <c r="R37" i="2"/>
  <c r="R30" i="2"/>
  <c r="R24" i="2"/>
  <c r="R20" i="2"/>
  <c r="R123" i="2"/>
  <c r="R83" i="2"/>
  <c r="R70" i="2"/>
  <c r="R75" i="2"/>
  <c r="R33" i="2"/>
  <c r="R12" i="2"/>
  <c r="R8" i="2"/>
  <c r="R4" i="2"/>
  <c r="R77" i="2"/>
  <c r="R58" i="2"/>
  <c r="R54" i="2"/>
  <c r="R50" i="2"/>
  <c r="R46" i="2"/>
  <c r="R42" i="2"/>
  <c r="R38" i="2"/>
  <c r="R35" i="2"/>
  <c r="R28" i="2"/>
  <c r="R26" i="2"/>
  <c r="R22" i="2"/>
  <c r="R18" i="2"/>
  <c r="R13" i="2"/>
  <c r="R11" i="2"/>
  <c r="R64" i="2"/>
  <c r="R60" i="2"/>
  <c r="R29" i="2"/>
  <c r="R23" i="2"/>
  <c r="R10" i="2"/>
  <c r="R6" i="2"/>
  <c r="R3" i="2"/>
  <c r="R9" i="2"/>
  <c r="R14" i="2"/>
  <c r="R17" i="2"/>
  <c r="R16" i="2"/>
  <c r="R15" i="2"/>
  <c r="BM142" i="2"/>
  <c r="BM140" i="2"/>
  <c r="BM134" i="2"/>
  <c r="BM130" i="2"/>
  <c r="BM128" i="2"/>
  <c r="BM124" i="2"/>
  <c r="BM127" i="2"/>
  <c r="BM120" i="2"/>
  <c r="BM116" i="2"/>
  <c r="BM114" i="2"/>
  <c r="BM108" i="2"/>
  <c r="BM136" i="2"/>
  <c r="BM113" i="2"/>
  <c r="BM88" i="2"/>
  <c r="BM86" i="2"/>
  <c r="BM82" i="2"/>
  <c r="BM111" i="2"/>
  <c r="BM109" i="2"/>
  <c r="BM101" i="2"/>
  <c r="BM99" i="2"/>
  <c r="BM97" i="2"/>
  <c r="BM93" i="2"/>
  <c r="BM91" i="2"/>
  <c r="BM123" i="2"/>
  <c r="BM104" i="2"/>
  <c r="BM77" i="2"/>
  <c r="BM75" i="2"/>
  <c r="BM69" i="2"/>
  <c r="BM67" i="2"/>
  <c r="BM63" i="2"/>
  <c r="BM59" i="2"/>
  <c r="BM57" i="2"/>
  <c r="BM53" i="2"/>
  <c r="BM49" i="2"/>
  <c r="BM45" i="2"/>
  <c r="BM41" i="2"/>
  <c r="BM37" i="2"/>
  <c r="BM33" i="2"/>
  <c r="BM132" i="2"/>
  <c r="BM125" i="2"/>
  <c r="BM118" i="2"/>
  <c r="BM106" i="2"/>
  <c r="BM98" i="2"/>
  <c r="BM84" i="2"/>
  <c r="BM80" i="2"/>
  <c r="BM76" i="2"/>
  <c r="BM72" i="2"/>
  <c r="BM68" i="2"/>
  <c r="BM66" i="2"/>
  <c r="BM62" i="2"/>
  <c r="BM56" i="2"/>
  <c r="BM52" i="2"/>
  <c r="BM48" i="2"/>
  <c r="BM44" i="2"/>
  <c r="BM40" i="2"/>
  <c r="BM36" i="2"/>
  <c r="BM121" i="2"/>
  <c r="BM87" i="2"/>
  <c r="BM81" i="2"/>
  <c r="BM73" i="2"/>
  <c r="BM71" i="2"/>
  <c r="BM65" i="2"/>
  <c r="BM61" i="2"/>
  <c r="BM55" i="2"/>
  <c r="BM51" i="2"/>
  <c r="BM47" i="2"/>
  <c r="BM43" i="2"/>
  <c r="BM39" i="2"/>
  <c r="BM35" i="2"/>
  <c r="BM28" i="2"/>
  <c r="BM26" i="2"/>
  <c r="BM22" i="2"/>
  <c r="BM18" i="2"/>
  <c r="BM138" i="2"/>
  <c r="BM131" i="2"/>
  <c r="BM103" i="2"/>
  <c r="BM83" i="2"/>
  <c r="BM34" i="2"/>
  <c r="BM32" i="2"/>
  <c r="BM27" i="2"/>
  <c r="BM25" i="2"/>
  <c r="BM21" i="2"/>
  <c r="BM30" i="2"/>
  <c r="BM24" i="2"/>
  <c r="BM20" i="2"/>
  <c r="BM9" i="2"/>
  <c r="BM3" i="2"/>
  <c r="BM95" i="2"/>
  <c r="BM12" i="2"/>
  <c r="BM8" i="2"/>
  <c r="BM4" i="2"/>
  <c r="BM79" i="2"/>
  <c r="BM70" i="2"/>
  <c r="BM58" i="2"/>
  <c r="BM54" i="2"/>
  <c r="BM50" i="2"/>
  <c r="BM46" i="2"/>
  <c r="BM42" i="2"/>
  <c r="BM38" i="2"/>
  <c r="BM31" i="2"/>
  <c r="BM13" i="2"/>
  <c r="BM11" i="2"/>
  <c r="BM6" i="2"/>
  <c r="BM60" i="2"/>
  <c r="BM29" i="2"/>
  <c r="BM10" i="2"/>
  <c r="BM23" i="2"/>
  <c r="BM64" i="2"/>
  <c r="BM15" i="2"/>
  <c r="BM17" i="2"/>
  <c r="BM16" i="2"/>
  <c r="BM14" i="2"/>
  <c r="AJ142" i="2"/>
  <c r="AJ138" i="2"/>
  <c r="AJ131" i="2"/>
  <c r="AJ125" i="2"/>
  <c r="AJ134" i="2"/>
  <c r="AJ130" i="2"/>
  <c r="AJ128" i="2"/>
  <c r="AJ140" i="2"/>
  <c r="AJ136" i="2"/>
  <c r="AJ123" i="2"/>
  <c r="AJ121" i="2"/>
  <c r="AJ111" i="2"/>
  <c r="AJ109" i="2"/>
  <c r="AJ103" i="2"/>
  <c r="AJ120" i="2"/>
  <c r="AJ116" i="2"/>
  <c r="AJ114" i="2"/>
  <c r="AJ108" i="2"/>
  <c r="AJ95" i="2"/>
  <c r="AJ87" i="2"/>
  <c r="AJ83" i="2"/>
  <c r="AJ79" i="2"/>
  <c r="AJ132" i="2"/>
  <c r="AJ118" i="2"/>
  <c r="AJ113" i="2"/>
  <c r="AJ106" i="2"/>
  <c r="AJ104" i="2"/>
  <c r="AJ88" i="2"/>
  <c r="AJ86" i="2"/>
  <c r="AJ124" i="2"/>
  <c r="AJ101" i="2"/>
  <c r="AJ99" i="2"/>
  <c r="AJ98" i="2"/>
  <c r="AJ97" i="2"/>
  <c r="AJ70" i="2"/>
  <c r="AJ64" i="2"/>
  <c r="AJ60" i="2"/>
  <c r="AJ58" i="2"/>
  <c r="AJ54" i="2"/>
  <c r="AJ50" i="2"/>
  <c r="AJ46" i="2"/>
  <c r="AJ42" i="2"/>
  <c r="AJ38" i="2"/>
  <c r="AJ34" i="2"/>
  <c r="AJ81" i="2"/>
  <c r="AJ77" i="2"/>
  <c r="AJ75" i="2"/>
  <c r="AJ69" i="2"/>
  <c r="AJ67" i="2"/>
  <c r="AJ63" i="2"/>
  <c r="AJ59" i="2"/>
  <c r="AJ57" i="2"/>
  <c r="AJ53" i="2"/>
  <c r="AJ49" i="2"/>
  <c r="AJ45" i="2"/>
  <c r="AJ41" i="2"/>
  <c r="AJ37" i="2"/>
  <c r="AJ33" i="2"/>
  <c r="AJ29" i="2"/>
  <c r="AJ23" i="2"/>
  <c r="AJ84" i="2"/>
  <c r="AJ76" i="2"/>
  <c r="AJ35" i="2"/>
  <c r="AJ28" i="2"/>
  <c r="AJ26" i="2"/>
  <c r="AJ22" i="2"/>
  <c r="AJ18" i="2"/>
  <c r="AJ127" i="2"/>
  <c r="AJ93" i="2"/>
  <c r="AJ10" i="2"/>
  <c r="AJ6" i="2"/>
  <c r="AJ72" i="2"/>
  <c r="AJ71" i="2"/>
  <c r="AJ9" i="2"/>
  <c r="AJ3" i="2"/>
  <c r="AJ82" i="2"/>
  <c r="AJ80" i="2"/>
  <c r="AJ56" i="2"/>
  <c r="AJ55" i="2"/>
  <c r="AJ52" i="2"/>
  <c r="AJ51" i="2"/>
  <c r="AJ48" i="2"/>
  <c r="AJ47" i="2"/>
  <c r="AJ44" i="2"/>
  <c r="AJ43" i="2"/>
  <c r="AJ40" i="2"/>
  <c r="AJ39" i="2"/>
  <c r="AJ36" i="2"/>
  <c r="AJ32" i="2"/>
  <c r="AJ12" i="2"/>
  <c r="AJ8" i="2"/>
  <c r="AJ4" i="2"/>
  <c r="AJ91" i="2"/>
  <c r="AJ73" i="2"/>
  <c r="AJ68" i="2"/>
  <c r="AJ66" i="2"/>
  <c r="AJ65" i="2"/>
  <c r="AJ21" i="2"/>
  <c r="AJ20" i="2"/>
  <c r="AJ13" i="2"/>
  <c r="AJ31" i="2"/>
  <c r="AJ30" i="2"/>
  <c r="AJ62" i="2"/>
  <c r="AJ61" i="2"/>
  <c r="AJ25" i="2"/>
  <c r="AJ24" i="2"/>
  <c r="AJ11" i="2"/>
  <c r="AJ27" i="2"/>
  <c r="AJ16" i="2"/>
  <c r="AJ15" i="2"/>
  <c r="AJ17" i="2"/>
  <c r="AJ14" i="2"/>
  <c r="BK142" i="2"/>
  <c r="BK138" i="2"/>
  <c r="BK136" i="2"/>
  <c r="BK132" i="2"/>
  <c r="BK131" i="2"/>
  <c r="BK125" i="2"/>
  <c r="BK118" i="2"/>
  <c r="BK106" i="2"/>
  <c r="BK104" i="2"/>
  <c r="BK134" i="2"/>
  <c r="BK130" i="2"/>
  <c r="BK128" i="2"/>
  <c r="BK127" i="2"/>
  <c r="BK123" i="2"/>
  <c r="BK121" i="2"/>
  <c r="BK111" i="2"/>
  <c r="BK109" i="2"/>
  <c r="BK116" i="2"/>
  <c r="BK114" i="2"/>
  <c r="BK113" i="2"/>
  <c r="BK108" i="2"/>
  <c r="BK98" i="2"/>
  <c r="BK84" i="2"/>
  <c r="BK80" i="2"/>
  <c r="BK95" i="2"/>
  <c r="BK87" i="2"/>
  <c r="BK103" i="2"/>
  <c r="BK83" i="2"/>
  <c r="BK79" i="2"/>
  <c r="BK73" i="2"/>
  <c r="BK71" i="2"/>
  <c r="BK65" i="2"/>
  <c r="BK61" i="2"/>
  <c r="BK55" i="2"/>
  <c r="BK51" i="2"/>
  <c r="BK47" i="2"/>
  <c r="BK43" i="2"/>
  <c r="BK39" i="2"/>
  <c r="BK35" i="2"/>
  <c r="BK31" i="2"/>
  <c r="BK93" i="2"/>
  <c r="BK91" i="2"/>
  <c r="BK88" i="2"/>
  <c r="BK86" i="2"/>
  <c r="BK81" i="2"/>
  <c r="BK70" i="2"/>
  <c r="BK64" i="2"/>
  <c r="BK60" i="2"/>
  <c r="BK58" i="2"/>
  <c r="BK54" i="2"/>
  <c r="BK50" i="2"/>
  <c r="BK46" i="2"/>
  <c r="BK42" i="2"/>
  <c r="BK38" i="2"/>
  <c r="BK120" i="2"/>
  <c r="BK101" i="2"/>
  <c r="BK77" i="2"/>
  <c r="BK76" i="2"/>
  <c r="BK75" i="2"/>
  <c r="BK33" i="2"/>
  <c r="BK30" i="2"/>
  <c r="BK24" i="2"/>
  <c r="BK20" i="2"/>
  <c r="BK124" i="2"/>
  <c r="BK82" i="2"/>
  <c r="BK29" i="2"/>
  <c r="BK23" i="2"/>
  <c r="BK140" i="2"/>
  <c r="BK97" i="2"/>
  <c r="BK72" i="2"/>
  <c r="BK69" i="2"/>
  <c r="BK68" i="2"/>
  <c r="BK67" i="2"/>
  <c r="BK66" i="2"/>
  <c r="BK62" i="2"/>
  <c r="BK34" i="2"/>
  <c r="BK32" i="2"/>
  <c r="BK18" i="2"/>
  <c r="BK13" i="2"/>
  <c r="BK11" i="2"/>
  <c r="BK10" i="2"/>
  <c r="BK6" i="2"/>
  <c r="BK57" i="2"/>
  <c r="BK53" i="2"/>
  <c r="BK49" i="2"/>
  <c r="BK45" i="2"/>
  <c r="BK41" i="2"/>
  <c r="BK37" i="2"/>
  <c r="BK28" i="2"/>
  <c r="BK27" i="2"/>
  <c r="BK26" i="2"/>
  <c r="BK25" i="2"/>
  <c r="BK22" i="2"/>
  <c r="BK21" i="2"/>
  <c r="BK9" i="2"/>
  <c r="BK3" i="2"/>
  <c r="BK99" i="2"/>
  <c r="BK63" i="2"/>
  <c r="BK4" i="2"/>
  <c r="BK59" i="2"/>
  <c r="BK56" i="2"/>
  <c r="BK52" i="2"/>
  <c r="BK48" i="2"/>
  <c r="BK44" i="2"/>
  <c r="BK40" i="2"/>
  <c r="BK36" i="2"/>
  <c r="BK12" i="2"/>
  <c r="BK8" i="2"/>
  <c r="BK17" i="2"/>
  <c r="BK16" i="2"/>
  <c r="BK14" i="2"/>
  <c r="BK15" i="2"/>
  <c r="AE142" i="2"/>
  <c r="AE138" i="2"/>
  <c r="AE136" i="2"/>
  <c r="AE132" i="2"/>
  <c r="AE131" i="2"/>
  <c r="AE124" i="2"/>
  <c r="AE118" i="2"/>
  <c r="AE106" i="2"/>
  <c r="AE104" i="2"/>
  <c r="AE134" i="2"/>
  <c r="AE130" i="2"/>
  <c r="AE128" i="2"/>
  <c r="AE127" i="2"/>
  <c r="AE125" i="2"/>
  <c r="AE123" i="2"/>
  <c r="AE121" i="2"/>
  <c r="AE111" i="2"/>
  <c r="AE109" i="2"/>
  <c r="AE140" i="2"/>
  <c r="AE116" i="2"/>
  <c r="AE114" i="2"/>
  <c r="AE113" i="2"/>
  <c r="AE108" i="2"/>
  <c r="AE98" i="2"/>
  <c r="AE84" i="2"/>
  <c r="AE80" i="2"/>
  <c r="AE95" i="2"/>
  <c r="AE87" i="2"/>
  <c r="AE103" i="2"/>
  <c r="AE83" i="2"/>
  <c r="AE79" i="2"/>
  <c r="AE73" i="2"/>
  <c r="AE71" i="2"/>
  <c r="AE65" i="2"/>
  <c r="AE61" i="2"/>
  <c r="AE55" i="2"/>
  <c r="AE51" i="2"/>
  <c r="AE47" i="2"/>
  <c r="AE43" i="2"/>
  <c r="AE39" i="2"/>
  <c r="AE35" i="2"/>
  <c r="AE93" i="2"/>
  <c r="AE91" i="2"/>
  <c r="AE88" i="2"/>
  <c r="AE86" i="2"/>
  <c r="AE81" i="2"/>
  <c r="AE70" i="2"/>
  <c r="AE64" i="2"/>
  <c r="AE60" i="2"/>
  <c r="AE58" i="2"/>
  <c r="AE54" i="2"/>
  <c r="AE50" i="2"/>
  <c r="AE46" i="2"/>
  <c r="AE42" i="2"/>
  <c r="AE38" i="2"/>
  <c r="AE120" i="2"/>
  <c r="AE101" i="2"/>
  <c r="AE77" i="2"/>
  <c r="AE76" i="2"/>
  <c r="AE75" i="2"/>
  <c r="AE33" i="2"/>
  <c r="AE30" i="2"/>
  <c r="AE24" i="2"/>
  <c r="AE20" i="2"/>
  <c r="AE82" i="2"/>
  <c r="AE29" i="2"/>
  <c r="AE23" i="2"/>
  <c r="AE97" i="2"/>
  <c r="AE72" i="2"/>
  <c r="AE69" i="2"/>
  <c r="AE68" i="2"/>
  <c r="AE67" i="2"/>
  <c r="AE66" i="2"/>
  <c r="AE62" i="2"/>
  <c r="AE34" i="2"/>
  <c r="AE32" i="2"/>
  <c r="AE18" i="2"/>
  <c r="AE13" i="2"/>
  <c r="AE11" i="2"/>
  <c r="AE99" i="2"/>
  <c r="AE10" i="2"/>
  <c r="AE6" i="2"/>
  <c r="AE57" i="2"/>
  <c r="AE53" i="2"/>
  <c r="AE49" i="2"/>
  <c r="AE45" i="2"/>
  <c r="AE41" i="2"/>
  <c r="AE37" i="2"/>
  <c r="AE31" i="2"/>
  <c r="AE28" i="2"/>
  <c r="AE27" i="2"/>
  <c r="AE26" i="2"/>
  <c r="AE25" i="2"/>
  <c r="AE22" i="2"/>
  <c r="AE21" i="2"/>
  <c r="AE9" i="2"/>
  <c r="AE3" i="2"/>
  <c r="AE59" i="2"/>
  <c r="AE56" i="2"/>
  <c r="AE52" i="2"/>
  <c r="AE48" i="2"/>
  <c r="AE44" i="2"/>
  <c r="AE40" i="2"/>
  <c r="AE36" i="2"/>
  <c r="AE4" i="2"/>
  <c r="AE63" i="2"/>
  <c r="AE12" i="2"/>
  <c r="AE8" i="2"/>
  <c r="AE17" i="2"/>
  <c r="AE14" i="2"/>
  <c r="AE16" i="2"/>
  <c r="AE15" i="2"/>
  <c r="BE142" i="2"/>
  <c r="BE138" i="2"/>
  <c r="BE134" i="2"/>
  <c r="BE130" i="2"/>
  <c r="BE128" i="2"/>
  <c r="BE124" i="2"/>
  <c r="BE127" i="2"/>
  <c r="BE140" i="2"/>
  <c r="BE120" i="2"/>
  <c r="BE116" i="2"/>
  <c r="BE114" i="2"/>
  <c r="BE108" i="2"/>
  <c r="BE136" i="2"/>
  <c r="BE113" i="2"/>
  <c r="BE132" i="2"/>
  <c r="BE131" i="2"/>
  <c r="BE103" i="2"/>
  <c r="BE88" i="2"/>
  <c r="BE86" i="2"/>
  <c r="BE82" i="2"/>
  <c r="BE125" i="2"/>
  <c r="BE111" i="2"/>
  <c r="BE109" i="2"/>
  <c r="BE101" i="2"/>
  <c r="BE99" i="2"/>
  <c r="BE97" i="2"/>
  <c r="BE93" i="2"/>
  <c r="BE91" i="2"/>
  <c r="BE77" i="2"/>
  <c r="BE75" i="2"/>
  <c r="BE69" i="2"/>
  <c r="BE67" i="2"/>
  <c r="BE63" i="2"/>
  <c r="BE59" i="2"/>
  <c r="BE57" i="2"/>
  <c r="BE53" i="2"/>
  <c r="BE49" i="2"/>
  <c r="BE45" i="2"/>
  <c r="BE41" i="2"/>
  <c r="BE37" i="2"/>
  <c r="BE33" i="2"/>
  <c r="BE121" i="2"/>
  <c r="BE98" i="2"/>
  <c r="BE83" i="2"/>
  <c r="BE81" i="2"/>
  <c r="BE79" i="2"/>
  <c r="BE76" i="2"/>
  <c r="BE72" i="2"/>
  <c r="BE68" i="2"/>
  <c r="BE66" i="2"/>
  <c r="BE62" i="2"/>
  <c r="BE56" i="2"/>
  <c r="BE52" i="2"/>
  <c r="BE48" i="2"/>
  <c r="BE44" i="2"/>
  <c r="BE40" i="2"/>
  <c r="BE36" i="2"/>
  <c r="BE104" i="2"/>
  <c r="BE73" i="2"/>
  <c r="BE71" i="2"/>
  <c r="BE65" i="2"/>
  <c r="BE61" i="2"/>
  <c r="BE55" i="2"/>
  <c r="BE51" i="2"/>
  <c r="BE47" i="2"/>
  <c r="BE43" i="2"/>
  <c r="BE39" i="2"/>
  <c r="BE35" i="2"/>
  <c r="BE28" i="2"/>
  <c r="BE26" i="2"/>
  <c r="BE22" i="2"/>
  <c r="BE18" i="2"/>
  <c r="BE123" i="2"/>
  <c r="BE106" i="2"/>
  <c r="BE95" i="2"/>
  <c r="BE84" i="2"/>
  <c r="BE31" i="2"/>
  <c r="BE27" i="2"/>
  <c r="BE25" i="2"/>
  <c r="BE21" i="2"/>
  <c r="BE87" i="2"/>
  <c r="BE80" i="2"/>
  <c r="BE58" i="2"/>
  <c r="BE54" i="2"/>
  <c r="BE50" i="2"/>
  <c r="BE46" i="2"/>
  <c r="BE42" i="2"/>
  <c r="BE38" i="2"/>
  <c r="BE30" i="2"/>
  <c r="BE24" i="2"/>
  <c r="BE20" i="2"/>
  <c r="BE9" i="2"/>
  <c r="BE3" i="2"/>
  <c r="BE118" i="2"/>
  <c r="BE64" i="2"/>
  <c r="BE60" i="2"/>
  <c r="BE12" i="2"/>
  <c r="BE8" i="2"/>
  <c r="BE4" i="2"/>
  <c r="BE32" i="2"/>
  <c r="BE13" i="2"/>
  <c r="BE11" i="2"/>
  <c r="BE23" i="2"/>
  <c r="BE10" i="2"/>
  <c r="BE70" i="2"/>
  <c r="BE34" i="2"/>
  <c r="BE6" i="2"/>
  <c r="BE29" i="2"/>
  <c r="BE15" i="2"/>
  <c r="BE17" i="2"/>
  <c r="BE14" i="2"/>
  <c r="BE16" i="2"/>
  <c r="AT142" i="2"/>
  <c r="AT140" i="2"/>
  <c r="AT138" i="2"/>
  <c r="AT127" i="2"/>
  <c r="AT136" i="2"/>
  <c r="AT132" i="2"/>
  <c r="AT113" i="2"/>
  <c r="AT124" i="2"/>
  <c r="AT118" i="2"/>
  <c r="AT106" i="2"/>
  <c r="AT104" i="2"/>
  <c r="AT128" i="2"/>
  <c r="AT123" i="2"/>
  <c r="AT121" i="2"/>
  <c r="AT103" i="2"/>
  <c r="AT101" i="2"/>
  <c r="AT99" i="2"/>
  <c r="AT97" i="2"/>
  <c r="AT93" i="2"/>
  <c r="AT91" i="2"/>
  <c r="AT81" i="2"/>
  <c r="AT134" i="2"/>
  <c r="AT125" i="2"/>
  <c r="AT116" i="2"/>
  <c r="AT114" i="2"/>
  <c r="AT108" i="2"/>
  <c r="AT98" i="2"/>
  <c r="AT120" i="2"/>
  <c r="AT76" i="2"/>
  <c r="AT72" i="2"/>
  <c r="AT68" i="2"/>
  <c r="AT66" i="2"/>
  <c r="AT62" i="2"/>
  <c r="AT56" i="2"/>
  <c r="AT52" i="2"/>
  <c r="AT48" i="2"/>
  <c r="AT44" i="2"/>
  <c r="AT40" i="2"/>
  <c r="AT36" i="2"/>
  <c r="AT32" i="2"/>
  <c r="AT131" i="2"/>
  <c r="AT130" i="2"/>
  <c r="AT111" i="2"/>
  <c r="AT83" i="2"/>
  <c r="AT79" i="2"/>
  <c r="AT73" i="2"/>
  <c r="AT71" i="2"/>
  <c r="AT65" i="2"/>
  <c r="AT61" i="2"/>
  <c r="AT55" i="2"/>
  <c r="AT51" i="2"/>
  <c r="AT47" i="2"/>
  <c r="AT43" i="2"/>
  <c r="AT39" i="2"/>
  <c r="AT35" i="2"/>
  <c r="AT109" i="2"/>
  <c r="AT95" i="2"/>
  <c r="AT82" i="2"/>
  <c r="AT70" i="2"/>
  <c r="AT64" i="2"/>
  <c r="AT60" i="2"/>
  <c r="AT58" i="2"/>
  <c r="AT54" i="2"/>
  <c r="AT50" i="2"/>
  <c r="AT46" i="2"/>
  <c r="AT42" i="2"/>
  <c r="AT38" i="2"/>
  <c r="AT31" i="2"/>
  <c r="AT27" i="2"/>
  <c r="AT25" i="2"/>
  <c r="AT21" i="2"/>
  <c r="AT87" i="2"/>
  <c r="AT86" i="2"/>
  <c r="AT84" i="2"/>
  <c r="AT77" i="2"/>
  <c r="AT75" i="2"/>
  <c r="AT33" i="2"/>
  <c r="AT30" i="2"/>
  <c r="AT24" i="2"/>
  <c r="AT20" i="2"/>
  <c r="AT88" i="2"/>
  <c r="AT67" i="2"/>
  <c r="AT63" i="2"/>
  <c r="AT59" i="2"/>
  <c r="AT29" i="2"/>
  <c r="AT23" i="2"/>
  <c r="AT12" i="2"/>
  <c r="AT8" i="2"/>
  <c r="AT4" i="2"/>
  <c r="AT80" i="2"/>
  <c r="AT69" i="2"/>
  <c r="AT18" i="2"/>
  <c r="AT13" i="2"/>
  <c r="AT11" i="2"/>
  <c r="AT10" i="2"/>
  <c r="AT6" i="2"/>
  <c r="AT26" i="2"/>
  <c r="AT28" i="2"/>
  <c r="AT22" i="2"/>
  <c r="AT34" i="2"/>
  <c r="AT3" i="2"/>
  <c r="AT9" i="2"/>
  <c r="AT45" i="2"/>
  <c r="AT37" i="2"/>
  <c r="AT57" i="2"/>
  <c r="AT49" i="2"/>
  <c r="AT41" i="2"/>
  <c r="AT53" i="2"/>
  <c r="AT14" i="2"/>
  <c r="AT17" i="2"/>
  <c r="AT15" i="2"/>
  <c r="AT16" i="2"/>
  <c r="U142" i="2"/>
  <c r="U134" i="2"/>
  <c r="U130" i="2"/>
  <c r="U128" i="2"/>
  <c r="U140" i="2"/>
  <c r="U127" i="2"/>
  <c r="U138" i="2"/>
  <c r="U131" i="2"/>
  <c r="U120" i="2"/>
  <c r="U116" i="2"/>
  <c r="U114" i="2"/>
  <c r="U108" i="2"/>
  <c r="U132" i="2"/>
  <c r="U125" i="2"/>
  <c r="U113" i="2"/>
  <c r="U118" i="2"/>
  <c r="U106" i="2"/>
  <c r="U88" i="2"/>
  <c r="U86" i="2"/>
  <c r="U82" i="2"/>
  <c r="U123" i="2"/>
  <c r="U121" i="2"/>
  <c r="U104" i="2"/>
  <c r="U101" i="2"/>
  <c r="U99" i="2"/>
  <c r="U97" i="2"/>
  <c r="U93" i="2"/>
  <c r="U91" i="2"/>
  <c r="U111" i="2"/>
  <c r="U103" i="2"/>
  <c r="U95" i="2"/>
  <c r="U87" i="2"/>
  <c r="U83" i="2"/>
  <c r="U81" i="2"/>
  <c r="U79" i="2"/>
  <c r="U77" i="2"/>
  <c r="U75" i="2"/>
  <c r="U69" i="2"/>
  <c r="U67" i="2"/>
  <c r="U63" i="2"/>
  <c r="U59" i="2"/>
  <c r="U57" i="2"/>
  <c r="U53" i="2"/>
  <c r="U49" i="2"/>
  <c r="U45" i="2"/>
  <c r="U41" i="2"/>
  <c r="U37" i="2"/>
  <c r="U33" i="2"/>
  <c r="U109" i="2"/>
  <c r="U76" i="2"/>
  <c r="U72" i="2"/>
  <c r="U68" i="2"/>
  <c r="U66" i="2"/>
  <c r="U62" i="2"/>
  <c r="U56" i="2"/>
  <c r="U52" i="2"/>
  <c r="U48" i="2"/>
  <c r="U44" i="2"/>
  <c r="U40" i="2"/>
  <c r="U36" i="2"/>
  <c r="U80" i="2"/>
  <c r="U35" i="2"/>
  <c r="U28" i="2"/>
  <c r="U26" i="2"/>
  <c r="U22" i="2"/>
  <c r="U18" i="2"/>
  <c r="U70" i="2"/>
  <c r="U64" i="2"/>
  <c r="U60" i="2"/>
  <c r="U58" i="2"/>
  <c r="U54" i="2"/>
  <c r="U50" i="2"/>
  <c r="U46" i="2"/>
  <c r="U42" i="2"/>
  <c r="U38" i="2"/>
  <c r="U31" i="2"/>
  <c r="U27" i="2"/>
  <c r="U25" i="2"/>
  <c r="U21" i="2"/>
  <c r="U124" i="2"/>
  <c r="U98" i="2"/>
  <c r="U84" i="2"/>
  <c r="U73" i="2"/>
  <c r="U71" i="2"/>
  <c r="U34" i="2"/>
  <c r="U9" i="2"/>
  <c r="U3" i="2"/>
  <c r="U55" i="2"/>
  <c r="U51" i="2"/>
  <c r="U47" i="2"/>
  <c r="U43" i="2"/>
  <c r="U39" i="2"/>
  <c r="U29" i="2"/>
  <c r="U23" i="2"/>
  <c r="U12" i="2"/>
  <c r="U8" i="2"/>
  <c r="U4" i="2"/>
  <c r="U136" i="2"/>
  <c r="U65" i="2"/>
  <c r="U61" i="2"/>
  <c r="U30" i="2"/>
  <c r="U24" i="2"/>
  <c r="U20" i="2"/>
  <c r="U13" i="2"/>
  <c r="U11" i="2"/>
  <c r="U10" i="2"/>
  <c r="U32" i="2"/>
  <c r="U6" i="2"/>
  <c r="U14" i="2"/>
  <c r="U17" i="2"/>
  <c r="U16" i="2"/>
  <c r="U15" i="2"/>
  <c r="AC134" i="2"/>
  <c r="AC130" i="2"/>
  <c r="AC128" i="2"/>
  <c r="AC138" i="2"/>
  <c r="AC127" i="2"/>
  <c r="AC131" i="2"/>
  <c r="AC120" i="2"/>
  <c r="AC116" i="2"/>
  <c r="AC114" i="2"/>
  <c r="AC108" i="2"/>
  <c r="AC142" i="2"/>
  <c r="AC132" i="2"/>
  <c r="AC113" i="2"/>
  <c r="AC125" i="2"/>
  <c r="AC118" i="2"/>
  <c r="AC106" i="2"/>
  <c r="AC104" i="2"/>
  <c r="AC88" i="2"/>
  <c r="AC86" i="2"/>
  <c r="AC82" i="2"/>
  <c r="AC140" i="2"/>
  <c r="AC136" i="2"/>
  <c r="AC123" i="2"/>
  <c r="AC121" i="2"/>
  <c r="AC103" i="2"/>
  <c r="AC101" i="2"/>
  <c r="AC99" i="2"/>
  <c r="AC97" i="2"/>
  <c r="AC93" i="2"/>
  <c r="AC91" i="2"/>
  <c r="AC95" i="2"/>
  <c r="AC87" i="2"/>
  <c r="AC84" i="2"/>
  <c r="AC80" i="2"/>
  <c r="AC77" i="2"/>
  <c r="AC75" i="2"/>
  <c r="AC69" i="2"/>
  <c r="AC67" i="2"/>
  <c r="AC63" i="2"/>
  <c r="AC59" i="2"/>
  <c r="AC57" i="2"/>
  <c r="AC53" i="2"/>
  <c r="AC49" i="2"/>
  <c r="AC45" i="2"/>
  <c r="AC41" i="2"/>
  <c r="AC37" i="2"/>
  <c r="AC33" i="2"/>
  <c r="AC124" i="2"/>
  <c r="AC76" i="2"/>
  <c r="AC72" i="2"/>
  <c r="AC68" i="2"/>
  <c r="AC66" i="2"/>
  <c r="AC62" i="2"/>
  <c r="AC56" i="2"/>
  <c r="AC52" i="2"/>
  <c r="AC48" i="2"/>
  <c r="AC44" i="2"/>
  <c r="AC40" i="2"/>
  <c r="AC36" i="2"/>
  <c r="AC98" i="2"/>
  <c r="AC79" i="2"/>
  <c r="AC34" i="2"/>
  <c r="AC32" i="2"/>
  <c r="AC28" i="2"/>
  <c r="AC26" i="2"/>
  <c r="AC22" i="2"/>
  <c r="AC18" i="2"/>
  <c r="AC81" i="2"/>
  <c r="AC70" i="2"/>
  <c r="AC64" i="2"/>
  <c r="AC60" i="2"/>
  <c r="AC58" i="2"/>
  <c r="AC54" i="2"/>
  <c r="AC50" i="2"/>
  <c r="AC46" i="2"/>
  <c r="AC42" i="2"/>
  <c r="AC38" i="2"/>
  <c r="AC31" i="2"/>
  <c r="AC27" i="2"/>
  <c r="AC25" i="2"/>
  <c r="AC21" i="2"/>
  <c r="AC83" i="2"/>
  <c r="AC73" i="2"/>
  <c r="AC71" i="2"/>
  <c r="AC109" i="2"/>
  <c r="AC65" i="2"/>
  <c r="AC61" i="2"/>
  <c r="AC9" i="2"/>
  <c r="AC3" i="2"/>
  <c r="AC111" i="2"/>
  <c r="AC35" i="2"/>
  <c r="AC29" i="2"/>
  <c r="AC23" i="2"/>
  <c r="AC12" i="2"/>
  <c r="AC8" i="2"/>
  <c r="AC4" i="2"/>
  <c r="AC30" i="2"/>
  <c r="AC24" i="2"/>
  <c r="AC20" i="2"/>
  <c r="AC13" i="2"/>
  <c r="AC11" i="2"/>
  <c r="AC10" i="2"/>
  <c r="AC6" i="2"/>
  <c r="AC55" i="2"/>
  <c r="AC51" i="2"/>
  <c r="AC47" i="2"/>
  <c r="AC43" i="2"/>
  <c r="AC39" i="2"/>
  <c r="AC15" i="2"/>
  <c r="AC14" i="2"/>
  <c r="AC17" i="2"/>
  <c r="AC16" i="2"/>
  <c r="AV131" i="2"/>
  <c r="AV125" i="2"/>
  <c r="AV142" i="2"/>
  <c r="AV140" i="2"/>
  <c r="AV134" i="2"/>
  <c r="AV130" i="2"/>
  <c r="AV128" i="2"/>
  <c r="AV132" i="2"/>
  <c r="AV127" i="2"/>
  <c r="AV123" i="2"/>
  <c r="AV121" i="2"/>
  <c r="AV111" i="2"/>
  <c r="AV109" i="2"/>
  <c r="AV103" i="2"/>
  <c r="AV120" i="2"/>
  <c r="AV116" i="2"/>
  <c r="AV114" i="2"/>
  <c r="AV108" i="2"/>
  <c r="AV136" i="2"/>
  <c r="AV95" i="2"/>
  <c r="AV87" i="2"/>
  <c r="AV83" i="2"/>
  <c r="AV79" i="2"/>
  <c r="AV138" i="2"/>
  <c r="AV124" i="2"/>
  <c r="AV88" i="2"/>
  <c r="AV86" i="2"/>
  <c r="AV93" i="2"/>
  <c r="AV91" i="2"/>
  <c r="AV81" i="2"/>
  <c r="AV70" i="2"/>
  <c r="AV64" i="2"/>
  <c r="AV60" i="2"/>
  <c r="AV58" i="2"/>
  <c r="AV54" i="2"/>
  <c r="AV50" i="2"/>
  <c r="AV46" i="2"/>
  <c r="AV42" i="2"/>
  <c r="AV38" i="2"/>
  <c r="AV34" i="2"/>
  <c r="AV104" i="2"/>
  <c r="AV82" i="2"/>
  <c r="AV77" i="2"/>
  <c r="AV75" i="2"/>
  <c r="AV69" i="2"/>
  <c r="AV67" i="2"/>
  <c r="AV63" i="2"/>
  <c r="AV59" i="2"/>
  <c r="AV57" i="2"/>
  <c r="AV53" i="2"/>
  <c r="AV49" i="2"/>
  <c r="AV45" i="2"/>
  <c r="AV41" i="2"/>
  <c r="AV37" i="2"/>
  <c r="AV118" i="2"/>
  <c r="AV84" i="2"/>
  <c r="AV29" i="2"/>
  <c r="AV23" i="2"/>
  <c r="AV113" i="2"/>
  <c r="AV97" i="2"/>
  <c r="AV73" i="2"/>
  <c r="AV72" i="2"/>
  <c r="AV71" i="2"/>
  <c r="AV68" i="2"/>
  <c r="AV66" i="2"/>
  <c r="AV65" i="2"/>
  <c r="AV62" i="2"/>
  <c r="AV61" i="2"/>
  <c r="AV56" i="2"/>
  <c r="AV55" i="2"/>
  <c r="AV52" i="2"/>
  <c r="AV51" i="2"/>
  <c r="AV48" i="2"/>
  <c r="AV47" i="2"/>
  <c r="AV44" i="2"/>
  <c r="AV43" i="2"/>
  <c r="AV40" i="2"/>
  <c r="AV39" i="2"/>
  <c r="AV36" i="2"/>
  <c r="AV35" i="2"/>
  <c r="AV28" i="2"/>
  <c r="AV26" i="2"/>
  <c r="AV22" i="2"/>
  <c r="AV18" i="2"/>
  <c r="AV106" i="2"/>
  <c r="AV99" i="2"/>
  <c r="AV80" i="2"/>
  <c r="AV10" i="2"/>
  <c r="AV6" i="2"/>
  <c r="AV101" i="2"/>
  <c r="AV98" i="2"/>
  <c r="AV33" i="2"/>
  <c r="AV32" i="2"/>
  <c r="AV31" i="2"/>
  <c r="AV30" i="2"/>
  <c r="AV27" i="2"/>
  <c r="AV25" i="2"/>
  <c r="AV24" i="2"/>
  <c r="AV21" i="2"/>
  <c r="AV20" i="2"/>
  <c r="AV9" i="2"/>
  <c r="AV3" i="2"/>
  <c r="AV76" i="2"/>
  <c r="AV12" i="2"/>
  <c r="AV8" i="2"/>
  <c r="AV4" i="2"/>
  <c r="AV13" i="2"/>
  <c r="AV11" i="2"/>
  <c r="AV16" i="2"/>
  <c r="AV15" i="2"/>
  <c r="AV17" i="2"/>
  <c r="AV14" i="2"/>
  <c r="P131" i="2"/>
  <c r="P125" i="2"/>
  <c r="P140" i="2"/>
  <c r="P134" i="2"/>
  <c r="P130" i="2"/>
  <c r="P128" i="2"/>
  <c r="P132" i="2"/>
  <c r="P127" i="2"/>
  <c r="P123" i="2"/>
  <c r="P121" i="2"/>
  <c r="P111" i="2"/>
  <c r="P109" i="2"/>
  <c r="P103" i="2"/>
  <c r="P142" i="2"/>
  <c r="P120" i="2"/>
  <c r="P116" i="2"/>
  <c r="P114" i="2"/>
  <c r="P108" i="2"/>
  <c r="P136" i="2"/>
  <c r="P95" i="2"/>
  <c r="P87" i="2"/>
  <c r="P83" i="2"/>
  <c r="P79" i="2"/>
  <c r="P124" i="2"/>
  <c r="P104" i="2"/>
  <c r="P88" i="2"/>
  <c r="P86" i="2"/>
  <c r="P93" i="2"/>
  <c r="P91" i="2"/>
  <c r="P81" i="2"/>
  <c r="P70" i="2"/>
  <c r="P64" i="2"/>
  <c r="P60" i="2"/>
  <c r="P58" i="2"/>
  <c r="P54" i="2"/>
  <c r="P50" i="2"/>
  <c r="P46" i="2"/>
  <c r="P42" i="2"/>
  <c r="P38" i="2"/>
  <c r="P34" i="2"/>
  <c r="P82" i="2"/>
  <c r="P77" i="2"/>
  <c r="P75" i="2"/>
  <c r="P69" i="2"/>
  <c r="P67" i="2"/>
  <c r="P63" i="2"/>
  <c r="P59" i="2"/>
  <c r="P57" i="2"/>
  <c r="P53" i="2"/>
  <c r="P49" i="2"/>
  <c r="P45" i="2"/>
  <c r="P41" i="2"/>
  <c r="P37" i="2"/>
  <c r="P138" i="2"/>
  <c r="P118" i="2"/>
  <c r="P84" i="2"/>
  <c r="P35" i="2"/>
  <c r="P29" i="2"/>
  <c r="P23" i="2"/>
  <c r="P113" i="2"/>
  <c r="P97" i="2"/>
  <c r="P73" i="2"/>
  <c r="P72" i="2"/>
  <c r="P71" i="2"/>
  <c r="P68" i="2"/>
  <c r="P66" i="2"/>
  <c r="P65" i="2"/>
  <c r="P62" i="2"/>
  <c r="P61" i="2"/>
  <c r="P56" i="2"/>
  <c r="P55" i="2"/>
  <c r="P52" i="2"/>
  <c r="P51" i="2"/>
  <c r="P48" i="2"/>
  <c r="P47" i="2"/>
  <c r="P44" i="2"/>
  <c r="P43" i="2"/>
  <c r="P40" i="2"/>
  <c r="P39" i="2"/>
  <c r="P36" i="2"/>
  <c r="P28" i="2"/>
  <c r="P26" i="2"/>
  <c r="P22" i="2"/>
  <c r="P106" i="2"/>
  <c r="P99" i="2"/>
  <c r="P80" i="2"/>
  <c r="P10" i="2"/>
  <c r="P6" i="2"/>
  <c r="P33" i="2"/>
  <c r="P32" i="2"/>
  <c r="P31" i="2"/>
  <c r="P30" i="2"/>
  <c r="P27" i="2"/>
  <c r="P25" i="2"/>
  <c r="P24" i="2"/>
  <c r="P21" i="2"/>
  <c r="P20" i="2"/>
  <c r="P9" i="2"/>
  <c r="P3" i="2"/>
  <c r="P76" i="2"/>
  <c r="P18" i="2"/>
  <c r="P12" i="2"/>
  <c r="P8" i="2"/>
  <c r="P4" i="2"/>
  <c r="P101" i="2"/>
  <c r="P98" i="2"/>
  <c r="P13" i="2"/>
  <c r="P11" i="2"/>
  <c r="P15" i="2"/>
  <c r="P14" i="2"/>
  <c r="P17" i="2"/>
  <c r="P16" i="2"/>
  <c r="AQ142" i="2"/>
  <c r="AQ136" i="2"/>
  <c r="AQ132" i="2"/>
  <c r="AQ140" i="2"/>
  <c r="AQ131" i="2"/>
  <c r="AQ138" i="2"/>
  <c r="AQ125" i="2"/>
  <c r="AQ124" i="2"/>
  <c r="AQ118" i="2"/>
  <c r="AQ106" i="2"/>
  <c r="AQ104" i="2"/>
  <c r="AQ123" i="2"/>
  <c r="AQ121" i="2"/>
  <c r="AQ111" i="2"/>
  <c r="AQ109" i="2"/>
  <c r="AQ130" i="2"/>
  <c r="AQ120" i="2"/>
  <c r="AQ98" i="2"/>
  <c r="AQ84" i="2"/>
  <c r="AQ80" i="2"/>
  <c r="AQ128" i="2"/>
  <c r="AQ127" i="2"/>
  <c r="AQ95" i="2"/>
  <c r="AQ87" i="2"/>
  <c r="AQ81" i="2"/>
  <c r="AQ73" i="2"/>
  <c r="AQ71" i="2"/>
  <c r="AQ65" i="2"/>
  <c r="AQ61" i="2"/>
  <c r="AQ55" i="2"/>
  <c r="AQ51" i="2"/>
  <c r="AQ47" i="2"/>
  <c r="AQ43" i="2"/>
  <c r="AQ39" i="2"/>
  <c r="AQ35" i="2"/>
  <c r="AQ134" i="2"/>
  <c r="AQ101" i="2"/>
  <c r="AQ99" i="2"/>
  <c r="AQ97" i="2"/>
  <c r="AQ82" i="2"/>
  <c r="AQ70" i="2"/>
  <c r="AQ64" i="2"/>
  <c r="AQ60" i="2"/>
  <c r="AQ58" i="2"/>
  <c r="AQ54" i="2"/>
  <c r="AQ50" i="2"/>
  <c r="AQ46" i="2"/>
  <c r="AQ42" i="2"/>
  <c r="AQ38" i="2"/>
  <c r="AQ72" i="2"/>
  <c r="AQ69" i="2"/>
  <c r="AQ68" i="2"/>
  <c r="AQ67" i="2"/>
  <c r="AQ66" i="2"/>
  <c r="AQ63" i="2"/>
  <c r="AQ62" i="2"/>
  <c r="AQ59" i="2"/>
  <c r="AQ57" i="2"/>
  <c r="AQ56" i="2"/>
  <c r="AQ53" i="2"/>
  <c r="AQ52" i="2"/>
  <c r="AQ49" i="2"/>
  <c r="AQ48" i="2"/>
  <c r="AQ45" i="2"/>
  <c r="AQ44" i="2"/>
  <c r="AQ41" i="2"/>
  <c r="AQ40" i="2"/>
  <c r="AQ37" i="2"/>
  <c r="AQ36" i="2"/>
  <c r="AQ30" i="2"/>
  <c r="AQ24" i="2"/>
  <c r="AQ20" i="2"/>
  <c r="AQ116" i="2"/>
  <c r="AQ114" i="2"/>
  <c r="AQ108" i="2"/>
  <c r="AQ103" i="2"/>
  <c r="AQ93" i="2"/>
  <c r="AQ83" i="2"/>
  <c r="AQ34" i="2"/>
  <c r="AQ29" i="2"/>
  <c r="AQ23" i="2"/>
  <c r="AQ113" i="2"/>
  <c r="AQ91" i="2"/>
  <c r="AQ86" i="2"/>
  <c r="AQ77" i="2"/>
  <c r="AQ76" i="2"/>
  <c r="AQ75" i="2"/>
  <c r="AQ79" i="2"/>
  <c r="AQ31" i="2"/>
  <c r="AQ28" i="2"/>
  <c r="AQ27" i="2"/>
  <c r="AQ26" i="2"/>
  <c r="AQ25" i="2"/>
  <c r="AQ22" i="2"/>
  <c r="AQ21" i="2"/>
  <c r="AQ13" i="2"/>
  <c r="AQ11" i="2"/>
  <c r="AQ88" i="2"/>
  <c r="AQ10" i="2"/>
  <c r="AQ6" i="2"/>
  <c r="AQ18" i="2"/>
  <c r="AQ9" i="2"/>
  <c r="AQ3" i="2"/>
  <c r="AQ12" i="2"/>
  <c r="AQ8" i="2"/>
  <c r="AQ32" i="2"/>
  <c r="AQ33" i="2"/>
  <c r="AQ4" i="2"/>
  <c r="AQ14" i="2"/>
  <c r="AQ16" i="2"/>
  <c r="AQ17" i="2"/>
  <c r="AQ15" i="2"/>
  <c r="K142" i="2"/>
  <c r="K136" i="2"/>
  <c r="K132" i="2"/>
  <c r="K140" i="2"/>
  <c r="K131" i="2"/>
  <c r="K138" i="2"/>
  <c r="K125" i="2"/>
  <c r="K124" i="2"/>
  <c r="K118" i="2"/>
  <c r="K106" i="2"/>
  <c r="K104" i="2"/>
  <c r="K123" i="2"/>
  <c r="K121" i="2"/>
  <c r="K111" i="2"/>
  <c r="K109" i="2"/>
  <c r="K130" i="2"/>
  <c r="K120" i="2"/>
  <c r="K98" i="2"/>
  <c r="K84" i="2"/>
  <c r="K80" i="2"/>
  <c r="K128" i="2"/>
  <c r="K127" i="2"/>
  <c r="K95" i="2"/>
  <c r="K87" i="2"/>
  <c r="K81" i="2"/>
  <c r="K73" i="2"/>
  <c r="K71" i="2"/>
  <c r="K65" i="2"/>
  <c r="K61" i="2"/>
  <c r="K55" i="2"/>
  <c r="K51" i="2"/>
  <c r="K47" i="2"/>
  <c r="K43" i="2"/>
  <c r="K39" i="2"/>
  <c r="K35" i="2"/>
  <c r="K134" i="2"/>
  <c r="K101" i="2"/>
  <c r="K99" i="2"/>
  <c r="K97" i="2"/>
  <c r="K82" i="2"/>
  <c r="K70" i="2"/>
  <c r="K64" i="2"/>
  <c r="K60" i="2"/>
  <c r="K58" i="2"/>
  <c r="K54" i="2"/>
  <c r="K50" i="2"/>
  <c r="K46" i="2"/>
  <c r="K42" i="2"/>
  <c r="K38" i="2"/>
  <c r="K72" i="2"/>
  <c r="K69" i="2"/>
  <c r="K68" i="2"/>
  <c r="K67" i="2"/>
  <c r="K66" i="2"/>
  <c r="K63" i="2"/>
  <c r="K62" i="2"/>
  <c r="K59" i="2"/>
  <c r="K57" i="2"/>
  <c r="K56" i="2"/>
  <c r="K53" i="2"/>
  <c r="K52" i="2"/>
  <c r="K49" i="2"/>
  <c r="K48" i="2"/>
  <c r="K45" i="2"/>
  <c r="K44" i="2"/>
  <c r="K41" i="2"/>
  <c r="K40" i="2"/>
  <c r="K37" i="2"/>
  <c r="K36" i="2"/>
  <c r="K30" i="2"/>
  <c r="K24" i="2"/>
  <c r="K20" i="2"/>
  <c r="K116" i="2"/>
  <c r="K114" i="2"/>
  <c r="K108" i="2"/>
  <c r="K93" i="2"/>
  <c r="K83" i="2"/>
  <c r="K34" i="2"/>
  <c r="K29" i="2"/>
  <c r="K23" i="2"/>
  <c r="K113" i="2"/>
  <c r="K91" i="2"/>
  <c r="K86" i="2"/>
  <c r="K77" i="2"/>
  <c r="K76" i="2"/>
  <c r="K75" i="2"/>
  <c r="K31" i="2"/>
  <c r="K28" i="2"/>
  <c r="K27" i="2"/>
  <c r="K26" i="2"/>
  <c r="K25" i="2"/>
  <c r="K22" i="2"/>
  <c r="K21" i="2"/>
  <c r="K13" i="2"/>
  <c r="K11" i="2"/>
  <c r="K103" i="2"/>
  <c r="K10" i="2"/>
  <c r="K6" i="2"/>
  <c r="K18" i="2"/>
  <c r="K9" i="2"/>
  <c r="K88" i="2"/>
  <c r="K32" i="2"/>
  <c r="K12" i="2"/>
  <c r="K8" i="2"/>
  <c r="K3" i="2"/>
  <c r="K33" i="2"/>
  <c r="K79" i="2"/>
  <c r="K4" i="2"/>
  <c r="K17" i="2"/>
  <c r="K16" i="2"/>
  <c r="K14" i="2"/>
  <c r="K15" i="2"/>
  <c r="BB140" i="2"/>
  <c r="BB138" i="2"/>
  <c r="BB127" i="2"/>
  <c r="BB142" i="2"/>
  <c r="BB136" i="2"/>
  <c r="BB132" i="2"/>
  <c r="BB125" i="2"/>
  <c r="BB113" i="2"/>
  <c r="BB118" i="2"/>
  <c r="BB106" i="2"/>
  <c r="BB104" i="2"/>
  <c r="BB123" i="2"/>
  <c r="BB121" i="2"/>
  <c r="BB101" i="2"/>
  <c r="BB99" i="2"/>
  <c r="BB97" i="2"/>
  <c r="BB93" i="2"/>
  <c r="BB91" i="2"/>
  <c r="BB81" i="2"/>
  <c r="BB131" i="2"/>
  <c r="BB130" i="2"/>
  <c r="BB116" i="2"/>
  <c r="BB114" i="2"/>
  <c r="BB108" i="2"/>
  <c r="BB98" i="2"/>
  <c r="BB134" i="2"/>
  <c r="BB109" i="2"/>
  <c r="BB76" i="2"/>
  <c r="BB72" i="2"/>
  <c r="BB68" i="2"/>
  <c r="BB66" i="2"/>
  <c r="BB62" i="2"/>
  <c r="BB56" i="2"/>
  <c r="BB52" i="2"/>
  <c r="BB48" i="2"/>
  <c r="BB44" i="2"/>
  <c r="BB40" i="2"/>
  <c r="BB36" i="2"/>
  <c r="BB32" i="2"/>
  <c r="BB128" i="2"/>
  <c r="BB84" i="2"/>
  <c r="BB82" i="2"/>
  <c r="BB80" i="2"/>
  <c r="BB73" i="2"/>
  <c r="BB71" i="2"/>
  <c r="BB65" i="2"/>
  <c r="BB61" i="2"/>
  <c r="BB55" i="2"/>
  <c r="BB51" i="2"/>
  <c r="BB47" i="2"/>
  <c r="BB43" i="2"/>
  <c r="BB39" i="2"/>
  <c r="BB35" i="2"/>
  <c r="BB111" i="2"/>
  <c r="BB88" i="2"/>
  <c r="BB70" i="2"/>
  <c r="BB64" i="2"/>
  <c r="BB60" i="2"/>
  <c r="BB58" i="2"/>
  <c r="BB54" i="2"/>
  <c r="BB50" i="2"/>
  <c r="BB46" i="2"/>
  <c r="BB42" i="2"/>
  <c r="BB38" i="2"/>
  <c r="BB31" i="2"/>
  <c r="BB27" i="2"/>
  <c r="BB25" i="2"/>
  <c r="BB21" i="2"/>
  <c r="BB120" i="2"/>
  <c r="BB83" i="2"/>
  <c r="BB77" i="2"/>
  <c r="BB75" i="2"/>
  <c r="BB34" i="2"/>
  <c r="BB30" i="2"/>
  <c r="BB24" i="2"/>
  <c r="BB20" i="2"/>
  <c r="BB124" i="2"/>
  <c r="BB95" i="2"/>
  <c r="BB86" i="2"/>
  <c r="BB69" i="2"/>
  <c r="BB29" i="2"/>
  <c r="BB23" i="2"/>
  <c r="BB12" i="2"/>
  <c r="BB8" i="2"/>
  <c r="BB4" i="2"/>
  <c r="BB57" i="2"/>
  <c r="BB53" i="2"/>
  <c r="BB49" i="2"/>
  <c r="BB45" i="2"/>
  <c r="BB41" i="2"/>
  <c r="BB37" i="2"/>
  <c r="BB18" i="2"/>
  <c r="BB13" i="2"/>
  <c r="BB11" i="2"/>
  <c r="BB63" i="2"/>
  <c r="BB59" i="2"/>
  <c r="BB10" i="2"/>
  <c r="BB6" i="2"/>
  <c r="BB103" i="2"/>
  <c r="BB87" i="2"/>
  <c r="BB67" i="2"/>
  <c r="BB28" i="2"/>
  <c r="BB79" i="2"/>
  <c r="BB33" i="2"/>
  <c r="BB22" i="2"/>
  <c r="BB9" i="2"/>
  <c r="BB3" i="2"/>
  <c r="BB26" i="2"/>
  <c r="BB14" i="2"/>
  <c r="BB15" i="2"/>
  <c r="BB17" i="2"/>
  <c r="BB16" i="2"/>
  <c r="BI134" i="2"/>
  <c r="BI130" i="2"/>
  <c r="BI128" i="2"/>
  <c r="BI124" i="2"/>
  <c r="BI142" i="2"/>
  <c r="BI138" i="2"/>
  <c r="BI127" i="2"/>
  <c r="BI131" i="2"/>
  <c r="BI125" i="2"/>
  <c r="BI120" i="2"/>
  <c r="BI116" i="2"/>
  <c r="BI114" i="2"/>
  <c r="BI108" i="2"/>
  <c r="BI132" i="2"/>
  <c r="BI113" i="2"/>
  <c r="BI118" i="2"/>
  <c r="BI106" i="2"/>
  <c r="BI104" i="2"/>
  <c r="BI88" i="2"/>
  <c r="BI86" i="2"/>
  <c r="BI82" i="2"/>
  <c r="BI136" i="2"/>
  <c r="BI123" i="2"/>
  <c r="BI121" i="2"/>
  <c r="BI103" i="2"/>
  <c r="BI101" i="2"/>
  <c r="BI99" i="2"/>
  <c r="BI97" i="2"/>
  <c r="BI93" i="2"/>
  <c r="BI91" i="2"/>
  <c r="BI95" i="2"/>
  <c r="BI87" i="2"/>
  <c r="BI84" i="2"/>
  <c r="BI80" i="2"/>
  <c r="BI77" i="2"/>
  <c r="BI75" i="2"/>
  <c r="BI69" i="2"/>
  <c r="BI67" i="2"/>
  <c r="BI63" i="2"/>
  <c r="BI59" i="2"/>
  <c r="BI57" i="2"/>
  <c r="BI53" i="2"/>
  <c r="BI49" i="2"/>
  <c r="BI45" i="2"/>
  <c r="BI41" i="2"/>
  <c r="BI37" i="2"/>
  <c r="BI33" i="2"/>
  <c r="BI76" i="2"/>
  <c r="BI72" i="2"/>
  <c r="BI68" i="2"/>
  <c r="BI66" i="2"/>
  <c r="BI62" i="2"/>
  <c r="BI56" i="2"/>
  <c r="BI52" i="2"/>
  <c r="BI48" i="2"/>
  <c r="BI44" i="2"/>
  <c r="BI40" i="2"/>
  <c r="BI36" i="2"/>
  <c r="BI98" i="2"/>
  <c r="BI79" i="2"/>
  <c r="BI34" i="2"/>
  <c r="BI32" i="2"/>
  <c r="BI28" i="2"/>
  <c r="BI26" i="2"/>
  <c r="BI22" i="2"/>
  <c r="BI18" i="2"/>
  <c r="BI81" i="2"/>
  <c r="BI70" i="2"/>
  <c r="BI64" i="2"/>
  <c r="BI60" i="2"/>
  <c r="BI58" i="2"/>
  <c r="BI54" i="2"/>
  <c r="BI50" i="2"/>
  <c r="BI46" i="2"/>
  <c r="BI42" i="2"/>
  <c r="BI38" i="2"/>
  <c r="BI27" i="2"/>
  <c r="BI25" i="2"/>
  <c r="BI21" i="2"/>
  <c r="BI83" i="2"/>
  <c r="BI73" i="2"/>
  <c r="BI71" i="2"/>
  <c r="BI111" i="2"/>
  <c r="BI65" i="2"/>
  <c r="BI61" i="2"/>
  <c r="BI9" i="2"/>
  <c r="BI3" i="2"/>
  <c r="BI29" i="2"/>
  <c r="BI23" i="2"/>
  <c r="BI12" i="2"/>
  <c r="BI8" i="2"/>
  <c r="BI4" i="2"/>
  <c r="BI140" i="2"/>
  <c r="BI30" i="2"/>
  <c r="BI24" i="2"/>
  <c r="BI20" i="2"/>
  <c r="BI13" i="2"/>
  <c r="BI11" i="2"/>
  <c r="BI109" i="2"/>
  <c r="BI55" i="2"/>
  <c r="BI51" i="2"/>
  <c r="BI47" i="2"/>
  <c r="BI43" i="2"/>
  <c r="BI39" i="2"/>
  <c r="BI35" i="2"/>
  <c r="BI10" i="2"/>
  <c r="BI6" i="2"/>
  <c r="BI31" i="2"/>
  <c r="BI15" i="2"/>
  <c r="BI16" i="2"/>
  <c r="BI14" i="2"/>
  <c r="BI17" i="2"/>
  <c r="F142" i="2"/>
  <c r="F127" i="2"/>
  <c r="F136" i="2"/>
  <c r="F113" i="2"/>
  <c r="F118" i="2"/>
  <c r="F97" i="2"/>
  <c r="F108" i="2"/>
  <c r="F98" i="2"/>
  <c r="F76" i="2"/>
  <c r="F68" i="2"/>
  <c r="F103" i="2"/>
  <c r="F73" i="2"/>
  <c r="F88" i="2"/>
  <c r="F27" i="2"/>
  <c r="F134" i="2"/>
  <c r="F75" i="2"/>
  <c r="F20" i="2"/>
  <c r="F95" i="2"/>
  <c r="F8" i="2"/>
  <c r="F4" i="2"/>
  <c r="F13" i="2"/>
  <c r="F120" i="2"/>
  <c r="F59" i="2"/>
  <c r="F18" i="2"/>
  <c r="F6" i="2"/>
  <c r="F86" i="2"/>
  <c r="F3" i="2"/>
  <c r="F106" i="2"/>
  <c r="F25" i="2"/>
  <c r="F58" i="2"/>
  <c r="F109" i="2"/>
  <c r="F11" i="2"/>
  <c r="F132" i="2"/>
  <c r="F52" i="2"/>
  <c r="F123" i="2"/>
  <c r="F22" i="2"/>
  <c r="F33" i="2"/>
  <c r="F38" i="2"/>
  <c r="F72" i="2"/>
  <c r="F138" i="2"/>
  <c r="F35" i="2"/>
  <c r="F130" i="2"/>
  <c r="F29" i="2"/>
  <c r="F91" i="2"/>
  <c r="F23" i="2"/>
  <c r="F56" i="2"/>
  <c r="F104" i="2"/>
  <c r="F51" i="2"/>
  <c r="F17" i="2"/>
  <c r="F12" i="2"/>
  <c r="F34" i="2"/>
  <c r="F67" i="2"/>
  <c r="F128" i="2"/>
  <c r="F69" i="2"/>
  <c r="F64" i="2"/>
  <c r="F28" i="2"/>
  <c r="F61" i="2"/>
  <c r="F114" i="2"/>
  <c r="F26" i="2"/>
  <c r="F16" i="2"/>
  <c r="F62" i="2"/>
  <c r="F66" i="2"/>
  <c r="F46" i="2"/>
  <c r="F87" i="2"/>
  <c r="F31" i="2"/>
  <c r="F37" i="2"/>
  <c r="F84" i="2"/>
  <c r="F10" i="2"/>
  <c r="F32" i="2"/>
  <c r="F65" i="2"/>
  <c r="F124" i="2"/>
  <c r="F53" i="2"/>
  <c r="F49" i="2"/>
  <c r="F42" i="2"/>
  <c r="F81" i="2"/>
  <c r="F60" i="2"/>
  <c r="F71" i="2"/>
  <c r="F24" i="2"/>
  <c r="F36" i="2"/>
  <c r="F70" i="2"/>
  <c r="F131" i="2"/>
  <c r="F116" i="2"/>
  <c r="F39" i="2"/>
  <c r="F21" i="2"/>
  <c r="F54" i="2"/>
  <c r="F140" i="2"/>
  <c r="F9" i="2"/>
  <c r="F15" i="2"/>
  <c r="F45" i="2"/>
  <c r="F41" i="2"/>
  <c r="F40" i="2"/>
  <c r="F79" i="2"/>
  <c r="F82" i="2"/>
  <c r="F55" i="2"/>
  <c r="F99" i="2"/>
  <c r="F50" i="2"/>
  <c r="F101" i="2"/>
  <c r="F14" i="2"/>
  <c r="F57" i="2"/>
  <c r="F44" i="2"/>
  <c r="F83" i="2"/>
  <c r="F43" i="2"/>
  <c r="F111" i="2"/>
  <c r="F125" i="2"/>
  <c r="F77" i="2"/>
  <c r="F30" i="2"/>
  <c r="F63" i="2"/>
  <c r="F121" i="2"/>
  <c r="F47" i="2"/>
  <c r="F80" i="2"/>
  <c r="F48" i="2"/>
  <c r="F93" i="2"/>
  <c r="AR140" i="2"/>
  <c r="AR131" i="2"/>
  <c r="AR125" i="2"/>
  <c r="AR134" i="2"/>
  <c r="AR130" i="2"/>
  <c r="AR128" i="2"/>
  <c r="AR136" i="2"/>
  <c r="AR123" i="2"/>
  <c r="AR121" i="2"/>
  <c r="AR111" i="2"/>
  <c r="AR109" i="2"/>
  <c r="AR103" i="2"/>
  <c r="AR142" i="2"/>
  <c r="AR120" i="2"/>
  <c r="AR116" i="2"/>
  <c r="AR114" i="2"/>
  <c r="AR108" i="2"/>
  <c r="AR127" i="2"/>
  <c r="AR95" i="2"/>
  <c r="AR87" i="2"/>
  <c r="AR83" i="2"/>
  <c r="AR79" i="2"/>
  <c r="AR118" i="2"/>
  <c r="AR113" i="2"/>
  <c r="AR106" i="2"/>
  <c r="AR104" i="2"/>
  <c r="AR88" i="2"/>
  <c r="AR86" i="2"/>
  <c r="AR138" i="2"/>
  <c r="AR132" i="2"/>
  <c r="AR101" i="2"/>
  <c r="AR99" i="2"/>
  <c r="AR98" i="2"/>
  <c r="AR97" i="2"/>
  <c r="AR82" i="2"/>
  <c r="AR70" i="2"/>
  <c r="AR64" i="2"/>
  <c r="AR60" i="2"/>
  <c r="AR58" i="2"/>
  <c r="AR54" i="2"/>
  <c r="AR50" i="2"/>
  <c r="AR46" i="2"/>
  <c r="AR42" i="2"/>
  <c r="AR38" i="2"/>
  <c r="AR34" i="2"/>
  <c r="AR84" i="2"/>
  <c r="AR80" i="2"/>
  <c r="AR77" i="2"/>
  <c r="AR75" i="2"/>
  <c r="AR69" i="2"/>
  <c r="AR67" i="2"/>
  <c r="AR63" i="2"/>
  <c r="AR59" i="2"/>
  <c r="AR57" i="2"/>
  <c r="AR53" i="2"/>
  <c r="AR49" i="2"/>
  <c r="AR45" i="2"/>
  <c r="AR41" i="2"/>
  <c r="AR37" i="2"/>
  <c r="AR93" i="2"/>
  <c r="AR81" i="2"/>
  <c r="AR29" i="2"/>
  <c r="AR23" i="2"/>
  <c r="AR91" i="2"/>
  <c r="AR76" i="2"/>
  <c r="AR32" i="2"/>
  <c r="AR28" i="2"/>
  <c r="AR26" i="2"/>
  <c r="AR22" i="2"/>
  <c r="AR18" i="2"/>
  <c r="AR124" i="2"/>
  <c r="AR72" i="2"/>
  <c r="AR71" i="2"/>
  <c r="AR56" i="2"/>
  <c r="AR55" i="2"/>
  <c r="AR52" i="2"/>
  <c r="AR51" i="2"/>
  <c r="AR48" i="2"/>
  <c r="AR47" i="2"/>
  <c r="AR44" i="2"/>
  <c r="AR43" i="2"/>
  <c r="AR40" i="2"/>
  <c r="AR39" i="2"/>
  <c r="AR36" i="2"/>
  <c r="AR35" i="2"/>
  <c r="AR10" i="2"/>
  <c r="AR6" i="2"/>
  <c r="AR66" i="2"/>
  <c r="AR65" i="2"/>
  <c r="AR62" i="2"/>
  <c r="AR61" i="2"/>
  <c r="AR9" i="2"/>
  <c r="AR3" i="2"/>
  <c r="AR73" i="2"/>
  <c r="AR68" i="2"/>
  <c r="AR33" i="2"/>
  <c r="AR12" i="2"/>
  <c r="AR8" i="2"/>
  <c r="AR4" i="2"/>
  <c r="AR31" i="2"/>
  <c r="AR30" i="2"/>
  <c r="AR11" i="2"/>
  <c r="AR25" i="2"/>
  <c r="AR24" i="2"/>
  <c r="AR27" i="2"/>
  <c r="AR13" i="2"/>
  <c r="AR20" i="2"/>
  <c r="AR21" i="2"/>
  <c r="AR16" i="2"/>
  <c r="AR15" i="2"/>
  <c r="AR14" i="2"/>
  <c r="AR17" i="2"/>
  <c r="L140" i="2"/>
  <c r="L131" i="2"/>
  <c r="L125" i="2"/>
  <c r="L142" i="2"/>
  <c r="L134" i="2"/>
  <c r="L130" i="2"/>
  <c r="L128" i="2"/>
  <c r="L136" i="2"/>
  <c r="L123" i="2"/>
  <c r="L121" i="2"/>
  <c r="L111" i="2"/>
  <c r="L109" i="2"/>
  <c r="L103" i="2"/>
  <c r="L120" i="2"/>
  <c r="L116" i="2"/>
  <c r="L114" i="2"/>
  <c r="L108" i="2"/>
  <c r="L138" i="2"/>
  <c r="L127" i="2"/>
  <c r="L104" i="2"/>
  <c r="L95" i="2"/>
  <c r="L87" i="2"/>
  <c r="L83" i="2"/>
  <c r="L79" i="2"/>
  <c r="L118" i="2"/>
  <c r="L113" i="2"/>
  <c r="L106" i="2"/>
  <c r="L88" i="2"/>
  <c r="L86" i="2"/>
  <c r="L132" i="2"/>
  <c r="L101" i="2"/>
  <c r="L99" i="2"/>
  <c r="L98" i="2"/>
  <c r="L97" i="2"/>
  <c r="L82" i="2"/>
  <c r="L70" i="2"/>
  <c r="L64" i="2"/>
  <c r="L60" i="2"/>
  <c r="L58" i="2"/>
  <c r="L54" i="2"/>
  <c r="L50" i="2"/>
  <c r="L46" i="2"/>
  <c r="L42" i="2"/>
  <c r="L38" i="2"/>
  <c r="L34" i="2"/>
  <c r="L84" i="2"/>
  <c r="L80" i="2"/>
  <c r="L77" i="2"/>
  <c r="L75" i="2"/>
  <c r="L69" i="2"/>
  <c r="L67" i="2"/>
  <c r="L63" i="2"/>
  <c r="L59" i="2"/>
  <c r="L57" i="2"/>
  <c r="L53" i="2"/>
  <c r="L49" i="2"/>
  <c r="L45" i="2"/>
  <c r="L41" i="2"/>
  <c r="L37" i="2"/>
  <c r="L93" i="2"/>
  <c r="L81" i="2"/>
  <c r="L29" i="2"/>
  <c r="L23" i="2"/>
  <c r="L91" i="2"/>
  <c r="L76" i="2"/>
  <c r="L32" i="2"/>
  <c r="L28" i="2"/>
  <c r="L26" i="2"/>
  <c r="L22" i="2"/>
  <c r="L72" i="2"/>
  <c r="L71" i="2"/>
  <c r="L56" i="2"/>
  <c r="L55" i="2"/>
  <c r="L52" i="2"/>
  <c r="L51" i="2"/>
  <c r="L48" i="2"/>
  <c r="L47" i="2"/>
  <c r="L44" i="2"/>
  <c r="L43" i="2"/>
  <c r="L40" i="2"/>
  <c r="L39" i="2"/>
  <c r="L36" i="2"/>
  <c r="L35" i="2"/>
  <c r="L10" i="2"/>
  <c r="L6" i="2"/>
  <c r="L124" i="2"/>
  <c r="L66" i="2"/>
  <c r="L65" i="2"/>
  <c r="L62" i="2"/>
  <c r="L61" i="2"/>
  <c r="L18" i="2"/>
  <c r="L9" i="2"/>
  <c r="L3" i="2"/>
  <c r="L73" i="2"/>
  <c r="L68" i="2"/>
  <c r="L33" i="2"/>
  <c r="L12" i="2"/>
  <c r="L8" i="2"/>
  <c r="L4" i="2"/>
  <c r="L31" i="2"/>
  <c r="L30" i="2"/>
  <c r="L11" i="2"/>
  <c r="L25" i="2"/>
  <c r="L24" i="2"/>
  <c r="L27" i="2"/>
  <c r="L13" i="2"/>
  <c r="L21" i="2"/>
  <c r="L20" i="2"/>
  <c r="L16" i="2"/>
  <c r="L14" i="2"/>
  <c r="L15" i="2"/>
  <c r="L17" i="2"/>
  <c r="AM142" i="2"/>
  <c r="AM140" i="2"/>
  <c r="AM136" i="2"/>
  <c r="AM132" i="2"/>
  <c r="AM131" i="2"/>
  <c r="AM124" i="2"/>
  <c r="AM118" i="2"/>
  <c r="AM106" i="2"/>
  <c r="AM104" i="2"/>
  <c r="AM138" i="2"/>
  <c r="AM134" i="2"/>
  <c r="AM130" i="2"/>
  <c r="AM128" i="2"/>
  <c r="AM127" i="2"/>
  <c r="AM123" i="2"/>
  <c r="AM121" i="2"/>
  <c r="AM111" i="2"/>
  <c r="AM109" i="2"/>
  <c r="AM125" i="2"/>
  <c r="AM116" i="2"/>
  <c r="AM114" i="2"/>
  <c r="AM113" i="2"/>
  <c r="AM108" i="2"/>
  <c r="AM98" i="2"/>
  <c r="AM84" i="2"/>
  <c r="AM80" i="2"/>
  <c r="AM103" i="2"/>
  <c r="AM95" i="2"/>
  <c r="AM87" i="2"/>
  <c r="AM82" i="2"/>
  <c r="AM73" i="2"/>
  <c r="AM71" i="2"/>
  <c r="AM65" i="2"/>
  <c r="AM61" i="2"/>
  <c r="AM55" i="2"/>
  <c r="AM51" i="2"/>
  <c r="AM47" i="2"/>
  <c r="AM43" i="2"/>
  <c r="AM39" i="2"/>
  <c r="AM35" i="2"/>
  <c r="AM120" i="2"/>
  <c r="AM93" i="2"/>
  <c r="AM91" i="2"/>
  <c r="AM88" i="2"/>
  <c r="AM86" i="2"/>
  <c r="AM70" i="2"/>
  <c r="AM64" i="2"/>
  <c r="AM60" i="2"/>
  <c r="AM58" i="2"/>
  <c r="AM54" i="2"/>
  <c r="AM50" i="2"/>
  <c r="AM46" i="2"/>
  <c r="AM42" i="2"/>
  <c r="AM38" i="2"/>
  <c r="AM97" i="2"/>
  <c r="AM79" i="2"/>
  <c r="AM77" i="2"/>
  <c r="AM76" i="2"/>
  <c r="AM75" i="2"/>
  <c r="AM34" i="2"/>
  <c r="AM30" i="2"/>
  <c r="AM24" i="2"/>
  <c r="AM20" i="2"/>
  <c r="AM99" i="2"/>
  <c r="AM32" i="2"/>
  <c r="AM29" i="2"/>
  <c r="AM23" i="2"/>
  <c r="AM101" i="2"/>
  <c r="AM83" i="2"/>
  <c r="AM81" i="2"/>
  <c r="AM72" i="2"/>
  <c r="AM69" i="2"/>
  <c r="AM68" i="2"/>
  <c r="AM67" i="2"/>
  <c r="AM57" i="2"/>
  <c r="AM53" i="2"/>
  <c r="AM49" i="2"/>
  <c r="AM45" i="2"/>
  <c r="AM41" i="2"/>
  <c r="AM37" i="2"/>
  <c r="AM33" i="2"/>
  <c r="AM18" i="2"/>
  <c r="AM13" i="2"/>
  <c r="AM11" i="2"/>
  <c r="AM63" i="2"/>
  <c r="AM59" i="2"/>
  <c r="AM56" i="2"/>
  <c r="AM52" i="2"/>
  <c r="AM48" i="2"/>
  <c r="AM44" i="2"/>
  <c r="AM40" i="2"/>
  <c r="AM36" i="2"/>
  <c r="AM10" i="2"/>
  <c r="AM6" i="2"/>
  <c r="AM66" i="2"/>
  <c r="AM62" i="2"/>
  <c r="AM31" i="2"/>
  <c r="AM28" i="2"/>
  <c r="AM27" i="2"/>
  <c r="AM26" i="2"/>
  <c r="AM25" i="2"/>
  <c r="AM22" i="2"/>
  <c r="AM21" i="2"/>
  <c r="AM9" i="2"/>
  <c r="AM3" i="2"/>
  <c r="AM12" i="2"/>
  <c r="AM8" i="2"/>
  <c r="AM4" i="2"/>
  <c r="AM17" i="2"/>
  <c r="AM14" i="2"/>
  <c r="AM15" i="2"/>
  <c r="AM16" i="2"/>
  <c r="G142" i="2"/>
  <c r="G140" i="2"/>
  <c r="G136" i="2"/>
  <c r="G132" i="2"/>
  <c r="G131" i="2"/>
  <c r="G124" i="2"/>
  <c r="G118" i="2"/>
  <c r="G106" i="2"/>
  <c r="G104" i="2"/>
  <c r="G138" i="2"/>
  <c r="G134" i="2"/>
  <c r="G130" i="2"/>
  <c r="G128" i="2"/>
  <c r="G127" i="2"/>
  <c r="G123" i="2"/>
  <c r="G121" i="2"/>
  <c r="G111" i="2"/>
  <c r="G109" i="2"/>
  <c r="G125" i="2"/>
  <c r="G116" i="2"/>
  <c r="G114" i="2"/>
  <c r="G113" i="2"/>
  <c r="G108" i="2"/>
  <c r="G98" i="2"/>
  <c r="G84" i="2"/>
  <c r="G80" i="2"/>
  <c r="G103" i="2"/>
  <c r="G95" i="2"/>
  <c r="G87" i="2"/>
  <c r="G82" i="2"/>
  <c r="G73" i="2"/>
  <c r="G71" i="2"/>
  <c r="G65" i="2"/>
  <c r="G61" i="2"/>
  <c r="G55" i="2"/>
  <c r="G51" i="2"/>
  <c r="G47" i="2"/>
  <c r="G43" i="2"/>
  <c r="G39" i="2"/>
  <c r="G35" i="2"/>
  <c r="G120" i="2"/>
  <c r="G93" i="2"/>
  <c r="G91" i="2"/>
  <c r="G88" i="2"/>
  <c r="G86" i="2"/>
  <c r="G70" i="2"/>
  <c r="G64" i="2"/>
  <c r="G60" i="2"/>
  <c r="G58" i="2"/>
  <c r="G54" i="2"/>
  <c r="G50" i="2"/>
  <c r="G46" i="2"/>
  <c r="G42" i="2"/>
  <c r="G38" i="2"/>
  <c r="G97" i="2"/>
  <c r="G79" i="2"/>
  <c r="G77" i="2"/>
  <c r="G76" i="2"/>
  <c r="G75" i="2"/>
  <c r="G34" i="2"/>
  <c r="G30" i="2"/>
  <c r="G24" i="2"/>
  <c r="G20" i="2"/>
  <c r="G99" i="2"/>
  <c r="G32" i="2"/>
  <c r="G29" i="2"/>
  <c r="G23" i="2"/>
  <c r="G101" i="2"/>
  <c r="G83" i="2"/>
  <c r="G81" i="2"/>
  <c r="G72" i="2"/>
  <c r="G69" i="2"/>
  <c r="G68" i="2"/>
  <c r="G67" i="2"/>
  <c r="G57" i="2"/>
  <c r="G53" i="2"/>
  <c r="G49" i="2"/>
  <c r="G45" i="2"/>
  <c r="G41" i="2"/>
  <c r="G37" i="2"/>
  <c r="G33" i="2"/>
  <c r="G13" i="2"/>
  <c r="G11" i="2"/>
  <c r="G63" i="2"/>
  <c r="G59" i="2"/>
  <c r="G56" i="2"/>
  <c r="G52" i="2"/>
  <c r="G48" i="2"/>
  <c r="G44" i="2"/>
  <c r="G40" i="2"/>
  <c r="G36" i="2"/>
  <c r="G18" i="2"/>
  <c r="G10" i="2"/>
  <c r="G6" i="2"/>
  <c r="G66" i="2"/>
  <c r="G62" i="2"/>
  <c r="G31" i="2"/>
  <c r="G28" i="2"/>
  <c r="G27" i="2"/>
  <c r="G26" i="2"/>
  <c r="G25" i="2"/>
  <c r="G22" i="2"/>
  <c r="G21" i="2"/>
  <c r="G9" i="2"/>
  <c r="G12" i="2"/>
  <c r="G8" i="2"/>
  <c r="G3" i="2"/>
  <c r="G4" i="2"/>
  <c r="G17" i="2"/>
  <c r="G16" i="2"/>
  <c r="G14" i="2"/>
  <c r="G15" i="2"/>
  <c r="I142" i="2"/>
  <c r="I138" i="2"/>
  <c r="I134" i="2"/>
  <c r="I130" i="2"/>
  <c r="I128" i="2"/>
  <c r="I127" i="2"/>
  <c r="I120" i="2"/>
  <c r="I116" i="2"/>
  <c r="I114" i="2"/>
  <c r="I108" i="2"/>
  <c r="I136" i="2"/>
  <c r="I113" i="2"/>
  <c r="I140" i="2"/>
  <c r="I132" i="2"/>
  <c r="I131" i="2"/>
  <c r="I124" i="2"/>
  <c r="I103" i="2"/>
  <c r="I88" i="2"/>
  <c r="I86" i="2"/>
  <c r="I82" i="2"/>
  <c r="I111" i="2"/>
  <c r="I109" i="2"/>
  <c r="I101" i="2"/>
  <c r="I99" i="2"/>
  <c r="I97" i="2"/>
  <c r="I93" i="2"/>
  <c r="I91" i="2"/>
  <c r="I104" i="2"/>
  <c r="I77" i="2"/>
  <c r="I75" i="2"/>
  <c r="I69" i="2"/>
  <c r="I67" i="2"/>
  <c r="I63" i="2"/>
  <c r="I59" i="2"/>
  <c r="I57" i="2"/>
  <c r="I53" i="2"/>
  <c r="I49" i="2"/>
  <c r="I45" i="2"/>
  <c r="I41" i="2"/>
  <c r="I37" i="2"/>
  <c r="I33" i="2"/>
  <c r="I121" i="2"/>
  <c r="I98" i="2"/>
  <c r="I83" i="2"/>
  <c r="I81" i="2"/>
  <c r="I79" i="2"/>
  <c r="I76" i="2"/>
  <c r="I72" i="2"/>
  <c r="I68" i="2"/>
  <c r="I66" i="2"/>
  <c r="I62" i="2"/>
  <c r="I56" i="2"/>
  <c r="I52" i="2"/>
  <c r="I48" i="2"/>
  <c r="I44" i="2"/>
  <c r="I40" i="2"/>
  <c r="I36" i="2"/>
  <c r="I73" i="2"/>
  <c r="I71" i="2"/>
  <c r="I65" i="2"/>
  <c r="I61" i="2"/>
  <c r="I55" i="2"/>
  <c r="I51" i="2"/>
  <c r="I47" i="2"/>
  <c r="I43" i="2"/>
  <c r="I39" i="2"/>
  <c r="I28" i="2"/>
  <c r="I26" i="2"/>
  <c r="I22" i="2"/>
  <c r="I18" i="2"/>
  <c r="I118" i="2"/>
  <c r="I95" i="2"/>
  <c r="I80" i="2"/>
  <c r="I35" i="2"/>
  <c r="I31" i="2"/>
  <c r="I27" i="2"/>
  <c r="I25" i="2"/>
  <c r="I21" i="2"/>
  <c r="I87" i="2"/>
  <c r="I123" i="2"/>
  <c r="I58" i="2"/>
  <c r="I54" i="2"/>
  <c r="I50" i="2"/>
  <c r="I46" i="2"/>
  <c r="I42" i="2"/>
  <c r="I38" i="2"/>
  <c r="I32" i="2"/>
  <c r="I30" i="2"/>
  <c r="I24" i="2"/>
  <c r="I20" i="2"/>
  <c r="I9" i="2"/>
  <c r="I3" i="2"/>
  <c r="I106" i="2"/>
  <c r="I70" i="2"/>
  <c r="I64" i="2"/>
  <c r="I60" i="2"/>
  <c r="I34" i="2"/>
  <c r="I12" i="2"/>
  <c r="I8" i="2"/>
  <c r="I4" i="2"/>
  <c r="I125" i="2"/>
  <c r="I13" i="2"/>
  <c r="I11" i="2"/>
  <c r="I84" i="2"/>
  <c r="I29" i="2"/>
  <c r="I10" i="2"/>
  <c r="I23" i="2"/>
  <c r="I6" i="2"/>
  <c r="I14" i="2"/>
  <c r="I15" i="2"/>
  <c r="I17" i="2"/>
  <c r="I16" i="2"/>
  <c r="AS134" i="2"/>
  <c r="AS130" i="2"/>
  <c r="AS128" i="2"/>
  <c r="AS138" i="2"/>
  <c r="AS127" i="2"/>
  <c r="AS142" i="2"/>
  <c r="AS131" i="2"/>
  <c r="AS120" i="2"/>
  <c r="AS116" i="2"/>
  <c r="AS114" i="2"/>
  <c r="AS108" i="2"/>
  <c r="AS140" i="2"/>
  <c r="AS132" i="2"/>
  <c r="AS113" i="2"/>
  <c r="AS118" i="2"/>
  <c r="AS106" i="2"/>
  <c r="AS104" i="2"/>
  <c r="AS88" i="2"/>
  <c r="AS86" i="2"/>
  <c r="AS82" i="2"/>
  <c r="AS136" i="2"/>
  <c r="AS123" i="2"/>
  <c r="AS121" i="2"/>
  <c r="AS103" i="2"/>
  <c r="AS101" i="2"/>
  <c r="AS99" i="2"/>
  <c r="AS97" i="2"/>
  <c r="AS93" i="2"/>
  <c r="AS91" i="2"/>
  <c r="AS125" i="2"/>
  <c r="AS95" i="2"/>
  <c r="AS87" i="2"/>
  <c r="AS84" i="2"/>
  <c r="AS80" i="2"/>
  <c r="AS77" i="2"/>
  <c r="AS75" i="2"/>
  <c r="AS69" i="2"/>
  <c r="AS67" i="2"/>
  <c r="AS63" i="2"/>
  <c r="AS59" i="2"/>
  <c r="AS57" i="2"/>
  <c r="AS53" i="2"/>
  <c r="AS49" i="2"/>
  <c r="AS45" i="2"/>
  <c r="AS41" i="2"/>
  <c r="AS37" i="2"/>
  <c r="AS33" i="2"/>
  <c r="AS124" i="2"/>
  <c r="AS76" i="2"/>
  <c r="AS72" i="2"/>
  <c r="AS68" i="2"/>
  <c r="AS66" i="2"/>
  <c r="AS62" i="2"/>
  <c r="AS56" i="2"/>
  <c r="AS52" i="2"/>
  <c r="AS48" i="2"/>
  <c r="AS44" i="2"/>
  <c r="AS40" i="2"/>
  <c r="AS36" i="2"/>
  <c r="AS98" i="2"/>
  <c r="AS83" i="2"/>
  <c r="AS34" i="2"/>
  <c r="AS32" i="2"/>
  <c r="AS28" i="2"/>
  <c r="AS26" i="2"/>
  <c r="AS22" i="2"/>
  <c r="AS18" i="2"/>
  <c r="AS111" i="2"/>
  <c r="AS109" i="2"/>
  <c r="AS70" i="2"/>
  <c r="AS64" i="2"/>
  <c r="AS60" i="2"/>
  <c r="AS58" i="2"/>
  <c r="AS54" i="2"/>
  <c r="AS50" i="2"/>
  <c r="AS46" i="2"/>
  <c r="AS42" i="2"/>
  <c r="AS38" i="2"/>
  <c r="AS31" i="2"/>
  <c r="AS27" i="2"/>
  <c r="AS25" i="2"/>
  <c r="AS21" i="2"/>
  <c r="AS79" i="2"/>
  <c r="AS73" i="2"/>
  <c r="AS71" i="2"/>
  <c r="AS65" i="2"/>
  <c r="AS61" i="2"/>
  <c r="AS9" i="2"/>
  <c r="AS3" i="2"/>
  <c r="AS29" i="2"/>
  <c r="AS23" i="2"/>
  <c r="AS12" i="2"/>
  <c r="AS8" i="2"/>
  <c r="AS4" i="2"/>
  <c r="AS30" i="2"/>
  <c r="AS24" i="2"/>
  <c r="AS20" i="2"/>
  <c r="AS13" i="2"/>
  <c r="AS11" i="2"/>
  <c r="AS10" i="2"/>
  <c r="AS81" i="2"/>
  <c r="AS55" i="2"/>
  <c r="AS51" i="2"/>
  <c r="AS47" i="2"/>
  <c r="AS43" i="2"/>
  <c r="AS39" i="2"/>
  <c r="AS35" i="2"/>
  <c r="AS6" i="2"/>
  <c r="AS14" i="2"/>
  <c r="AS16" i="2"/>
  <c r="AS15" i="2"/>
  <c r="AS17" i="2"/>
  <c r="AL140" i="2"/>
  <c r="AL138" i="2"/>
  <c r="AL127" i="2"/>
  <c r="AL136" i="2"/>
  <c r="AL132" i="2"/>
  <c r="AL125" i="2"/>
  <c r="AL113" i="2"/>
  <c r="AL124" i="2"/>
  <c r="AL118" i="2"/>
  <c r="AL106" i="2"/>
  <c r="AL104" i="2"/>
  <c r="AL123" i="2"/>
  <c r="AL121" i="2"/>
  <c r="AL101" i="2"/>
  <c r="AL99" i="2"/>
  <c r="AL97" i="2"/>
  <c r="AL93" i="2"/>
  <c r="AL91" i="2"/>
  <c r="AL81" i="2"/>
  <c r="AL131" i="2"/>
  <c r="AL130" i="2"/>
  <c r="AL116" i="2"/>
  <c r="AL114" i="2"/>
  <c r="AL108" i="2"/>
  <c r="AL98" i="2"/>
  <c r="AL142" i="2"/>
  <c r="AL109" i="2"/>
  <c r="AL76" i="2"/>
  <c r="AL72" i="2"/>
  <c r="AL68" i="2"/>
  <c r="AL66" i="2"/>
  <c r="AL62" i="2"/>
  <c r="AL56" i="2"/>
  <c r="AL52" i="2"/>
  <c r="AL48" i="2"/>
  <c r="AL44" i="2"/>
  <c r="AL40" i="2"/>
  <c r="AL36" i="2"/>
  <c r="AL32" i="2"/>
  <c r="AL103" i="2"/>
  <c r="AL84" i="2"/>
  <c r="AL82" i="2"/>
  <c r="AL80" i="2"/>
  <c r="AL73" i="2"/>
  <c r="AL71" i="2"/>
  <c r="AL65" i="2"/>
  <c r="AL61" i="2"/>
  <c r="AL55" i="2"/>
  <c r="AL51" i="2"/>
  <c r="AL47" i="2"/>
  <c r="AL43" i="2"/>
  <c r="AL39" i="2"/>
  <c r="AL88" i="2"/>
  <c r="AL70" i="2"/>
  <c r="AL64" i="2"/>
  <c r="AL60" i="2"/>
  <c r="AL58" i="2"/>
  <c r="AL54" i="2"/>
  <c r="AL50" i="2"/>
  <c r="AL46" i="2"/>
  <c r="AL42" i="2"/>
  <c r="AL38" i="2"/>
  <c r="AL31" i="2"/>
  <c r="AL27" i="2"/>
  <c r="AL25" i="2"/>
  <c r="AL21" i="2"/>
  <c r="AL128" i="2"/>
  <c r="AL79" i="2"/>
  <c r="AL77" i="2"/>
  <c r="AL75" i="2"/>
  <c r="AL34" i="2"/>
  <c r="AL30" i="2"/>
  <c r="AL24" i="2"/>
  <c r="AL20" i="2"/>
  <c r="AL111" i="2"/>
  <c r="AL95" i="2"/>
  <c r="AL87" i="2"/>
  <c r="AL29" i="2"/>
  <c r="AL23" i="2"/>
  <c r="AL12" i="2"/>
  <c r="AL8" i="2"/>
  <c r="AL4" i="2"/>
  <c r="AL134" i="2"/>
  <c r="AL120" i="2"/>
  <c r="AL86" i="2"/>
  <c r="AL67" i="2"/>
  <c r="AL57" i="2"/>
  <c r="AL53" i="2"/>
  <c r="AL49" i="2"/>
  <c r="AL45" i="2"/>
  <c r="AL41" i="2"/>
  <c r="AL37" i="2"/>
  <c r="AL33" i="2"/>
  <c r="AL18" i="2"/>
  <c r="AL13" i="2"/>
  <c r="AL11" i="2"/>
  <c r="AL69" i="2"/>
  <c r="AL63" i="2"/>
  <c r="AL59" i="2"/>
  <c r="AL35" i="2"/>
  <c r="AL10" i="2"/>
  <c r="AL6" i="2"/>
  <c r="AL83" i="2"/>
  <c r="AL26" i="2"/>
  <c r="AL9" i="2"/>
  <c r="AL3" i="2"/>
  <c r="AL28" i="2"/>
  <c r="AL22" i="2"/>
  <c r="AL15" i="2"/>
  <c r="AL16" i="2"/>
  <c r="AL17" i="2"/>
  <c r="AL14" i="2"/>
  <c r="BD142" i="2"/>
  <c r="BD131" i="2"/>
  <c r="BD125" i="2"/>
  <c r="BD138" i="2"/>
  <c r="BD134" i="2"/>
  <c r="BD130" i="2"/>
  <c r="BD128" i="2"/>
  <c r="BD132" i="2"/>
  <c r="BD127" i="2"/>
  <c r="BD124" i="2"/>
  <c r="BD123" i="2"/>
  <c r="BD121" i="2"/>
  <c r="BD111" i="2"/>
  <c r="BD109" i="2"/>
  <c r="BD103" i="2"/>
  <c r="BD140" i="2"/>
  <c r="BD120" i="2"/>
  <c r="BD116" i="2"/>
  <c r="BD114" i="2"/>
  <c r="BD108" i="2"/>
  <c r="BD95" i="2"/>
  <c r="BD87" i="2"/>
  <c r="BD83" i="2"/>
  <c r="BD79" i="2"/>
  <c r="BD88" i="2"/>
  <c r="BD86" i="2"/>
  <c r="BD118" i="2"/>
  <c r="BD113" i="2"/>
  <c r="BD106" i="2"/>
  <c r="BD93" i="2"/>
  <c r="BD91" i="2"/>
  <c r="BD84" i="2"/>
  <c r="BD80" i="2"/>
  <c r="BD70" i="2"/>
  <c r="BD64" i="2"/>
  <c r="BD60" i="2"/>
  <c r="BD58" i="2"/>
  <c r="BD54" i="2"/>
  <c r="BD50" i="2"/>
  <c r="BD46" i="2"/>
  <c r="BD42" i="2"/>
  <c r="BD38" i="2"/>
  <c r="BD34" i="2"/>
  <c r="BD77" i="2"/>
  <c r="BD75" i="2"/>
  <c r="BD69" i="2"/>
  <c r="BD67" i="2"/>
  <c r="BD63" i="2"/>
  <c r="BD59" i="2"/>
  <c r="BD57" i="2"/>
  <c r="BD53" i="2"/>
  <c r="BD49" i="2"/>
  <c r="BD45" i="2"/>
  <c r="BD41" i="2"/>
  <c r="BD37" i="2"/>
  <c r="BD136" i="2"/>
  <c r="BD99" i="2"/>
  <c r="BD82" i="2"/>
  <c r="BD32" i="2"/>
  <c r="BD29" i="2"/>
  <c r="BD23" i="2"/>
  <c r="BD104" i="2"/>
  <c r="BD101" i="2"/>
  <c r="BD98" i="2"/>
  <c r="BD73" i="2"/>
  <c r="BD72" i="2"/>
  <c r="BD71" i="2"/>
  <c r="BD68" i="2"/>
  <c r="BD66" i="2"/>
  <c r="BD65" i="2"/>
  <c r="BD62" i="2"/>
  <c r="BD61" i="2"/>
  <c r="BD56" i="2"/>
  <c r="BD55" i="2"/>
  <c r="BD52" i="2"/>
  <c r="BD51" i="2"/>
  <c r="BD48" i="2"/>
  <c r="BD47" i="2"/>
  <c r="BD44" i="2"/>
  <c r="BD43" i="2"/>
  <c r="BD40" i="2"/>
  <c r="BD39" i="2"/>
  <c r="BD36" i="2"/>
  <c r="BD35" i="2"/>
  <c r="BD33" i="2"/>
  <c r="BD28" i="2"/>
  <c r="BD26" i="2"/>
  <c r="BD22" i="2"/>
  <c r="BD18" i="2"/>
  <c r="BD10" i="2"/>
  <c r="BD6" i="2"/>
  <c r="BD76" i="2"/>
  <c r="BD31" i="2"/>
  <c r="BD30" i="2"/>
  <c r="BD27" i="2"/>
  <c r="BD25" i="2"/>
  <c r="BD24" i="2"/>
  <c r="BD21" i="2"/>
  <c r="BD20" i="2"/>
  <c r="BD9" i="2"/>
  <c r="BD3" i="2"/>
  <c r="BD81" i="2"/>
  <c r="BD12" i="2"/>
  <c r="BD8" i="2"/>
  <c r="BD4" i="2"/>
  <c r="BD97" i="2"/>
  <c r="BD11" i="2"/>
  <c r="BD13" i="2"/>
  <c r="BD14" i="2"/>
  <c r="BD17" i="2"/>
  <c r="BD16" i="2"/>
  <c r="BD15" i="2"/>
  <c r="X131" i="2"/>
  <c r="X125" i="2"/>
  <c r="X138" i="2"/>
  <c r="X134" i="2"/>
  <c r="X130" i="2"/>
  <c r="X128" i="2"/>
  <c r="X132" i="2"/>
  <c r="X127" i="2"/>
  <c r="X123" i="2"/>
  <c r="X121" i="2"/>
  <c r="X111" i="2"/>
  <c r="X109" i="2"/>
  <c r="X103" i="2"/>
  <c r="X140" i="2"/>
  <c r="X120" i="2"/>
  <c r="X116" i="2"/>
  <c r="X114" i="2"/>
  <c r="X108" i="2"/>
  <c r="X142" i="2"/>
  <c r="X95" i="2"/>
  <c r="X87" i="2"/>
  <c r="X83" i="2"/>
  <c r="X79" i="2"/>
  <c r="X124" i="2"/>
  <c r="X88" i="2"/>
  <c r="X86" i="2"/>
  <c r="X118" i="2"/>
  <c r="X113" i="2"/>
  <c r="X106" i="2"/>
  <c r="X93" i="2"/>
  <c r="X91" i="2"/>
  <c r="X84" i="2"/>
  <c r="X80" i="2"/>
  <c r="X70" i="2"/>
  <c r="X64" i="2"/>
  <c r="X60" i="2"/>
  <c r="X58" i="2"/>
  <c r="X54" i="2"/>
  <c r="X50" i="2"/>
  <c r="X46" i="2"/>
  <c r="X42" i="2"/>
  <c r="X38" i="2"/>
  <c r="X34" i="2"/>
  <c r="X77" i="2"/>
  <c r="X75" i="2"/>
  <c r="X69" i="2"/>
  <c r="X67" i="2"/>
  <c r="X63" i="2"/>
  <c r="X59" i="2"/>
  <c r="X57" i="2"/>
  <c r="X53" i="2"/>
  <c r="X49" i="2"/>
  <c r="X45" i="2"/>
  <c r="X41" i="2"/>
  <c r="X37" i="2"/>
  <c r="X99" i="2"/>
  <c r="X82" i="2"/>
  <c r="X32" i="2"/>
  <c r="X29" i="2"/>
  <c r="X23" i="2"/>
  <c r="X104" i="2"/>
  <c r="X101" i="2"/>
  <c r="X98" i="2"/>
  <c r="X73" i="2"/>
  <c r="X72" i="2"/>
  <c r="X71" i="2"/>
  <c r="X68" i="2"/>
  <c r="X66" i="2"/>
  <c r="X65" i="2"/>
  <c r="X62" i="2"/>
  <c r="X61" i="2"/>
  <c r="X56" i="2"/>
  <c r="X55" i="2"/>
  <c r="X52" i="2"/>
  <c r="X51" i="2"/>
  <c r="X48" i="2"/>
  <c r="X47" i="2"/>
  <c r="X44" i="2"/>
  <c r="X43" i="2"/>
  <c r="X40" i="2"/>
  <c r="X39" i="2"/>
  <c r="X36" i="2"/>
  <c r="X33" i="2"/>
  <c r="X28" i="2"/>
  <c r="X26" i="2"/>
  <c r="X22" i="2"/>
  <c r="X136" i="2"/>
  <c r="X18" i="2"/>
  <c r="X10" i="2"/>
  <c r="X6" i="2"/>
  <c r="X97" i="2"/>
  <c r="X81" i="2"/>
  <c r="X76" i="2"/>
  <c r="X31" i="2"/>
  <c r="X30" i="2"/>
  <c r="X27" i="2"/>
  <c r="X25" i="2"/>
  <c r="X24" i="2"/>
  <c r="X21" i="2"/>
  <c r="X20" i="2"/>
  <c r="X9" i="2"/>
  <c r="X3" i="2"/>
  <c r="X12" i="2"/>
  <c r="X8" i="2"/>
  <c r="X4" i="2"/>
  <c r="X11" i="2"/>
  <c r="X13" i="2"/>
  <c r="X35" i="2"/>
  <c r="X16" i="2"/>
  <c r="X14" i="2"/>
  <c r="X17" i="2"/>
  <c r="X15" i="2"/>
  <c r="AY142" i="2"/>
  <c r="AY136" i="2"/>
  <c r="AY132" i="2"/>
  <c r="AY138" i="2"/>
  <c r="AY131" i="2"/>
  <c r="AY124" i="2"/>
  <c r="AY118" i="2"/>
  <c r="AY106" i="2"/>
  <c r="AY104" i="2"/>
  <c r="AY123" i="2"/>
  <c r="AY121" i="2"/>
  <c r="AY111" i="2"/>
  <c r="AY109" i="2"/>
  <c r="AY134" i="2"/>
  <c r="AY120" i="2"/>
  <c r="AY103" i="2"/>
  <c r="AY98" i="2"/>
  <c r="AY84" i="2"/>
  <c r="AY80" i="2"/>
  <c r="AY140" i="2"/>
  <c r="AY95" i="2"/>
  <c r="AY87" i="2"/>
  <c r="AY130" i="2"/>
  <c r="AY116" i="2"/>
  <c r="AY108" i="2"/>
  <c r="AY73" i="2"/>
  <c r="AY71" i="2"/>
  <c r="AY65" i="2"/>
  <c r="AY61" i="2"/>
  <c r="AY55" i="2"/>
  <c r="AY51" i="2"/>
  <c r="AY47" i="2"/>
  <c r="AY43" i="2"/>
  <c r="AY39" i="2"/>
  <c r="AY35" i="2"/>
  <c r="AY114" i="2"/>
  <c r="AY113" i="2"/>
  <c r="AY101" i="2"/>
  <c r="AY99" i="2"/>
  <c r="AY97" i="2"/>
  <c r="AY83" i="2"/>
  <c r="AY79" i="2"/>
  <c r="AY70" i="2"/>
  <c r="AY64" i="2"/>
  <c r="AY60" i="2"/>
  <c r="AY58" i="2"/>
  <c r="AY54" i="2"/>
  <c r="AY50" i="2"/>
  <c r="AY46" i="2"/>
  <c r="AY42" i="2"/>
  <c r="AY38" i="2"/>
  <c r="AY128" i="2"/>
  <c r="AY91" i="2"/>
  <c r="AY86" i="2"/>
  <c r="AY72" i="2"/>
  <c r="AY69" i="2"/>
  <c r="AY68" i="2"/>
  <c r="AY67" i="2"/>
  <c r="AY66" i="2"/>
  <c r="AY63" i="2"/>
  <c r="AY62" i="2"/>
  <c r="AY59" i="2"/>
  <c r="AY57" i="2"/>
  <c r="AY56" i="2"/>
  <c r="AY53" i="2"/>
  <c r="AY52" i="2"/>
  <c r="AY49" i="2"/>
  <c r="AY48" i="2"/>
  <c r="AY45" i="2"/>
  <c r="AY44" i="2"/>
  <c r="AY41" i="2"/>
  <c r="AY40" i="2"/>
  <c r="AY37" i="2"/>
  <c r="AY36" i="2"/>
  <c r="AY32" i="2"/>
  <c r="AY30" i="2"/>
  <c r="AY24" i="2"/>
  <c r="AY20" i="2"/>
  <c r="AY127" i="2"/>
  <c r="AY88" i="2"/>
  <c r="AY81" i="2"/>
  <c r="AY33" i="2"/>
  <c r="AY29" i="2"/>
  <c r="AY23" i="2"/>
  <c r="AY82" i="2"/>
  <c r="AY77" i="2"/>
  <c r="AY76" i="2"/>
  <c r="AY75" i="2"/>
  <c r="AY31" i="2"/>
  <c r="AY28" i="2"/>
  <c r="AY27" i="2"/>
  <c r="AY26" i="2"/>
  <c r="AY25" i="2"/>
  <c r="AY22" i="2"/>
  <c r="AY21" i="2"/>
  <c r="AY13" i="2"/>
  <c r="AY11" i="2"/>
  <c r="AY125" i="2"/>
  <c r="AY34" i="2"/>
  <c r="AY10" i="2"/>
  <c r="AY6" i="2"/>
  <c r="AY18" i="2"/>
  <c r="AY9" i="2"/>
  <c r="AY3" i="2"/>
  <c r="AY93" i="2"/>
  <c r="AY4" i="2"/>
  <c r="AY12" i="2"/>
  <c r="AY8" i="2"/>
  <c r="AY14" i="2"/>
  <c r="AY15" i="2"/>
  <c r="AY17" i="2"/>
  <c r="AY16" i="2"/>
  <c r="S142" i="2"/>
  <c r="S136" i="2"/>
  <c r="S132" i="2"/>
  <c r="S138" i="2"/>
  <c r="S131" i="2"/>
  <c r="S124" i="2"/>
  <c r="S118" i="2"/>
  <c r="S106" i="2"/>
  <c r="S104" i="2"/>
  <c r="S123" i="2"/>
  <c r="S121" i="2"/>
  <c r="S111" i="2"/>
  <c r="S109" i="2"/>
  <c r="S134" i="2"/>
  <c r="S120" i="2"/>
  <c r="S103" i="2"/>
  <c r="S98" i="2"/>
  <c r="S84" i="2"/>
  <c r="S80" i="2"/>
  <c r="S95" i="2"/>
  <c r="S87" i="2"/>
  <c r="S130" i="2"/>
  <c r="S116" i="2"/>
  <c r="S108" i="2"/>
  <c r="S73" i="2"/>
  <c r="S71" i="2"/>
  <c r="S65" i="2"/>
  <c r="S61" i="2"/>
  <c r="S55" i="2"/>
  <c r="S51" i="2"/>
  <c r="S47" i="2"/>
  <c r="S43" i="2"/>
  <c r="S39" i="2"/>
  <c r="S35" i="2"/>
  <c r="S125" i="2"/>
  <c r="S114" i="2"/>
  <c r="S113" i="2"/>
  <c r="S101" i="2"/>
  <c r="S99" i="2"/>
  <c r="S97" i="2"/>
  <c r="S83" i="2"/>
  <c r="S79" i="2"/>
  <c r="S70" i="2"/>
  <c r="S64" i="2"/>
  <c r="S60" i="2"/>
  <c r="S58" i="2"/>
  <c r="S54" i="2"/>
  <c r="S50" i="2"/>
  <c r="S46" i="2"/>
  <c r="S42" i="2"/>
  <c r="S38" i="2"/>
  <c r="S91" i="2"/>
  <c r="S86" i="2"/>
  <c r="S72" i="2"/>
  <c r="S69" i="2"/>
  <c r="S68" i="2"/>
  <c r="S67" i="2"/>
  <c r="S66" i="2"/>
  <c r="S63" i="2"/>
  <c r="S62" i="2"/>
  <c r="S59" i="2"/>
  <c r="S57" i="2"/>
  <c r="S56" i="2"/>
  <c r="S53" i="2"/>
  <c r="S52" i="2"/>
  <c r="S49" i="2"/>
  <c r="S48" i="2"/>
  <c r="S45" i="2"/>
  <c r="S44" i="2"/>
  <c r="S41" i="2"/>
  <c r="S40" i="2"/>
  <c r="S37" i="2"/>
  <c r="S36" i="2"/>
  <c r="S32" i="2"/>
  <c r="S30" i="2"/>
  <c r="S24" i="2"/>
  <c r="S20" i="2"/>
  <c r="S140" i="2"/>
  <c r="S88" i="2"/>
  <c r="S81" i="2"/>
  <c r="S33" i="2"/>
  <c r="S29" i="2"/>
  <c r="S23" i="2"/>
  <c r="S128" i="2"/>
  <c r="S82" i="2"/>
  <c r="S77" i="2"/>
  <c r="S76" i="2"/>
  <c r="S75" i="2"/>
  <c r="S31" i="2"/>
  <c r="S28" i="2"/>
  <c r="S27" i="2"/>
  <c r="S26" i="2"/>
  <c r="S25" i="2"/>
  <c r="S22" i="2"/>
  <c r="S21" i="2"/>
  <c r="S18" i="2"/>
  <c r="S13" i="2"/>
  <c r="S11" i="2"/>
  <c r="S127" i="2"/>
  <c r="S93" i="2"/>
  <c r="S34" i="2"/>
  <c r="S10" i="2"/>
  <c r="S6" i="2"/>
  <c r="S9" i="2"/>
  <c r="S4" i="2"/>
  <c r="S3" i="2"/>
  <c r="S12" i="2"/>
  <c r="S8" i="2"/>
  <c r="S17" i="2"/>
  <c r="S14" i="2"/>
  <c r="S15" i="2"/>
  <c r="S16" i="2"/>
  <c r="N142" i="2"/>
  <c r="N140" i="2"/>
  <c r="N138" i="2"/>
  <c r="N127" i="2"/>
  <c r="N136" i="2"/>
  <c r="N132" i="2"/>
  <c r="N113" i="2"/>
  <c r="N124" i="2"/>
  <c r="N118" i="2"/>
  <c r="N106" i="2"/>
  <c r="N128" i="2"/>
  <c r="N123" i="2"/>
  <c r="N121" i="2"/>
  <c r="N103" i="2"/>
  <c r="N101" i="2"/>
  <c r="N99" i="2"/>
  <c r="N97" i="2"/>
  <c r="N93" i="2"/>
  <c r="N91" i="2"/>
  <c r="N81" i="2"/>
  <c r="N134" i="2"/>
  <c r="N125" i="2"/>
  <c r="N116" i="2"/>
  <c r="N114" i="2"/>
  <c r="N108" i="2"/>
  <c r="N98" i="2"/>
  <c r="N120" i="2"/>
  <c r="N76" i="2"/>
  <c r="N72" i="2"/>
  <c r="N68" i="2"/>
  <c r="N66" i="2"/>
  <c r="N62" i="2"/>
  <c r="N56" i="2"/>
  <c r="N52" i="2"/>
  <c r="N48" i="2"/>
  <c r="N44" i="2"/>
  <c r="N40" i="2"/>
  <c r="N36" i="2"/>
  <c r="N32" i="2"/>
  <c r="N131" i="2"/>
  <c r="N130" i="2"/>
  <c r="N111" i="2"/>
  <c r="N83" i="2"/>
  <c r="N79" i="2"/>
  <c r="N73" i="2"/>
  <c r="N71" i="2"/>
  <c r="N65" i="2"/>
  <c r="N61" i="2"/>
  <c r="N55" i="2"/>
  <c r="N51" i="2"/>
  <c r="N47" i="2"/>
  <c r="N43" i="2"/>
  <c r="N39" i="2"/>
  <c r="N109" i="2"/>
  <c r="N95" i="2"/>
  <c r="N82" i="2"/>
  <c r="N70" i="2"/>
  <c r="N64" i="2"/>
  <c r="N60" i="2"/>
  <c r="N58" i="2"/>
  <c r="N54" i="2"/>
  <c r="N50" i="2"/>
  <c r="N46" i="2"/>
  <c r="N42" i="2"/>
  <c r="N38" i="2"/>
  <c r="N31" i="2"/>
  <c r="N27" i="2"/>
  <c r="N25" i="2"/>
  <c r="N21" i="2"/>
  <c r="N87" i="2"/>
  <c r="N86" i="2"/>
  <c r="N84" i="2"/>
  <c r="N77" i="2"/>
  <c r="N75" i="2"/>
  <c r="N35" i="2"/>
  <c r="N33" i="2"/>
  <c r="N30" i="2"/>
  <c r="N24" i="2"/>
  <c r="N20" i="2"/>
  <c r="N104" i="2"/>
  <c r="N88" i="2"/>
  <c r="N80" i="2"/>
  <c r="N67" i="2"/>
  <c r="N63" i="2"/>
  <c r="N59" i="2"/>
  <c r="N29" i="2"/>
  <c r="N23" i="2"/>
  <c r="N18" i="2"/>
  <c r="N12" i="2"/>
  <c r="N8" i="2"/>
  <c r="N4" i="2"/>
  <c r="N69" i="2"/>
  <c r="N13" i="2"/>
  <c r="N11" i="2"/>
  <c r="N10" i="2"/>
  <c r="N6" i="2"/>
  <c r="N26" i="2"/>
  <c r="N57" i="2"/>
  <c r="N53" i="2"/>
  <c r="N49" i="2"/>
  <c r="N45" i="2"/>
  <c r="N41" i="2"/>
  <c r="N37" i="2"/>
  <c r="N28" i="2"/>
  <c r="N34" i="2"/>
  <c r="N22" i="2"/>
  <c r="N9" i="2"/>
  <c r="N3" i="2"/>
  <c r="N17" i="2"/>
  <c r="N15" i="2"/>
  <c r="N16" i="2"/>
  <c r="N14" i="2"/>
  <c r="AP140" i="2"/>
  <c r="AP138" i="2"/>
  <c r="AP142" i="2"/>
  <c r="AP127" i="2"/>
  <c r="AP136" i="2"/>
  <c r="AP132" i="2"/>
  <c r="AP134" i="2"/>
  <c r="AP130" i="2"/>
  <c r="AP128" i="2"/>
  <c r="AP113" i="2"/>
  <c r="AP131" i="2"/>
  <c r="AP125" i="2"/>
  <c r="AP124" i="2"/>
  <c r="AP118" i="2"/>
  <c r="AP106" i="2"/>
  <c r="AP104" i="2"/>
  <c r="AP111" i="2"/>
  <c r="AP109" i="2"/>
  <c r="AP101" i="2"/>
  <c r="AP99" i="2"/>
  <c r="AP97" i="2"/>
  <c r="AP93" i="2"/>
  <c r="AP91" i="2"/>
  <c r="AP81" i="2"/>
  <c r="AP120" i="2"/>
  <c r="AP98" i="2"/>
  <c r="AP121" i="2"/>
  <c r="AP114" i="2"/>
  <c r="AP103" i="2"/>
  <c r="AP88" i="2"/>
  <c r="AP86" i="2"/>
  <c r="AP83" i="2"/>
  <c r="AP79" i="2"/>
  <c r="AP76" i="2"/>
  <c r="AP72" i="2"/>
  <c r="AP68" i="2"/>
  <c r="AP66" i="2"/>
  <c r="AP62" i="2"/>
  <c r="AP56" i="2"/>
  <c r="AP52" i="2"/>
  <c r="AP48" i="2"/>
  <c r="AP44" i="2"/>
  <c r="AP40" i="2"/>
  <c r="AP36" i="2"/>
  <c r="AP32" i="2"/>
  <c r="AP123" i="2"/>
  <c r="AP95" i="2"/>
  <c r="AP87" i="2"/>
  <c r="AP73" i="2"/>
  <c r="AP71" i="2"/>
  <c r="AP65" i="2"/>
  <c r="AP61" i="2"/>
  <c r="AP55" i="2"/>
  <c r="AP51" i="2"/>
  <c r="AP47" i="2"/>
  <c r="AP43" i="2"/>
  <c r="AP39" i="2"/>
  <c r="AP80" i="2"/>
  <c r="AP35" i="2"/>
  <c r="AP33" i="2"/>
  <c r="AP31" i="2"/>
  <c r="AP27" i="2"/>
  <c r="AP25" i="2"/>
  <c r="AP21" i="2"/>
  <c r="AP82" i="2"/>
  <c r="AP69" i="2"/>
  <c r="AP67" i="2"/>
  <c r="AP63" i="2"/>
  <c r="AP59" i="2"/>
  <c r="AP57" i="2"/>
  <c r="AP53" i="2"/>
  <c r="AP49" i="2"/>
  <c r="AP45" i="2"/>
  <c r="AP41" i="2"/>
  <c r="AP37" i="2"/>
  <c r="AP30" i="2"/>
  <c r="AP24" i="2"/>
  <c r="AP20" i="2"/>
  <c r="AP116" i="2"/>
  <c r="AP108" i="2"/>
  <c r="AP84" i="2"/>
  <c r="AP70" i="2"/>
  <c r="AP64" i="2"/>
  <c r="AP60" i="2"/>
  <c r="AP34" i="2"/>
  <c r="AP12" i="2"/>
  <c r="AP8" i="2"/>
  <c r="AP4" i="2"/>
  <c r="AP75" i="2"/>
  <c r="AP28" i="2"/>
  <c r="AP26" i="2"/>
  <c r="AP22" i="2"/>
  <c r="AP13" i="2"/>
  <c r="AP11" i="2"/>
  <c r="AP77" i="2"/>
  <c r="AP29" i="2"/>
  <c r="AP23" i="2"/>
  <c r="AP10" i="2"/>
  <c r="AP6" i="2"/>
  <c r="AP18" i="2"/>
  <c r="AP9" i="2"/>
  <c r="AP3" i="2"/>
  <c r="AP58" i="2"/>
  <c r="AP54" i="2"/>
  <c r="AP50" i="2"/>
  <c r="AP46" i="2"/>
  <c r="AP42" i="2"/>
  <c r="AP38" i="2"/>
  <c r="AP14" i="2"/>
  <c r="AP15" i="2"/>
  <c r="AP16" i="2"/>
  <c r="AP17" i="2"/>
  <c r="AX140" i="2"/>
  <c r="AX138" i="2"/>
  <c r="AX127" i="2"/>
  <c r="AX136" i="2"/>
  <c r="AX132" i="2"/>
  <c r="AX134" i="2"/>
  <c r="AX130" i="2"/>
  <c r="AX128" i="2"/>
  <c r="AX113" i="2"/>
  <c r="AX131" i="2"/>
  <c r="AX124" i="2"/>
  <c r="AX118" i="2"/>
  <c r="AX106" i="2"/>
  <c r="AX104" i="2"/>
  <c r="AX125" i="2"/>
  <c r="AX111" i="2"/>
  <c r="AX109" i="2"/>
  <c r="AX101" i="2"/>
  <c r="AX99" i="2"/>
  <c r="AX97" i="2"/>
  <c r="AX93" i="2"/>
  <c r="AX91" i="2"/>
  <c r="AX81" i="2"/>
  <c r="AX142" i="2"/>
  <c r="AX120" i="2"/>
  <c r="AX103" i="2"/>
  <c r="AX98" i="2"/>
  <c r="AX88" i="2"/>
  <c r="AX86" i="2"/>
  <c r="AX84" i="2"/>
  <c r="AX82" i="2"/>
  <c r="AX80" i="2"/>
  <c r="AX76" i="2"/>
  <c r="AX72" i="2"/>
  <c r="AX68" i="2"/>
  <c r="AX66" i="2"/>
  <c r="AX62" i="2"/>
  <c r="AX56" i="2"/>
  <c r="AX52" i="2"/>
  <c r="AX48" i="2"/>
  <c r="AX44" i="2"/>
  <c r="AX40" i="2"/>
  <c r="AX36" i="2"/>
  <c r="AX32" i="2"/>
  <c r="AX116" i="2"/>
  <c r="AX108" i="2"/>
  <c r="AX95" i="2"/>
  <c r="AX87" i="2"/>
  <c r="AX73" i="2"/>
  <c r="AX71" i="2"/>
  <c r="AX65" i="2"/>
  <c r="AX61" i="2"/>
  <c r="AX55" i="2"/>
  <c r="AX51" i="2"/>
  <c r="AX47" i="2"/>
  <c r="AX43" i="2"/>
  <c r="AX39" i="2"/>
  <c r="AX35" i="2"/>
  <c r="AX114" i="2"/>
  <c r="AX79" i="2"/>
  <c r="AX34" i="2"/>
  <c r="AX31" i="2"/>
  <c r="AX27" i="2"/>
  <c r="AX25" i="2"/>
  <c r="AX21" i="2"/>
  <c r="AX121" i="2"/>
  <c r="AX69" i="2"/>
  <c r="AX67" i="2"/>
  <c r="AX63" i="2"/>
  <c r="AX59" i="2"/>
  <c r="AX57" i="2"/>
  <c r="AX53" i="2"/>
  <c r="AX49" i="2"/>
  <c r="AX45" i="2"/>
  <c r="AX41" i="2"/>
  <c r="AX37" i="2"/>
  <c r="AX30" i="2"/>
  <c r="AX24" i="2"/>
  <c r="AX20" i="2"/>
  <c r="AX123" i="2"/>
  <c r="AX83" i="2"/>
  <c r="AX70" i="2"/>
  <c r="AX75" i="2"/>
  <c r="AX33" i="2"/>
  <c r="AX12" i="2"/>
  <c r="AX8" i="2"/>
  <c r="AX4" i="2"/>
  <c r="AX77" i="2"/>
  <c r="AX58" i="2"/>
  <c r="AX54" i="2"/>
  <c r="AX50" i="2"/>
  <c r="AX46" i="2"/>
  <c r="AX42" i="2"/>
  <c r="AX38" i="2"/>
  <c r="AX28" i="2"/>
  <c r="AX26" i="2"/>
  <c r="AX22" i="2"/>
  <c r="AX13" i="2"/>
  <c r="AX11" i="2"/>
  <c r="AX64" i="2"/>
  <c r="AX60" i="2"/>
  <c r="AX29" i="2"/>
  <c r="AX23" i="2"/>
  <c r="AX10" i="2"/>
  <c r="AX6" i="2"/>
  <c r="AX9" i="2"/>
  <c r="AX3" i="2"/>
  <c r="AX18" i="2"/>
  <c r="AX16" i="2"/>
  <c r="AX14" i="2"/>
  <c r="AX15" i="2"/>
  <c r="AX17" i="2"/>
  <c r="T142" i="2"/>
  <c r="T138" i="2"/>
  <c r="T131" i="2"/>
  <c r="T125" i="2"/>
  <c r="T134" i="2"/>
  <c r="T130" i="2"/>
  <c r="T128" i="2"/>
  <c r="T136" i="2"/>
  <c r="T123" i="2"/>
  <c r="T121" i="2"/>
  <c r="T111" i="2"/>
  <c r="T109" i="2"/>
  <c r="T103" i="2"/>
  <c r="T120" i="2"/>
  <c r="T116" i="2"/>
  <c r="T114" i="2"/>
  <c r="T108" i="2"/>
  <c r="T95" i="2"/>
  <c r="T87" i="2"/>
  <c r="T83" i="2"/>
  <c r="T79" i="2"/>
  <c r="T132" i="2"/>
  <c r="T118" i="2"/>
  <c r="T113" i="2"/>
  <c r="T106" i="2"/>
  <c r="T88" i="2"/>
  <c r="T86" i="2"/>
  <c r="T124" i="2"/>
  <c r="T104" i="2"/>
  <c r="T101" i="2"/>
  <c r="T99" i="2"/>
  <c r="T98" i="2"/>
  <c r="T97" i="2"/>
  <c r="T70" i="2"/>
  <c r="T64" i="2"/>
  <c r="T60" i="2"/>
  <c r="T58" i="2"/>
  <c r="T54" i="2"/>
  <c r="T50" i="2"/>
  <c r="T46" i="2"/>
  <c r="T42" i="2"/>
  <c r="T38" i="2"/>
  <c r="T34" i="2"/>
  <c r="T127" i="2"/>
  <c r="T81" i="2"/>
  <c r="T77" i="2"/>
  <c r="T75" i="2"/>
  <c r="T69" i="2"/>
  <c r="T67" i="2"/>
  <c r="T63" i="2"/>
  <c r="T59" i="2"/>
  <c r="T57" i="2"/>
  <c r="T53" i="2"/>
  <c r="T49" i="2"/>
  <c r="T45" i="2"/>
  <c r="T41" i="2"/>
  <c r="T37" i="2"/>
  <c r="T140" i="2"/>
  <c r="T33" i="2"/>
  <c r="T29" i="2"/>
  <c r="T23" i="2"/>
  <c r="T82" i="2"/>
  <c r="T80" i="2"/>
  <c r="T76" i="2"/>
  <c r="T35" i="2"/>
  <c r="T28" i="2"/>
  <c r="T26" i="2"/>
  <c r="T22" i="2"/>
  <c r="T93" i="2"/>
  <c r="T91" i="2"/>
  <c r="T32" i="2"/>
  <c r="T10" i="2"/>
  <c r="T6" i="2"/>
  <c r="T73" i="2"/>
  <c r="T68" i="2"/>
  <c r="T9" i="2"/>
  <c r="T3" i="2"/>
  <c r="T84" i="2"/>
  <c r="T56" i="2"/>
  <c r="T55" i="2"/>
  <c r="T52" i="2"/>
  <c r="T51" i="2"/>
  <c r="T48" i="2"/>
  <c r="T47" i="2"/>
  <c r="T44" i="2"/>
  <c r="T43" i="2"/>
  <c r="T40" i="2"/>
  <c r="T39" i="2"/>
  <c r="T36" i="2"/>
  <c r="T12" i="2"/>
  <c r="T8" i="2"/>
  <c r="T4" i="2"/>
  <c r="T71" i="2"/>
  <c r="T25" i="2"/>
  <c r="T24" i="2"/>
  <c r="T13" i="2"/>
  <c r="T72" i="2"/>
  <c r="T66" i="2"/>
  <c r="T65" i="2"/>
  <c r="T27" i="2"/>
  <c r="T21" i="2"/>
  <c r="T20" i="2"/>
  <c r="T11" i="2"/>
  <c r="T30" i="2"/>
  <c r="T61" i="2"/>
  <c r="T31" i="2"/>
  <c r="T62" i="2"/>
  <c r="T18" i="2"/>
  <c r="T14" i="2"/>
  <c r="T16" i="2"/>
  <c r="T17" i="2"/>
  <c r="T15" i="2"/>
  <c r="O142" i="2"/>
  <c r="O138" i="2"/>
  <c r="O136" i="2"/>
  <c r="O132" i="2"/>
  <c r="O131" i="2"/>
  <c r="O140" i="2"/>
  <c r="O124" i="2"/>
  <c r="O118" i="2"/>
  <c r="O106" i="2"/>
  <c r="O104" i="2"/>
  <c r="O134" i="2"/>
  <c r="O130" i="2"/>
  <c r="O128" i="2"/>
  <c r="O127" i="2"/>
  <c r="O125" i="2"/>
  <c r="O123" i="2"/>
  <c r="O121" i="2"/>
  <c r="O111" i="2"/>
  <c r="O109" i="2"/>
  <c r="O116" i="2"/>
  <c r="O114" i="2"/>
  <c r="O113" i="2"/>
  <c r="O108" i="2"/>
  <c r="O98" i="2"/>
  <c r="O84" i="2"/>
  <c r="O80" i="2"/>
  <c r="O95" i="2"/>
  <c r="O87" i="2"/>
  <c r="O83" i="2"/>
  <c r="O79" i="2"/>
  <c r="O73" i="2"/>
  <c r="O71" i="2"/>
  <c r="O65" i="2"/>
  <c r="O61" i="2"/>
  <c r="O55" i="2"/>
  <c r="O51" i="2"/>
  <c r="O47" i="2"/>
  <c r="O43" i="2"/>
  <c r="O39" i="2"/>
  <c r="O35" i="2"/>
  <c r="O93" i="2"/>
  <c r="O91" i="2"/>
  <c r="O88" i="2"/>
  <c r="O86" i="2"/>
  <c r="O81" i="2"/>
  <c r="O70" i="2"/>
  <c r="O64" i="2"/>
  <c r="O60" i="2"/>
  <c r="O58" i="2"/>
  <c r="O54" i="2"/>
  <c r="O50" i="2"/>
  <c r="O46" i="2"/>
  <c r="O42" i="2"/>
  <c r="O38" i="2"/>
  <c r="O101" i="2"/>
  <c r="O77" i="2"/>
  <c r="O76" i="2"/>
  <c r="O75" i="2"/>
  <c r="O33" i="2"/>
  <c r="O30" i="2"/>
  <c r="O24" i="2"/>
  <c r="O20" i="2"/>
  <c r="O29" i="2"/>
  <c r="O23" i="2"/>
  <c r="O120" i="2"/>
  <c r="O103" i="2"/>
  <c r="O97" i="2"/>
  <c r="O72" i="2"/>
  <c r="O69" i="2"/>
  <c r="O68" i="2"/>
  <c r="O67" i="2"/>
  <c r="O82" i="2"/>
  <c r="O66" i="2"/>
  <c r="O62" i="2"/>
  <c r="O13" i="2"/>
  <c r="O11" i="2"/>
  <c r="O10" i="2"/>
  <c r="O6" i="2"/>
  <c r="O99" i="2"/>
  <c r="O57" i="2"/>
  <c r="O53" i="2"/>
  <c r="O49" i="2"/>
  <c r="O45" i="2"/>
  <c r="O41" i="2"/>
  <c r="O37" i="2"/>
  <c r="O34" i="2"/>
  <c r="O32" i="2"/>
  <c r="O31" i="2"/>
  <c r="O28" i="2"/>
  <c r="O27" i="2"/>
  <c r="O26" i="2"/>
  <c r="O25" i="2"/>
  <c r="O22" i="2"/>
  <c r="O21" i="2"/>
  <c r="O9" i="2"/>
  <c r="O18" i="2"/>
  <c r="O59" i="2"/>
  <c r="O4" i="2"/>
  <c r="O56" i="2"/>
  <c r="O52" i="2"/>
  <c r="O48" i="2"/>
  <c r="O44" i="2"/>
  <c r="O40" i="2"/>
  <c r="O36" i="2"/>
  <c r="O3" i="2"/>
  <c r="O63" i="2"/>
  <c r="O12" i="2"/>
  <c r="O8" i="2"/>
  <c r="O17" i="2"/>
  <c r="O14" i="2"/>
  <c r="O16" i="2"/>
  <c r="O15" i="2"/>
  <c r="V140" i="2"/>
  <c r="V138" i="2"/>
  <c r="V127" i="2"/>
  <c r="V136" i="2"/>
  <c r="V132" i="2"/>
  <c r="V125" i="2"/>
  <c r="V113" i="2"/>
  <c r="V124" i="2"/>
  <c r="V118" i="2"/>
  <c r="V106" i="2"/>
  <c r="V123" i="2"/>
  <c r="V121" i="2"/>
  <c r="V104" i="2"/>
  <c r="V101" i="2"/>
  <c r="V99" i="2"/>
  <c r="V97" i="2"/>
  <c r="V93" i="2"/>
  <c r="V91" i="2"/>
  <c r="V81" i="2"/>
  <c r="V142" i="2"/>
  <c r="V131" i="2"/>
  <c r="V130" i="2"/>
  <c r="V116" i="2"/>
  <c r="V114" i="2"/>
  <c r="V108" i="2"/>
  <c r="V98" i="2"/>
  <c r="V134" i="2"/>
  <c r="V109" i="2"/>
  <c r="V76" i="2"/>
  <c r="V72" i="2"/>
  <c r="V68" i="2"/>
  <c r="V66" i="2"/>
  <c r="V62" i="2"/>
  <c r="V56" i="2"/>
  <c r="V52" i="2"/>
  <c r="V48" i="2"/>
  <c r="V44" i="2"/>
  <c r="V40" i="2"/>
  <c r="V36" i="2"/>
  <c r="V32" i="2"/>
  <c r="V128" i="2"/>
  <c r="V84" i="2"/>
  <c r="V82" i="2"/>
  <c r="V80" i="2"/>
  <c r="V73" i="2"/>
  <c r="V71" i="2"/>
  <c r="V65" i="2"/>
  <c r="V61" i="2"/>
  <c r="V55" i="2"/>
  <c r="V51" i="2"/>
  <c r="V47" i="2"/>
  <c r="V43" i="2"/>
  <c r="V39" i="2"/>
  <c r="V111" i="2"/>
  <c r="V88" i="2"/>
  <c r="V70" i="2"/>
  <c r="V64" i="2"/>
  <c r="V60" i="2"/>
  <c r="V58" i="2"/>
  <c r="V54" i="2"/>
  <c r="V50" i="2"/>
  <c r="V46" i="2"/>
  <c r="V42" i="2"/>
  <c r="V38" i="2"/>
  <c r="V31" i="2"/>
  <c r="V27" i="2"/>
  <c r="V25" i="2"/>
  <c r="V21" i="2"/>
  <c r="V120" i="2"/>
  <c r="V103" i="2"/>
  <c r="V83" i="2"/>
  <c r="V77" i="2"/>
  <c r="V75" i="2"/>
  <c r="V34" i="2"/>
  <c r="V30" i="2"/>
  <c r="V24" i="2"/>
  <c r="V20" i="2"/>
  <c r="V95" i="2"/>
  <c r="V69" i="2"/>
  <c r="V35" i="2"/>
  <c r="V29" i="2"/>
  <c r="V23" i="2"/>
  <c r="V12" i="2"/>
  <c r="V8" i="2"/>
  <c r="V4" i="2"/>
  <c r="V87" i="2"/>
  <c r="V57" i="2"/>
  <c r="V53" i="2"/>
  <c r="V49" i="2"/>
  <c r="V45" i="2"/>
  <c r="V41" i="2"/>
  <c r="V37" i="2"/>
  <c r="V13" i="2"/>
  <c r="V11" i="2"/>
  <c r="V86" i="2"/>
  <c r="V79" i="2"/>
  <c r="V63" i="2"/>
  <c r="V59" i="2"/>
  <c r="V18" i="2"/>
  <c r="V10" i="2"/>
  <c r="V6" i="2"/>
  <c r="V33" i="2"/>
  <c r="V28" i="2"/>
  <c r="V67" i="2"/>
  <c r="V22" i="2"/>
  <c r="V9" i="2"/>
  <c r="V26" i="2"/>
  <c r="V3" i="2"/>
  <c r="V16" i="2"/>
  <c r="V17" i="2"/>
  <c r="V14" i="2"/>
  <c r="V15" i="2"/>
  <c r="BL142" i="2"/>
  <c r="BL131" i="2"/>
  <c r="BL125" i="2"/>
  <c r="BL140" i="2"/>
  <c r="BL134" i="2"/>
  <c r="BL130" i="2"/>
  <c r="BL128" i="2"/>
  <c r="BL138" i="2"/>
  <c r="BL132" i="2"/>
  <c r="BL127" i="2"/>
  <c r="BL123" i="2"/>
  <c r="BL121" i="2"/>
  <c r="BL111" i="2"/>
  <c r="BL109" i="2"/>
  <c r="BL103" i="2"/>
  <c r="BL120" i="2"/>
  <c r="BL116" i="2"/>
  <c r="BL114" i="2"/>
  <c r="BL108" i="2"/>
  <c r="BL136" i="2"/>
  <c r="BL95" i="2"/>
  <c r="BL87" i="2"/>
  <c r="BL83" i="2"/>
  <c r="BL79" i="2"/>
  <c r="BL88" i="2"/>
  <c r="BL86" i="2"/>
  <c r="BL93" i="2"/>
  <c r="BL91" i="2"/>
  <c r="BL81" i="2"/>
  <c r="BL70" i="2"/>
  <c r="BL64" i="2"/>
  <c r="BL60" i="2"/>
  <c r="BL58" i="2"/>
  <c r="BL54" i="2"/>
  <c r="BL50" i="2"/>
  <c r="BL46" i="2"/>
  <c r="BL42" i="2"/>
  <c r="BL38" i="2"/>
  <c r="BL34" i="2"/>
  <c r="BL124" i="2"/>
  <c r="BL104" i="2"/>
  <c r="BL82" i="2"/>
  <c r="BL77" i="2"/>
  <c r="BL75" i="2"/>
  <c r="BL69" i="2"/>
  <c r="BL67" i="2"/>
  <c r="BL63" i="2"/>
  <c r="BL59" i="2"/>
  <c r="BL57" i="2"/>
  <c r="BL53" i="2"/>
  <c r="BL49" i="2"/>
  <c r="BL45" i="2"/>
  <c r="BL41" i="2"/>
  <c r="BL37" i="2"/>
  <c r="BL106" i="2"/>
  <c r="BL80" i="2"/>
  <c r="BL31" i="2"/>
  <c r="BL29" i="2"/>
  <c r="BL23" i="2"/>
  <c r="BL97" i="2"/>
  <c r="BL73" i="2"/>
  <c r="BL72" i="2"/>
  <c r="BL71" i="2"/>
  <c r="BL68" i="2"/>
  <c r="BL66" i="2"/>
  <c r="BL65" i="2"/>
  <c r="BL62" i="2"/>
  <c r="BL61" i="2"/>
  <c r="BL56" i="2"/>
  <c r="BL55" i="2"/>
  <c r="BL52" i="2"/>
  <c r="BL51" i="2"/>
  <c r="BL48" i="2"/>
  <c r="BL47" i="2"/>
  <c r="BL44" i="2"/>
  <c r="BL43" i="2"/>
  <c r="BL40" i="2"/>
  <c r="BL39" i="2"/>
  <c r="BL36" i="2"/>
  <c r="BL35" i="2"/>
  <c r="BL28" i="2"/>
  <c r="BL26" i="2"/>
  <c r="BL22" i="2"/>
  <c r="BL18" i="2"/>
  <c r="BL118" i="2"/>
  <c r="BL99" i="2"/>
  <c r="BL84" i="2"/>
  <c r="BL101" i="2"/>
  <c r="BL98" i="2"/>
  <c r="BL76" i="2"/>
  <c r="BL10" i="2"/>
  <c r="BL6" i="2"/>
  <c r="BL30" i="2"/>
  <c r="BL27" i="2"/>
  <c r="BL25" i="2"/>
  <c r="BL24" i="2"/>
  <c r="BL21" i="2"/>
  <c r="BL20" i="2"/>
  <c r="BL9" i="2"/>
  <c r="BL3" i="2"/>
  <c r="BL113" i="2"/>
  <c r="BL12" i="2"/>
  <c r="BL8" i="2"/>
  <c r="BL4" i="2"/>
  <c r="BL33" i="2"/>
  <c r="BL13" i="2"/>
  <c r="BL32" i="2"/>
  <c r="BL11" i="2"/>
  <c r="BL14" i="2"/>
  <c r="BL17" i="2"/>
  <c r="BL15" i="2"/>
  <c r="BL16" i="2"/>
  <c r="BG142" i="2"/>
  <c r="BG136" i="2"/>
  <c r="BG132" i="2"/>
  <c r="BG140" i="2"/>
  <c r="BG131" i="2"/>
  <c r="BG125" i="2"/>
  <c r="BG118" i="2"/>
  <c r="BG106" i="2"/>
  <c r="BG104" i="2"/>
  <c r="BG123" i="2"/>
  <c r="BG121" i="2"/>
  <c r="BG111" i="2"/>
  <c r="BG109" i="2"/>
  <c r="BG130" i="2"/>
  <c r="BG124" i="2"/>
  <c r="BG120" i="2"/>
  <c r="BG98" i="2"/>
  <c r="BG84" i="2"/>
  <c r="BG80" i="2"/>
  <c r="BG128" i="2"/>
  <c r="BG127" i="2"/>
  <c r="BG95" i="2"/>
  <c r="BG87" i="2"/>
  <c r="BG81" i="2"/>
  <c r="BG73" i="2"/>
  <c r="BG71" i="2"/>
  <c r="BG65" i="2"/>
  <c r="BG61" i="2"/>
  <c r="BG55" i="2"/>
  <c r="BG51" i="2"/>
  <c r="BG47" i="2"/>
  <c r="BG43" i="2"/>
  <c r="BG39" i="2"/>
  <c r="BG35" i="2"/>
  <c r="BG31" i="2"/>
  <c r="BG103" i="2"/>
  <c r="BG101" i="2"/>
  <c r="BG99" i="2"/>
  <c r="BG97" i="2"/>
  <c r="BG82" i="2"/>
  <c r="BG70" i="2"/>
  <c r="BG64" i="2"/>
  <c r="BG60" i="2"/>
  <c r="BG58" i="2"/>
  <c r="BG54" i="2"/>
  <c r="BG50" i="2"/>
  <c r="BG46" i="2"/>
  <c r="BG42" i="2"/>
  <c r="BG38" i="2"/>
  <c r="BG113" i="2"/>
  <c r="BG72" i="2"/>
  <c r="BG69" i="2"/>
  <c r="BG68" i="2"/>
  <c r="BG67" i="2"/>
  <c r="BG66" i="2"/>
  <c r="BG63" i="2"/>
  <c r="BG62" i="2"/>
  <c r="BG59" i="2"/>
  <c r="BG57" i="2"/>
  <c r="BG56" i="2"/>
  <c r="BG53" i="2"/>
  <c r="BG52" i="2"/>
  <c r="BG49" i="2"/>
  <c r="BG48" i="2"/>
  <c r="BG45" i="2"/>
  <c r="BG44" i="2"/>
  <c r="BG41" i="2"/>
  <c r="BG40" i="2"/>
  <c r="BG37" i="2"/>
  <c r="BG36" i="2"/>
  <c r="BG30" i="2"/>
  <c r="BG24" i="2"/>
  <c r="BG20" i="2"/>
  <c r="BG93" i="2"/>
  <c r="BG79" i="2"/>
  <c r="BG34" i="2"/>
  <c r="BG29" i="2"/>
  <c r="BG23" i="2"/>
  <c r="BG138" i="2"/>
  <c r="BG134" i="2"/>
  <c r="BG91" i="2"/>
  <c r="BG86" i="2"/>
  <c r="BG77" i="2"/>
  <c r="BG76" i="2"/>
  <c r="BG75" i="2"/>
  <c r="BG88" i="2"/>
  <c r="BG28" i="2"/>
  <c r="BG27" i="2"/>
  <c r="BG26" i="2"/>
  <c r="BG25" i="2"/>
  <c r="BG22" i="2"/>
  <c r="BG21" i="2"/>
  <c r="BG13" i="2"/>
  <c r="BG11" i="2"/>
  <c r="BG83" i="2"/>
  <c r="BG33" i="2"/>
  <c r="BG32" i="2"/>
  <c r="BG10" i="2"/>
  <c r="BG6" i="2"/>
  <c r="BG108" i="2"/>
  <c r="BG18" i="2"/>
  <c r="BG9" i="2"/>
  <c r="BG3" i="2"/>
  <c r="BG116" i="2"/>
  <c r="BG114" i="2"/>
  <c r="BG12" i="2"/>
  <c r="BG8" i="2"/>
  <c r="BG4" i="2"/>
  <c r="BG16" i="2"/>
  <c r="BG14" i="2"/>
  <c r="BG17" i="2"/>
  <c r="BG15" i="2"/>
  <c r="AD142" i="2"/>
  <c r="AD140" i="2"/>
  <c r="AD138" i="2"/>
  <c r="AD127" i="2"/>
  <c r="AD136" i="2"/>
  <c r="AD132" i="2"/>
  <c r="AD113" i="2"/>
  <c r="AD124" i="2"/>
  <c r="AD118" i="2"/>
  <c r="AD106" i="2"/>
  <c r="AD104" i="2"/>
  <c r="AD128" i="2"/>
  <c r="AD123" i="2"/>
  <c r="AD121" i="2"/>
  <c r="AD103" i="2"/>
  <c r="AD101" i="2"/>
  <c r="AD99" i="2"/>
  <c r="AD97" i="2"/>
  <c r="AD93" i="2"/>
  <c r="AD91" i="2"/>
  <c r="AD81" i="2"/>
  <c r="AD134" i="2"/>
  <c r="AD116" i="2"/>
  <c r="AD114" i="2"/>
  <c r="AD108" i="2"/>
  <c r="AD98" i="2"/>
  <c r="AD120" i="2"/>
  <c r="AD76" i="2"/>
  <c r="AD72" i="2"/>
  <c r="AD68" i="2"/>
  <c r="AD66" i="2"/>
  <c r="AD62" i="2"/>
  <c r="AD56" i="2"/>
  <c r="AD52" i="2"/>
  <c r="AD48" i="2"/>
  <c r="AD44" i="2"/>
  <c r="AD40" i="2"/>
  <c r="AD36" i="2"/>
  <c r="AD32" i="2"/>
  <c r="AD111" i="2"/>
  <c r="AD83" i="2"/>
  <c r="AD79" i="2"/>
  <c r="AD73" i="2"/>
  <c r="AD71" i="2"/>
  <c r="AD65" i="2"/>
  <c r="AD61" i="2"/>
  <c r="AD55" i="2"/>
  <c r="AD51" i="2"/>
  <c r="AD47" i="2"/>
  <c r="AD43" i="2"/>
  <c r="AD39" i="2"/>
  <c r="AD131" i="2"/>
  <c r="AD130" i="2"/>
  <c r="AD95" i="2"/>
  <c r="AD70" i="2"/>
  <c r="AD64" i="2"/>
  <c r="AD60" i="2"/>
  <c r="AD58" i="2"/>
  <c r="AD54" i="2"/>
  <c r="AD50" i="2"/>
  <c r="AD46" i="2"/>
  <c r="AD42" i="2"/>
  <c r="AD38" i="2"/>
  <c r="AD31" i="2"/>
  <c r="AD27" i="2"/>
  <c r="AD25" i="2"/>
  <c r="AD21" i="2"/>
  <c r="AD125" i="2"/>
  <c r="AD87" i="2"/>
  <c r="AD86" i="2"/>
  <c r="AD80" i="2"/>
  <c r="AD77" i="2"/>
  <c r="AD75" i="2"/>
  <c r="AD35" i="2"/>
  <c r="AD33" i="2"/>
  <c r="AD30" i="2"/>
  <c r="AD24" i="2"/>
  <c r="AD20" i="2"/>
  <c r="AD109" i="2"/>
  <c r="AD88" i="2"/>
  <c r="AD82" i="2"/>
  <c r="AD63" i="2"/>
  <c r="AD59" i="2"/>
  <c r="AD29" i="2"/>
  <c r="AD23" i="2"/>
  <c r="AD12" i="2"/>
  <c r="AD8" i="2"/>
  <c r="AD4" i="2"/>
  <c r="AD84" i="2"/>
  <c r="AD34" i="2"/>
  <c r="AD18" i="2"/>
  <c r="AD13" i="2"/>
  <c r="AD11" i="2"/>
  <c r="AD67" i="2"/>
  <c r="AD10" i="2"/>
  <c r="AD6" i="2"/>
  <c r="AD57" i="2"/>
  <c r="AD53" i="2"/>
  <c r="AD49" i="2"/>
  <c r="AD45" i="2"/>
  <c r="AD41" i="2"/>
  <c r="AD37" i="2"/>
  <c r="AD22" i="2"/>
  <c r="AD69" i="2"/>
  <c r="AD26" i="2"/>
  <c r="AD28" i="2"/>
  <c r="AD3" i="2"/>
  <c r="AD9" i="2"/>
  <c r="AD17" i="2"/>
  <c r="AD15" i="2"/>
  <c r="AD14" i="2"/>
  <c r="AD16" i="2"/>
  <c r="AB142" i="2"/>
  <c r="AB140" i="2"/>
  <c r="AB131" i="2"/>
  <c r="AB125" i="2"/>
  <c r="AB134" i="2"/>
  <c r="AB130" i="2"/>
  <c r="AB128" i="2"/>
  <c r="AB136" i="2"/>
  <c r="AB123" i="2"/>
  <c r="AB121" i="2"/>
  <c r="AB111" i="2"/>
  <c r="AB109" i="2"/>
  <c r="AB103" i="2"/>
  <c r="AB138" i="2"/>
  <c r="AB120" i="2"/>
  <c r="AB116" i="2"/>
  <c r="AB114" i="2"/>
  <c r="AB108" i="2"/>
  <c r="AB127" i="2"/>
  <c r="AB95" i="2"/>
  <c r="AB87" i="2"/>
  <c r="AB83" i="2"/>
  <c r="AB79" i="2"/>
  <c r="AB118" i="2"/>
  <c r="AB113" i="2"/>
  <c r="AB106" i="2"/>
  <c r="AB104" i="2"/>
  <c r="AB88" i="2"/>
  <c r="AB86" i="2"/>
  <c r="AB101" i="2"/>
  <c r="AB99" i="2"/>
  <c r="AB98" i="2"/>
  <c r="AB97" i="2"/>
  <c r="AB82" i="2"/>
  <c r="AB70" i="2"/>
  <c r="AB64" i="2"/>
  <c r="AB60" i="2"/>
  <c r="AB58" i="2"/>
  <c r="AB54" i="2"/>
  <c r="AB50" i="2"/>
  <c r="AB46" i="2"/>
  <c r="AB42" i="2"/>
  <c r="AB38" i="2"/>
  <c r="AB34" i="2"/>
  <c r="AB84" i="2"/>
  <c r="AB80" i="2"/>
  <c r="AB77" i="2"/>
  <c r="AB75" i="2"/>
  <c r="AB69" i="2"/>
  <c r="AB67" i="2"/>
  <c r="AB63" i="2"/>
  <c r="AB59" i="2"/>
  <c r="AB57" i="2"/>
  <c r="AB53" i="2"/>
  <c r="AB49" i="2"/>
  <c r="AB45" i="2"/>
  <c r="AB41" i="2"/>
  <c r="AB37" i="2"/>
  <c r="AB93" i="2"/>
  <c r="AB29" i="2"/>
  <c r="AB23" i="2"/>
  <c r="AB124" i="2"/>
  <c r="AB91" i="2"/>
  <c r="AB76" i="2"/>
  <c r="AB32" i="2"/>
  <c r="AB28" i="2"/>
  <c r="AB26" i="2"/>
  <c r="AB22" i="2"/>
  <c r="AB18" i="2"/>
  <c r="AB132" i="2"/>
  <c r="AB81" i="2"/>
  <c r="AB73" i="2"/>
  <c r="AB68" i="2"/>
  <c r="AB56" i="2"/>
  <c r="AB55" i="2"/>
  <c r="AB52" i="2"/>
  <c r="AB51" i="2"/>
  <c r="AB48" i="2"/>
  <c r="AB47" i="2"/>
  <c r="AB44" i="2"/>
  <c r="AB43" i="2"/>
  <c r="AB40" i="2"/>
  <c r="AB39" i="2"/>
  <c r="AB36" i="2"/>
  <c r="AB33" i="2"/>
  <c r="AB10" i="2"/>
  <c r="AB6" i="2"/>
  <c r="AB66" i="2"/>
  <c r="AB65" i="2"/>
  <c r="AB62" i="2"/>
  <c r="AB61" i="2"/>
  <c r="AB9" i="2"/>
  <c r="AB3" i="2"/>
  <c r="AB72" i="2"/>
  <c r="AB71" i="2"/>
  <c r="AB35" i="2"/>
  <c r="AB12" i="2"/>
  <c r="AB8" i="2"/>
  <c r="AB4" i="2"/>
  <c r="AB27" i="2"/>
  <c r="AB11" i="2"/>
  <c r="AB21" i="2"/>
  <c r="AB20" i="2"/>
  <c r="AB31" i="2"/>
  <c r="AB30" i="2"/>
  <c r="AB13" i="2"/>
  <c r="AB25" i="2"/>
  <c r="AB24" i="2"/>
  <c r="AB16" i="2"/>
  <c r="AB17" i="2"/>
  <c r="AB15" i="2"/>
  <c r="AB14" i="2"/>
  <c r="W142" i="2"/>
  <c r="W140" i="2"/>
  <c r="W136" i="2"/>
  <c r="W132" i="2"/>
  <c r="W131" i="2"/>
  <c r="W124" i="2"/>
  <c r="W118" i="2"/>
  <c r="W106" i="2"/>
  <c r="W104" i="2"/>
  <c r="W134" i="2"/>
  <c r="W130" i="2"/>
  <c r="W128" i="2"/>
  <c r="W127" i="2"/>
  <c r="W123" i="2"/>
  <c r="W121" i="2"/>
  <c r="W111" i="2"/>
  <c r="W109" i="2"/>
  <c r="W116" i="2"/>
  <c r="W114" i="2"/>
  <c r="W113" i="2"/>
  <c r="W108" i="2"/>
  <c r="W98" i="2"/>
  <c r="W84" i="2"/>
  <c r="W80" i="2"/>
  <c r="W103" i="2"/>
  <c r="W95" i="2"/>
  <c r="W87" i="2"/>
  <c r="W125" i="2"/>
  <c r="W82" i="2"/>
  <c r="W73" i="2"/>
  <c r="W71" i="2"/>
  <c r="W65" i="2"/>
  <c r="W61" i="2"/>
  <c r="W55" i="2"/>
  <c r="W51" i="2"/>
  <c r="W47" i="2"/>
  <c r="W43" i="2"/>
  <c r="W39" i="2"/>
  <c r="W35" i="2"/>
  <c r="W120" i="2"/>
  <c r="W93" i="2"/>
  <c r="W91" i="2"/>
  <c r="W88" i="2"/>
  <c r="W86" i="2"/>
  <c r="W70" i="2"/>
  <c r="W64" i="2"/>
  <c r="W60" i="2"/>
  <c r="W58" i="2"/>
  <c r="W54" i="2"/>
  <c r="W50" i="2"/>
  <c r="W46" i="2"/>
  <c r="W42" i="2"/>
  <c r="W38" i="2"/>
  <c r="W97" i="2"/>
  <c r="W83" i="2"/>
  <c r="W81" i="2"/>
  <c r="W77" i="2"/>
  <c r="W76" i="2"/>
  <c r="W75" i="2"/>
  <c r="W34" i="2"/>
  <c r="W30" i="2"/>
  <c r="W24" i="2"/>
  <c r="W20" i="2"/>
  <c r="W99" i="2"/>
  <c r="W32" i="2"/>
  <c r="W29" i="2"/>
  <c r="W23" i="2"/>
  <c r="W101" i="2"/>
  <c r="W79" i="2"/>
  <c r="W72" i="2"/>
  <c r="W69" i="2"/>
  <c r="W68" i="2"/>
  <c r="W67" i="2"/>
  <c r="W138" i="2"/>
  <c r="W57" i="2"/>
  <c r="W53" i="2"/>
  <c r="W49" i="2"/>
  <c r="W45" i="2"/>
  <c r="W41" i="2"/>
  <c r="W37" i="2"/>
  <c r="W13" i="2"/>
  <c r="W11" i="2"/>
  <c r="W63" i="2"/>
  <c r="W59" i="2"/>
  <c r="W56" i="2"/>
  <c r="W52" i="2"/>
  <c r="W48" i="2"/>
  <c r="W44" i="2"/>
  <c r="W40" i="2"/>
  <c r="W36" i="2"/>
  <c r="W18" i="2"/>
  <c r="W10" i="2"/>
  <c r="W6" i="2"/>
  <c r="W66" i="2"/>
  <c r="W62" i="2"/>
  <c r="W33" i="2"/>
  <c r="W31" i="2"/>
  <c r="W28" i="2"/>
  <c r="W27" i="2"/>
  <c r="W26" i="2"/>
  <c r="W25" i="2"/>
  <c r="W22" i="2"/>
  <c r="W21" i="2"/>
  <c r="W9" i="2"/>
  <c r="W12" i="2"/>
  <c r="W8" i="2"/>
  <c r="W3" i="2"/>
  <c r="W4" i="2"/>
  <c r="W17" i="2"/>
  <c r="W15" i="2"/>
  <c r="W16" i="2"/>
  <c r="W14" i="2"/>
  <c r="Z140" i="2"/>
  <c r="Z138" i="2"/>
  <c r="Z127" i="2"/>
  <c r="Z142" i="2"/>
  <c r="Z136" i="2"/>
  <c r="Z132" i="2"/>
  <c r="Z134" i="2"/>
  <c r="Z130" i="2"/>
  <c r="Z128" i="2"/>
  <c r="Z113" i="2"/>
  <c r="Z131" i="2"/>
  <c r="Z125" i="2"/>
  <c r="Z124" i="2"/>
  <c r="Z118" i="2"/>
  <c r="Z106" i="2"/>
  <c r="Z104" i="2"/>
  <c r="Z111" i="2"/>
  <c r="Z109" i="2"/>
  <c r="Z101" i="2"/>
  <c r="Z99" i="2"/>
  <c r="Z97" i="2"/>
  <c r="Z93" i="2"/>
  <c r="Z91" i="2"/>
  <c r="Z81" i="2"/>
  <c r="Z120" i="2"/>
  <c r="Z98" i="2"/>
  <c r="Z121" i="2"/>
  <c r="Z114" i="2"/>
  <c r="Z88" i="2"/>
  <c r="Z86" i="2"/>
  <c r="Z83" i="2"/>
  <c r="Z79" i="2"/>
  <c r="Z76" i="2"/>
  <c r="Z72" i="2"/>
  <c r="Z68" i="2"/>
  <c r="Z66" i="2"/>
  <c r="Z62" i="2"/>
  <c r="Z56" i="2"/>
  <c r="Z52" i="2"/>
  <c r="Z48" i="2"/>
  <c r="Z44" i="2"/>
  <c r="Z40" i="2"/>
  <c r="Z36" i="2"/>
  <c r="Z32" i="2"/>
  <c r="Z123" i="2"/>
  <c r="Z95" i="2"/>
  <c r="Z87" i="2"/>
  <c r="Z73" i="2"/>
  <c r="Z71" i="2"/>
  <c r="Z65" i="2"/>
  <c r="Z61" i="2"/>
  <c r="Z55" i="2"/>
  <c r="Z51" i="2"/>
  <c r="Z47" i="2"/>
  <c r="Z43" i="2"/>
  <c r="Z39" i="2"/>
  <c r="Z116" i="2"/>
  <c r="Z108" i="2"/>
  <c r="Z103" i="2"/>
  <c r="Z84" i="2"/>
  <c r="Z35" i="2"/>
  <c r="Z33" i="2"/>
  <c r="Z31" i="2"/>
  <c r="Z27" i="2"/>
  <c r="Z25" i="2"/>
  <c r="Z21" i="2"/>
  <c r="Z69" i="2"/>
  <c r="Z67" i="2"/>
  <c r="Z63" i="2"/>
  <c r="Z59" i="2"/>
  <c r="Z57" i="2"/>
  <c r="Z53" i="2"/>
  <c r="Z49" i="2"/>
  <c r="Z45" i="2"/>
  <c r="Z41" i="2"/>
  <c r="Z37" i="2"/>
  <c r="Z30" i="2"/>
  <c r="Z24" i="2"/>
  <c r="Z20" i="2"/>
  <c r="Z80" i="2"/>
  <c r="Z70" i="2"/>
  <c r="Z77" i="2"/>
  <c r="Z64" i="2"/>
  <c r="Z60" i="2"/>
  <c r="Z12" i="2"/>
  <c r="Z8" i="2"/>
  <c r="Z4" i="2"/>
  <c r="Z28" i="2"/>
  <c r="Z26" i="2"/>
  <c r="Z22" i="2"/>
  <c r="Z13" i="2"/>
  <c r="Z11" i="2"/>
  <c r="Z34" i="2"/>
  <c r="Z29" i="2"/>
  <c r="Z23" i="2"/>
  <c r="Z10" i="2"/>
  <c r="Z6" i="2"/>
  <c r="Z9" i="2"/>
  <c r="Z75" i="2"/>
  <c r="Z3" i="2"/>
  <c r="Z18" i="2"/>
  <c r="Z58" i="2"/>
  <c r="Z54" i="2"/>
  <c r="Z50" i="2"/>
  <c r="Z46" i="2"/>
  <c r="Z42" i="2"/>
  <c r="Z38" i="2"/>
  <c r="Z82" i="2"/>
  <c r="Z14" i="2"/>
  <c r="Z17" i="2"/>
  <c r="Z16" i="2"/>
  <c r="Z15" i="2"/>
  <c r="J140" i="2"/>
  <c r="J138" i="2"/>
  <c r="J127" i="2"/>
  <c r="J136" i="2"/>
  <c r="J132" i="2"/>
  <c r="J134" i="2"/>
  <c r="J130" i="2"/>
  <c r="J128" i="2"/>
  <c r="J113" i="2"/>
  <c r="J131" i="2"/>
  <c r="J125" i="2"/>
  <c r="J124" i="2"/>
  <c r="J118" i="2"/>
  <c r="J106" i="2"/>
  <c r="J111" i="2"/>
  <c r="J109" i="2"/>
  <c r="J101" i="2"/>
  <c r="J99" i="2"/>
  <c r="J97" i="2"/>
  <c r="J93" i="2"/>
  <c r="J91" i="2"/>
  <c r="J81" i="2"/>
  <c r="J120" i="2"/>
  <c r="J104" i="2"/>
  <c r="J98" i="2"/>
  <c r="J121" i="2"/>
  <c r="J114" i="2"/>
  <c r="J103" i="2"/>
  <c r="J88" i="2"/>
  <c r="J86" i="2"/>
  <c r="J83" i="2"/>
  <c r="J79" i="2"/>
  <c r="J76" i="2"/>
  <c r="J72" i="2"/>
  <c r="J68" i="2"/>
  <c r="J66" i="2"/>
  <c r="J62" i="2"/>
  <c r="J56" i="2"/>
  <c r="J52" i="2"/>
  <c r="J48" i="2"/>
  <c r="J44" i="2"/>
  <c r="J40" i="2"/>
  <c r="J36" i="2"/>
  <c r="J32" i="2"/>
  <c r="J123" i="2"/>
  <c r="J95" i="2"/>
  <c r="J87" i="2"/>
  <c r="J73" i="2"/>
  <c r="J71" i="2"/>
  <c r="J65" i="2"/>
  <c r="J61" i="2"/>
  <c r="J55" i="2"/>
  <c r="J51" i="2"/>
  <c r="J47" i="2"/>
  <c r="J43" i="2"/>
  <c r="J39" i="2"/>
  <c r="J142" i="2"/>
  <c r="J80" i="2"/>
  <c r="J35" i="2"/>
  <c r="J33" i="2"/>
  <c r="J31" i="2"/>
  <c r="J27" i="2"/>
  <c r="J25" i="2"/>
  <c r="J21" i="2"/>
  <c r="J82" i="2"/>
  <c r="J69" i="2"/>
  <c r="J67" i="2"/>
  <c r="J63" i="2"/>
  <c r="J59" i="2"/>
  <c r="J57" i="2"/>
  <c r="J53" i="2"/>
  <c r="J49" i="2"/>
  <c r="J45" i="2"/>
  <c r="J41" i="2"/>
  <c r="J37" i="2"/>
  <c r="J30" i="2"/>
  <c r="J24" i="2"/>
  <c r="J20" i="2"/>
  <c r="J116" i="2"/>
  <c r="J108" i="2"/>
  <c r="J84" i="2"/>
  <c r="J70" i="2"/>
  <c r="J64" i="2"/>
  <c r="J60" i="2"/>
  <c r="J34" i="2"/>
  <c r="J12" i="2"/>
  <c r="J8" i="2"/>
  <c r="J4" i="2"/>
  <c r="J75" i="2"/>
  <c r="J28" i="2"/>
  <c r="J26" i="2"/>
  <c r="J22" i="2"/>
  <c r="J13" i="2"/>
  <c r="J11" i="2"/>
  <c r="J77" i="2"/>
  <c r="J29" i="2"/>
  <c r="J23" i="2"/>
  <c r="J10" i="2"/>
  <c r="J6" i="2"/>
  <c r="J58" i="2"/>
  <c r="J54" i="2"/>
  <c r="J50" i="2"/>
  <c r="J46" i="2"/>
  <c r="J42" i="2"/>
  <c r="J38" i="2"/>
  <c r="J9" i="2"/>
  <c r="J18" i="2"/>
  <c r="J3" i="2"/>
  <c r="J17" i="2"/>
  <c r="J15" i="2"/>
  <c r="J14" i="2"/>
  <c r="J16" i="2"/>
  <c r="AI142" i="2"/>
  <c r="AI136" i="2"/>
  <c r="AI132" i="2"/>
  <c r="AI138" i="2"/>
  <c r="AI131" i="2"/>
  <c r="AI124" i="2"/>
  <c r="AI118" i="2"/>
  <c r="AI106" i="2"/>
  <c r="AI104" i="2"/>
  <c r="AI140" i="2"/>
  <c r="AI123" i="2"/>
  <c r="AI121" i="2"/>
  <c r="AI111" i="2"/>
  <c r="AI109" i="2"/>
  <c r="AI134" i="2"/>
  <c r="AI120" i="2"/>
  <c r="AI103" i="2"/>
  <c r="AI98" i="2"/>
  <c r="AI84" i="2"/>
  <c r="AI80" i="2"/>
  <c r="AI125" i="2"/>
  <c r="AI95" i="2"/>
  <c r="AI87" i="2"/>
  <c r="AI128" i="2"/>
  <c r="AI127" i="2"/>
  <c r="AI116" i="2"/>
  <c r="AI108" i="2"/>
  <c r="AI73" i="2"/>
  <c r="AI71" i="2"/>
  <c r="AI65" i="2"/>
  <c r="AI61" i="2"/>
  <c r="AI55" i="2"/>
  <c r="AI51" i="2"/>
  <c r="AI47" i="2"/>
  <c r="AI43" i="2"/>
  <c r="AI39" i="2"/>
  <c r="AI35" i="2"/>
  <c r="AI114" i="2"/>
  <c r="AI113" i="2"/>
  <c r="AI101" i="2"/>
  <c r="AI99" i="2"/>
  <c r="AI97" i="2"/>
  <c r="AI83" i="2"/>
  <c r="AI79" i="2"/>
  <c r="AI70" i="2"/>
  <c r="AI64" i="2"/>
  <c r="AI60" i="2"/>
  <c r="AI58" i="2"/>
  <c r="AI54" i="2"/>
  <c r="AI50" i="2"/>
  <c r="AI46" i="2"/>
  <c r="AI42" i="2"/>
  <c r="AI38" i="2"/>
  <c r="AI91" i="2"/>
  <c r="AI86" i="2"/>
  <c r="AI82" i="2"/>
  <c r="AI72" i="2"/>
  <c r="AI69" i="2"/>
  <c r="AI68" i="2"/>
  <c r="AI67" i="2"/>
  <c r="AI66" i="2"/>
  <c r="AI63" i="2"/>
  <c r="AI62" i="2"/>
  <c r="AI59" i="2"/>
  <c r="AI57" i="2"/>
  <c r="AI56" i="2"/>
  <c r="AI53" i="2"/>
  <c r="AI52" i="2"/>
  <c r="AI49" i="2"/>
  <c r="AI48" i="2"/>
  <c r="AI45" i="2"/>
  <c r="AI44" i="2"/>
  <c r="AI41" i="2"/>
  <c r="AI40" i="2"/>
  <c r="AI37" i="2"/>
  <c r="AI36" i="2"/>
  <c r="AI32" i="2"/>
  <c r="AI30" i="2"/>
  <c r="AI24" i="2"/>
  <c r="AI20" i="2"/>
  <c r="AI88" i="2"/>
  <c r="AI33" i="2"/>
  <c r="AI29" i="2"/>
  <c r="AI23" i="2"/>
  <c r="AI77" i="2"/>
  <c r="AI76" i="2"/>
  <c r="AI75" i="2"/>
  <c r="AI93" i="2"/>
  <c r="AI81" i="2"/>
  <c r="AI31" i="2"/>
  <c r="AI28" i="2"/>
  <c r="AI27" i="2"/>
  <c r="AI26" i="2"/>
  <c r="AI25" i="2"/>
  <c r="AI22" i="2"/>
  <c r="AI21" i="2"/>
  <c r="AI13" i="2"/>
  <c r="AI11" i="2"/>
  <c r="AI130" i="2"/>
  <c r="AI10" i="2"/>
  <c r="AI6" i="2"/>
  <c r="AI18" i="2"/>
  <c r="AI9" i="2"/>
  <c r="AI3" i="2"/>
  <c r="AI34" i="2"/>
  <c r="AI4" i="2"/>
  <c r="AI12" i="2"/>
  <c r="AI8" i="2"/>
  <c r="AI17" i="2"/>
  <c r="AI14" i="2"/>
  <c r="AI15" i="2"/>
  <c r="AI16" i="2"/>
  <c r="BF140" i="2"/>
  <c r="BF138" i="2"/>
  <c r="BF127" i="2"/>
  <c r="BF136" i="2"/>
  <c r="BF132" i="2"/>
  <c r="BF134" i="2"/>
  <c r="BF130" i="2"/>
  <c r="BF128" i="2"/>
  <c r="BF113" i="2"/>
  <c r="BF142" i="2"/>
  <c r="BF131" i="2"/>
  <c r="BF125" i="2"/>
  <c r="BF118" i="2"/>
  <c r="BF106" i="2"/>
  <c r="BF104" i="2"/>
  <c r="BF111" i="2"/>
  <c r="BF109" i="2"/>
  <c r="BF101" i="2"/>
  <c r="BF99" i="2"/>
  <c r="BF97" i="2"/>
  <c r="BF93" i="2"/>
  <c r="BF91" i="2"/>
  <c r="BF81" i="2"/>
  <c r="BF124" i="2"/>
  <c r="BF120" i="2"/>
  <c r="BF98" i="2"/>
  <c r="BF121" i="2"/>
  <c r="BF114" i="2"/>
  <c r="BF88" i="2"/>
  <c r="BF86" i="2"/>
  <c r="BF83" i="2"/>
  <c r="BF79" i="2"/>
  <c r="BF76" i="2"/>
  <c r="BF72" i="2"/>
  <c r="BF68" i="2"/>
  <c r="BF66" i="2"/>
  <c r="BF62" i="2"/>
  <c r="BF56" i="2"/>
  <c r="BF52" i="2"/>
  <c r="BF48" i="2"/>
  <c r="BF44" i="2"/>
  <c r="BF40" i="2"/>
  <c r="BF36" i="2"/>
  <c r="BF32" i="2"/>
  <c r="BF123" i="2"/>
  <c r="BF95" i="2"/>
  <c r="BF87" i="2"/>
  <c r="BF73" i="2"/>
  <c r="BF71" i="2"/>
  <c r="BF65" i="2"/>
  <c r="BF61" i="2"/>
  <c r="BF55" i="2"/>
  <c r="BF51" i="2"/>
  <c r="BF47" i="2"/>
  <c r="BF43" i="2"/>
  <c r="BF39" i="2"/>
  <c r="BF35" i="2"/>
  <c r="BF116" i="2"/>
  <c r="BF108" i="2"/>
  <c r="BF84" i="2"/>
  <c r="BF33" i="2"/>
  <c r="BF31" i="2"/>
  <c r="BF27" i="2"/>
  <c r="BF25" i="2"/>
  <c r="BF21" i="2"/>
  <c r="BF69" i="2"/>
  <c r="BF67" i="2"/>
  <c r="BF63" i="2"/>
  <c r="BF59" i="2"/>
  <c r="BF57" i="2"/>
  <c r="BF53" i="2"/>
  <c r="BF49" i="2"/>
  <c r="BF45" i="2"/>
  <c r="BF41" i="2"/>
  <c r="BF37" i="2"/>
  <c r="BF30" i="2"/>
  <c r="BF24" i="2"/>
  <c r="BF20" i="2"/>
  <c r="BF103" i="2"/>
  <c r="BF80" i="2"/>
  <c r="BF70" i="2"/>
  <c r="BF82" i="2"/>
  <c r="BF77" i="2"/>
  <c r="BF64" i="2"/>
  <c r="BF60" i="2"/>
  <c r="BF12" i="2"/>
  <c r="BF8" i="2"/>
  <c r="BF4" i="2"/>
  <c r="BF28" i="2"/>
  <c r="BF26" i="2"/>
  <c r="BF22" i="2"/>
  <c r="BF13" i="2"/>
  <c r="BF11" i="2"/>
  <c r="BF34" i="2"/>
  <c r="BF29" i="2"/>
  <c r="BF23" i="2"/>
  <c r="BF10" i="2"/>
  <c r="BF6" i="2"/>
  <c r="BF75" i="2"/>
  <c r="BF9" i="2"/>
  <c r="BF3" i="2"/>
  <c r="BF58" i="2"/>
  <c r="BF54" i="2"/>
  <c r="BF50" i="2"/>
  <c r="BF46" i="2"/>
  <c r="BF42" i="2"/>
  <c r="BF38" i="2"/>
  <c r="BF18" i="2"/>
  <c r="BF15" i="2"/>
  <c r="BF17" i="2"/>
  <c r="BF16" i="2"/>
  <c r="BF14" i="2"/>
  <c r="AH140" i="2"/>
  <c r="AH138" i="2"/>
  <c r="AH142" i="2"/>
  <c r="AH127" i="2"/>
  <c r="AH136" i="2"/>
  <c r="AH132" i="2"/>
  <c r="AH134" i="2"/>
  <c r="AH130" i="2"/>
  <c r="AH128" i="2"/>
  <c r="AH113" i="2"/>
  <c r="AH131" i="2"/>
  <c r="AH124" i="2"/>
  <c r="AH118" i="2"/>
  <c r="AH106" i="2"/>
  <c r="AH104" i="2"/>
  <c r="AH111" i="2"/>
  <c r="AH109" i="2"/>
  <c r="AH101" i="2"/>
  <c r="AH99" i="2"/>
  <c r="AH97" i="2"/>
  <c r="AH93" i="2"/>
  <c r="AH91" i="2"/>
  <c r="AH81" i="2"/>
  <c r="AH120" i="2"/>
  <c r="AH103" i="2"/>
  <c r="AH98" i="2"/>
  <c r="AH88" i="2"/>
  <c r="AH86" i="2"/>
  <c r="AH84" i="2"/>
  <c r="AH82" i="2"/>
  <c r="AH80" i="2"/>
  <c r="AH76" i="2"/>
  <c r="AH72" i="2"/>
  <c r="AH68" i="2"/>
  <c r="AH66" i="2"/>
  <c r="AH62" i="2"/>
  <c r="AH56" i="2"/>
  <c r="AH52" i="2"/>
  <c r="AH48" i="2"/>
  <c r="AH44" i="2"/>
  <c r="AH40" i="2"/>
  <c r="AH36" i="2"/>
  <c r="AH32" i="2"/>
  <c r="AH116" i="2"/>
  <c r="AH108" i="2"/>
  <c r="AH95" i="2"/>
  <c r="AH87" i="2"/>
  <c r="AH73" i="2"/>
  <c r="AH71" i="2"/>
  <c r="AH65" i="2"/>
  <c r="AH61" i="2"/>
  <c r="AH55" i="2"/>
  <c r="AH51" i="2"/>
  <c r="AH47" i="2"/>
  <c r="AH43" i="2"/>
  <c r="AH39" i="2"/>
  <c r="AH125" i="2"/>
  <c r="AH123" i="2"/>
  <c r="AH83" i="2"/>
  <c r="AH34" i="2"/>
  <c r="AH31" i="2"/>
  <c r="AH27" i="2"/>
  <c r="AH25" i="2"/>
  <c r="AH21" i="2"/>
  <c r="AH69" i="2"/>
  <c r="AH67" i="2"/>
  <c r="AH63" i="2"/>
  <c r="AH59" i="2"/>
  <c r="AH57" i="2"/>
  <c r="AH53" i="2"/>
  <c r="AH49" i="2"/>
  <c r="AH45" i="2"/>
  <c r="AH41" i="2"/>
  <c r="AH37" i="2"/>
  <c r="AH30" i="2"/>
  <c r="AH24" i="2"/>
  <c r="AH20" i="2"/>
  <c r="AH114" i="2"/>
  <c r="AH79" i="2"/>
  <c r="AH70" i="2"/>
  <c r="AH12" i="2"/>
  <c r="AH8" i="2"/>
  <c r="AH4" i="2"/>
  <c r="AH58" i="2"/>
  <c r="AH54" i="2"/>
  <c r="AH50" i="2"/>
  <c r="AH46" i="2"/>
  <c r="AH42" i="2"/>
  <c r="AH38" i="2"/>
  <c r="AH28" i="2"/>
  <c r="AH26" i="2"/>
  <c r="AH22" i="2"/>
  <c r="AH13" i="2"/>
  <c r="AH11" i="2"/>
  <c r="AH75" i="2"/>
  <c r="AH64" i="2"/>
  <c r="AH60" i="2"/>
  <c r="AH33" i="2"/>
  <c r="AH29" i="2"/>
  <c r="AH23" i="2"/>
  <c r="AH10" i="2"/>
  <c r="AH6" i="2"/>
  <c r="AH121" i="2"/>
  <c r="AH77" i="2"/>
  <c r="AH18" i="2"/>
  <c r="AH35" i="2"/>
  <c r="AH9" i="2"/>
  <c r="AH3" i="2"/>
  <c r="AH17" i="2"/>
  <c r="AH15" i="2"/>
  <c r="AH14" i="2"/>
  <c r="AH16" i="2"/>
  <c r="AW142" i="2"/>
  <c r="AW140" i="2"/>
  <c r="AW134" i="2"/>
  <c r="AW130" i="2"/>
  <c r="AW128" i="2"/>
  <c r="AW127" i="2"/>
  <c r="AW125" i="2"/>
  <c r="AW120" i="2"/>
  <c r="AW116" i="2"/>
  <c r="AW114" i="2"/>
  <c r="AW108" i="2"/>
  <c r="AW138" i="2"/>
  <c r="AW136" i="2"/>
  <c r="AW113" i="2"/>
  <c r="AW124" i="2"/>
  <c r="AW88" i="2"/>
  <c r="AW86" i="2"/>
  <c r="AW82" i="2"/>
  <c r="AW111" i="2"/>
  <c r="AW109" i="2"/>
  <c r="AW101" i="2"/>
  <c r="AW99" i="2"/>
  <c r="AW97" i="2"/>
  <c r="AW93" i="2"/>
  <c r="AW91" i="2"/>
  <c r="AW131" i="2"/>
  <c r="AW123" i="2"/>
  <c r="AW104" i="2"/>
  <c r="AW77" i="2"/>
  <c r="AW75" i="2"/>
  <c r="AW69" i="2"/>
  <c r="AW67" i="2"/>
  <c r="AW63" i="2"/>
  <c r="AW59" i="2"/>
  <c r="AW57" i="2"/>
  <c r="AW53" i="2"/>
  <c r="AW49" i="2"/>
  <c r="AW45" i="2"/>
  <c r="AW41" i="2"/>
  <c r="AW37" i="2"/>
  <c r="AW33" i="2"/>
  <c r="AW118" i="2"/>
  <c r="AW106" i="2"/>
  <c r="AW103" i="2"/>
  <c r="AW98" i="2"/>
  <c r="AW84" i="2"/>
  <c r="AW80" i="2"/>
  <c r="AW76" i="2"/>
  <c r="AW72" i="2"/>
  <c r="AW68" i="2"/>
  <c r="AW66" i="2"/>
  <c r="AW62" i="2"/>
  <c r="AW56" i="2"/>
  <c r="AW52" i="2"/>
  <c r="AW48" i="2"/>
  <c r="AW44" i="2"/>
  <c r="AW40" i="2"/>
  <c r="AW36" i="2"/>
  <c r="AW87" i="2"/>
  <c r="AW73" i="2"/>
  <c r="AW71" i="2"/>
  <c r="AW65" i="2"/>
  <c r="AW61" i="2"/>
  <c r="AW55" i="2"/>
  <c r="AW51" i="2"/>
  <c r="AW47" i="2"/>
  <c r="AW43" i="2"/>
  <c r="AW39" i="2"/>
  <c r="AW35" i="2"/>
  <c r="AW28" i="2"/>
  <c r="AW26" i="2"/>
  <c r="AW22" i="2"/>
  <c r="AW18" i="2"/>
  <c r="AW132" i="2"/>
  <c r="AW79" i="2"/>
  <c r="AW34" i="2"/>
  <c r="AW32" i="2"/>
  <c r="AW31" i="2"/>
  <c r="AW27" i="2"/>
  <c r="AW25" i="2"/>
  <c r="AW21" i="2"/>
  <c r="AW121" i="2"/>
  <c r="AW81" i="2"/>
  <c r="AW70" i="2"/>
  <c r="AW30" i="2"/>
  <c r="AW24" i="2"/>
  <c r="AW20" i="2"/>
  <c r="AW9" i="2"/>
  <c r="AW3" i="2"/>
  <c r="AW12" i="2"/>
  <c r="AW8" i="2"/>
  <c r="AW4" i="2"/>
  <c r="AW95" i="2"/>
  <c r="AW83" i="2"/>
  <c r="AW58" i="2"/>
  <c r="AW54" i="2"/>
  <c r="AW50" i="2"/>
  <c r="AW46" i="2"/>
  <c r="AW42" i="2"/>
  <c r="AW38" i="2"/>
  <c r="AW13" i="2"/>
  <c r="AW11" i="2"/>
  <c r="AW64" i="2"/>
  <c r="AW29" i="2"/>
  <c r="AW6" i="2"/>
  <c r="AW23" i="2"/>
  <c r="AW60" i="2"/>
  <c r="AW10" i="2"/>
  <c r="AW15" i="2"/>
  <c r="AW14" i="2"/>
  <c r="AW17" i="2"/>
  <c r="AW16" i="2"/>
  <c r="Q140" i="2"/>
  <c r="Q134" i="2"/>
  <c r="Q130" i="2"/>
  <c r="Q128" i="2"/>
  <c r="Q127" i="2"/>
  <c r="Q142" i="2"/>
  <c r="Q125" i="2"/>
  <c r="Q120" i="2"/>
  <c r="Q116" i="2"/>
  <c r="Q114" i="2"/>
  <c r="Q108" i="2"/>
  <c r="Q138" i="2"/>
  <c r="Q136" i="2"/>
  <c r="Q113" i="2"/>
  <c r="Q124" i="2"/>
  <c r="Q104" i="2"/>
  <c r="Q88" i="2"/>
  <c r="Q86" i="2"/>
  <c r="Q82" i="2"/>
  <c r="Q111" i="2"/>
  <c r="Q109" i="2"/>
  <c r="Q101" i="2"/>
  <c r="Q99" i="2"/>
  <c r="Q97" i="2"/>
  <c r="Q93" i="2"/>
  <c r="Q91" i="2"/>
  <c r="Q131" i="2"/>
  <c r="Q123" i="2"/>
  <c r="Q77" i="2"/>
  <c r="Q75" i="2"/>
  <c r="Q69" i="2"/>
  <c r="Q67" i="2"/>
  <c r="Q63" i="2"/>
  <c r="Q59" i="2"/>
  <c r="Q57" i="2"/>
  <c r="Q53" i="2"/>
  <c r="Q49" i="2"/>
  <c r="Q45" i="2"/>
  <c r="Q41" i="2"/>
  <c r="Q37" i="2"/>
  <c r="Q33" i="2"/>
  <c r="Q118" i="2"/>
  <c r="Q106" i="2"/>
  <c r="Q103" i="2"/>
  <c r="Q98" i="2"/>
  <c r="Q84" i="2"/>
  <c r="Q80" i="2"/>
  <c r="Q76" i="2"/>
  <c r="Q72" i="2"/>
  <c r="Q68" i="2"/>
  <c r="Q66" i="2"/>
  <c r="Q62" i="2"/>
  <c r="Q56" i="2"/>
  <c r="Q52" i="2"/>
  <c r="Q48" i="2"/>
  <c r="Q44" i="2"/>
  <c r="Q40" i="2"/>
  <c r="Q36" i="2"/>
  <c r="Q87" i="2"/>
  <c r="Q73" i="2"/>
  <c r="Q71" i="2"/>
  <c r="Q65" i="2"/>
  <c r="Q61" i="2"/>
  <c r="Q55" i="2"/>
  <c r="Q51" i="2"/>
  <c r="Q47" i="2"/>
  <c r="Q43" i="2"/>
  <c r="Q39" i="2"/>
  <c r="Q28" i="2"/>
  <c r="Q26" i="2"/>
  <c r="Q22" i="2"/>
  <c r="Q18" i="2"/>
  <c r="Q79" i="2"/>
  <c r="Q34" i="2"/>
  <c r="Q32" i="2"/>
  <c r="Q31" i="2"/>
  <c r="Q27" i="2"/>
  <c r="Q25" i="2"/>
  <c r="Q21" i="2"/>
  <c r="Q121" i="2"/>
  <c r="Q81" i="2"/>
  <c r="Q95" i="2"/>
  <c r="Q70" i="2"/>
  <c r="Q30" i="2"/>
  <c r="Q24" i="2"/>
  <c r="Q20" i="2"/>
  <c r="Q9" i="2"/>
  <c r="Q3" i="2"/>
  <c r="Q132" i="2"/>
  <c r="Q83" i="2"/>
  <c r="Q12" i="2"/>
  <c r="Q8" i="2"/>
  <c r="Q4" i="2"/>
  <c r="Q58" i="2"/>
  <c r="Q54" i="2"/>
  <c r="Q50" i="2"/>
  <c r="Q46" i="2"/>
  <c r="Q42" i="2"/>
  <c r="Q38" i="2"/>
  <c r="Q35" i="2"/>
  <c r="Q13" i="2"/>
  <c r="Q11" i="2"/>
  <c r="Q60" i="2"/>
  <c r="Q29" i="2"/>
  <c r="Q6" i="2"/>
  <c r="Q23" i="2"/>
  <c r="Q64" i="2"/>
  <c r="Q10" i="2"/>
  <c r="Q17" i="2"/>
  <c r="Q14" i="2"/>
  <c r="Q16" i="2"/>
  <c r="Q15" i="2"/>
  <c r="AG140" i="2"/>
  <c r="AG134" i="2"/>
  <c r="AG130" i="2"/>
  <c r="AG128" i="2"/>
  <c r="AG142" i="2"/>
  <c r="AG127" i="2"/>
  <c r="AG125" i="2"/>
  <c r="AG120" i="2"/>
  <c r="AG116" i="2"/>
  <c r="AG114" i="2"/>
  <c r="AG108" i="2"/>
  <c r="AG136" i="2"/>
  <c r="AG113" i="2"/>
  <c r="AG138" i="2"/>
  <c r="AG124" i="2"/>
  <c r="AG88" i="2"/>
  <c r="AG86" i="2"/>
  <c r="AG82" i="2"/>
  <c r="AG111" i="2"/>
  <c r="AG109" i="2"/>
  <c r="AG101" i="2"/>
  <c r="AG99" i="2"/>
  <c r="AG97" i="2"/>
  <c r="AG93" i="2"/>
  <c r="AG91" i="2"/>
  <c r="AG123" i="2"/>
  <c r="AG104" i="2"/>
  <c r="AG77" i="2"/>
  <c r="AG75" i="2"/>
  <c r="AG69" i="2"/>
  <c r="AG67" i="2"/>
  <c r="AG63" i="2"/>
  <c r="AG59" i="2"/>
  <c r="AG57" i="2"/>
  <c r="AG53" i="2"/>
  <c r="AG49" i="2"/>
  <c r="AG45" i="2"/>
  <c r="AG41" i="2"/>
  <c r="AG37" i="2"/>
  <c r="AG33" i="2"/>
  <c r="AG132" i="2"/>
  <c r="AG118" i="2"/>
  <c r="AG106" i="2"/>
  <c r="AG98" i="2"/>
  <c r="AG84" i="2"/>
  <c r="AG80" i="2"/>
  <c r="AG76" i="2"/>
  <c r="AG72" i="2"/>
  <c r="AG68" i="2"/>
  <c r="AG66" i="2"/>
  <c r="AG62" i="2"/>
  <c r="AG56" i="2"/>
  <c r="AG52" i="2"/>
  <c r="AG48" i="2"/>
  <c r="AG44" i="2"/>
  <c r="AG40" i="2"/>
  <c r="AG36" i="2"/>
  <c r="AG121" i="2"/>
  <c r="AG87" i="2"/>
  <c r="AG81" i="2"/>
  <c r="AG73" i="2"/>
  <c r="AG71" i="2"/>
  <c r="AG65" i="2"/>
  <c r="AG61" i="2"/>
  <c r="AG55" i="2"/>
  <c r="AG51" i="2"/>
  <c r="AG47" i="2"/>
  <c r="AG43" i="2"/>
  <c r="AG39" i="2"/>
  <c r="AG28" i="2"/>
  <c r="AG26" i="2"/>
  <c r="AG22" i="2"/>
  <c r="AG18" i="2"/>
  <c r="AG83" i="2"/>
  <c r="AG34" i="2"/>
  <c r="AG32" i="2"/>
  <c r="AG31" i="2"/>
  <c r="AG27" i="2"/>
  <c r="AG25" i="2"/>
  <c r="AG21" i="2"/>
  <c r="AG103" i="2"/>
  <c r="AG35" i="2"/>
  <c r="AG30" i="2"/>
  <c r="AG24" i="2"/>
  <c r="AG20" i="2"/>
  <c r="AG9" i="2"/>
  <c r="AG3" i="2"/>
  <c r="AG79" i="2"/>
  <c r="AG12" i="2"/>
  <c r="AG8" i="2"/>
  <c r="AG4" i="2"/>
  <c r="AG70" i="2"/>
  <c r="AG58" i="2"/>
  <c r="AG54" i="2"/>
  <c r="AG50" i="2"/>
  <c r="AG46" i="2"/>
  <c r="AG42" i="2"/>
  <c r="AG38" i="2"/>
  <c r="AG13" i="2"/>
  <c r="AG11" i="2"/>
  <c r="AG131" i="2"/>
  <c r="AG95" i="2"/>
  <c r="AG6" i="2"/>
  <c r="AG64" i="2"/>
  <c r="AG29" i="2"/>
  <c r="AG23" i="2"/>
  <c r="AG10" i="2"/>
  <c r="AG60" i="2"/>
  <c r="AG17" i="2"/>
  <c r="AG14" i="2"/>
  <c r="AG15" i="2"/>
  <c r="AG16" i="2"/>
  <c r="AZ2" i="2"/>
  <c r="AU2" i="2"/>
  <c r="Y2" i="2"/>
  <c r="BA2" i="2"/>
  <c r="AF2" i="2"/>
  <c r="AA2" i="2"/>
  <c r="AK2" i="2"/>
  <c r="M2" i="2"/>
  <c r="BH2" i="2"/>
  <c r="BC2" i="2"/>
  <c r="AO2" i="2"/>
  <c r="BJ2" i="2"/>
  <c r="AN2" i="2"/>
  <c r="H2" i="2"/>
  <c r="R2" i="2"/>
  <c r="BM2" i="2"/>
  <c r="AJ2" i="2"/>
  <c r="BK2" i="2"/>
  <c r="AE2" i="2"/>
  <c r="BE2" i="2"/>
  <c r="AT2" i="2"/>
  <c r="U2" i="2"/>
  <c r="AC2" i="2"/>
  <c r="AV2" i="2"/>
  <c r="P2" i="2"/>
  <c r="AQ2" i="2"/>
  <c r="K2" i="2"/>
  <c r="BB2" i="2"/>
  <c r="BI2" i="2"/>
  <c r="F2" i="2"/>
  <c r="AR2" i="2"/>
  <c r="L2" i="2"/>
  <c r="AM2" i="2"/>
  <c r="G2" i="2"/>
  <c r="I2" i="2"/>
  <c r="AS2" i="2"/>
  <c r="AL2" i="2"/>
  <c r="BD2" i="2"/>
  <c r="X2" i="2"/>
  <c r="AY2" i="2"/>
  <c r="S2" i="2"/>
  <c r="N2" i="2"/>
  <c r="AP2" i="2"/>
  <c r="AX2" i="2"/>
  <c r="T2" i="2"/>
  <c r="O2" i="2"/>
  <c r="V2" i="2"/>
  <c r="BL2" i="2"/>
  <c r="BG2" i="2"/>
  <c r="AD2" i="2"/>
  <c r="AB2" i="2"/>
  <c r="W2" i="2"/>
  <c r="Z2" i="2"/>
  <c r="J2" i="2"/>
  <c r="AI2" i="2"/>
  <c r="BF2" i="2"/>
  <c r="AH2" i="2"/>
  <c r="AW2" i="2"/>
  <c r="Q2" i="2"/>
  <c r="AG2" i="2"/>
  <c r="AZ126" i="3"/>
  <c r="AZ129" i="3"/>
  <c r="AZ122" i="3"/>
  <c r="AZ110" i="3"/>
  <c r="AZ117" i="3"/>
  <c r="AZ105" i="3"/>
  <c r="AZ78" i="3"/>
  <c r="AU107" i="3"/>
  <c r="AU122" i="3"/>
  <c r="AU110" i="3"/>
  <c r="AU115" i="3"/>
  <c r="AU92" i="3"/>
  <c r="Y115" i="3"/>
  <c r="Y94" i="3"/>
  <c r="Y137" i="3"/>
  <c r="Y105" i="3"/>
  <c r="Y107" i="3"/>
  <c r="BA129" i="3"/>
  <c r="BA126" i="3"/>
  <c r="BA94" i="3"/>
  <c r="BA112" i="3"/>
  <c r="BA137" i="3"/>
  <c r="BA85" i="3"/>
  <c r="AF94" i="3"/>
  <c r="AF107" i="3"/>
  <c r="AA133" i="3"/>
  <c r="AA126" i="3"/>
  <c r="AA107" i="3"/>
  <c r="AA102" i="3"/>
  <c r="AA94" i="3"/>
  <c r="AA115" i="3"/>
  <c r="AK117" i="3"/>
  <c r="AK92" i="3"/>
  <c r="AK110" i="3"/>
  <c r="M117" i="3"/>
  <c r="M102" i="3"/>
  <c r="BH115" i="3"/>
  <c r="BH105" i="3"/>
  <c r="BH102" i="3"/>
  <c r="BH137" i="3"/>
  <c r="BH94" i="3"/>
  <c r="BH92" i="3"/>
  <c r="BC122" i="3"/>
  <c r="BC110" i="3"/>
  <c r="BC117" i="3"/>
  <c r="BC78" i="3"/>
  <c r="BC100" i="3"/>
  <c r="AO133" i="3"/>
  <c r="AO112" i="3"/>
  <c r="AO102" i="3"/>
  <c r="AO107" i="3"/>
  <c r="BJ141" i="3"/>
  <c r="BJ133" i="3"/>
  <c r="BJ92" i="3"/>
  <c r="BJ117" i="3"/>
  <c r="BJ110" i="3"/>
  <c r="AN141" i="3"/>
  <c r="AN129" i="3"/>
  <c r="AN112" i="3"/>
  <c r="AN115" i="3"/>
  <c r="AN102" i="3"/>
  <c r="H137" i="3"/>
  <c r="H102" i="3"/>
  <c r="R107" i="3"/>
  <c r="R112" i="3"/>
  <c r="R102" i="3"/>
  <c r="BM92" i="3"/>
  <c r="BM133" i="3"/>
  <c r="BM85" i="3"/>
  <c r="BM141" i="3"/>
  <c r="AJ126" i="3"/>
  <c r="AJ129" i="3"/>
  <c r="AJ105" i="3"/>
  <c r="AJ94" i="3"/>
  <c r="BK107" i="3"/>
  <c r="BK112" i="3"/>
  <c r="BK117" i="3"/>
  <c r="BK92" i="3"/>
  <c r="AE133" i="3"/>
  <c r="AE117" i="3"/>
  <c r="AE137" i="3"/>
  <c r="AE100" i="3"/>
  <c r="BE133" i="3"/>
  <c r="BE92" i="3"/>
  <c r="AT92" i="3"/>
  <c r="AT126" i="3"/>
  <c r="AT115" i="3"/>
  <c r="AT85" i="3"/>
  <c r="U126" i="3"/>
  <c r="U107" i="3"/>
  <c r="U105" i="3"/>
  <c r="U100" i="3"/>
  <c r="U78" i="3"/>
  <c r="U85" i="3"/>
  <c r="AC141" i="3"/>
  <c r="AC100" i="3"/>
  <c r="AC137" i="3"/>
  <c r="AC110" i="3"/>
  <c r="AV92" i="3"/>
  <c r="AV137" i="3"/>
  <c r="AV102" i="3"/>
  <c r="P133" i="3"/>
  <c r="P122" i="3"/>
  <c r="P110" i="3"/>
  <c r="P105" i="3"/>
  <c r="P94" i="3"/>
  <c r="P137" i="3"/>
  <c r="P100" i="3"/>
  <c r="AQ133" i="3"/>
  <c r="AQ141" i="3"/>
  <c r="AQ105" i="3"/>
  <c r="AQ85" i="3"/>
  <c r="AQ102" i="3"/>
  <c r="AQ115" i="3"/>
  <c r="AQ94" i="3"/>
  <c r="K126" i="3"/>
  <c r="K107" i="3"/>
  <c r="K100" i="3"/>
  <c r="K117" i="3"/>
  <c r="K92" i="3"/>
  <c r="K78" i="3"/>
  <c r="BB133" i="3"/>
  <c r="BB105" i="3"/>
  <c r="BB92" i="3"/>
  <c r="BB110" i="3"/>
  <c r="BB85" i="3"/>
  <c r="BB137" i="3"/>
  <c r="BI105" i="3"/>
  <c r="BI100" i="3"/>
  <c r="BI137" i="3"/>
  <c r="F133" i="3"/>
  <c r="F141" i="3"/>
  <c r="F85" i="3"/>
  <c r="F117" i="3"/>
  <c r="F112" i="3"/>
  <c r="F137" i="3"/>
  <c r="AR112" i="3"/>
  <c r="AR92" i="3"/>
  <c r="L126" i="3"/>
  <c r="L85" i="3"/>
  <c r="L78" i="3"/>
  <c r="AM107" i="3"/>
  <c r="AM141" i="3"/>
  <c r="AM129" i="3"/>
  <c r="AM122" i="3"/>
  <c r="AM110" i="3"/>
  <c r="AM117" i="3"/>
  <c r="AM102" i="3"/>
  <c r="G105" i="3"/>
  <c r="G112" i="3"/>
  <c r="G126" i="3"/>
  <c r="G115" i="3"/>
  <c r="G137" i="3"/>
  <c r="I92" i="3"/>
  <c r="I137" i="3"/>
  <c r="I126" i="3"/>
  <c r="I85" i="3"/>
  <c r="AS129" i="3"/>
  <c r="AS117" i="3"/>
  <c r="AS105" i="3"/>
  <c r="AS100" i="3"/>
  <c r="AL107" i="3"/>
  <c r="AL94" i="3"/>
  <c r="AL129" i="3"/>
  <c r="AL78" i="3"/>
  <c r="BD126" i="3"/>
  <c r="BD133" i="3"/>
  <c r="BD115" i="3"/>
  <c r="X115" i="3"/>
  <c r="X137" i="3"/>
  <c r="X105" i="3"/>
  <c r="AY133" i="3"/>
  <c r="AY122" i="3"/>
  <c r="AY110" i="3"/>
  <c r="S141" i="3"/>
  <c r="S112" i="3"/>
  <c r="S85" i="3"/>
  <c r="S102" i="3"/>
  <c r="S92" i="3"/>
  <c r="S137" i="3"/>
  <c r="S94" i="3"/>
  <c r="N141" i="3"/>
  <c r="N133" i="3"/>
  <c r="N92" i="3"/>
  <c r="N126" i="3"/>
  <c r="N115" i="3"/>
  <c r="N110" i="3"/>
  <c r="AP105" i="3"/>
  <c r="AP110" i="3"/>
  <c r="AP100" i="3"/>
  <c r="AP115" i="3"/>
  <c r="AP117" i="3"/>
  <c r="AX94" i="3"/>
  <c r="T126" i="3"/>
  <c r="T129" i="3"/>
  <c r="T122" i="3"/>
  <c r="T110" i="3"/>
  <c r="T117" i="3"/>
  <c r="T102" i="3"/>
  <c r="O107" i="3"/>
  <c r="O122" i="3"/>
  <c r="O110" i="3"/>
  <c r="O115" i="3"/>
  <c r="O92" i="3"/>
  <c r="O137" i="3"/>
  <c r="V107" i="3"/>
  <c r="V94" i="3"/>
  <c r="V117" i="3"/>
  <c r="V112" i="3"/>
  <c r="V78" i="3"/>
  <c r="BL126" i="3"/>
  <c r="BL137" i="3"/>
  <c r="BL85" i="3"/>
  <c r="BG112" i="3"/>
  <c r="BG85" i="3"/>
  <c r="BG94" i="3"/>
  <c r="BG137" i="3"/>
  <c r="AD141" i="3"/>
  <c r="AD133" i="3"/>
  <c r="AD122" i="3"/>
  <c r="AD94" i="3"/>
  <c r="AD115" i="3"/>
  <c r="AD78" i="3"/>
  <c r="AD110" i="3"/>
  <c r="AB85" i="3"/>
  <c r="AB78" i="3"/>
  <c r="W105" i="3"/>
  <c r="W129" i="3"/>
  <c r="W122" i="3"/>
  <c r="W110" i="3"/>
  <c r="W115" i="3"/>
  <c r="W78" i="3"/>
  <c r="W100" i="3"/>
  <c r="W141" i="3"/>
  <c r="Z105" i="3"/>
  <c r="Z110" i="3"/>
  <c r="Z100" i="3"/>
  <c r="Z115" i="3"/>
  <c r="J92" i="3"/>
  <c r="J105" i="3"/>
  <c r="J137" i="3"/>
  <c r="AI141" i="3"/>
  <c r="AI126" i="3"/>
  <c r="AI129" i="3"/>
  <c r="AI115" i="3"/>
  <c r="AI78" i="3"/>
  <c r="AI94" i="3"/>
  <c r="BF126" i="3"/>
  <c r="BF94" i="3"/>
  <c r="BF122" i="3"/>
  <c r="BF85" i="3"/>
  <c r="BF137" i="3"/>
  <c r="AH107" i="3"/>
  <c r="AH112" i="3"/>
  <c r="AH102" i="3"/>
  <c r="AH78" i="3"/>
  <c r="AW117" i="3"/>
  <c r="AW92" i="3"/>
  <c r="AW105" i="3"/>
  <c r="AW122" i="3"/>
  <c r="Q115" i="3"/>
  <c r="Q105" i="3"/>
  <c r="Q92" i="3"/>
  <c r="Q137" i="3"/>
  <c r="Q107" i="3"/>
  <c r="Q85" i="3"/>
  <c r="AG117" i="3"/>
  <c r="AG92" i="3"/>
  <c r="AG133" i="3"/>
  <c r="AG122" i="3"/>
  <c r="AP137" i="3"/>
  <c r="AX115" i="3"/>
  <c r="T137" i="3"/>
  <c r="O129" i="3"/>
  <c r="O102" i="3"/>
  <c r="BL102" i="3"/>
  <c r="AD117" i="3"/>
  <c r="AB141" i="3"/>
  <c r="AB133" i="3"/>
  <c r="W117" i="3"/>
  <c r="Z133" i="3"/>
  <c r="Z107" i="3"/>
  <c r="Z122" i="3"/>
  <c r="Z85" i="3"/>
  <c r="J94" i="3"/>
  <c r="AI133" i="3"/>
  <c r="AH129" i="3"/>
  <c r="AH100" i="3"/>
  <c r="AW115" i="3"/>
  <c r="AW137" i="3"/>
  <c r="AW107" i="3"/>
  <c r="AG94" i="3"/>
  <c r="AU141" i="3"/>
  <c r="AU100" i="3"/>
  <c r="Y112" i="3"/>
  <c r="Y85" i="3"/>
  <c r="BA115" i="3"/>
  <c r="BA110" i="3"/>
  <c r="AF110" i="3"/>
  <c r="AF78" i="3"/>
  <c r="AF100" i="3"/>
  <c r="AK126" i="3"/>
  <c r="AK100" i="3"/>
  <c r="M141" i="3"/>
  <c r="M85" i="3"/>
  <c r="BH122" i="3"/>
  <c r="BC129" i="3"/>
  <c r="BC137" i="3"/>
  <c r="AO122" i="3"/>
  <c r="BJ100" i="3"/>
  <c r="BJ112" i="3"/>
  <c r="AN100" i="3"/>
  <c r="H126" i="3"/>
  <c r="H122" i="3"/>
  <c r="R85" i="3"/>
  <c r="R122" i="3"/>
  <c r="BM117" i="3"/>
  <c r="BM100" i="3"/>
  <c r="AJ115" i="3"/>
  <c r="BK141" i="3"/>
  <c r="BK85" i="3"/>
  <c r="AE105" i="3"/>
  <c r="AE92" i="3"/>
  <c r="BE126" i="3"/>
  <c r="AT100" i="3"/>
  <c r="AT112" i="3"/>
  <c r="AT78" i="3"/>
  <c r="U112" i="3"/>
  <c r="AC133" i="3"/>
  <c r="AC94" i="3"/>
  <c r="AV133" i="3"/>
  <c r="AV117" i="3"/>
  <c r="AV85" i="3"/>
  <c r="AQ110" i="3"/>
  <c r="K137" i="3"/>
  <c r="BB100" i="3"/>
  <c r="AR117" i="3"/>
  <c r="AR100" i="3"/>
  <c r="L115" i="3"/>
  <c r="AM100" i="3"/>
  <c r="I115" i="3"/>
  <c r="I110" i="3"/>
  <c r="I122" i="3"/>
  <c r="AS122" i="3"/>
  <c r="AS85" i="3"/>
  <c r="AL137" i="3"/>
  <c r="BD92" i="3"/>
  <c r="BD105" i="3"/>
  <c r="X141" i="3"/>
  <c r="X94" i="3"/>
  <c r="AY107" i="3"/>
  <c r="AY94" i="3"/>
  <c r="S105" i="3"/>
  <c r="N100" i="3"/>
  <c r="N85" i="3"/>
  <c r="AP78" i="3"/>
  <c r="AX129" i="3"/>
  <c r="AX112" i="3"/>
  <c r="T94" i="3"/>
  <c r="BL141" i="3"/>
  <c r="BL115" i="3"/>
  <c r="BG100" i="3"/>
  <c r="BG117" i="3"/>
  <c r="AD137" i="3"/>
  <c r="AB122" i="3"/>
  <c r="AB115" i="3"/>
  <c r="AB105" i="3"/>
  <c r="W92" i="3"/>
  <c r="W137" i="3"/>
  <c r="Z94" i="3"/>
  <c r="J133" i="3"/>
  <c r="J126" i="3"/>
  <c r="J100" i="3"/>
  <c r="J122" i="3"/>
  <c r="AI122" i="3"/>
  <c r="AI117" i="3"/>
  <c r="AI102" i="3"/>
  <c r="BF141" i="3"/>
  <c r="BF107" i="3"/>
  <c r="AW110" i="3"/>
  <c r="AW78" i="3"/>
  <c r="AW133" i="3"/>
  <c r="Q129" i="3"/>
  <c r="Q141" i="3"/>
  <c r="AG141" i="3"/>
  <c r="AG107" i="3"/>
  <c r="AZ141" i="3"/>
  <c r="AZ102" i="3"/>
  <c r="AZ92" i="3"/>
  <c r="AU126" i="3"/>
  <c r="AU85" i="3"/>
  <c r="AU137" i="3"/>
  <c r="Y141" i="3"/>
  <c r="Y129" i="3"/>
  <c r="Y133" i="3"/>
  <c r="Y126" i="3"/>
  <c r="Y110" i="3"/>
  <c r="Y100" i="3"/>
  <c r="Y78" i="3"/>
  <c r="BA141" i="3"/>
  <c r="BA117" i="3"/>
  <c r="BA107" i="3"/>
  <c r="BA122" i="3"/>
  <c r="BA100" i="3"/>
  <c r="BA78" i="3"/>
  <c r="AF126" i="3"/>
  <c r="AF141" i="3"/>
  <c r="AF112" i="3"/>
  <c r="AF115" i="3"/>
  <c r="AF85" i="3"/>
  <c r="AA122" i="3"/>
  <c r="AA110" i="3"/>
  <c r="AA141" i="3"/>
  <c r="AA137" i="3"/>
  <c r="AK133" i="3"/>
  <c r="AK105" i="3"/>
  <c r="AK102" i="3"/>
  <c r="AK137" i="3"/>
  <c r="AK141" i="3"/>
  <c r="M129" i="3"/>
  <c r="M122" i="3"/>
  <c r="M94" i="3"/>
  <c r="M112" i="3"/>
  <c r="BH112" i="3"/>
  <c r="BH85" i="3"/>
  <c r="BH78" i="3"/>
  <c r="BC133" i="3"/>
  <c r="BC107" i="3"/>
  <c r="BC94" i="3"/>
  <c r="BC126" i="3"/>
  <c r="AO141" i="3"/>
  <c r="AO129" i="3"/>
  <c r="AO117" i="3"/>
  <c r="AO94" i="3"/>
  <c r="AO126" i="3"/>
  <c r="AO105" i="3"/>
  <c r="BJ107" i="3"/>
  <c r="BJ129" i="3"/>
  <c r="BJ102" i="3"/>
  <c r="BJ78" i="3"/>
  <c r="AN126" i="3"/>
  <c r="AN107" i="3"/>
  <c r="AN92" i="3"/>
  <c r="AN137" i="3"/>
  <c r="AN105" i="3"/>
  <c r="H141" i="3"/>
  <c r="H129" i="3"/>
  <c r="H112" i="3"/>
  <c r="H115" i="3"/>
  <c r="H94" i="3"/>
  <c r="H85" i="3"/>
  <c r="H78" i="3"/>
  <c r="R141" i="3"/>
  <c r="R94" i="3"/>
  <c r="BM115" i="3"/>
  <c r="BM112" i="3"/>
  <c r="BM102" i="3"/>
  <c r="BM137" i="3"/>
  <c r="BM107" i="3"/>
  <c r="AJ141" i="3"/>
  <c r="AJ122" i="3"/>
  <c r="AJ110" i="3"/>
  <c r="AJ117" i="3"/>
  <c r="AJ102" i="3"/>
  <c r="AJ92" i="3"/>
  <c r="BK126" i="3"/>
  <c r="BK137" i="3"/>
  <c r="AE141" i="3"/>
  <c r="AE107" i="3"/>
  <c r="AE122" i="3"/>
  <c r="AE110" i="3"/>
  <c r="AE94" i="3"/>
  <c r="AE78" i="3"/>
  <c r="BE117" i="3"/>
  <c r="BE112" i="3"/>
  <c r="BE102" i="3"/>
  <c r="BE122" i="3"/>
  <c r="AT105" i="3"/>
  <c r="AT102" i="3"/>
  <c r="AT110" i="3"/>
  <c r="U129" i="3"/>
  <c r="U141" i="3"/>
  <c r="U117" i="3"/>
  <c r="U92" i="3"/>
  <c r="AC117" i="3"/>
  <c r="AC107" i="3"/>
  <c r="AC92" i="3"/>
  <c r="AC85" i="3"/>
  <c r="AC78" i="3"/>
  <c r="AV129" i="3"/>
  <c r="AV112" i="3"/>
  <c r="AV115" i="3"/>
  <c r="AV141" i="3"/>
  <c r="AV105" i="3"/>
  <c r="AV78" i="3"/>
  <c r="AV107" i="3"/>
  <c r="P126" i="3"/>
  <c r="P117" i="3"/>
  <c r="P78" i="3"/>
  <c r="P85" i="3"/>
  <c r="P102" i="3"/>
  <c r="AQ112" i="3"/>
  <c r="K122" i="3"/>
  <c r="K110" i="3"/>
  <c r="K129" i="3"/>
  <c r="K94" i="3"/>
  <c r="BB102" i="3"/>
  <c r="BB117" i="3"/>
  <c r="BB78" i="3"/>
  <c r="BI117" i="3"/>
  <c r="BI92" i="3"/>
  <c r="BI85" i="3"/>
  <c r="BI78" i="3"/>
  <c r="F107" i="3"/>
  <c r="F129" i="3"/>
  <c r="F102" i="3"/>
  <c r="AR115" i="3"/>
  <c r="AR105" i="3"/>
  <c r="AR141" i="3"/>
  <c r="AR102" i="3"/>
  <c r="AR137" i="3"/>
  <c r="L129" i="3"/>
  <c r="L122" i="3"/>
  <c r="L110" i="3"/>
  <c r="L117" i="3"/>
  <c r="L105" i="3"/>
  <c r="L107" i="3"/>
  <c r="L133" i="3"/>
  <c r="L100" i="3"/>
  <c r="L94" i="3"/>
  <c r="AM94" i="3"/>
  <c r="G133" i="3"/>
  <c r="G85" i="3"/>
  <c r="G92" i="3"/>
  <c r="G78" i="3"/>
  <c r="G100" i="3"/>
  <c r="I141" i="3"/>
  <c r="I129" i="3"/>
  <c r="I117" i="3"/>
  <c r="I133" i="3"/>
  <c r="I112" i="3"/>
  <c r="I102" i="3"/>
  <c r="I78" i="3"/>
  <c r="AS92" i="3"/>
  <c r="AS112" i="3"/>
  <c r="AL141" i="3"/>
  <c r="AL133" i="3"/>
  <c r="AL122" i="3"/>
  <c r="AL100" i="3"/>
  <c r="AL115" i="3"/>
  <c r="AL85" i="3"/>
  <c r="BD122" i="3"/>
  <c r="BD110" i="3"/>
  <c r="BD94" i="3"/>
  <c r="BD85" i="3"/>
  <c r="BD100" i="3"/>
  <c r="BD102" i="3"/>
  <c r="X126" i="3"/>
  <c r="X133" i="3"/>
  <c r="X122" i="3"/>
  <c r="X110" i="3"/>
  <c r="X107" i="3"/>
  <c r="X92" i="3"/>
  <c r="X78" i="3"/>
  <c r="AY105" i="3"/>
  <c r="AY117" i="3"/>
  <c r="AY102" i="3"/>
  <c r="AY129" i="3"/>
  <c r="AY137" i="3"/>
  <c r="S107" i="3"/>
  <c r="S115" i="3"/>
  <c r="S129" i="3"/>
  <c r="S78" i="3"/>
  <c r="N107" i="3"/>
  <c r="N102" i="3"/>
  <c r="N137" i="3"/>
  <c r="AP141" i="3"/>
  <c r="AP92" i="3"/>
  <c r="AX107" i="3"/>
  <c r="AX126" i="3"/>
  <c r="AX110" i="3"/>
  <c r="AX100" i="3"/>
  <c r="AX137" i="3"/>
  <c r="T141" i="3"/>
  <c r="T133" i="3"/>
  <c r="T107" i="3"/>
  <c r="T92" i="3"/>
  <c r="O126" i="3"/>
  <c r="O85" i="3"/>
  <c r="O78" i="3"/>
  <c r="O100" i="3"/>
  <c r="V141" i="3"/>
  <c r="V133" i="3"/>
  <c r="V105" i="3"/>
  <c r="V100" i="3"/>
  <c r="V129" i="3"/>
  <c r="BL129" i="3"/>
  <c r="BL133" i="3"/>
  <c r="BL122" i="3"/>
  <c r="BL110" i="3"/>
  <c r="BL117" i="3"/>
  <c r="BL94" i="3"/>
  <c r="BL105" i="3"/>
  <c r="BL78" i="3"/>
  <c r="BG107" i="3"/>
  <c r="BG102" i="3"/>
  <c r="BG92" i="3"/>
  <c r="BG78" i="3"/>
  <c r="BG115" i="3"/>
  <c r="AD107" i="3"/>
  <c r="AD129" i="3"/>
  <c r="AD100" i="3"/>
  <c r="AD112" i="3"/>
  <c r="AB112" i="3"/>
  <c r="AB117" i="3"/>
  <c r="AB107" i="3"/>
  <c r="AB100" i="3"/>
  <c r="AB94" i="3"/>
  <c r="W133" i="3"/>
  <c r="W85" i="3"/>
  <c r="W94" i="3"/>
  <c r="W102" i="3"/>
  <c r="Z141" i="3"/>
  <c r="Z92" i="3"/>
  <c r="Z137" i="3"/>
  <c r="J112" i="3"/>
  <c r="J102" i="3"/>
  <c r="J115" i="3"/>
  <c r="J85" i="3"/>
  <c r="J78" i="3"/>
  <c r="AI107" i="3"/>
  <c r="AI112" i="3"/>
  <c r="AI85" i="3"/>
  <c r="AI100" i="3"/>
  <c r="BF105" i="3"/>
  <c r="BF110" i="3"/>
  <c r="BF100" i="3"/>
  <c r="BF117" i="3"/>
  <c r="BF78" i="3"/>
  <c r="AH141" i="3"/>
  <c r="AH94" i="3"/>
  <c r="AH126" i="3"/>
  <c r="AH122" i="3"/>
  <c r="AW126" i="3"/>
  <c r="AW141" i="3"/>
  <c r="AW112" i="3"/>
  <c r="AW102" i="3"/>
  <c r="Q112" i="3"/>
  <c r="Q102" i="3"/>
  <c r="Q78" i="3"/>
  <c r="Q133" i="3"/>
  <c r="AG129" i="3"/>
  <c r="AG126" i="3"/>
  <c r="AG112" i="3"/>
  <c r="AG102" i="3"/>
  <c r="AG137" i="3"/>
  <c r="AX92" i="3"/>
  <c r="AX78" i="3"/>
  <c r="T112" i="3"/>
  <c r="T100" i="3"/>
  <c r="T85" i="3"/>
  <c r="O105" i="3"/>
  <c r="O112" i="3"/>
  <c r="O94" i="3"/>
  <c r="V92" i="3"/>
  <c r="BG126" i="3"/>
  <c r="BG122" i="3"/>
  <c r="BG141" i="3"/>
  <c r="AD92" i="3"/>
  <c r="AD126" i="3"/>
  <c r="W112" i="3"/>
  <c r="Z129" i="3"/>
  <c r="Z112" i="3"/>
  <c r="Z117" i="3"/>
  <c r="Z78" i="3"/>
  <c r="J117" i="3"/>
  <c r="BF92" i="3"/>
  <c r="AH110" i="3"/>
  <c r="Q117" i="3"/>
  <c r="AG78" i="3"/>
  <c r="AU102" i="3"/>
  <c r="Y102" i="3"/>
  <c r="Y122" i="3"/>
  <c r="BA102" i="3"/>
  <c r="AF122" i="3"/>
  <c r="AF102" i="3"/>
  <c r="M137" i="3"/>
  <c r="BC85" i="3"/>
  <c r="BC92" i="3"/>
  <c r="AO92" i="3"/>
  <c r="BJ105" i="3"/>
  <c r="AN85" i="3"/>
  <c r="H110" i="3"/>
  <c r="H92" i="3"/>
  <c r="R92" i="3"/>
  <c r="BM110" i="3"/>
  <c r="AJ112" i="3"/>
  <c r="AJ100" i="3"/>
  <c r="AJ85" i="3"/>
  <c r="BK102" i="3"/>
  <c r="BK100" i="3"/>
  <c r="AE112" i="3"/>
  <c r="AE85" i="3"/>
  <c r="BE129" i="3"/>
  <c r="BE115" i="3"/>
  <c r="BE110" i="3"/>
  <c r="BE78" i="3"/>
  <c r="BE107" i="3"/>
  <c r="AT107" i="3"/>
  <c r="U115" i="3"/>
  <c r="AC105" i="3"/>
  <c r="AV110" i="3"/>
  <c r="P115" i="3"/>
  <c r="AQ122" i="3"/>
  <c r="AQ129" i="3"/>
  <c r="AQ92" i="3"/>
  <c r="K112" i="3"/>
  <c r="BB141" i="3"/>
  <c r="BB122" i="3"/>
  <c r="BB115" i="3"/>
  <c r="BI115" i="3"/>
  <c r="BI122" i="3"/>
  <c r="BI110" i="3"/>
  <c r="F115" i="3"/>
  <c r="F100" i="3"/>
  <c r="AR133" i="3"/>
  <c r="L112" i="3"/>
  <c r="L102" i="3"/>
  <c r="L137" i="3"/>
  <c r="AM133" i="3"/>
  <c r="AM92" i="3"/>
  <c r="AM78" i="3"/>
  <c r="G94" i="3"/>
  <c r="AS94" i="3"/>
  <c r="AS78" i="3"/>
  <c r="AL117" i="3"/>
  <c r="BD112" i="3"/>
  <c r="BD78" i="3"/>
  <c r="X129" i="3"/>
  <c r="X112" i="3"/>
  <c r="X85" i="3"/>
  <c r="S126" i="3"/>
  <c r="N112" i="3"/>
  <c r="AP85" i="3"/>
  <c r="AX141" i="3"/>
  <c r="AX105" i="3"/>
  <c r="T78" i="3"/>
  <c r="V126" i="3"/>
  <c r="V102" i="3"/>
  <c r="V110" i="3"/>
  <c r="V85" i="3"/>
  <c r="BG129" i="3"/>
  <c r="AD105" i="3"/>
  <c r="AB126" i="3"/>
  <c r="AB110" i="3"/>
  <c r="AB137" i="3"/>
  <c r="J141" i="3"/>
  <c r="J107" i="3"/>
  <c r="AI105" i="3"/>
  <c r="AI92" i="3"/>
  <c r="AI137" i="3"/>
  <c r="BF129" i="3"/>
  <c r="BF102" i="3"/>
  <c r="AH92" i="3"/>
  <c r="AH115" i="3"/>
  <c r="AH137" i="3"/>
  <c r="AW100" i="3"/>
  <c r="Q126" i="3"/>
  <c r="Q100" i="3"/>
  <c r="Q122" i="3"/>
  <c r="AG110" i="3"/>
  <c r="AG105" i="3"/>
  <c r="AZ112" i="3"/>
  <c r="AZ115" i="3"/>
  <c r="AZ133" i="3"/>
  <c r="AZ107" i="3"/>
  <c r="AZ85" i="3"/>
  <c r="AU133" i="3"/>
  <c r="AU105" i="3"/>
  <c r="AU129" i="3"/>
  <c r="AU112" i="3"/>
  <c r="AU117" i="3"/>
  <c r="AU94" i="3"/>
  <c r="AU78" i="3"/>
  <c r="Y117" i="3"/>
  <c r="Y92" i="3"/>
  <c r="BA133" i="3"/>
  <c r="BA92" i="3"/>
  <c r="AF129" i="3"/>
  <c r="AF92" i="3"/>
  <c r="AF137" i="3"/>
  <c r="AA105" i="3"/>
  <c r="AA85" i="3"/>
  <c r="AA100" i="3"/>
  <c r="AA92" i="3"/>
  <c r="AA78" i="3"/>
  <c r="AA117" i="3"/>
  <c r="AK129" i="3"/>
  <c r="AK115" i="3"/>
  <c r="AK94" i="3"/>
  <c r="AK112" i="3"/>
  <c r="AK78" i="3"/>
  <c r="AK85" i="3"/>
  <c r="M115" i="3"/>
  <c r="M133" i="3"/>
  <c r="M107" i="3"/>
  <c r="M100" i="3"/>
  <c r="M78" i="3"/>
  <c r="M126" i="3"/>
  <c r="BH126" i="3"/>
  <c r="BH129" i="3"/>
  <c r="BH141" i="3"/>
  <c r="BH117" i="3"/>
  <c r="BH107" i="3"/>
  <c r="BH100" i="3"/>
  <c r="BH133" i="3"/>
  <c r="BC112" i="3"/>
  <c r="BC141" i="3"/>
  <c r="BC115" i="3"/>
  <c r="AO110" i="3"/>
  <c r="AO100" i="3"/>
  <c r="AO78" i="3"/>
  <c r="AO85" i="3"/>
  <c r="BJ122" i="3"/>
  <c r="BJ94" i="3"/>
  <c r="BJ115" i="3"/>
  <c r="BJ137" i="3"/>
  <c r="AN133" i="3"/>
  <c r="AN122" i="3"/>
  <c r="AN110" i="3"/>
  <c r="AN117" i="3"/>
  <c r="AN78" i="3"/>
  <c r="H105" i="3"/>
  <c r="H100" i="3"/>
  <c r="R133" i="3"/>
  <c r="R129" i="3"/>
  <c r="R126" i="3"/>
  <c r="R110" i="3"/>
  <c r="R100" i="3"/>
  <c r="R105" i="3"/>
  <c r="R137" i="3"/>
  <c r="BM129" i="3"/>
  <c r="BM94" i="3"/>
  <c r="BM78" i="3"/>
  <c r="BM126" i="3"/>
  <c r="BM122" i="3"/>
  <c r="AJ133" i="3"/>
  <c r="AJ107" i="3"/>
  <c r="AJ137" i="3"/>
  <c r="BK133" i="3"/>
  <c r="BK105" i="3"/>
  <c r="BK129" i="3"/>
  <c r="BK122" i="3"/>
  <c r="BK110" i="3"/>
  <c r="BK115" i="3"/>
  <c r="BK94" i="3"/>
  <c r="BK78" i="3"/>
  <c r="AE126" i="3"/>
  <c r="AE115" i="3"/>
  <c r="AE102" i="3"/>
  <c r="BE94" i="3"/>
  <c r="BE137" i="3"/>
  <c r="BE105" i="3"/>
  <c r="BE85" i="3"/>
  <c r="AT141" i="3"/>
  <c r="AT133" i="3"/>
  <c r="AT122" i="3"/>
  <c r="AT94" i="3"/>
  <c r="AT117" i="3"/>
  <c r="AT137" i="3"/>
  <c r="U133" i="3"/>
  <c r="U122" i="3"/>
  <c r="U102" i="3"/>
  <c r="U110" i="3"/>
  <c r="AC129" i="3"/>
  <c r="AC126" i="3"/>
  <c r="AC102" i="3"/>
  <c r="AC112" i="3"/>
  <c r="AV94" i="3"/>
  <c r="P129" i="3"/>
  <c r="P112" i="3"/>
  <c r="P92" i="3"/>
  <c r="P141" i="3"/>
  <c r="P107" i="3"/>
  <c r="AQ126" i="3"/>
  <c r="AQ107" i="3"/>
  <c r="AQ100" i="3"/>
  <c r="AQ117" i="3"/>
  <c r="AQ137" i="3"/>
  <c r="K133" i="3"/>
  <c r="K141" i="3"/>
  <c r="K105" i="3"/>
  <c r="K85" i="3"/>
  <c r="K102" i="3"/>
  <c r="K115" i="3"/>
  <c r="BB126" i="3"/>
  <c r="BB107" i="3"/>
  <c r="BB94" i="3"/>
  <c r="BB129" i="3"/>
  <c r="BB112" i="3"/>
  <c r="BI129" i="3"/>
  <c r="BI141" i="3"/>
  <c r="BI126" i="3"/>
  <c r="BI133" i="3"/>
  <c r="BI107" i="3"/>
  <c r="BI102" i="3"/>
  <c r="BI112" i="3"/>
  <c r="F110" i="3"/>
  <c r="F92" i="3"/>
  <c r="F105" i="3"/>
  <c r="F126" i="3"/>
  <c r="F78" i="3"/>
  <c r="F122" i="3"/>
  <c r="F94" i="3"/>
  <c r="AR126" i="3"/>
  <c r="AR129" i="3"/>
  <c r="AR122" i="3"/>
  <c r="AR110" i="3"/>
  <c r="AR85" i="3"/>
  <c r="AR78" i="3"/>
  <c r="L141" i="3"/>
  <c r="L92" i="3"/>
  <c r="AM105" i="3"/>
  <c r="AM112" i="3"/>
  <c r="AM126" i="3"/>
  <c r="AM115" i="3"/>
  <c r="AM137" i="3"/>
  <c r="G107" i="3"/>
  <c r="G141" i="3"/>
  <c r="G129" i="3"/>
  <c r="G122" i="3"/>
  <c r="G110" i="3"/>
  <c r="G117" i="3"/>
  <c r="G102" i="3"/>
  <c r="I94" i="3"/>
  <c r="I105" i="3"/>
  <c r="AS141" i="3"/>
  <c r="AS115" i="3"/>
  <c r="AS133" i="3"/>
  <c r="AS107" i="3"/>
  <c r="AS102" i="3"/>
  <c r="AS137" i="3"/>
  <c r="AL105" i="3"/>
  <c r="AL92" i="3"/>
  <c r="AL110" i="3"/>
  <c r="BD141" i="3"/>
  <c r="BD129" i="3"/>
  <c r="BD117" i="3"/>
  <c r="BD137" i="3"/>
  <c r="X117" i="3"/>
  <c r="X100" i="3"/>
  <c r="X102" i="3"/>
  <c r="AY141" i="3"/>
  <c r="AY112" i="3"/>
  <c r="AY85" i="3"/>
  <c r="AY115" i="3"/>
  <c r="AY78" i="3"/>
  <c r="S133" i="3"/>
  <c r="S122" i="3"/>
  <c r="S110" i="3"/>
  <c r="S117" i="3"/>
  <c r="S100" i="3"/>
  <c r="N122" i="3"/>
  <c r="N94" i="3"/>
  <c r="N117" i="3"/>
  <c r="N78" i="3"/>
  <c r="N105" i="3"/>
  <c r="AP133" i="3"/>
  <c r="AP129" i="3"/>
  <c r="AP126" i="3"/>
  <c r="AP107" i="3"/>
  <c r="AP112" i="3"/>
  <c r="AP102" i="3"/>
  <c r="AP122" i="3"/>
  <c r="AX122" i="3"/>
  <c r="T115" i="3"/>
  <c r="T105" i="3"/>
  <c r="O133" i="3"/>
  <c r="O117" i="3"/>
  <c r="V115" i="3"/>
  <c r="BL107" i="3"/>
  <c r="BL100" i="3"/>
  <c r="BG133" i="3"/>
  <c r="BG110" i="3"/>
  <c r="AB92" i="3"/>
  <c r="W107" i="3"/>
  <c r="Z126" i="3"/>
  <c r="Z102" i="3"/>
  <c r="BF115" i="3"/>
  <c r="AH133" i="3"/>
  <c r="AH105" i="3"/>
  <c r="AW129" i="3"/>
  <c r="AW94" i="3"/>
  <c r="AW85" i="3"/>
  <c r="Q94" i="3"/>
  <c r="AG115" i="3"/>
  <c r="AG85" i="3"/>
  <c r="AZ100" i="3"/>
  <c r="AZ137" i="3"/>
  <c r="AZ94" i="3"/>
  <c r="BA105" i="3"/>
  <c r="AF133" i="3"/>
  <c r="AF117" i="3"/>
  <c r="AF105" i="3"/>
  <c r="AA112" i="3"/>
  <c r="AA129" i="3"/>
  <c r="AK107" i="3"/>
  <c r="AK122" i="3"/>
  <c r="M92" i="3"/>
  <c r="M110" i="3"/>
  <c r="M105" i="3"/>
  <c r="BH110" i="3"/>
  <c r="BC105" i="3"/>
  <c r="BC102" i="3"/>
  <c r="AO115" i="3"/>
  <c r="AO137" i="3"/>
  <c r="BJ126" i="3"/>
  <c r="BJ85" i="3"/>
  <c r="AN94" i="3"/>
  <c r="H133" i="3"/>
  <c r="H117" i="3"/>
  <c r="H107" i="3"/>
  <c r="R117" i="3"/>
  <c r="R115" i="3"/>
  <c r="R78" i="3"/>
  <c r="BM105" i="3"/>
  <c r="AJ78" i="3"/>
  <c r="AE129" i="3"/>
  <c r="BE141" i="3"/>
  <c r="BE100" i="3"/>
  <c r="AT129" i="3"/>
  <c r="U94" i="3"/>
  <c r="U137" i="3"/>
  <c r="AC115" i="3"/>
  <c r="AC122" i="3"/>
  <c r="AV126" i="3"/>
  <c r="AV122" i="3"/>
  <c r="AV100" i="3"/>
  <c r="AQ78" i="3"/>
  <c r="BI94" i="3"/>
  <c r="AR107" i="3"/>
  <c r="AR94" i="3"/>
  <c r="AM85" i="3"/>
  <c r="I100" i="3"/>
  <c r="I107" i="3"/>
  <c r="AS126" i="3"/>
  <c r="AS110" i="3"/>
  <c r="AL126" i="3"/>
  <c r="AL102" i="3"/>
  <c r="AL112" i="3"/>
  <c r="BD107" i="3"/>
  <c r="AY100" i="3"/>
  <c r="AY92" i="3"/>
  <c r="AY126" i="3"/>
  <c r="N129" i="3"/>
  <c r="AP94" i="3"/>
  <c r="AX133" i="3"/>
  <c r="AX102" i="3"/>
  <c r="AX85" i="3"/>
  <c r="AX117" i="3"/>
  <c r="O141" i="3"/>
  <c r="V122" i="3"/>
  <c r="V137" i="3"/>
  <c r="BL112" i="3"/>
  <c r="BL92" i="3"/>
  <c r="BG105" i="3"/>
  <c r="AD102" i="3"/>
  <c r="AD85" i="3"/>
  <c r="AB129" i="3"/>
  <c r="AB102" i="3"/>
  <c r="W126" i="3"/>
  <c r="J129" i="3"/>
  <c r="J110" i="3"/>
  <c r="AI110" i="3"/>
  <c r="BF133" i="3"/>
  <c r="BF112" i="3"/>
  <c r="AH85" i="3"/>
  <c r="AH117" i="3"/>
  <c r="Q110" i="3"/>
  <c r="AG100" i="3"/>
  <c r="AG100" i="2" l="1"/>
  <c r="Q110" i="2"/>
  <c r="AH117" i="2"/>
  <c r="AH85" i="2"/>
  <c r="BF112" i="2"/>
  <c r="BF133" i="2"/>
  <c r="AI110" i="2"/>
  <c r="J110" i="2"/>
  <c r="J129" i="2"/>
  <c r="W126" i="2"/>
  <c r="AB102" i="2"/>
  <c r="AB129" i="2"/>
  <c r="AD85" i="2"/>
  <c r="AD102" i="2"/>
  <c r="BG105" i="2"/>
  <c r="BL92" i="2"/>
  <c r="BL112" i="2"/>
  <c r="V137" i="2"/>
  <c r="V122" i="2"/>
  <c r="O141" i="2"/>
  <c r="AX117" i="2"/>
  <c r="AX85" i="2"/>
  <c r="AX102" i="2"/>
  <c r="AX133" i="2"/>
  <c r="AP94" i="2"/>
  <c r="N129" i="2"/>
  <c r="AY126" i="2"/>
  <c r="AY92" i="2"/>
  <c r="AY100" i="2"/>
  <c r="BD107" i="2"/>
  <c r="AL112" i="2"/>
  <c r="AL102" i="2"/>
  <c r="AL126" i="2"/>
  <c r="AS110" i="2"/>
  <c r="AS126" i="2"/>
  <c r="I107" i="2"/>
  <c r="I100" i="2"/>
  <c r="AM85" i="2"/>
  <c r="AR94" i="2"/>
  <c r="AR107" i="2"/>
  <c r="BI94" i="2"/>
  <c r="AQ78" i="2"/>
  <c r="AV100" i="2"/>
  <c r="AV122" i="2"/>
  <c r="AV126" i="2"/>
  <c r="AC122" i="2"/>
  <c r="AC115" i="2"/>
  <c r="U137" i="2"/>
  <c r="U94" i="2"/>
  <c r="AT129" i="2"/>
  <c r="BE100" i="2"/>
  <c r="BE141" i="2"/>
  <c r="AE129" i="2"/>
  <c r="AJ78" i="2"/>
  <c r="BM105" i="2"/>
  <c r="R78" i="2"/>
  <c r="R115" i="2"/>
  <c r="R117" i="2"/>
  <c r="H107" i="2"/>
  <c r="H117" i="2"/>
  <c r="H133" i="2"/>
  <c r="AN94" i="2"/>
  <c r="BJ85" i="2"/>
  <c r="BJ126" i="2"/>
  <c r="AO137" i="2"/>
  <c r="AO115" i="2"/>
  <c r="BC102" i="2"/>
  <c r="BC105" i="2"/>
  <c r="BH110" i="2"/>
  <c r="M105" i="2"/>
  <c r="M110" i="2"/>
  <c r="M92" i="2"/>
  <c r="AK122" i="2"/>
  <c r="AK107" i="2"/>
  <c r="AA129" i="2"/>
  <c r="AA112" i="2"/>
  <c r="AF105" i="2"/>
  <c r="AF117" i="2"/>
  <c r="AF133" i="2"/>
  <c r="BA105" i="2"/>
  <c r="AZ94" i="2"/>
  <c r="AZ137" i="2"/>
  <c r="AZ100" i="2"/>
  <c r="AG85" i="2"/>
  <c r="AG115" i="2"/>
  <c r="Q94" i="2"/>
  <c r="AW85" i="2"/>
  <c r="AW94" i="2"/>
  <c r="AW129" i="2"/>
  <c r="AH105" i="2"/>
  <c r="AH133" i="2"/>
  <c r="BF115" i="2"/>
  <c r="Z102" i="2"/>
  <c r="Z126" i="2"/>
  <c r="W107" i="2"/>
  <c r="AB92" i="2"/>
  <c r="BG110" i="2"/>
  <c r="BG133" i="2"/>
  <c r="BL100" i="2"/>
  <c r="BL107" i="2"/>
  <c r="V115" i="2"/>
  <c r="O117" i="2"/>
  <c r="O133" i="2"/>
  <c r="T105" i="2"/>
  <c r="T115" i="2"/>
  <c r="AX122" i="2"/>
  <c r="AP122" i="2"/>
  <c r="AP102" i="2"/>
  <c r="AP112" i="2"/>
  <c r="AP107" i="2"/>
  <c r="AP126" i="2"/>
  <c r="AP129" i="2"/>
  <c r="AP133" i="2"/>
  <c r="N105" i="2"/>
  <c r="N78" i="2"/>
  <c r="N117" i="2"/>
  <c r="N94" i="2"/>
  <c r="N122" i="2"/>
  <c r="S100" i="2"/>
  <c r="S117" i="2"/>
  <c r="S110" i="2"/>
  <c r="S122" i="2"/>
  <c r="S133" i="2"/>
  <c r="AY78" i="2"/>
  <c r="AY115" i="2"/>
  <c r="AY85" i="2"/>
  <c r="AY112" i="2"/>
  <c r="AY141" i="2"/>
  <c r="X102" i="2"/>
  <c r="X100" i="2"/>
  <c r="X117" i="2"/>
  <c r="BD137" i="2"/>
  <c r="BD117" i="2"/>
  <c r="BD129" i="2"/>
  <c r="BD141" i="2"/>
  <c r="AL110" i="2"/>
  <c r="AL92" i="2"/>
  <c r="AL105" i="2"/>
  <c r="AS137" i="2"/>
  <c r="AS102" i="2"/>
  <c r="AS107" i="2"/>
  <c r="AS133" i="2"/>
  <c r="AS115" i="2"/>
  <c r="AS141" i="2"/>
  <c r="I105" i="2"/>
  <c r="I94" i="2"/>
  <c r="G102" i="2"/>
  <c r="G117" i="2"/>
  <c r="G110" i="2"/>
  <c r="G122" i="2"/>
  <c r="G129" i="2"/>
  <c r="G141" i="2"/>
  <c r="G107" i="2"/>
  <c r="AM137" i="2"/>
  <c r="AM115" i="2"/>
  <c r="AM126" i="2"/>
  <c r="AM112" i="2"/>
  <c r="AM105" i="2"/>
  <c r="L92" i="2"/>
  <c r="L141" i="2"/>
  <c r="AR78" i="2"/>
  <c r="AR85" i="2"/>
  <c r="AR110" i="2"/>
  <c r="AR122" i="2"/>
  <c r="AR129" i="2"/>
  <c r="AR126" i="2"/>
  <c r="F94" i="2"/>
  <c r="F122" i="2"/>
  <c r="F78" i="2"/>
  <c r="F126" i="2"/>
  <c r="F105" i="2"/>
  <c r="F92" i="2"/>
  <c r="F110" i="2"/>
  <c r="BI112" i="2"/>
  <c r="BI102" i="2"/>
  <c r="BI107" i="2"/>
  <c r="BI133" i="2"/>
  <c r="BI126" i="2"/>
  <c r="BI141" i="2"/>
  <c r="BI129" i="2"/>
  <c r="BB112" i="2"/>
  <c r="BB129" i="2"/>
  <c r="BB94" i="2"/>
  <c r="BB107" i="2"/>
  <c r="BB126" i="2"/>
  <c r="K115" i="2"/>
  <c r="K102" i="2"/>
  <c r="K85" i="2"/>
  <c r="K105" i="2"/>
  <c r="K141" i="2"/>
  <c r="K133" i="2"/>
  <c r="AQ137" i="2"/>
  <c r="AQ117" i="2"/>
  <c r="AQ100" i="2"/>
  <c r="AQ107" i="2"/>
  <c r="AQ126" i="2"/>
  <c r="P107" i="2"/>
  <c r="P141" i="2"/>
  <c r="P92" i="2"/>
  <c r="P112" i="2"/>
  <c r="P129" i="2"/>
  <c r="AV94" i="2"/>
  <c r="AC112" i="2"/>
  <c r="AC102" i="2"/>
  <c r="AC126" i="2"/>
  <c r="AC129" i="2"/>
  <c r="U110" i="2"/>
  <c r="U102" i="2"/>
  <c r="U122" i="2"/>
  <c r="U133" i="2"/>
  <c r="AT137" i="2"/>
  <c r="AT117" i="2"/>
  <c r="AT94" i="2"/>
  <c r="AT122" i="2"/>
  <c r="AT133" i="2"/>
  <c r="AT141" i="2"/>
  <c r="BE85" i="2"/>
  <c r="BE105" i="2"/>
  <c r="BE137" i="2"/>
  <c r="BE94" i="2"/>
  <c r="AE102" i="2"/>
  <c r="AE115" i="2"/>
  <c r="AE126" i="2"/>
  <c r="BK78" i="2"/>
  <c r="BK94" i="2"/>
  <c r="BK115" i="2"/>
  <c r="BK110" i="2"/>
  <c r="BK122" i="2"/>
  <c r="BK129" i="2"/>
  <c r="BK105" i="2"/>
  <c r="BK133" i="2"/>
  <c r="AJ137" i="2"/>
  <c r="AJ107" i="2"/>
  <c r="AJ133" i="2"/>
  <c r="BM122" i="2"/>
  <c r="BM126" i="2"/>
  <c r="BM78" i="2"/>
  <c r="BM94" i="2"/>
  <c r="BM129" i="2"/>
  <c r="R137" i="2"/>
  <c r="R105" i="2"/>
  <c r="R100" i="2"/>
  <c r="R110" i="2"/>
  <c r="R126" i="2"/>
  <c r="R129" i="2"/>
  <c r="R133" i="2"/>
  <c r="H100" i="2"/>
  <c r="H105" i="2"/>
  <c r="AN78" i="2"/>
  <c r="AN117" i="2"/>
  <c r="AN110" i="2"/>
  <c r="AN122" i="2"/>
  <c r="AN133" i="2"/>
  <c r="BJ137" i="2"/>
  <c r="BJ115" i="2"/>
  <c r="BJ94" i="2"/>
  <c r="BJ122" i="2"/>
  <c r="AO85" i="2"/>
  <c r="AO78" i="2"/>
  <c r="AO100" i="2"/>
  <c r="AO110" i="2"/>
  <c r="BC115" i="2"/>
  <c r="BC141" i="2"/>
  <c r="BC112" i="2"/>
  <c r="BH133" i="2"/>
  <c r="BH100" i="2"/>
  <c r="BH107" i="2"/>
  <c r="BH117" i="2"/>
  <c r="BH141" i="2"/>
  <c r="BH129" i="2"/>
  <c r="BH126" i="2"/>
  <c r="M126" i="2"/>
  <c r="M78" i="2"/>
  <c r="M100" i="2"/>
  <c r="M107" i="2"/>
  <c r="M133" i="2"/>
  <c r="M115" i="2"/>
  <c r="AK85" i="2"/>
  <c r="AK78" i="2"/>
  <c r="AK112" i="2"/>
  <c r="AK94" i="2"/>
  <c r="AK115" i="2"/>
  <c r="AK129" i="2"/>
  <c r="AA117" i="2"/>
  <c r="AA78" i="2"/>
  <c r="AA92" i="2"/>
  <c r="AA100" i="2"/>
  <c r="AA85" i="2"/>
  <c r="AA105" i="2"/>
  <c r="AF137" i="2"/>
  <c r="AF92" i="2"/>
  <c r="AF129" i="2"/>
  <c r="BA92" i="2"/>
  <c r="BA133" i="2"/>
  <c r="Y92" i="2"/>
  <c r="Y117" i="2"/>
  <c r="AU78" i="2"/>
  <c r="AU94" i="2"/>
  <c r="AU117" i="2"/>
  <c r="AU112" i="2"/>
  <c r="AU129" i="2"/>
  <c r="AU105" i="2"/>
  <c r="AU133" i="2"/>
  <c r="AZ85" i="2"/>
  <c r="AZ107" i="2"/>
  <c r="AZ133" i="2"/>
  <c r="AZ115" i="2"/>
  <c r="AZ112" i="2"/>
  <c r="AG105" i="2"/>
  <c r="AG110" i="2"/>
  <c r="Q122" i="2"/>
  <c r="Q100" i="2"/>
  <c r="Q126" i="2"/>
  <c r="AW100" i="2"/>
  <c r="AH137" i="2"/>
  <c r="AH115" i="2"/>
  <c r="AH92" i="2"/>
  <c r="BF102" i="2"/>
  <c r="BF129" i="2"/>
  <c r="AI137" i="2"/>
  <c r="AI92" i="2"/>
  <c r="AI105" i="2"/>
  <c r="J107" i="2"/>
  <c r="J141" i="2"/>
  <c r="AB137" i="2"/>
  <c r="AB110" i="2"/>
  <c r="AB126" i="2"/>
  <c r="AD105" i="2"/>
  <c r="BG129" i="2"/>
  <c r="V85" i="2"/>
  <c r="V110" i="2"/>
  <c r="V102" i="2"/>
  <c r="V126" i="2"/>
  <c r="T78" i="2"/>
  <c r="AX105" i="2"/>
  <c r="AX141" i="2"/>
  <c r="AP85" i="2"/>
  <c r="N112" i="2"/>
  <c r="S126" i="2"/>
  <c r="X85" i="2"/>
  <c r="X112" i="2"/>
  <c r="X129" i="2"/>
  <c r="BD78" i="2"/>
  <c r="BD112" i="2"/>
  <c r="AL117" i="2"/>
  <c r="AS78" i="2"/>
  <c r="AS94" i="2"/>
  <c r="G94" i="2"/>
  <c r="AM78" i="2"/>
  <c r="AM92" i="2"/>
  <c r="AM133" i="2"/>
  <c r="L137" i="2"/>
  <c r="L102" i="2"/>
  <c r="L112" i="2"/>
  <c r="AR133" i="2"/>
  <c r="F100" i="2"/>
  <c r="F115" i="2"/>
  <c r="BI110" i="2"/>
  <c r="BI122" i="2"/>
  <c r="BI115" i="2"/>
  <c r="BB115" i="2"/>
  <c r="BB122" i="2"/>
  <c r="BB141" i="2"/>
  <c r="K112" i="2"/>
  <c r="AQ92" i="2"/>
  <c r="AQ129" i="2"/>
  <c r="AQ122" i="2"/>
  <c r="P115" i="2"/>
  <c r="AV110" i="2"/>
  <c r="AC105" i="2"/>
  <c r="U115" i="2"/>
  <c r="AT107" i="2"/>
  <c r="BE107" i="2"/>
  <c r="BE78" i="2"/>
  <c r="BE110" i="2"/>
  <c r="BE115" i="2"/>
  <c r="BE129" i="2"/>
  <c r="AE85" i="2"/>
  <c r="AE112" i="2"/>
  <c r="BK100" i="2"/>
  <c r="BK102" i="2"/>
  <c r="AJ85" i="2"/>
  <c r="AJ100" i="2"/>
  <c r="AJ112" i="2"/>
  <c r="BM110" i="2"/>
  <c r="R92" i="2"/>
  <c r="H92" i="2"/>
  <c r="H110" i="2"/>
  <c r="AN85" i="2"/>
  <c r="BJ105" i="2"/>
  <c r="AO92" i="2"/>
  <c r="BC92" i="2"/>
  <c r="BC85" i="2"/>
  <c r="M137" i="2"/>
  <c r="AF102" i="2"/>
  <c r="AF122" i="2"/>
  <c r="BA102" i="2"/>
  <c r="Y122" i="2"/>
  <c r="Y102" i="2"/>
  <c r="AU102" i="2"/>
  <c r="AG78" i="2"/>
  <c r="Q117" i="2"/>
  <c r="AH110" i="2"/>
  <c r="BF92" i="2"/>
  <c r="J117" i="2"/>
  <c r="Z78" i="2"/>
  <c r="Z117" i="2"/>
  <c r="Z112" i="2"/>
  <c r="Z129" i="2"/>
  <c r="W112" i="2"/>
  <c r="AD126" i="2"/>
  <c r="AD92" i="2"/>
  <c r="BG141" i="2"/>
  <c r="BG122" i="2"/>
  <c r="BG126" i="2"/>
  <c r="V92" i="2"/>
  <c r="O94" i="2"/>
  <c r="O112" i="2"/>
  <c r="O105" i="2"/>
  <c r="T85" i="2"/>
  <c r="T100" i="2"/>
  <c r="T112" i="2"/>
  <c r="AX78" i="2"/>
  <c r="AX92" i="2"/>
  <c r="AG137" i="2"/>
  <c r="AG102" i="2"/>
  <c r="AG112" i="2"/>
  <c r="AG126" i="2"/>
  <c r="AG129" i="2"/>
  <c r="Q133" i="2"/>
  <c r="Q78" i="2"/>
  <c r="Q102" i="2"/>
  <c r="Q112" i="2"/>
  <c r="AW102" i="2"/>
  <c r="AW112" i="2"/>
  <c r="AW141" i="2"/>
  <c r="AW126" i="2"/>
  <c r="AH122" i="2"/>
  <c r="AH126" i="2"/>
  <c r="AH94" i="2"/>
  <c r="AH141" i="2"/>
  <c r="BF78" i="2"/>
  <c r="BF117" i="2"/>
  <c r="BF100" i="2"/>
  <c r="BF110" i="2"/>
  <c r="BF105" i="2"/>
  <c r="AI100" i="2"/>
  <c r="AI85" i="2"/>
  <c r="AI112" i="2"/>
  <c r="AI107" i="2"/>
  <c r="J78" i="2"/>
  <c r="J85" i="2"/>
  <c r="J115" i="2"/>
  <c r="J102" i="2"/>
  <c r="J112" i="2"/>
  <c r="Z137" i="2"/>
  <c r="Z92" i="2"/>
  <c r="Z141" i="2"/>
  <c r="W102" i="2"/>
  <c r="W94" i="2"/>
  <c r="W85" i="2"/>
  <c r="W133" i="2"/>
  <c r="AB94" i="2"/>
  <c r="AB100" i="2"/>
  <c r="AB107" i="2"/>
  <c r="AB117" i="2"/>
  <c r="AB112" i="2"/>
  <c r="AD112" i="2"/>
  <c r="AD100" i="2"/>
  <c r="AD129" i="2"/>
  <c r="AD107" i="2"/>
  <c r="BG115" i="2"/>
  <c r="BG78" i="2"/>
  <c r="BG92" i="2"/>
  <c r="BG102" i="2"/>
  <c r="BG107" i="2"/>
  <c r="BL78" i="2"/>
  <c r="BL105" i="2"/>
  <c r="BL94" i="2"/>
  <c r="BL117" i="2"/>
  <c r="BL110" i="2"/>
  <c r="BL122" i="2"/>
  <c r="BL133" i="2"/>
  <c r="BL129" i="2"/>
  <c r="V129" i="2"/>
  <c r="V100" i="2"/>
  <c r="V105" i="2"/>
  <c r="V133" i="2"/>
  <c r="V141" i="2"/>
  <c r="O100" i="2"/>
  <c r="O78" i="2"/>
  <c r="O85" i="2"/>
  <c r="O126" i="2"/>
  <c r="T92" i="2"/>
  <c r="T107" i="2"/>
  <c r="T133" i="2"/>
  <c r="T141" i="2"/>
  <c r="AX137" i="2"/>
  <c r="AX100" i="2"/>
  <c r="AX110" i="2"/>
  <c r="AX126" i="2"/>
  <c r="AX107" i="2"/>
  <c r="AP92" i="2"/>
  <c r="AP141" i="2"/>
  <c r="N137" i="2"/>
  <c r="N102" i="2"/>
  <c r="N107" i="2"/>
  <c r="S78" i="2"/>
  <c r="S129" i="2"/>
  <c r="S115" i="2"/>
  <c r="S107" i="2"/>
  <c r="AY137" i="2"/>
  <c r="AY129" i="2"/>
  <c r="AY102" i="2"/>
  <c r="AY117" i="2"/>
  <c r="AY105" i="2"/>
  <c r="X78" i="2"/>
  <c r="X92" i="2"/>
  <c r="X107" i="2"/>
  <c r="X110" i="2"/>
  <c r="X122" i="2"/>
  <c r="X133" i="2"/>
  <c r="X126" i="2"/>
  <c r="BD102" i="2"/>
  <c r="BD100" i="2"/>
  <c r="BD85" i="2"/>
  <c r="BD94" i="2"/>
  <c r="BD110" i="2"/>
  <c r="BD122" i="2"/>
  <c r="AL85" i="2"/>
  <c r="AL115" i="2"/>
  <c r="AL100" i="2"/>
  <c r="AL122" i="2"/>
  <c r="AL133" i="2"/>
  <c r="AL141" i="2"/>
  <c r="AS112" i="2"/>
  <c r="AS92" i="2"/>
  <c r="I78" i="2"/>
  <c r="I102" i="2"/>
  <c r="I112" i="2"/>
  <c r="I133" i="2"/>
  <c r="I117" i="2"/>
  <c r="I129" i="2"/>
  <c r="I141" i="2"/>
  <c r="G100" i="2"/>
  <c r="G78" i="2"/>
  <c r="G92" i="2"/>
  <c r="G85" i="2"/>
  <c r="G133" i="2"/>
  <c r="AM94" i="2"/>
  <c r="L94" i="2"/>
  <c r="L100" i="2"/>
  <c r="L133" i="2"/>
  <c r="L107" i="2"/>
  <c r="L105" i="2"/>
  <c r="L117" i="2"/>
  <c r="L110" i="2"/>
  <c r="L122" i="2"/>
  <c r="L129" i="2"/>
  <c r="AR137" i="2"/>
  <c r="AR102" i="2"/>
  <c r="AR141" i="2"/>
  <c r="AR105" i="2"/>
  <c r="AR115" i="2"/>
  <c r="F102" i="2"/>
  <c r="F129" i="2"/>
  <c r="F107" i="2"/>
  <c r="BI78" i="2"/>
  <c r="BI85" i="2"/>
  <c r="BI92" i="2"/>
  <c r="BI117" i="2"/>
  <c r="BB78" i="2"/>
  <c r="BB117" i="2"/>
  <c r="BB102" i="2"/>
  <c r="K94" i="2"/>
  <c r="K129" i="2"/>
  <c r="K110" i="2"/>
  <c r="K122" i="2"/>
  <c r="AQ112" i="2"/>
  <c r="P102" i="2"/>
  <c r="P85" i="2"/>
  <c r="P78" i="2"/>
  <c r="P117" i="2"/>
  <c r="P126" i="2"/>
  <c r="AV107" i="2"/>
  <c r="AV78" i="2"/>
  <c r="AV105" i="2"/>
  <c r="AV141" i="2"/>
  <c r="AV115" i="2"/>
  <c r="AV112" i="2"/>
  <c r="AV129" i="2"/>
  <c r="AC78" i="2"/>
  <c r="AC85" i="2"/>
  <c r="AC92" i="2"/>
  <c r="AC107" i="2"/>
  <c r="AC117" i="2"/>
  <c r="U92" i="2"/>
  <c r="U117" i="2"/>
  <c r="U141" i="2"/>
  <c r="U129" i="2"/>
  <c r="AT110" i="2"/>
  <c r="AT102" i="2"/>
  <c r="AT105" i="2"/>
  <c r="BE122" i="2"/>
  <c r="BE102" i="2"/>
  <c r="BE112" i="2"/>
  <c r="BE117" i="2"/>
  <c r="AE78" i="2"/>
  <c r="AE94" i="2"/>
  <c r="AE110" i="2"/>
  <c r="AE122" i="2"/>
  <c r="AE107" i="2"/>
  <c r="AE141" i="2"/>
  <c r="BK137" i="2"/>
  <c r="BK126" i="2"/>
  <c r="AJ92" i="2"/>
  <c r="AJ102" i="2"/>
  <c r="AJ117" i="2"/>
  <c r="AJ110" i="2"/>
  <c r="AJ122" i="2"/>
  <c r="AJ141" i="2"/>
  <c r="BM107" i="2"/>
  <c r="BM137" i="2"/>
  <c r="BM102" i="2"/>
  <c r="BM112" i="2"/>
  <c r="BM115" i="2"/>
  <c r="R94" i="2"/>
  <c r="R141" i="2"/>
  <c r="H78" i="2"/>
  <c r="H85" i="2"/>
  <c r="H94" i="2"/>
  <c r="H115" i="2"/>
  <c r="H112" i="2"/>
  <c r="H129" i="2"/>
  <c r="H141" i="2"/>
  <c r="AN105" i="2"/>
  <c r="AN137" i="2"/>
  <c r="AN92" i="2"/>
  <c r="AN107" i="2"/>
  <c r="AN126" i="2"/>
  <c r="BJ78" i="2"/>
  <c r="BJ102" i="2"/>
  <c r="BJ129" i="2"/>
  <c r="BJ107" i="2"/>
  <c r="AO105" i="2"/>
  <c r="AO126" i="2"/>
  <c r="AO94" i="2"/>
  <c r="AO117" i="2"/>
  <c r="AO129" i="2"/>
  <c r="AO141" i="2"/>
  <c r="BC126" i="2"/>
  <c r="BC94" i="2"/>
  <c r="BC107" i="2"/>
  <c r="BC133" i="2"/>
  <c r="BH78" i="2"/>
  <c r="BH85" i="2"/>
  <c r="BH112" i="2"/>
  <c r="M112" i="2"/>
  <c r="M94" i="2"/>
  <c r="M122" i="2"/>
  <c r="M129" i="2"/>
  <c r="AK141" i="2"/>
  <c r="AK137" i="2"/>
  <c r="AK102" i="2"/>
  <c r="AK105" i="2"/>
  <c r="AK133" i="2"/>
  <c r="AA137" i="2"/>
  <c r="AA141" i="2"/>
  <c r="AA110" i="2"/>
  <c r="AA122" i="2"/>
  <c r="AF85" i="2"/>
  <c r="AF115" i="2"/>
  <c r="AF112" i="2"/>
  <c r="AF141" i="2"/>
  <c r="AF126" i="2"/>
  <c r="BA78" i="2"/>
  <c r="BA100" i="2"/>
  <c r="BA122" i="2"/>
  <c r="BA107" i="2"/>
  <c r="BA117" i="2"/>
  <c r="BA141" i="2"/>
  <c r="Y78" i="2"/>
  <c r="Y100" i="2"/>
  <c r="Y110" i="2"/>
  <c r="Y126" i="2"/>
  <c r="Y133" i="2"/>
  <c r="Y129" i="2"/>
  <c r="Y141" i="2"/>
  <c r="AU137" i="2"/>
  <c r="AU85" i="2"/>
  <c r="AU126" i="2"/>
  <c r="AZ92" i="2"/>
  <c r="AZ102" i="2"/>
  <c r="AZ141" i="2"/>
  <c r="AG107" i="2"/>
  <c r="AG141" i="2"/>
  <c r="Q141" i="2"/>
  <c r="Q129" i="2"/>
  <c r="AW133" i="2"/>
  <c r="AW78" i="2"/>
  <c r="AW110" i="2"/>
  <c r="BF107" i="2"/>
  <c r="BF141" i="2"/>
  <c r="AI102" i="2"/>
  <c r="AI117" i="2"/>
  <c r="AI122" i="2"/>
  <c r="J122" i="2"/>
  <c r="J100" i="2"/>
  <c r="J126" i="2"/>
  <c r="J133" i="2"/>
  <c r="Z94" i="2"/>
  <c r="W137" i="2"/>
  <c r="W92" i="2"/>
  <c r="AB105" i="2"/>
  <c r="AB115" i="2"/>
  <c r="AB122" i="2"/>
  <c r="AD137" i="2"/>
  <c r="BG117" i="2"/>
  <c r="BG100" i="2"/>
  <c r="BL115" i="2"/>
  <c r="BL141" i="2"/>
  <c r="T94" i="2"/>
  <c r="AX112" i="2"/>
  <c r="AX129" i="2"/>
  <c r="AP78" i="2"/>
  <c r="N85" i="2"/>
  <c r="N100" i="2"/>
  <c r="S105" i="2"/>
  <c r="AY94" i="2"/>
  <c r="AY107" i="2"/>
  <c r="X94" i="2"/>
  <c r="X141" i="2"/>
  <c r="BD105" i="2"/>
  <c r="BD92" i="2"/>
  <c r="AL137" i="2"/>
  <c r="AS85" i="2"/>
  <c r="AS122" i="2"/>
  <c r="I122" i="2"/>
  <c r="I110" i="2"/>
  <c r="I115" i="2"/>
  <c r="AM100" i="2"/>
  <c r="L115" i="2"/>
  <c r="AR100" i="2"/>
  <c r="AR117" i="2"/>
  <c r="BB100" i="2"/>
  <c r="K137" i="2"/>
  <c r="AQ110" i="2"/>
  <c r="AV85" i="2"/>
  <c r="AV117" i="2"/>
  <c r="AV133" i="2"/>
  <c r="AC94" i="2"/>
  <c r="AC133" i="2"/>
  <c r="U112" i="2"/>
  <c r="AT78" i="2"/>
  <c r="AT112" i="2"/>
  <c r="AT100" i="2"/>
  <c r="BE126" i="2"/>
  <c r="AE92" i="2"/>
  <c r="AE105" i="2"/>
  <c r="BK85" i="2"/>
  <c r="BK141" i="2"/>
  <c r="AJ115" i="2"/>
  <c r="BM100" i="2"/>
  <c r="BM117" i="2"/>
  <c r="R122" i="2"/>
  <c r="R85" i="2"/>
  <c r="H122" i="2"/>
  <c r="H126" i="2"/>
  <c r="AN100" i="2"/>
  <c r="BJ112" i="2"/>
  <c r="BJ100" i="2"/>
  <c r="AO122" i="2"/>
  <c r="BC137" i="2"/>
  <c r="BC129" i="2"/>
  <c r="BH122" i="2"/>
  <c r="M85" i="2"/>
  <c r="M141" i="2"/>
  <c r="AK100" i="2"/>
  <c r="AK126" i="2"/>
  <c r="AF100" i="2"/>
  <c r="AF78" i="2"/>
  <c r="AF110" i="2"/>
  <c r="BA110" i="2"/>
  <c r="BA115" i="2"/>
  <c r="Y85" i="2"/>
  <c r="Y112" i="2"/>
  <c r="AU100" i="2"/>
  <c r="AU141" i="2"/>
  <c r="AG94" i="2"/>
  <c r="AW107" i="2"/>
  <c r="AW137" i="2"/>
  <c r="AW115" i="2"/>
  <c r="AH100" i="2"/>
  <c r="AH129" i="2"/>
  <c r="AI133" i="2"/>
  <c r="J94" i="2"/>
  <c r="Z85" i="2"/>
  <c r="Z122" i="2"/>
  <c r="Z107" i="2"/>
  <c r="Z133" i="2"/>
  <c r="W117" i="2"/>
  <c r="AB133" i="2"/>
  <c r="AB141" i="2"/>
  <c r="AD117" i="2"/>
  <c r="BL102" i="2"/>
  <c r="O102" i="2"/>
  <c r="O129" i="2"/>
  <c r="T137" i="2"/>
  <c r="AX115" i="2"/>
  <c r="AP137" i="2"/>
  <c r="AG122" i="2"/>
  <c r="AG133" i="2"/>
  <c r="AG92" i="2"/>
  <c r="AG117" i="2"/>
  <c r="Q85" i="2"/>
  <c r="Q107" i="2"/>
  <c r="Q137" i="2"/>
  <c r="Q92" i="2"/>
  <c r="Q105" i="2"/>
  <c r="Q115" i="2"/>
  <c r="AW122" i="2"/>
  <c r="AW105" i="2"/>
  <c r="AW92" i="2"/>
  <c r="AW117" i="2"/>
  <c r="AH78" i="2"/>
  <c r="AH102" i="2"/>
  <c r="AH112" i="2"/>
  <c r="AH107" i="2"/>
  <c r="BF137" i="2"/>
  <c r="BF85" i="2"/>
  <c r="BF122" i="2"/>
  <c r="BF94" i="2"/>
  <c r="BF126" i="2"/>
  <c r="AI94" i="2"/>
  <c r="AI78" i="2"/>
  <c r="AI115" i="2"/>
  <c r="AI129" i="2"/>
  <c r="AI126" i="2"/>
  <c r="AI141" i="2"/>
  <c r="J137" i="2"/>
  <c r="J105" i="2"/>
  <c r="J92" i="2"/>
  <c r="Z115" i="2"/>
  <c r="Z100" i="2"/>
  <c r="Z110" i="2"/>
  <c r="Z105" i="2"/>
  <c r="W141" i="2"/>
  <c r="W100" i="2"/>
  <c r="W78" i="2"/>
  <c r="W115" i="2"/>
  <c r="W110" i="2"/>
  <c r="W122" i="2"/>
  <c r="W129" i="2"/>
  <c r="W105" i="2"/>
  <c r="AB78" i="2"/>
  <c r="AB85" i="2"/>
  <c r="AD110" i="2"/>
  <c r="AD78" i="2"/>
  <c r="AD115" i="2"/>
  <c r="AD94" i="2"/>
  <c r="AD122" i="2"/>
  <c r="AD133" i="2"/>
  <c r="AD141" i="2"/>
  <c r="BG137" i="2"/>
  <c r="BG94" i="2"/>
  <c r="BG85" i="2"/>
  <c r="BG112" i="2"/>
  <c r="BL85" i="2"/>
  <c r="BL137" i="2"/>
  <c r="BL126" i="2"/>
  <c r="V78" i="2"/>
  <c r="V112" i="2"/>
  <c r="V117" i="2"/>
  <c r="V94" i="2"/>
  <c r="V107" i="2"/>
  <c r="O137" i="2"/>
  <c r="O92" i="2"/>
  <c r="O115" i="2"/>
  <c r="O110" i="2"/>
  <c r="O122" i="2"/>
  <c r="O107" i="2"/>
  <c r="T102" i="2"/>
  <c r="T117" i="2"/>
  <c r="T110" i="2"/>
  <c r="T122" i="2"/>
  <c r="T129" i="2"/>
  <c r="T126" i="2"/>
  <c r="AX94" i="2"/>
  <c r="AP117" i="2"/>
  <c r="AP115" i="2"/>
  <c r="AP100" i="2"/>
  <c r="AP110" i="2"/>
  <c r="AP105" i="2"/>
  <c r="N110" i="2"/>
  <c r="N115" i="2"/>
  <c r="N126" i="2"/>
  <c r="N92" i="2"/>
  <c r="N133" i="2"/>
  <c r="N141" i="2"/>
  <c r="S94" i="2"/>
  <c r="S137" i="2"/>
  <c r="S92" i="2"/>
  <c r="S102" i="2"/>
  <c r="S85" i="2"/>
  <c r="S112" i="2"/>
  <c r="S141" i="2"/>
  <c r="AY110" i="2"/>
  <c r="AY122" i="2"/>
  <c r="AY133" i="2"/>
  <c r="X105" i="2"/>
  <c r="X137" i="2"/>
  <c r="X115" i="2"/>
  <c r="BD115" i="2"/>
  <c r="BD133" i="2"/>
  <c r="BD126" i="2"/>
  <c r="AL78" i="2"/>
  <c r="AL129" i="2"/>
  <c r="AL94" i="2"/>
  <c r="AL107" i="2"/>
  <c r="AS100" i="2"/>
  <c r="AS105" i="2"/>
  <c r="AS117" i="2"/>
  <c r="AS129" i="2"/>
  <c r="I85" i="2"/>
  <c r="I126" i="2"/>
  <c r="I137" i="2"/>
  <c r="I92" i="2"/>
  <c r="G137" i="2"/>
  <c r="G115" i="2"/>
  <c r="G126" i="2"/>
  <c r="G112" i="2"/>
  <c r="G105" i="2"/>
  <c r="AM102" i="2"/>
  <c r="AM117" i="2"/>
  <c r="AM110" i="2"/>
  <c r="AM122" i="2"/>
  <c r="AM129" i="2"/>
  <c r="AM141" i="2"/>
  <c r="AM107" i="2"/>
  <c r="L78" i="2"/>
  <c r="L85" i="2"/>
  <c r="L126" i="2"/>
  <c r="AR92" i="2"/>
  <c r="AR112" i="2"/>
  <c r="F137" i="2"/>
  <c r="F112" i="2"/>
  <c r="F117" i="2"/>
  <c r="F85" i="2"/>
  <c r="F141" i="2"/>
  <c r="F133" i="2"/>
  <c r="BI137" i="2"/>
  <c r="BI100" i="2"/>
  <c r="BI105" i="2"/>
  <c r="BB137" i="2"/>
  <c r="BB85" i="2"/>
  <c r="BB110" i="2"/>
  <c r="BB92" i="2"/>
  <c r="BB105" i="2"/>
  <c r="BB133" i="2"/>
  <c r="K78" i="2"/>
  <c r="K92" i="2"/>
  <c r="K117" i="2"/>
  <c r="K100" i="2"/>
  <c r="K107" i="2"/>
  <c r="K126" i="2"/>
  <c r="AQ94" i="2"/>
  <c r="AQ115" i="2"/>
  <c r="AQ102" i="2"/>
  <c r="AQ85" i="2"/>
  <c r="AQ105" i="2"/>
  <c r="AQ141" i="2"/>
  <c r="AQ133" i="2"/>
  <c r="P100" i="2"/>
  <c r="P137" i="2"/>
  <c r="P94" i="2"/>
  <c r="P105" i="2"/>
  <c r="P110" i="2"/>
  <c r="P122" i="2"/>
  <c r="P133" i="2"/>
  <c r="AV102" i="2"/>
  <c r="AV137" i="2"/>
  <c r="AV92" i="2"/>
  <c r="AC110" i="2"/>
  <c r="AC137" i="2"/>
  <c r="AC100" i="2"/>
  <c r="AC141" i="2"/>
  <c r="U85" i="2"/>
  <c r="U78" i="2"/>
  <c r="U100" i="2"/>
  <c r="U105" i="2"/>
  <c r="U107" i="2"/>
  <c r="U126" i="2"/>
  <c r="AT85" i="2"/>
  <c r="AT115" i="2"/>
  <c r="AT126" i="2"/>
  <c r="AT92" i="2"/>
  <c r="BE92" i="2"/>
  <c r="BE133" i="2"/>
  <c r="AE100" i="2"/>
  <c r="AE137" i="2"/>
  <c r="AE117" i="2"/>
  <c r="AE133" i="2"/>
  <c r="BK92" i="2"/>
  <c r="BK117" i="2"/>
  <c r="BK112" i="2"/>
  <c r="BK107" i="2"/>
  <c r="AJ94" i="2"/>
  <c r="AJ105" i="2"/>
  <c r="AJ129" i="2"/>
  <c r="AJ126" i="2"/>
  <c r="BM141" i="2"/>
  <c r="BM85" i="2"/>
  <c r="BM133" i="2"/>
  <c r="BM92" i="2"/>
  <c r="R102" i="2"/>
  <c r="R112" i="2"/>
  <c r="R107" i="2"/>
  <c r="H102" i="2"/>
  <c r="H137" i="2"/>
  <c r="AN102" i="2"/>
  <c r="AN115" i="2"/>
  <c r="AN112" i="2"/>
  <c r="AN129" i="2"/>
  <c r="AN141" i="2"/>
  <c r="BJ110" i="2"/>
  <c r="BJ117" i="2"/>
  <c r="BJ92" i="2"/>
  <c r="BJ133" i="2"/>
  <c r="BJ141" i="2"/>
  <c r="AO107" i="2"/>
  <c r="AO102" i="2"/>
  <c r="AO112" i="2"/>
  <c r="AO133" i="2"/>
  <c r="BC100" i="2"/>
  <c r="BC78" i="2"/>
  <c r="BC117" i="2"/>
  <c r="BC110" i="2"/>
  <c r="BC122" i="2"/>
  <c r="BH92" i="2"/>
  <c r="BH94" i="2"/>
  <c r="BH137" i="2"/>
  <c r="BH102" i="2"/>
  <c r="BH105" i="2"/>
  <c r="BH115" i="2"/>
  <c r="M102" i="2"/>
  <c r="M117" i="2"/>
  <c r="AK110" i="2"/>
  <c r="AK92" i="2"/>
  <c r="AK117" i="2"/>
  <c r="AA115" i="2"/>
  <c r="AA94" i="2"/>
  <c r="AA102" i="2"/>
  <c r="AA107" i="2"/>
  <c r="AA126" i="2"/>
  <c r="AA133" i="2"/>
  <c r="AF107" i="2"/>
  <c r="AF94" i="2"/>
  <c r="BA85" i="2"/>
  <c r="BA137" i="2"/>
  <c r="BA112" i="2"/>
  <c r="BA94" i="2"/>
  <c r="BA126" i="2"/>
  <c r="BA129" i="2"/>
  <c r="Y107" i="2"/>
  <c r="Y105" i="2"/>
  <c r="Y137" i="2"/>
  <c r="Y94" i="2"/>
  <c r="Y115" i="2"/>
  <c r="AU92" i="2"/>
  <c r="AU115" i="2"/>
  <c r="AU110" i="2"/>
  <c r="AU122" i="2"/>
  <c r="AU107" i="2"/>
  <c r="AZ78" i="2"/>
  <c r="AZ105" i="2"/>
  <c r="AZ117" i="2"/>
  <c r="AZ110" i="2"/>
  <c r="AZ122" i="2"/>
  <c r="AZ129" i="2"/>
  <c r="AZ126" i="2"/>
  <c r="U139" i="3"/>
  <c r="AZ139" i="3"/>
  <c r="AH139" i="3"/>
  <c r="AB139" i="3"/>
  <c r="L139" i="3"/>
  <c r="BM139" i="3"/>
  <c r="AD139" i="3"/>
  <c r="T139" i="3"/>
  <c r="BF139" i="3"/>
  <c r="J139" i="3"/>
  <c r="X139" i="3"/>
  <c r="I139" i="3"/>
  <c r="BI139" i="3"/>
  <c r="BB139" i="3"/>
  <c r="BA139" i="3"/>
  <c r="Y139" i="3"/>
  <c r="V139" i="3"/>
  <c r="AJ139" i="3"/>
  <c r="BJ139" i="3"/>
  <c r="BG139" i="3"/>
  <c r="S139" i="3"/>
  <c r="F139" i="3"/>
  <c r="P139" i="3"/>
  <c r="AV139" i="3"/>
  <c r="AC139" i="3"/>
  <c r="BH139" i="3"/>
  <c r="AO139" i="3"/>
  <c r="AQ139" i="3"/>
  <c r="AT139" i="3"/>
  <c r="R139" i="3"/>
  <c r="AF139" i="3"/>
  <c r="AI139" i="3"/>
  <c r="AX139" i="3"/>
  <c r="N139" i="3"/>
  <c r="AY139" i="3"/>
  <c r="BK139" i="3"/>
  <c r="AK139" i="3"/>
  <c r="AU139" i="3"/>
  <c r="W139" i="3"/>
  <c r="AW139" i="3"/>
  <c r="AE139" i="3"/>
  <c r="H139" i="3"/>
  <c r="BD139" i="3"/>
  <c r="AS139" i="3"/>
  <c r="AM139" i="3"/>
  <c r="BE139" i="3"/>
  <c r="M139" i="3"/>
  <c r="AG139" i="3"/>
  <c r="Z139" i="3"/>
  <c r="AR139" i="3"/>
  <c r="AN139" i="3"/>
  <c r="AA139" i="3"/>
  <c r="AL139" i="3"/>
  <c r="K139" i="3"/>
  <c r="BC139" i="3"/>
  <c r="AP139" i="3"/>
  <c r="Q139" i="3"/>
  <c r="BL139" i="3"/>
  <c r="O139" i="3"/>
  <c r="G139" i="3"/>
  <c r="G139" i="2" l="1"/>
  <c r="O139" i="2"/>
  <c r="BL139" i="2"/>
  <c r="Q139" i="2"/>
  <c r="AP139" i="2"/>
  <c r="BC139" i="2"/>
  <c r="K139" i="2"/>
  <c r="AL139" i="2"/>
  <c r="AA139" i="2"/>
  <c r="AN139" i="2"/>
  <c r="AR139" i="2"/>
  <c r="Z139" i="2"/>
  <c r="AG139" i="2"/>
  <c r="M139" i="2"/>
  <c r="BE139" i="2"/>
  <c r="AM139" i="2"/>
  <c r="AS139" i="2"/>
  <c r="BD139" i="2"/>
  <c r="H139" i="2"/>
  <c r="AE139" i="2"/>
  <c r="AW139" i="2"/>
  <c r="W139" i="2"/>
  <c r="AU139" i="2"/>
  <c r="AK139" i="2"/>
  <c r="BK139" i="2"/>
  <c r="AY139" i="2"/>
  <c r="N139" i="2"/>
  <c r="AX139" i="2"/>
  <c r="AI139" i="2"/>
  <c r="AF139" i="2"/>
  <c r="R139" i="2"/>
  <c r="AT139" i="2"/>
  <c r="AQ139" i="2"/>
  <c r="AO139" i="2"/>
  <c r="BH139" i="2"/>
  <c r="AC139" i="2"/>
  <c r="AV139" i="2"/>
  <c r="P139" i="2"/>
  <c r="F139" i="2"/>
  <c r="S139" i="2"/>
  <c r="BG139" i="2"/>
  <c r="BJ139" i="2"/>
  <c r="AJ139" i="2"/>
  <c r="V139" i="2"/>
  <c r="Y139" i="2"/>
  <c r="BA139" i="2"/>
  <c r="BB139" i="2"/>
  <c r="BI139" i="2"/>
  <c r="I139" i="2"/>
  <c r="X139" i="2"/>
  <c r="J139" i="2"/>
  <c r="BF139" i="2"/>
  <c r="T139" i="2"/>
  <c r="AD139" i="2"/>
  <c r="BM139" i="2"/>
  <c r="L139" i="2"/>
  <c r="AB139" i="2"/>
  <c r="AH139" i="2"/>
  <c r="AZ139" i="2"/>
  <c r="U139" i="2"/>
</calcChain>
</file>

<file path=xl/sharedStrings.xml><?xml version="1.0" encoding="utf-8"?>
<sst xmlns="http://schemas.openxmlformats.org/spreadsheetml/2006/main" count="31" uniqueCount="30">
  <si>
    <t>**IMPORTANT NOTE**</t>
  </si>
  <si>
    <t>This document, the information contained herein and any derived information created therefrom are for the exclusive use of HUGO TORCHE at D-CAF.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</si>
  <si>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</si>
  <si>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</si>
  <si>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</si>
  <si>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</si>
  <si>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</si>
  <si>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</si>
  <si>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</si>
  <si>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</si>
  <si>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</si>
  <si>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</si>
  <si>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</si>
  <si>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</si>
  <si>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</si>
  <si>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</si>
  <si>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</si>
  <si>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</si>
  <si>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</si>
  <si>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</si>
  <si>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</si>
  <si>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</si>
  <si>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</si>
  <si>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</si>
  <si>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</si>
  <si>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</si>
  <si>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</si>
  <si>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</si>
  <si>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quarter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</si>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</sst>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BDP|16958919437740146653</stp>
        <tr r="BG175" s="3"/>
      </tp>
      <tp t="s">
        <v>#N/A N/A</v>
        <stp/>
        <stp>BDP|11317305793082900332</stp>
        <tr r="F176" s="3"/>
      </tp>
      <tp t="s">
        <v>#N/A N/A</v>
        <stp/>
        <stp>BDP|11337243753879322580</stp>
        <tr r="AZ174" s="3"/>
      </tp>
      <tp t="s">
        <v>#N/A N/A</v>
        <stp/>
        <stp>BDP|18375846983572453019</stp>
        <tr r="AM175" s="3"/>
      </tp>
      <tp t="s">
        <v>#N/A N/A</v>
        <stp/>
        <stp>BDP|17121790338010119960</stp>
        <tr r="N176" s="3"/>
      </tp>
      <tp t="s">
        <v>#N/A N/A</v>
        <stp/>
        <stp>BDH|13784401597945632174</stp>
        <tr r="F179" s="3"/>
      </tp>
      <tp t="s">
        <v>#N/A N/A</v>
        <stp/>
        <stp>BDH|10302845223309302903</stp>
        <tr r="F201" s="3"/>
      </tp>
      <tp t="s">
        <v>#N/A N/A</v>
        <stp/>
        <stp>BDH|15864045504309956678</stp>
        <tr r="F197" s="3"/>
      </tp>
      <tp t="s">
        <v>#N/A N/A</v>
        <stp/>
        <stp>BDH|16380016388920894485</stp>
        <tr r="F236" s="3"/>
      </tp>
      <tp t="s">
        <v>#N/A N/A</v>
        <stp/>
        <stp>BDP|12169723700146271890</stp>
        <tr r="BK175" s="3"/>
      </tp>
      <tp t="s">
        <v>#N/A N/A</v>
        <stp/>
        <stp>BDP|12097540666869231385</stp>
        <tr r="BC177" s="3"/>
      </tp>
      <tp t="s">
        <v>#N/A N/A</v>
        <stp/>
        <stp>BDP|11860137889735279687</stp>
        <tr r="P177" s="3"/>
      </tp>
      <tp t="s">
        <v>#N/A N/A</v>
        <stp/>
        <stp>BDP|11277342499383637347</stp>
        <tr r="AV176" s="3"/>
      </tp>
      <tp t="s">
        <v>#N/A N/A</v>
        <stp/>
        <stp>BDP|10046231394590843019</stp>
        <tr r="G174" s="3"/>
      </tp>
      <tp t="s">
        <v>#N/A N/A</v>
        <stp/>
        <stp>BDP|11908603993822294788</stp>
        <tr r="AK176" s="3"/>
      </tp>
      <tp t="s">
        <v>#N/A N/A</v>
        <stp/>
        <stp>BDP|12661749923118157451</stp>
        <tr r="I175" s="3"/>
      </tp>
      <tp t="s">
        <v>#N/A N/A</v>
        <stp/>
        <stp>BDH|15457367418578039497</stp>
        <tr r="F247" s="3"/>
      </tp>
      <tp t="s">
        <v>#N/A N/A</v>
        <stp/>
        <stp>BDH|16532396224495023951</stp>
        <tr r="F191" s="3"/>
      </tp>
      <tp t="s">
        <v>#N/A N/A</v>
        <stp/>
        <stp>BDP|17618280175699251321</stp>
        <tr r="AJ177" s="3"/>
      </tp>
      <tp t="s">
        <v>#N/A N/A</v>
        <stp/>
        <stp>BDP|12038692183053220756</stp>
        <tr r="AO177" s="3"/>
      </tp>
      <tp t="s">
        <v>#N/A N/A</v>
        <stp/>
        <stp>BDP|13090066538929649141</stp>
        <tr r="AJ174" s="3"/>
      </tp>
      <tp t="s">
        <v>#N/A N/A</v>
        <stp/>
        <stp>BDP|12058545599841063729</stp>
        <tr r="AM177" s="3"/>
      </tp>
      <tp t="s">
        <v>#N/A N/A</v>
        <stp/>
        <stp>BDP|14149134586110311597</stp>
        <tr r="BB177" s="3"/>
      </tp>
      <tp t="s">
        <v>#N/A N/A</v>
        <stp/>
        <stp>BDP|15151288299450633669</stp>
        <tr r="Q176" s="3"/>
      </tp>
      <tp t="s">
        <v>#N/A N/A</v>
        <stp/>
        <stp>BDP|15246443331248530215</stp>
        <tr r="AY177" s="3"/>
      </tp>
      <tp t="s">
        <v>#N/A N/A</v>
        <stp/>
        <stp>BDP|16968998755481532343</stp>
        <tr r="O174" s="3"/>
      </tp>
      <tp t="s">
        <v>#N/A N/A</v>
        <stp/>
        <stp>BDP|17476839875512047393</stp>
        <tr r="BH175" s="3"/>
      </tp>
      <tp t="s">
        <v>#N/A N/A</v>
        <stp/>
        <stp>BDP|17373275118834449981</stp>
        <tr r="AY174" s="3"/>
      </tp>
      <tp t="s">
        <v>#N/A N/A</v>
        <stp/>
        <stp>BDP|13969669553879465085</stp>
        <tr r="AG176" s="3"/>
      </tp>
      <tp t="s">
        <v>#N/A N/A</v>
        <stp/>
        <stp>BDP|14580471195850682022</stp>
        <tr r="BE174" s="3"/>
      </tp>
      <tp t="s">
        <v>#N/A N/A</v>
        <stp/>
        <stp>BDP|17406085285212580485</stp>
        <tr r="J175" s="3"/>
      </tp>
      <tp t="s">
        <v>#N/A N/A</v>
        <stp/>
        <stp>BDP|18427336627732154267</stp>
        <tr r="J176" s="3"/>
      </tp>
      <tp t="s">
        <v>#N/A N/A</v>
        <stp/>
        <stp>BDP|17792800742282280014</stp>
        <tr r="T174" s="3"/>
      </tp>
      <tp t="s">
        <v>#N/A N/A</v>
        <stp/>
        <stp>BDH|12615775552850484963</stp>
        <tr r="F203" s="3"/>
      </tp>
      <tp t="s">
        <v>#N/A N/A</v>
        <stp/>
        <stp>BDH|18153001466721740694</stp>
        <tr r="F183" s="3"/>
      </tp>
      <tp t="s">
        <v>#N/A N/A</v>
        <stp/>
        <stp>BDH|16978732018430707984</stp>
        <tr r="F195" s="3"/>
      </tp>
      <tp t="s">
        <v>#N/A N/A</v>
        <stp/>
        <stp>BDP|11412597820300434828</stp>
        <tr r="L174" s="3"/>
      </tp>
      <tp t="s">
        <v>#N/A N/A</v>
        <stp/>
        <stp>BDP|11349858810471080796</stp>
        <tr r="Z177" s="3"/>
      </tp>
      <tp t="s">
        <v>#N/A N/A</v>
        <stp/>
        <stp>BDP|10376066065739632149</stp>
        <tr r="O177" s="3"/>
      </tp>
      <tp t="s">
        <v>#N/A N/A</v>
        <stp/>
        <stp>BDP|14286030602672796805</stp>
        <tr r="H175" s="3"/>
      </tp>
      <tp t="s">
        <v>#N/A N/A</v>
        <stp/>
        <stp>BDP|13049466761239187606</stp>
        <tr r="AU175" s="3"/>
      </tp>
      <tp t="s">
        <v>#N/A N/A</v>
        <stp/>
        <stp>BDH|18081446466887392345</stp>
        <tr r="F217" s="3"/>
      </tp>
      <tp t="s">
        <v>#N/A N/A</v>
        <stp/>
        <stp>BDP|11986739681233744258</stp>
        <tr r="BA174" s="3"/>
      </tp>
      <tp t="s">
        <v>#N/A N/A</v>
        <stp/>
        <stp>BDP|15078925871220789441</stp>
        <tr r="AT176" s="3"/>
      </tp>
      <tp t="s">
        <v>#N/A N/A</v>
        <stp/>
        <stp>BDP|12999870855014693486</stp>
        <tr r="N174" s="3"/>
      </tp>
      <tp t="s">
        <v>#N/A N/A</v>
        <stp/>
        <stp>BDP|15415594887365846241</stp>
        <tr r="BK177" s="3"/>
      </tp>
      <tp t="s">
        <v>#N/A N/A</v>
        <stp/>
        <stp>BDH|18056481302173909013</stp>
        <tr r="F238" s="3"/>
      </tp>
      <tp t="s">
        <v>#N/A N/A</v>
        <stp/>
        <stp>BDH|13874226294595061245</stp>
        <tr r="F178" s="3"/>
      </tp>
      <tp t="s">
        <v>#N/A N/A</v>
        <stp/>
        <stp>BDP|17934854343424147316</stp>
        <tr r="T175" s="3"/>
      </tp>
      <tp t="s">
        <v>#N/A N/A</v>
        <stp/>
        <stp>BDP|12268328598265975124</stp>
        <tr r="Y176" s="3"/>
      </tp>
      <tp t="s">
        <v>#N/A N/A</v>
        <stp/>
        <stp>BDP|15956228789750203356</stp>
        <tr r="AQ175" s="3"/>
      </tp>
      <tp t="s">
        <v>#N/A N/A</v>
        <stp/>
        <stp>BDP|14476962037852892095</stp>
        <tr r="BD174" s="3"/>
      </tp>
      <tp t="s">
        <v>#N/A N/A</v>
        <stp/>
        <stp>BDP|16244058305489453315</stp>
        <tr r="AR176" s="3"/>
      </tp>
      <tp t="s">
        <v>#N/A N/A</v>
        <stp/>
        <stp>BDH|17893798427696323802</stp>
        <tr r="F199" s="3"/>
      </tp>
      <tp t="s">
        <v>#N/A N/A</v>
        <stp/>
        <stp>BDH|11927756400763262962</stp>
        <tr r="F237" s="3"/>
      </tp>
      <tp t="s">
        <v>#N/A N/A</v>
        <stp/>
        <stp>BDH|10839262984011619730</stp>
        <tr r="F242" s="3"/>
      </tp>
      <tp t="s">
        <v>#N/A N/A</v>
        <stp/>
        <stp>BDP|10000191894025568039</stp>
        <tr r="Y177" s="3"/>
      </tp>
      <tp t="s">
        <v>#N/A N/A</v>
        <stp/>
        <stp>BDP|10483043940371302897</stp>
        <tr r="AV177" s="3"/>
      </tp>
      <tp t="s">
        <v>#N/A N/A</v>
        <stp/>
        <stp>BDP|12193515256359879618</stp>
        <tr r="AU174" s="3"/>
      </tp>
      <tp t="s">
        <v>#N/A N/A</v>
        <stp/>
        <stp>BDP|12430363474433863809</stp>
        <tr r="AL176" s="3"/>
      </tp>
      <tp t="s">
        <v>#N/A N/A</v>
        <stp/>
        <stp>BDP|11676887556857655686</stp>
        <tr r="BL174" s="3"/>
      </tp>
      <tp t="s">
        <v>#N/A N/A</v>
        <stp/>
        <stp>BDH|13601543197977676595</stp>
        <tr r="F224" s="3"/>
      </tp>
      <tp t="s">
        <v>#N/A N/A</v>
        <stp/>
        <stp>BDH|18362319130800931540</stp>
        <tr r="F189" s="3"/>
      </tp>
      <tp t="s">
        <v>#N/A N/A</v>
        <stp/>
        <stp>BDP|13603382814782456165</stp>
        <tr r="BJ177" s="3"/>
      </tp>
      <tp t="s">
        <v>#N/A N/A</v>
        <stp/>
        <stp>BDP|13873394322296230696</stp>
        <tr r="BA177" s="3"/>
      </tp>
      <tp t="s">
        <v>#N/A N/A</v>
        <stp/>
        <stp>BDP|17751765728250206050</stp>
        <tr r="AN174" s="3"/>
      </tp>
      <tp t="s">
        <v>#N/A N/A</v>
        <stp/>
        <stp>BDP|12910148072556396024</stp>
        <tr r="W177" s="3"/>
      </tp>
      <tp t="s">
        <v>#N/A N/A</v>
        <stp/>
        <stp>BDP|11245419603566678100</stp>
        <tr r="AP177" s="3"/>
      </tp>
      <tp t="s">
        <v>#N/A N/A</v>
        <stp/>
        <stp>BDH|14924405824622132260</stp>
        <tr r="F196" s="3"/>
      </tp>
      <tp t="s">
        <v>#N/A N/A</v>
        <stp/>
        <stp>BDP|16979646555401174729</stp>
        <tr r="AW177" s="3"/>
      </tp>
      <tp t="s">
        <v>#N/A N/A</v>
        <stp/>
        <stp>BDP|11979258733002475102</stp>
        <tr r="K175" s="3"/>
      </tp>
      <tp t="s">
        <v>#N/A N/A</v>
        <stp/>
        <stp>BDP|14220163171047678682</stp>
        <tr r="P174" s="3"/>
      </tp>
      <tp t="s">
        <v>#N/A N/A</v>
        <stp/>
        <stp>BDP|16307706972837275295</stp>
        <tr r="BB175" s="3"/>
      </tp>
      <tp t="s">
        <v>#N/A N/A</v>
        <stp/>
        <stp>BDP|13688614470547032680</stp>
        <tr r="BI174" s="3"/>
      </tp>
      <tp t="s">
        <v>#N/A N/A</v>
        <stp/>
        <stp>BDP|17612023546492264205</stp>
        <tr r="O175" s="3"/>
      </tp>
      <tp t="s">
        <v>#N/A N/A</v>
        <stp/>
        <stp>BDP|12495698289868453708</stp>
        <tr r="BJ175" s="3"/>
      </tp>
      <tp t="s">
        <v>#N/A N/A</v>
        <stp/>
        <stp>BDP|10285050787512770909</stp>
        <tr r="BM174" s="3"/>
      </tp>
      <tp t="s">
        <v>#N/A N/A</v>
        <stp/>
        <stp>BDH|17549786791179230388</stp>
        <tr r="F254" s="3"/>
      </tp>
      <tp t="s">
        <v>#N/A N/A</v>
        <stp/>
        <stp>BDP|10614935119738008044</stp>
        <tr r="AG175" s="3"/>
      </tp>
      <tp t="s">
        <v>#N/A N/A</v>
        <stp/>
        <stp>BDP|12086303210511453195</stp>
        <tr r="AB176" s="3"/>
      </tp>
      <tp t="s">
        <v>#N/A N/A</v>
        <stp/>
        <stp>BDP|12344771014333420784</stp>
        <tr r="BC174" s="3"/>
      </tp>
      <tp t="s">
        <v>#N/A N/A</v>
        <stp/>
        <stp>BDP|10408314731127792735</stp>
        <tr r="AE176" s="3"/>
      </tp>
      <tp t="s">
        <v>#N/A N/A</v>
        <stp/>
        <stp>BDP|11722756560833743377</stp>
        <tr r="AX177" s="3"/>
      </tp>
      <tp t="s">
        <v>#N/A N/A</v>
        <stp/>
        <stp>BDP|11394032000797669647</stp>
        <tr r="AS175" s="3"/>
      </tp>
      <tp t="s">
        <v>#N/A N/A</v>
        <stp/>
        <stp>BDP|17444547018325415689</stp>
        <tr r="T177" s="3"/>
      </tp>
      <tp t="s">
        <v>#N/A N/A</v>
        <stp/>
        <stp>BDP|13407501056005339665</stp>
        <tr r="AL177" s="3"/>
      </tp>
      <tp t="s">
        <v>#N/A N/A</v>
        <stp/>
        <stp>BDH|17246130854754798768</stp>
        <tr r="F227" s="3"/>
      </tp>
      <tp t="s">
        <v>#N/A N/A</v>
        <stp/>
        <stp>BDH|13834957381560941222</stp>
        <tr r="F222" s="3"/>
      </tp>
      <tp t="s">
        <v>#N/A N/A</v>
        <stp/>
        <stp>BDH|11041242749291764670</stp>
        <tr r="F186" s="3"/>
      </tp>
      <tp t="s">
        <v>#N/A N/A</v>
        <stp/>
        <stp>BDH|11556726985776978874</stp>
        <tr r="F184" s="3"/>
      </tp>
      <tp t="s">
        <v>#N/A N/A</v>
        <stp/>
        <stp>BDP|15133577591670871820</stp>
        <tr r="AF177" s="3"/>
      </tp>
      <tp t="s">
        <v>#N/A N/A</v>
        <stp/>
        <stp>BDP|17573088564659011957</stp>
        <tr r="K177" s="3"/>
      </tp>
      <tp t="s">
        <v>#N/A N/A</v>
        <stp/>
        <stp>BDP|17044616001352684294</stp>
        <tr r="AA177" s="3"/>
      </tp>
      <tp t="s">
        <v>#N/A N/A</v>
        <stp/>
        <stp>BDP|16399511211757520498</stp>
        <tr r="BL176" s="3"/>
      </tp>
      <tp t="s">
        <v>#N/A N/A</v>
        <stp/>
        <stp>BDP|16428516239518449970</stp>
        <tr r="AL174" s="3"/>
      </tp>
      <tp t="s">
        <v>#N/A N/A</v>
        <stp/>
        <stp>BDP|13237057534095775448</stp>
        <tr r="U176" s="3"/>
      </tp>
      <tp t="s">
        <v>#N/A N/A</v>
        <stp/>
        <stp>BDP|15800559419696213648</stp>
        <tr r="AC174" s="3"/>
      </tp>
      <tp t="s">
        <v>#N/A N/A</v>
        <stp/>
        <stp>BDP|13202254763863356526</stp>
        <tr r="AF174" s="3"/>
      </tp>
      <tp t="s">
        <v>#N/A N/A</v>
        <stp/>
        <stp>BDP|14844679749121750651</stp>
        <tr r="BM176" s="3"/>
      </tp>
      <tp t="s">
        <v>#N/A N/A</v>
        <stp/>
        <stp>BDP|10000223307074457760</stp>
        <tr r="BC175" s="3"/>
      </tp>
      <tp t="s">
        <v>#N/A N/A</v>
        <stp/>
        <stp>BDH|10610276609477547459</stp>
        <tr r="F182" s="3"/>
      </tp>
      <tp t="s">
        <v>#N/A N/A</v>
        <stp/>
        <stp>BDP|11759046863658888938</stp>
        <tr r="I176" s="3"/>
      </tp>
      <tp t="s">
        <v>#N/A N/A</v>
        <stp/>
        <stp>BDP|14919391510555835532</stp>
        <tr r="AO174" s="3"/>
      </tp>
      <tp t="s">
        <v>#N/A N/A</v>
        <stp/>
        <stp>BDP|10879835130408227531</stp>
        <tr r="V174" s="3"/>
      </tp>
      <tp t="s">
        <v>#N/A N/A</v>
        <stp/>
        <stp>BDP|11845400046194201329</stp>
        <tr r="G176" s="3"/>
      </tp>
      <tp t="s">
        <v>#N/A N/A</v>
        <stp/>
        <stp>BDP|12422129039235944358</stp>
        <tr r="AZ175" s="3"/>
      </tp>
      <tp t="s">
        <v>#N/A N/A</v>
        <stp/>
        <stp>BDP|18287783699944488457</stp>
        <tr r="BG177" s="3"/>
      </tp>
      <tp t="s">
        <v>#N/A N/A</v>
        <stp/>
        <stp>BDP|17232533069517886551</stp>
        <tr r="BI175" s="3"/>
      </tp>
      <tp t="s">
        <v>#N/A N/A</v>
        <stp/>
        <stp>BDP|16168649952486705571</stp>
        <tr r="BH177" s="3"/>
      </tp>
      <tp t="s">
        <v>#N/A N/A</v>
        <stp/>
        <stp>BDP|17540372458124945341</stp>
        <tr r="Q174" s="3"/>
      </tp>
      <tp t="s">
        <v>#N/A N/A</v>
        <stp/>
        <stp>BDH|15044763664803226170</stp>
        <tr r="F216" s="3"/>
      </tp>
      <tp t="s">
        <v>#N/A N/A</v>
        <stp/>
        <stp>BDP|13827853683103426751</stp>
        <tr r="X176" s="3"/>
      </tp>
      <tp t="s">
        <v>#N/A N/A</v>
        <stp/>
        <stp>BDP|16257911581369453994</stp>
        <tr r="AF176" s="3"/>
      </tp>
      <tp t="s">
        <v>#N/A N/A</v>
        <stp/>
        <stp>BDP|17947078444111517516</stp>
        <tr r="H174" s="3"/>
      </tp>
      <tp t="s">
        <v>#N/A N/A</v>
        <stp/>
        <stp>BDP|13817302577298328827</stp>
        <tr r="AD174" s="3"/>
      </tp>
      <tp t="s">
        <v>#N/A N/A</v>
        <stp/>
        <stp>BDP|16084025118249899931</stp>
        <tr r="M176" s="3"/>
      </tp>
      <tp t="s">
        <v>#N/A N/A</v>
        <stp/>
        <stp>BDP|10118265440029114848</stp>
        <tr r="BJ176" s="3"/>
      </tp>
      <tp t="s">
        <v>#N/A N/A</v>
        <stp/>
        <stp>BDP|13826176841708305998</stp>
        <tr r="AQ174" s="3"/>
      </tp>
      <tp t="s">
        <v>#N/A N/A</v>
        <stp/>
        <stp>BDP|11155476814232794132</stp>
        <tr r="X175" s="3"/>
      </tp>
      <tp t="s">
        <v>#N/A N/A</v>
        <stp/>
        <stp>BDH|15740269765724101263</stp>
        <tr r="F202" s="3"/>
      </tp>
      <tp t="s">
        <v>#N/A N/A</v>
        <stp/>
        <stp>BDH|14772522756225537649</stp>
        <tr r="F205" s="3"/>
      </tp>
      <tp t="s">
        <v>#N/A N/A</v>
        <stp/>
        <stp>BDH|17204799889626534927</stp>
        <tr r="F232" s="3"/>
      </tp>
      <tp t="s">
        <v>#N/A N/A</v>
        <stp/>
        <stp>BDH|12666010432501650749</stp>
        <tr r="F223" s="3"/>
      </tp>
      <tp t="s">
        <v>#N/A N/A</v>
        <stp/>
        <stp>BDH|16492788330326231350</stp>
        <tr r="F220" s="3"/>
      </tp>
      <tp t="s">
        <v>#N/A N/A</v>
        <stp/>
        <stp>BDP|15233437031737965143</stp>
        <tr r="I174" s="3"/>
      </tp>
      <tp t="s">
        <v>#N/A N/A</v>
        <stp/>
        <stp>BDP|16271575296616708881</stp>
        <tr r="S176" s="3"/>
      </tp>
      <tp t="s">
        <v>#N/A N/A</v>
        <stp/>
        <stp>BDP|14404585791774500866</stp>
        <tr r="BF176" s="3"/>
      </tp>
      <tp t="s">
        <v>#N/A N/A</v>
        <stp/>
        <stp>BDP|12165194841034192792</stp>
        <tr r="AX174" s="3"/>
      </tp>
      <tp t="s">
        <v>#N/A N/A</v>
        <stp/>
        <stp>BDP|14404230141446276049</stp>
        <tr r="BK174" s="3"/>
      </tp>
      <tp t="s">
        <v>#N/A N/A</v>
        <stp/>
        <stp>BDP|13254404564820394566</stp>
        <tr r="AV174" s="3"/>
      </tp>
      <tp t="s">
        <v>#N/A N/A</v>
        <stp/>
        <stp>BDP|11751485021837355486</stp>
        <tr r="AI176" s="3"/>
      </tp>
      <tp t="s">
        <v>#N/A N/A</v>
        <stp/>
        <stp>BDP|16872078242984109286</stp>
        <tr r="W174" s="3"/>
      </tp>
      <tp t="s">
        <v>#N/A N/A</v>
        <stp/>
        <stp>BDP|12277823742829632334</stp>
        <tr r="AP175" s="3"/>
      </tp>
      <tp t="s">
        <v>#N/A N/A</v>
        <stp/>
        <stp>BDH|11039552170185156230</stp>
        <tr r="F248" s="3"/>
      </tp>
      <tp t="s">
        <v>#N/A N/A</v>
        <stp/>
        <stp>BDH|12158575038222003203</stp>
        <tr r="F231" s="3"/>
      </tp>
      <tp t="s">
        <v>#N/A N/A</v>
        <stp/>
        <stp>BDP|10864530100258554849</stp>
        <tr r="AH177" s="3"/>
      </tp>
      <tp t="s">
        <v>#N/A N/A</v>
        <stp/>
        <stp>BDP|15448741632997780385</stp>
        <tr r="AW176" s="3"/>
      </tp>
      <tp t="s">
        <v>#N/A N/A</v>
        <stp/>
        <stp>BDP|15379423910543449691</stp>
        <tr r="AS174" s="3"/>
      </tp>
      <tp t="s">
        <v>#N/A N/A</v>
        <stp/>
        <stp>BDP|10926818250220655885</stp>
        <tr r="AQ177" s="3"/>
      </tp>
      <tp t="s">
        <v>#N/A N/A</v>
        <stp/>
        <stp>BDH|13893255095285413842</stp>
        <tr r="F218" s="3"/>
      </tp>
      <tp t="s">
        <v>#N/A N/A</v>
        <stp/>
        <stp>BDH|12141107637571838442</stp>
        <tr r="F245" s="3"/>
      </tp>
      <tp t="s">
        <v>#N/A N/A</v>
        <stp/>
        <stp>BDH|11218515616224807470</stp>
        <tr r="F226" s="3"/>
      </tp>
    </main>
    <main first="bloomberg.ccyreader">
      <tp>
        <v>0</v>
        <stp/>
        <stp>#track</stp>
        <stp>DBG</stp>
        <stp>BIHITX</stp>
        <stp>1.0</stp>
        <stp>RepeatHit</stp>
        <tr r="A152" s="3"/>
      </tp>
    </main>
    <main first="bofaddin.rtdserver">
      <tp t="s">
        <v>#N/A N/A</v>
        <stp/>
        <stp>BDP|9884985287132941650</stp>
        <tr r="S177" s="3"/>
      </tp>
      <tp t="s">
        <v>#N/A N/A</v>
        <stp/>
        <stp>BDH|6013921410795972734</stp>
        <tr r="F241" s="3"/>
      </tp>
      <tp t="s">
        <v>#N/A N/A</v>
        <stp/>
        <stp>BDP|2229866604172943471</stp>
        <tr r="BC176" s="3"/>
      </tp>
      <tp t="s">
        <v>#N/A N/A</v>
        <stp/>
        <stp>BDP|6697394269957326869</stp>
        <tr r="AB175" s="3"/>
      </tp>
      <tp t="s">
        <v>#N/A N/A</v>
        <stp/>
        <stp>BDP|9627646262181737416</stp>
        <tr r="AU176" s="3"/>
      </tp>
      <tp t="s">
        <v>#N/A N/A</v>
        <stp/>
        <stp>BDH|9045893288391708429</stp>
        <tr r="F162" s="3"/>
        <tr r="F165" s="3"/>
        <tr r="F166" s="3"/>
        <tr r="F168" s="3"/>
        <tr r="F169" s="3"/>
        <tr r="F253" s="3"/>
        <tr r="F163" s="3"/>
        <tr r="F167" s="3"/>
        <tr r="F164" s="3"/>
      </tp>
      <tp t="s">
        <v>#N/A N/A</v>
        <stp/>
        <stp>BDH|8798671124568315997</stp>
        <tr r="F230" s="3"/>
      </tp>
      <tp t="s">
        <v>#N/A N/A</v>
        <stp/>
        <stp>BDP|9270901083881633483</stp>
        <tr r="W176" s="3"/>
      </tp>
      <tp t="s">
        <v>#N/A N/A</v>
        <stp/>
        <stp>BDP|9656069679716651520</stp>
        <tr r="BE177" s="3"/>
      </tp>
      <tp t="s">
        <v>#N/A N/A</v>
        <stp/>
        <stp>BDH|1553807952047310697</stp>
        <tr r="F188" s="3"/>
      </tp>
      <tp t="s">
        <v>#N/A N/A</v>
        <stp/>
        <stp>BDP|1038653705088841284</stp>
        <tr r="AO176" s="3"/>
      </tp>
      <tp t="s">
        <v>#N/A N/A</v>
        <stp/>
        <stp>BDP|1085552354885514952</stp>
        <tr r="AF175" s="3"/>
      </tp>
      <tp t="s">
        <v>#N/A N/A</v>
        <stp/>
        <stp>BDP|3602891230480771591</stp>
        <tr r="AP174" s="3"/>
      </tp>
      <tp t="s">
        <v>#N/A N/A</v>
        <stp/>
        <stp>BDP|2323738460116480851</stp>
        <tr r="R175" s="3"/>
      </tp>
      <tp t="s">
        <v>#N/A N/A</v>
        <stp/>
        <stp>BDH|8256103841652766201</stp>
        <tr r="F234" s="3"/>
      </tp>
      <tp t="s">
        <v>#N/A N/A</v>
        <stp/>
        <stp>BDH|2375708910129252056</stp>
        <tr r="F181" s="3"/>
      </tp>
      <tp t="s">
        <v>#N/A N/A</v>
        <stp/>
        <stp>BDP|1076185058468281077</stp>
        <tr r="U175" s="3"/>
      </tp>
      <tp t="s">
        <v>#N/A N/A</v>
        <stp/>
        <stp>BDP|6977482897877471173</stp>
        <tr r="BM177" s="3"/>
      </tp>
      <tp t="s">
        <v>#N/A N/A</v>
        <stp/>
        <stp>BDP|1345806538372996692</stp>
        <tr r="J177" s="3"/>
      </tp>
      <tp t="s">
        <v>#N/A N/A</v>
        <stp/>
        <stp>BDP|9829707437937338411</stp>
        <tr r="V175" s="3"/>
      </tp>
      <tp t="s">
        <v>#N/A N/A</v>
        <stp/>
        <stp>BDP|1055738332109503244</stp>
        <tr r="BF174" s="3"/>
      </tp>
      <tp t="s">
        <v>#N/A N/A</v>
        <stp/>
        <stp>BDH|9362683449235079036</stp>
        <tr r="F240" s="3"/>
      </tp>
      <tp t="s">
        <v>#N/A N/A</v>
        <stp/>
        <stp>BDP|1150851472109613978</stp>
        <tr r="AD177" s="3"/>
      </tp>
      <tp t="s">
        <v>#N/A N/A</v>
        <stp/>
        <stp>BDP|5240399682719880952</stp>
        <tr r="Y175" s="3"/>
      </tp>
      <tp t="s">
        <v>#N/A N/A</v>
        <stp/>
        <stp>BDH|4441583724108462443</stp>
        <tr r="F200" s="3"/>
      </tp>
      <tp t="s">
        <v>#N/A N/A</v>
        <stp/>
        <stp>BDH|2671873529505357252</stp>
        <tr r="F229" s="3"/>
      </tp>
      <tp t="s">
        <v>#N/A N/A</v>
        <stp/>
        <stp>BDP|1980227280150006442</stp>
        <tr r="Z175" s="3"/>
      </tp>
      <tp t="s">
        <v>#N/A N/A</v>
        <stp/>
        <stp>BDP|8791256029425670218</stp>
        <tr r="Q175" s="3"/>
      </tp>
      <tp t="s">
        <v>#N/A N/A</v>
        <stp/>
        <stp>BDP|3119633756148520721</stp>
        <tr r="R177" s="3"/>
      </tp>
      <tp t="s">
        <v>#N/A N/A</v>
        <stp/>
        <stp>BDP|3464159281711201476</stp>
        <tr r="BM175" s="3"/>
      </tp>
      <tp t="s">
        <v>#N/A N/A</v>
        <stp/>
        <stp>BDH|8746532863230148435</stp>
        <tr r="F180" s="3"/>
      </tp>
      <tp t="s">
        <v>#N/A N/A</v>
        <stp/>
        <stp>BDP|3282595018668847708</stp>
        <tr r="AE174" s="3"/>
      </tp>
      <tp t="s">
        <v>#N/A N/A</v>
        <stp/>
        <stp>BDH|2661692552751391871</stp>
        <tr r="F246" s="3"/>
      </tp>
      <tp t="s">
        <v>#N/A N/A</v>
        <stp/>
        <stp>BDP|2148959557961910763</stp>
        <tr r="AR174" s="3"/>
      </tp>
      <tp t="s">
        <v>#N/A N/A</v>
        <stp/>
        <stp>BDP|3557823814976766462</stp>
        <tr r="AQ176" s="3"/>
      </tp>
      <tp t="s">
        <v>#N/A N/A</v>
        <stp/>
        <stp>BDP|9842061669692027578</stp>
        <tr r="AY176" s="3"/>
      </tp>
      <tp t="s">
        <v>#N/A N/A</v>
        <stp/>
        <stp>BDP|3732442147418246308</stp>
        <tr r="AA176" s="3"/>
      </tp>
      <tp t="s">
        <v>#N/A N/A</v>
        <stp/>
        <stp>BDP|7757820467084506504</stp>
        <tr r="F177" s="3"/>
      </tp>
      <tp t="s">
        <v>#N/A N/A</v>
        <stp/>
        <stp>BDP|1598772048052054900</stp>
        <tr r="AZ176" s="3"/>
      </tp>
      <tp t="s">
        <v>#N/A N/A</v>
        <stp/>
        <stp>BDP|3586513504399880601</stp>
        <tr r="AC177" s="3"/>
      </tp>
      <tp t="s">
        <v>#N/A N/A</v>
        <stp/>
        <stp>BDP|3712597082275177248</stp>
        <tr r="L176" s="3"/>
      </tp>
      <tp t="s">
        <v>#N/A N/A</v>
        <stp/>
        <stp>BDP|9863441654693886299</stp>
        <tr r="BB174" s="3"/>
      </tp>
      <tp t="s">
        <v>#N/A N/A</v>
        <stp/>
        <stp>BDP|2577491281405031247</stp>
        <tr r="BD177" s="3"/>
      </tp>
      <tp t="s">
        <v>#N/A N/A</v>
        <stp/>
        <stp>BDP|8060634001285443246</stp>
        <tr r="BF177" s="3"/>
      </tp>
      <tp t="s">
        <v>#N/A N/A</v>
        <stp/>
        <stp>BDP|9242289639634729508</stp>
        <tr r="AC175" s="3"/>
      </tp>
      <tp t="s">
        <v>#N/A N/A</v>
        <stp/>
        <stp>BDP|4700853516791950662</stp>
        <tr r="AN175" s="3"/>
      </tp>
      <tp t="s">
        <v>#N/A N/A</v>
        <stp/>
        <stp>BDH|2738188311320143845</stp>
        <tr r="F194" s="3"/>
      </tp>
      <tp t="s">
        <v>#N/A N/A</v>
        <stp/>
        <stp>BDP|9091795111211490453</stp>
        <tr r="BG176" s="3"/>
      </tp>
      <tp t="s">
        <v>#N/A N/A</v>
        <stp/>
        <stp>BDP|2864332780634698707</stp>
        <tr r="BF175" s="3"/>
      </tp>
      <tp t="s">
        <v>#N/A N/A</v>
        <stp/>
        <stp>BDP|5780154631179955487</stp>
        <tr r="BK176" s="3"/>
      </tp>
      <tp t="s">
        <v>#N/A N/A</v>
        <stp/>
        <stp>BDH|5132093701487357880</stp>
        <tr r="F235" s="3"/>
      </tp>
      <tp t="s">
        <v>#N/A N/A</v>
        <stp/>
        <stp>BDH|3353460277708200221</stp>
        <tr r="F211" s="3"/>
      </tp>
      <tp t="s">
        <v>#N/A N/A</v>
        <stp/>
        <stp>BDP|8295062301692714014</stp>
        <tr r="AH174" s="3"/>
      </tp>
      <tp t="s">
        <v>#N/A N/A</v>
        <stp/>
        <stp>BDP|9133464551821216370</stp>
        <tr r="Z176" s="3"/>
      </tp>
      <tp t="s">
        <v>#N/A N/A</v>
        <stp/>
        <stp>BDP|3350279695075039778</stp>
        <tr r="AN176" s="3"/>
      </tp>
      <tp t="s">
        <v>#N/A N/A</v>
        <stp/>
        <stp>BDH|8303532688919797749</stp>
        <tr r="F209" s="3"/>
      </tp>
      <tp t="s">
        <v>#N/A N/A</v>
        <stp/>
        <stp>BDP|6024293085980784730</stp>
        <tr r="K174" s="3"/>
      </tp>
      <tp t="s">
        <v>#N/A N/A</v>
        <stp/>
        <stp>BDH|3373888523123218139</stp>
        <tr r="C279" s="3"/>
        <tr r="C275" s="3"/>
        <tr r="C277" s="3"/>
        <tr r="C267" s="3"/>
        <tr r="C269" s="3"/>
        <tr r="C271" s="3"/>
      </tp>
      <tp t="s">
        <v>#N/A N/A</v>
        <stp/>
        <stp>BDP|9889927323761576831</stp>
        <tr r="AR175" s="3"/>
      </tp>
      <tp t="s">
        <v>#N/A N/A</v>
        <stp/>
        <stp>BDP|9831214236375587665</stp>
        <tr r="BD175" s="3"/>
      </tp>
      <tp t="s">
        <v>#N/A N/A</v>
        <stp/>
        <stp>BDP|9825198208400394377</stp>
        <tr r="H177" s="3"/>
      </tp>
      <tp t="s">
        <v>#N/A N/A</v>
        <stp/>
        <stp>BDP|9595553171651133106</stp>
        <tr r="AG174" s="3"/>
      </tp>
      <tp t="s">
        <v>#N/A N/A</v>
        <stp/>
        <stp>BDH|6786803787818021519</stp>
        <tr r="F233" s="3"/>
      </tp>
      <tp t="s">
        <v>#N/A N/A</v>
        <stp/>
        <stp>BDP|2083992566200010693</stp>
        <tr r="I177" s="3"/>
      </tp>
      <tp t="s">
        <v>#N/A N/A</v>
        <stp/>
        <stp>BDH|8341137320092645207</stp>
        <tr r="F252" s="3"/>
      </tp>
      <tp t="s">
        <v>#N/A N/A</v>
        <stp/>
        <stp>BDP|5424500438781944917</stp>
        <tr r="L177" s="3"/>
      </tp>
      <tp t="s">
        <v>#N/A N/A</v>
        <stp/>
        <stp>BDH|2417996549508510397</stp>
        <tr r="F249" s="3"/>
      </tp>
      <tp t="s">
        <v>#N/A N/A</v>
        <stp/>
        <stp>BDH|5369814479306948800</stp>
        <tr r="F198" s="3"/>
      </tp>
      <tp t="s">
        <v>#N/A N/A</v>
        <stp/>
        <stp>BDP|2538369936926389052</stp>
        <tr r="P175" s="3"/>
      </tp>
      <tp t="s">
        <v>#N/A N/A</v>
        <stp/>
        <stp>BDP|3343279704997066210</stp>
        <tr r="Y174" s="3"/>
      </tp>
      <tp t="s">
        <v>#N/A N/A</v>
        <stp/>
        <stp>BDH|4192540427383440408</stp>
        <tr r="F206" s="3"/>
      </tp>
      <tp t="s">
        <v>#N/A N/A</v>
        <stp/>
        <stp>BDP|3703103442280940362</stp>
        <tr r="AW174" s="3"/>
      </tp>
      <tp t="s">
        <v>#N/A N/A</v>
        <stp/>
        <stp>BDH|3408196984147316806</stp>
        <tr r="F187" s="3"/>
      </tp>
      <tp t="s">
        <v>#N/A N/A</v>
        <stp/>
        <stp>BDP|9884232387403135555</stp>
        <tr r="H176" s="3"/>
      </tp>
      <tp t="s">
        <v>#N/A N/A</v>
        <stp/>
        <stp>BDP|8132816499909648574</stp>
        <tr r="Z174" s="3"/>
      </tp>
      <tp t="s">
        <v>#N/A N/A</v>
        <stp/>
        <stp>BDP|1352774872697771391</stp>
        <tr r="AT177" s="3"/>
      </tp>
      <tp t="s">
        <v>#N/A N/A</v>
        <stp/>
        <stp>BDP|3904705570700368624</stp>
        <tr r="BG174" s="3"/>
      </tp>
      <tp t="s">
        <v>#N/A N/A</v>
        <stp/>
        <stp>BDH|2769060173072247285</stp>
        <tr r="F190" s="3"/>
      </tp>
      <tp t="s">
        <v>#N/A N/A</v>
        <stp/>
        <stp>BDP|9605533484352987318</stp>
        <tr r="AK177" s="3"/>
      </tp>
      <tp t="s">
        <v>#N/A N/A</v>
        <stp/>
        <stp>BDP|1561500558033524774</stp>
        <tr r="AE177" s="3"/>
      </tp>
      <tp t="s">
        <v>#N/A N/A</v>
        <stp/>
        <stp>BDP|7837644808767003395</stp>
        <tr r="AK174" s="3"/>
      </tp>
      <tp t="s">
        <v>#N/A N/A</v>
        <stp/>
        <stp>BDP|3745550799962012881</stp>
        <tr r="BH176" s="3"/>
      </tp>
      <tp t="s">
        <v>#N/A N/A</v>
        <stp/>
        <stp>BDP|1480265882179438772</stp>
        <tr r="F174" s="3"/>
      </tp>
      <tp t="s">
        <v>#N/A N/A</v>
        <stp/>
        <stp>BDP|9707106058438704088</stp>
        <tr r="AD175" s="3"/>
      </tp>
      <tp t="s">
        <v>#N/A N/A</v>
        <stp/>
        <stp>BDP|3159611391151255820</stp>
        <tr r="U177" s="3"/>
      </tp>
      <tp t="s">
        <v>#N/A N/A</v>
        <stp/>
        <stp>BDP|2342022567029169803</stp>
        <tr r="BI177" s="3"/>
      </tp>
      <tp t="s">
        <v>#N/A N/A</v>
        <stp/>
        <stp>BDP|3078264891895591863</stp>
        <tr r="AH176" s="3"/>
      </tp>
      <tp t="s">
        <v>#N/A N/A</v>
        <stp/>
        <stp>BDP|6723347496278277295</stp>
        <tr r="AI175" s="3"/>
      </tp>
      <tp t="s">
        <v>#N/A N/A</v>
        <stp/>
        <stp>BDP|2851868343179136107</stp>
        <tr r="Q177" s="3"/>
      </tp>
      <tp t="s">
        <v>#N/A N/A</v>
        <stp/>
        <stp>BDP|1743597037647066640</stp>
        <tr r="AE175" s="3"/>
      </tp>
      <tp t="s">
        <v>#N/A N/A</v>
        <stp/>
        <stp>BDH|7929544653299471887</stp>
        <tr r="F185" s="3"/>
      </tp>
      <tp t="s">
        <v>#N/A N/A</v>
        <stp/>
        <stp>BDP|4328757993848548432</stp>
        <tr r="L175" s="3"/>
      </tp>
      <tp t="s">
        <v>#N/A N/A</v>
        <stp/>
        <stp>BDH|7055885581158214987</stp>
        <tr r="F193" s="3"/>
      </tp>
      <tp t="s">
        <v>#N/A N/A</v>
        <stp/>
        <stp>BDP|3572087418181156547</stp>
        <tr r="AT175" s="3"/>
      </tp>
      <tp t="s">
        <v>#N/A N/A</v>
        <stp/>
        <stp>BDP|1318267045348684971</stp>
        <tr r="W175" s="3"/>
      </tp>
      <tp t="s">
        <v>#N/A N/A</v>
        <stp/>
        <stp>BDP|8666160611116169874</stp>
        <tr r="BE176" s="3"/>
      </tp>
      <tp t="s">
        <v>#N/A N/A</v>
        <stp/>
        <stp>BDH|9351566956426936825</stp>
        <tr r="F170" s="3"/>
      </tp>
      <tp t="s">
        <v>#N/A N/A</v>
        <stp/>
        <stp>BDP|3149381963338496976</stp>
        <tr r="BA175" s="3"/>
      </tp>
      <tp t="s">
        <v>#N/A N/A</v>
        <stp/>
        <stp>BDP|8928436387541677225</stp>
        <tr r="M174" s="3"/>
      </tp>
      <tp t="s">
        <v>#N/A N/A</v>
        <stp/>
        <stp>BDP|9965802739025900075</stp>
        <tr r="N175" s="3"/>
      </tp>
      <tp t="s">
        <v>#N/A N/A</v>
        <stp/>
        <stp>BDP|9607902908924431353</stp>
        <tr r="V177" s="3"/>
      </tp>
      <tp t="s">
        <v>#N/A N/A</v>
        <stp/>
        <stp>BDP|6070896323939515233</stp>
        <tr r="R174" s="3"/>
      </tp>
      <tp t="s">
        <v>#N/A N/A</v>
        <stp/>
        <stp>BDP|7210083419339633885</stp>
        <tr r="AW175" s="3"/>
      </tp>
      <tp t="s">
        <v>#N/A N/A</v>
        <stp/>
        <stp>BDP|3935477368717449107</stp>
        <tr r="BB176" s="3"/>
      </tp>
      <tp t="s">
        <v>#N/A N/A</v>
        <stp/>
        <stp>BDP|6283624023295444075</stp>
        <tr r="S175" s="3"/>
      </tp>
      <tp t="s">
        <v>#N/A N/A</v>
        <stp/>
        <stp>BDP|7085086439093958095</stp>
        <tr r="AX175" s="3"/>
      </tp>
      <tp t="s">
        <v>#N/A N/A</v>
        <stp/>
        <stp>BDP|1017565580572010973</stp>
        <tr r="AH175" s="3"/>
      </tp>
      <tp t="s">
        <v>#N/A N/A</v>
        <stp/>
        <stp>BDP|7069287116354968766</stp>
        <tr r="AO175" s="3"/>
      </tp>
      <tp t="s">
        <v>#N/A N/A</v>
        <stp/>
        <stp>BDH|4832323701809967930</stp>
        <tr r="F225" s="3"/>
      </tp>
      <tp t="s">
        <v>#N/A N/A</v>
        <stp/>
        <stp>BDH|6629756702643146561</stp>
        <tr r="F221" s="3"/>
      </tp>
      <tp t="s">
        <v>#N/A N/A</v>
        <stp/>
        <stp>BDP|3508157358651511194</stp>
        <tr r="AM174" s="3"/>
      </tp>
      <tp t="s">
        <v>#N/A N/A</v>
        <stp/>
        <stp>BDP|4298670322563486393</stp>
        <tr r="AK175" s="3"/>
      </tp>
      <tp t="s">
        <v>#N/A N/A</v>
        <stp/>
        <stp>BDP|3076421898769491768</stp>
        <tr r="G177" s="3"/>
      </tp>
      <tp t="s">
        <v>#N/A N/A</v>
        <stp/>
        <stp>BDP|8977365724481194829</stp>
        <tr r="P176" s="3"/>
      </tp>
      <tp t="s">
        <v>#N/A N/A</v>
        <stp/>
        <stp>BDH|1817351132426233751</stp>
        <tr r="F192" s="3"/>
      </tp>
      <tp t="s">
        <v>#N/A N/A</v>
        <stp/>
        <stp>BDP|1247856024068860399</stp>
        <tr r="AU177" s="3"/>
      </tp>
      <tp t="s">
        <v>#N/A N/A</v>
        <stp/>
        <stp>BDP|1892260377083770792</stp>
        <tr r="AD176" s="3"/>
      </tp>
      <tp t="s">
        <v>#N/A N/A</v>
        <stp/>
        <stp>BDP|6404890684163819561</stp>
        <tr r="AR177" s="3"/>
      </tp>
      <tp t="s">
        <v>#N/A N/A</v>
        <stp/>
        <stp>BDP|7077266346465668414</stp>
        <tr r="N177" s="3"/>
      </tp>
      <tp t="s">
        <v>#N/A N/A</v>
        <stp/>
        <stp>BDH|8243467854170004943</stp>
        <tr r="F172" s="3"/>
      </tp>
      <tp t="s">
        <v>#N/A N/A</v>
        <stp/>
        <stp>BDP|9968794451889313278</stp>
        <tr r="AS176" s="3"/>
      </tp>
      <tp t="s">
        <v>#N/A N/A</v>
        <stp/>
        <stp>BDH|97841018153265761</stp>
        <tr r="F204" s="3"/>
      </tp>
      <tp t="s">
        <v>#N/A N/A</v>
        <stp/>
        <stp>BDH|6580927388965128342</stp>
        <tr r="F243" s="3"/>
      </tp>
      <tp t="s">
        <v>#N/A N/A</v>
        <stp/>
        <stp>BDH|1644874388645494577</stp>
        <tr r="F214" s="3"/>
      </tp>
      <tp t="s">
        <v>#N/A N/A</v>
        <stp/>
        <stp>BDH|8241875108831648015</stp>
        <tr r="F228" s="3"/>
      </tp>
      <tp t="s">
        <v>#N/A N/A</v>
        <stp/>
        <stp>BDP|6541057969192480337</stp>
        <tr r="AB174" s="3"/>
      </tp>
      <tp t="s">
        <v>#N/A N/A</v>
        <stp/>
        <stp>BDP|8146954747147272314</stp>
        <tr r="S174" s="3"/>
      </tp>
      <tp t="s">
        <v>#N/A N/A</v>
        <stp/>
        <stp>BDP|5316619103155235726</stp>
        <tr r="BE175" s="3"/>
      </tp>
      <tp t="s">
        <v>#N/A N/A</v>
        <stp/>
        <stp>BDH|5130059904053780762</stp>
        <tr r="F213" s="3"/>
      </tp>
      <tp t="s">
        <v>#N/A N/A</v>
        <stp/>
        <stp>BDP|4064880609849723401</stp>
        <tr r="AY175" s="3"/>
      </tp>
      <tp t="s">
        <v>#N/A N/A</v>
        <stp/>
        <stp>BDP|9446984002455804402</stp>
        <tr r="O176" s="3"/>
      </tp>
      <tp t="s">
        <v>#N/A N/A</v>
        <stp/>
        <stp>BDP|1720319066920720516</stp>
        <tr r="G175" s="3"/>
      </tp>
      <tp t="s">
        <v>#N/A N/A</v>
        <stp/>
        <stp>BDP|4518011564457151440</stp>
        <tr r="AS177" s="3"/>
      </tp>
      <tp t="s">
        <v>#N/A N/A</v>
        <stp/>
        <stp>BDH|6917517852465675168</stp>
        <tr r="F239" s="3"/>
      </tp>
      <tp t="s">
        <v>#N/A N/A</v>
        <stp/>
        <stp>BDP|6350901808428557558</stp>
        <tr r="AA175" s="3"/>
      </tp>
      <tp t="s">
        <v>#N/A N/A</v>
        <stp/>
        <stp>BDP|5020274979562442034</stp>
        <tr r="AV175" s="3"/>
      </tp>
      <tp t="s">
        <v>#N/A N/A</v>
        <stp/>
        <stp>BDH|3000536918971609440</stp>
        <tr r="F250" s="3"/>
      </tp>
      <tp t="s">
        <v>#N/A N/A</v>
        <stp/>
        <stp>BDP|7601406243174857132</stp>
        <tr r="R176" s="3"/>
      </tp>
      <tp t="s">
        <v>#N/A N/A</v>
        <stp/>
        <stp>BDP|5376191598837459863</stp>
        <tr r="AJ176" s="3"/>
      </tp>
      <tp t="s">
        <v>#N/A N/A</v>
        <stp/>
        <stp>BDP|1496517460087370762</stp>
        <tr r="BL177" s="3"/>
      </tp>
      <tp t="s">
        <v>#N/A N/A</v>
        <stp/>
        <stp>BDP|6480466688548802078</stp>
        <tr r="AT174" s="3"/>
      </tp>
      <tp t="s">
        <v>#N/A N/A</v>
        <stp/>
        <stp>BDP|2488061099771602961</stp>
        <tr r="AG177" s="3"/>
      </tp>
      <tp t="s">
        <v>#N/A N/A</v>
        <stp/>
        <stp>BDP|1285178849981687610</stp>
        <tr r="M177" s="3"/>
      </tp>
      <tp t="s">
        <v>#N/A N/A</v>
        <stp/>
        <stp>BDH|8606383594814084511</stp>
        <tr r="F244" s="3"/>
      </tp>
      <tp t="s">
        <v>#N/A N/A</v>
        <stp/>
        <stp>BDP|3803762170089740907</stp>
        <tr r="V176" s="3"/>
      </tp>
      <tp t="s">
        <v>#N/A N/A</v>
        <stp/>
        <stp>BDP|3975333407326032541</stp>
        <tr r="AI174" s="3"/>
      </tp>
      <tp t="s">
        <v>#N/A N/A</v>
        <stp/>
        <stp>BDP|1760587138907947327</stp>
        <tr r="AX176" s="3"/>
      </tp>
      <tp t="s">
        <v>#N/A N/A</v>
        <stp/>
        <stp>BDP|5571081195436726937</stp>
        <tr r="BH174" s="3"/>
      </tp>
      <tp t="s">
        <v>#N/A N/A</v>
        <stp/>
        <stp>BDH|6338384441587121578</stp>
        <tr r="F215" s="3"/>
      </tp>
      <tp t="s">
        <v>#N/A N/A</v>
        <stp/>
        <stp>BDH|2742430861424833702</stp>
        <tr r="F219" s="3"/>
      </tp>
      <tp t="s">
        <v>#N/A N/A</v>
        <stp/>
        <stp>BDP|4930096664806536735</stp>
        <tr r="AM176" s="3"/>
      </tp>
      <tp t="s">
        <v>#N/A N/A</v>
        <stp/>
        <stp>BDP|8142462985170058732</stp>
        <tr r="AC176" s="3"/>
      </tp>
      <tp t="s">
        <v>#N/A N/A</v>
        <stp/>
        <stp>BDP|9487134141909355620</stp>
        <tr r="BL175" s="3"/>
      </tp>
      <tp t="s">
        <v>#N/A N/A</v>
        <stp/>
        <stp>BDP|2442244267106128336</stp>
        <tr r="BD176" s="3"/>
      </tp>
      <tp t="s">
        <v>#N/A N/A</v>
        <stp/>
        <stp>BDH|6557475011929751917</stp>
        <tr r="F207" s="3"/>
      </tp>
      <tp t="s">
        <v>#N/A N/A</v>
        <stp/>
        <stp>BDP|72079728246025389</stp>
        <tr r="K176" s="3"/>
      </tp>
      <tp t="s">
        <v>#N/A N/A</v>
        <stp/>
        <stp>BDH|212020242918048987</stp>
        <tr r="F251" s="3"/>
      </tp>
      <tp t="s">
        <v>#N/A N/A</v>
        <stp/>
        <stp>BDH|604267065389864962</stp>
        <tr r="F212" s="3"/>
      </tp>
      <tp t="s">
        <v>#N/A N/A</v>
        <stp/>
        <stp>BDP|793601133006234736</stp>
        <tr r="AP176" s="3"/>
      </tp>
      <tp t="s">
        <v>#N/A N/A</v>
        <stp/>
        <stp>BDP|262728780440535871</stp>
        <tr r="X177" s="3"/>
      </tp>
      <tp t="s">
        <v>#N/A N/A</v>
        <stp/>
        <stp>BDP|253364009345931177</stp>
        <tr r="BI176" s="3"/>
      </tp>
      <tp t="s">
        <v>#N/A N/A</v>
        <stp/>
        <stp>BDP|223305767737056418</stp>
        <tr r="AA174" s="3"/>
      </tp>
      <tp t="s">
        <v>#N/A N/A</v>
        <stp/>
        <stp>BDP|824864582120743132</stp>
        <tr r="AB177" s="3"/>
      </tp>
      <tp t="s">
        <v>#N/A N/A</v>
        <stp/>
        <stp>BDP|111057214419643936</stp>
        <tr r="BJ174" s="3"/>
      </tp>
      <tp t="s">
        <v>#N/A N/A</v>
        <stp/>
        <stp>BDP|181272670823182749</stp>
        <tr r="AN177" s="3"/>
      </tp>
      <tp t="s">
        <v>#N/A N/A</v>
        <stp/>
        <stp>BDP|912582647559080809</stp>
        <tr r="M175" s="3"/>
      </tp>
      <tp t="s">
        <v>#N/A N/A</v>
        <stp/>
        <stp>BDP|971728441942641234</stp>
        <tr r="AJ175" s="3"/>
      </tp>
      <tp t="s">
        <v>#N/A N/A</v>
        <stp/>
        <stp>BDP|718043506655157656</stp>
        <tr r="AZ177" s="3"/>
      </tp>
      <tp t="s">
        <v>#N/A N/A</v>
        <stp/>
        <stp>BDP|395005126763873378</stp>
        <tr r="J174" s="3"/>
      </tp>
      <tp t="s">
        <v>#N/A N/A</v>
        <stp/>
        <stp>BDP|287335091738923028</stp>
        <tr r="U174" s="3"/>
      </tp>
      <tp t="s">
        <v>#N/A N/A</v>
        <stp/>
        <stp>BDP|611326520982614124</stp>
        <tr r="AI177" s="3"/>
      </tp>
      <tp t="s">
        <v>#N/A N/A</v>
        <stp/>
        <stp>BDH|184778740019905717</stp>
        <tr r="F210" s="3"/>
      </tp>
      <tp t="s">
        <v>#N/A N/A</v>
        <stp/>
        <stp>BDH|300136512845995998</stp>
        <tr r="F171" s="3"/>
      </tp>
      <tp t="s">
        <v>#N/A N/A</v>
        <stp/>
        <stp>BDP|438394949889233159</stp>
        <tr r="T176" s="3"/>
      </tp>
      <tp t="s">
        <v>#N/A N/A</v>
        <stp/>
        <stp>BDP|746944336196735209</stp>
        <tr r="F175" s="3"/>
      </tp>
      <tp t="s">
        <v>#N/A N/A</v>
        <stp/>
        <stp>BDP|737049904691926848</stp>
        <tr r="X174" s="3"/>
      </tp>
      <tp t="s">
        <v>#N/A N/A</v>
        <stp/>
        <stp>BDH|820427090676269390</stp>
        <tr r="F173" s="3"/>
      </tp>
      <tp t="s">
        <v>#N/A N/A</v>
        <stp/>
        <stp>BDH|646918328341956102</stp>
        <tr r="F208" s="3"/>
      </tp>
      <tp t="s">
        <v>#N/A N/A</v>
        <stp/>
        <stp>BDP|823908686758082326</stp>
        <tr r="AL175" s="3"/>
      </tp>
      <tp t="s">
        <v>#N/A N/A</v>
        <stp/>
        <stp>BDP|865755390817359300</stp>
        <tr r="BA176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5" x14ac:dyDescent="0.25"/>
  <cols>
    <col min="1" max="1" width="19.710937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tr">
        <f>IFERROR(IF(0=LEN(ReferenceData!$G$2),"",ReferenceData!$G$2),"")</f>
        <v>Q3 2021</v>
      </c>
      <c r="B2">
        <f ca="1">IFERROR(IF(0=LEN(ReferenceData!$G$80),"",ReferenceData!$G$80),"")</f>
        <v>89</v>
      </c>
    </row>
    <row r="3" spans="1:2" x14ac:dyDescent="0.25">
      <c r="A3" t="str">
        <f>IFERROR(IF(0=LEN(ReferenceData!$H$2),"",ReferenceData!$H$2),"")</f>
        <v>Q2 2021</v>
      </c>
    </row>
    <row r="4" spans="1:2" x14ac:dyDescent="0.25">
      <c r="A4" t="str">
        <f>IFERROR(IF(0=LEN(ReferenceData!$I$2),"",ReferenceData!$I$2),"")</f>
        <v>Q1 2021</v>
      </c>
      <c r="B4">
        <f ca="1">IFERROR(IF(0=LEN(ReferenceData!$I$80),"",ReferenceData!$I$80),"")</f>
        <v>90</v>
      </c>
    </row>
    <row r="5" spans="1:2" x14ac:dyDescent="0.25">
      <c r="A5" t="str">
        <f>IFERROR(IF(0=LEN(ReferenceData!$J$2),"",ReferenceData!$J$2),"")</f>
        <v>Q4 2020</v>
      </c>
      <c r="B5">
        <f ca="1">IFERROR(IF(0=LEN(ReferenceData!$J$80),"",ReferenceData!$J$80),"")</f>
        <v>87</v>
      </c>
    </row>
    <row r="6" spans="1:2" x14ac:dyDescent="0.25">
      <c r="A6" t="str">
        <f>IFERROR(IF(0=LEN(ReferenceData!$K$2),"",ReferenceData!$K$2),"")</f>
        <v>Q3 2020</v>
      </c>
      <c r="B6">
        <f ca="1">IFERROR(IF(0=LEN(ReferenceData!$J$80),"",ReferenceData!$J$80),"")</f>
        <v>87</v>
      </c>
    </row>
    <row r="7" spans="1:2" x14ac:dyDescent="0.25">
      <c r="A7" t="str">
        <f>IFERROR(IF(0=LEN(ReferenceData!$L$2),"",ReferenceData!$L$2),"")</f>
        <v>Q2 2020</v>
      </c>
      <c r="B7">
        <f ca="1">IFERROR(IF(0=LEN(ReferenceData!$L$80),"",ReferenceData!$L$80),"")</f>
        <v>86</v>
      </c>
    </row>
    <row r="8" spans="1:2" x14ac:dyDescent="0.25">
      <c r="A8" t="str">
        <f>IFERROR(IF(0=LEN(ReferenceData!$M$2),"",ReferenceData!$M$2),"")</f>
        <v>Q1 2020</v>
      </c>
      <c r="B8">
        <f ca="1">IFERROR(IF(0=LEN(ReferenceData!$M$80),"",ReferenceData!$M$80),"")</f>
        <v>85</v>
      </c>
    </row>
    <row r="9" spans="1:2" x14ac:dyDescent="0.25">
      <c r="A9" t="str">
        <f>IFERROR(IF(0=LEN(ReferenceData!$N$2),"",ReferenceData!$N$2),"")</f>
        <v>Q4 2019</v>
      </c>
      <c r="B9" t="str">
        <f ca="1">IFERROR(IF(0=LEN(ReferenceData!$N$80),"",ReferenceData!$N$80),"")</f>
        <v/>
      </c>
    </row>
    <row r="10" spans="1:2" x14ac:dyDescent="0.25">
      <c r="A10" t="str">
        <f>IFERROR(IF(0=LEN(ReferenceData!$O$2),"",ReferenceData!$O$2),"")</f>
        <v>Q3 2019</v>
      </c>
      <c r="B10">
        <f ca="1">IFERROR(IF(0=LEN(ReferenceData!$O$80),"",ReferenceData!$O$80),"")</f>
        <v>83</v>
      </c>
    </row>
    <row r="11" spans="1:2" x14ac:dyDescent="0.25">
      <c r="A11" t="str">
        <f>IFERROR(IF(0=LEN(ReferenceData!$P$2),"",ReferenceData!$P$2),"")</f>
        <v>Q2 2019</v>
      </c>
      <c r="B11" t="str">
        <f ca="1">IFERROR(IF(0=LEN(ReferenceData!$P$80),"",ReferenceData!$P$80),"")</f>
        <v/>
      </c>
    </row>
    <row r="12" spans="1:2" x14ac:dyDescent="0.25">
      <c r="A12" t="str">
        <f>IFERROR(IF(0=LEN(ReferenceData!$Q$2),"",ReferenceData!$Q$2),"")</f>
        <v>Q1 2019</v>
      </c>
      <c r="B12">
        <f ca="1">IFERROR(IF(0=LEN(ReferenceData!$Q$80),"",ReferenceData!$Q$80),"")</f>
        <v>85</v>
      </c>
    </row>
    <row r="13" spans="1:2" x14ac:dyDescent="0.25">
      <c r="A13" t="str">
        <f>IFERROR(IF(0=LEN(ReferenceData!$R$2),"",ReferenceData!$R$2),"")</f>
        <v>Q4 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2"/>
  <sheetViews>
    <sheetView tabSelected="1" workbookViewId="0">
      <selection activeCell="G80" sqref="G80"/>
    </sheetView>
  </sheetViews>
  <sheetFormatPr defaultRowHeight="15" x14ac:dyDescent="0.25"/>
  <cols>
    <col min="1" max="1" width="56.28515625" customWidth="1"/>
    <col min="2" max="2" width="15.85546875" customWidth="1"/>
    <col min="3" max="65" width="9.140625" bestFit="1" customWidth="1"/>
  </cols>
  <sheetData>
    <row r="1" spans="1:6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Q4 2021 Est</v>
      </c>
      <c r="G2" t="str">
        <f>IFERROR(IF(0=LEN(ReferenceData!$G$2),"",ReferenceData!$G$2),"")</f>
        <v>Q3 2021</v>
      </c>
      <c r="H2" t="str">
        <f>IFERROR(IF(0=LEN(ReferenceData!$H$2),"",ReferenceData!$H$2),"")</f>
        <v>Q2 2021</v>
      </c>
      <c r="I2" t="str">
        <f>IFERROR(IF(0=LEN(ReferenceData!$I$2),"",ReferenceData!$I$2),"")</f>
        <v>Q1 2021</v>
      </c>
      <c r="J2" t="str">
        <f>IFERROR(IF(0=LEN(ReferenceData!$J$2),"",ReferenceData!$J$2),"")</f>
        <v>Q4 2020</v>
      </c>
      <c r="K2" t="str">
        <f>IFERROR(IF(0=LEN(ReferenceData!$K$2),"",ReferenceData!$K$2),"")</f>
        <v>Q3 2020</v>
      </c>
      <c r="L2" t="str">
        <f>IFERROR(IF(0=LEN(ReferenceData!$L$2),"",ReferenceData!$L$2),"")</f>
        <v>Q2 2020</v>
      </c>
      <c r="M2" t="str">
        <f>IFERROR(IF(0=LEN(ReferenceData!$M$2),"",ReferenceData!$M$2),"")</f>
        <v>Q1 2020</v>
      </c>
      <c r="N2" t="str">
        <f>IFERROR(IF(0=LEN(ReferenceData!$N$2),"",ReferenceData!$N$2),"")</f>
        <v>Q4 2019</v>
      </c>
      <c r="O2" t="str">
        <f>IFERROR(IF(0=LEN(ReferenceData!$O$2),"",ReferenceData!$O$2),"")</f>
        <v>Q3 2019</v>
      </c>
      <c r="P2" t="str">
        <f>IFERROR(IF(0=LEN(ReferenceData!$P$2),"",ReferenceData!$P$2),"")</f>
        <v>Q2 2019</v>
      </c>
      <c r="Q2" t="str">
        <f>IFERROR(IF(0=LEN(ReferenceData!$Q$2),"",ReferenceData!$Q$2),"")</f>
        <v>Q1 2019</v>
      </c>
      <c r="R2" t="str">
        <f>IFERROR(IF(0=LEN(ReferenceData!$R$2),"",ReferenceData!$R$2),"")</f>
        <v>Q4 2018</v>
      </c>
      <c r="S2" t="str">
        <f>IFERROR(IF(0=LEN(ReferenceData!$S$2),"",ReferenceData!$S$2),"")</f>
        <v>Q3 2018</v>
      </c>
      <c r="T2" t="str">
        <f>IFERROR(IF(0=LEN(ReferenceData!$T$2),"",ReferenceData!$T$2),"")</f>
        <v>Q2 2018</v>
      </c>
      <c r="U2" t="str">
        <f>IFERROR(IF(0=LEN(ReferenceData!$U$2),"",ReferenceData!$U$2),"")</f>
        <v>Q1 2018</v>
      </c>
      <c r="V2" t="str">
        <f>IFERROR(IF(0=LEN(ReferenceData!$V$2),"",ReferenceData!$V$2),"")</f>
        <v>Q4 2017</v>
      </c>
      <c r="W2" t="str">
        <f>IFERROR(IF(0=LEN(ReferenceData!$W$2),"",ReferenceData!$W$2),"")</f>
        <v>Q3 2017</v>
      </c>
      <c r="X2" t="str">
        <f>IFERROR(IF(0=LEN(ReferenceData!$X$2),"",ReferenceData!$X$2),"")</f>
        <v>Q2 2017</v>
      </c>
      <c r="Y2" t="str">
        <f>IFERROR(IF(0=LEN(ReferenceData!$Y$2),"",ReferenceData!$Y$2),"")</f>
        <v>Q1 2017</v>
      </c>
      <c r="Z2" t="str">
        <f>IFERROR(IF(0=LEN(ReferenceData!$Z$2),"",ReferenceData!$Z$2),"")</f>
        <v>Q4 2016</v>
      </c>
      <c r="AA2" t="str">
        <f>IFERROR(IF(0=LEN(ReferenceData!$AA$2),"",ReferenceData!$AA$2),"")</f>
        <v>Q3 2016</v>
      </c>
      <c r="AB2" t="str">
        <f>IFERROR(IF(0=LEN(ReferenceData!$AB$2),"",ReferenceData!$AB$2),"")</f>
        <v>Q2 2016</v>
      </c>
      <c r="AC2" t="str">
        <f>IFERROR(IF(0=LEN(ReferenceData!$AC$2),"",ReferenceData!$AC$2),"")</f>
        <v>Q1 2016</v>
      </c>
      <c r="AD2" t="str">
        <f>IFERROR(IF(0=LEN(ReferenceData!$AD$2),"",ReferenceData!$AD$2),"")</f>
        <v>Q4 2015</v>
      </c>
      <c r="AE2" t="str">
        <f>IFERROR(IF(0=LEN(ReferenceData!$AE$2),"",ReferenceData!$AE$2),"")</f>
        <v>Q3 2015</v>
      </c>
      <c r="AF2" t="str">
        <f>IFERROR(IF(0=LEN(ReferenceData!$AF$2),"",ReferenceData!$AF$2),"")</f>
        <v>Q2 2015</v>
      </c>
      <c r="AG2" t="str">
        <f>IFERROR(IF(0=LEN(ReferenceData!$AG$2),"",ReferenceData!$AG$2),"")</f>
        <v>Q1 2015</v>
      </c>
      <c r="AH2" t="str">
        <f>IFERROR(IF(0=LEN(ReferenceData!$AH$2),"",ReferenceData!$AH$2),"")</f>
        <v>Q4 2014</v>
      </c>
      <c r="AI2" t="str">
        <f>IFERROR(IF(0=LEN(ReferenceData!$AI$2),"",ReferenceData!$AI$2),"")</f>
        <v>Q3 2014</v>
      </c>
      <c r="AJ2" t="str">
        <f>IFERROR(IF(0=LEN(ReferenceData!$AJ$2),"",ReferenceData!$AJ$2),"")</f>
        <v>Q2 2014</v>
      </c>
      <c r="AK2" t="str">
        <f>IFERROR(IF(0=LEN(ReferenceData!$AK$2),"",ReferenceData!$AK$2),"")</f>
        <v>Q1 2014</v>
      </c>
      <c r="AL2" t="str">
        <f>IFERROR(IF(0=LEN(ReferenceData!$AL$2),"",ReferenceData!$AL$2),"")</f>
        <v>Q4 2013</v>
      </c>
      <c r="AM2" t="str">
        <f>IFERROR(IF(0=LEN(ReferenceData!$AM$2),"",ReferenceData!$AM$2),"")</f>
        <v>Q3 2013</v>
      </c>
      <c r="AN2" t="str">
        <f>IFERROR(IF(0=LEN(ReferenceData!$AN$2),"",ReferenceData!$AN$2),"")</f>
        <v>Q2 2013</v>
      </c>
      <c r="AO2" t="str">
        <f>IFERROR(IF(0=LEN(ReferenceData!$AO$2),"",ReferenceData!$AO$2),"")</f>
        <v>Q1 2013</v>
      </c>
      <c r="AP2" t="str">
        <f>IFERROR(IF(0=LEN(ReferenceData!$AP$2),"",ReferenceData!$AP$2),"")</f>
        <v>Q4 2012</v>
      </c>
      <c r="AQ2" t="str">
        <f>IFERROR(IF(0=LEN(ReferenceData!$AQ$2),"",ReferenceData!$AQ$2),"")</f>
        <v>Q3 2012</v>
      </c>
      <c r="AR2" t="str">
        <f>IFERROR(IF(0=LEN(ReferenceData!$AR$2),"",ReferenceData!$AR$2),"")</f>
        <v>Q2 2012</v>
      </c>
      <c r="AS2" t="str">
        <f>IFERROR(IF(0=LEN(ReferenceData!$AS$2),"",ReferenceData!$AS$2),"")</f>
        <v>Q1 2012</v>
      </c>
      <c r="AT2" t="str">
        <f>IFERROR(IF(0=LEN(ReferenceData!$AT$2),"",ReferenceData!$AT$2),"")</f>
        <v>Q4 2011</v>
      </c>
      <c r="AU2" t="str">
        <f>IFERROR(IF(0=LEN(ReferenceData!$AU$2),"",ReferenceData!$AU$2),"")</f>
        <v>Q3 2011</v>
      </c>
      <c r="AV2" t="str">
        <f>IFERROR(IF(0=LEN(ReferenceData!$AV$2),"",ReferenceData!$AV$2),"")</f>
        <v>Q2 2011</v>
      </c>
      <c r="AW2" t="str">
        <f>IFERROR(IF(0=LEN(ReferenceData!$AW$2),"",ReferenceData!$AW$2),"")</f>
        <v>Q1 2011</v>
      </c>
      <c r="AX2" t="str">
        <f>IFERROR(IF(0=LEN(ReferenceData!$AX$2),"",ReferenceData!$AX$2),"")</f>
        <v>Q4 2010</v>
      </c>
      <c r="AY2" t="str">
        <f>IFERROR(IF(0=LEN(ReferenceData!$AY$2),"",ReferenceData!$AY$2),"")</f>
        <v>Q3 2010</v>
      </c>
      <c r="AZ2" t="str">
        <f>IFERROR(IF(0=LEN(ReferenceData!$AZ$2),"",ReferenceData!$AZ$2),"")</f>
        <v>Q2 2010</v>
      </c>
      <c r="BA2" t="str">
        <f>IFERROR(IF(0=LEN(ReferenceData!$BA$2),"",ReferenceData!$BA$2),"")</f>
        <v>Q1 2010</v>
      </c>
      <c r="BB2" t="str">
        <f>IFERROR(IF(0=LEN(ReferenceData!$BB$2),"",ReferenceData!$BB$2),"")</f>
        <v>Q4 2009</v>
      </c>
      <c r="BC2" t="str">
        <f>IFERROR(IF(0=LEN(ReferenceData!$BC$2),"",ReferenceData!$BC$2),"")</f>
        <v>Q3 2009</v>
      </c>
      <c r="BD2" t="str">
        <f>IFERROR(IF(0=LEN(ReferenceData!$BD$2),"",ReferenceData!$BD$2),"")</f>
        <v>Q2 2009</v>
      </c>
      <c r="BE2" t="str">
        <f>IFERROR(IF(0=LEN(ReferenceData!$BE$2),"",ReferenceData!$BE$2),"")</f>
        <v>Q1 2009</v>
      </c>
      <c r="BF2" t="str">
        <f>IFERROR(IF(0=LEN(ReferenceData!$BF$2),"",ReferenceData!$BF$2),"")</f>
        <v>Q4 2008</v>
      </c>
      <c r="BG2" t="str">
        <f>IFERROR(IF(0=LEN(ReferenceData!$BG$2),"",ReferenceData!$BG$2),"")</f>
        <v>Q3 2008</v>
      </c>
      <c r="BH2" t="str">
        <f>IFERROR(IF(0=LEN(ReferenceData!$BH$2),"",ReferenceData!$BH$2),"")</f>
        <v>Q2 2008</v>
      </c>
      <c r="BI2" t="str">
        <f>IFERROR(IF(0=LEN(ReferenceData!$BI$2),"",ReferenceData!$BI$2),"")</f>
        <v>Q1 2008</v>
      </c>
      <c r="BJ2" t="str">
        <f>IFERROR(IF(0=LEN(ReferenceData!$BJ$2),"",ReferenceData!$BJ$2),"")</f>
        <v>Q4 2007</v>
      </c>
      <c r="BK2" t="str">
        <f>IFERROR(IF(0=LEN(ReferenceData!$BK$2),"",ReferenceData!$BK$2),"")</f>
        <v>Q3 2007</v>
      </c>
      <c r="BL2" t="str">
        <f>IFERROR(IF(0=LEN(ReferenceData!$BL$2),"",ReferenceData!$BL$2),"")</f>
        <v>Q2 2007</v>
      </c>
      <c r="BM2" t="str">
        <f>IFERROR(IF(0=LEN(ReferenceData!$BM$2),"",ReferenceData!$BM$2),"")</f>
        <v>Q1 2007</v>
      </c>
    </row>
    <row r="3" spans="1:65" x14ac:dyDescent="0.25">
      <c r="A3" t="str">
        <f>IFERROR(IF(0=LEN(ReferenceData!$A$3),"",ReferenceData!$A$3),"")</f>
        <v>In Millions (Except Per Share or Noted Otherwise)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Static</v>
      </c>
      <c r="F3" t="str">
        <f ca="1">IFERROR(IF(0=LEN(ReferenceData!$F$3),"",ReferenceData!$F$3),"")</f>
        <v/>
      </c>
      <c r="G3" t="str">
        <f ca="1">IFERROR(IF(0=LEN(ReferenceData!$G$3),"",ReferenceData!$G$3),"")</f>
        <v/>
      </c>
      <c r="H3" t="str">
        <f ca="1">IFERROR(IF(0=LEN(ReferenceData!$H$3),"",ReferenceData!$H$3),"")</f>
        <v/>
      </c>
      <c r="I3" t="str">
        <f ca="1">IFERROR(IF(0=LEN(ReferenceData!$I$3),"",ReferenceData!$I$3),"")</f>
        <v/>
      </c>
      <c r="J3" t="str">
        <f ca="1">IFERROR(IF(0=LEN(ReferenceData!$J$3),"",ReferenceData!$J$3),"")</f>
        <v/>
      </c>
      <c r="K3" t="str">
        <f ca="1">IFERROR(IF(0=LEN(ReferenceData!$K$3),"",ReferenceData!$K$3),"")</f>
        <v/>
      </c>
      <c r="L3" t="str">
        <f ca="1">IFERROR(IF(0=LEN(ReferenceData!$L$3),"",ReferenceData!$L$3),"")</f>
        <v/>
      </c>
      <c r="M3" t="str">
        <f ca="1">IFERROR(IF(0=LEN(ReferenceData!$M$3),"",ReferenceData!$M$3),"")</f>
        <v/>
      </c>
      <c r="N3" t="str">
        <f ca="1">IFERROR(IF(0=LEN(ReferenceData!$N$3),"",ReferenceData!$N$3),"")</f>
        <v/>
      </c>
      <c r="O3" t="str">
        <f ca="1">IFERROR(IF(0=LEN(ReferenceData!$O$3),"",ReferenceData!$O$3),"")</f>
        <v/>
      </c>
      <c r="P3" t="str">
        <f ca="1">IFERROR(IF(0=LEN(ReferenceData!$P$3),"",ReferenceData!$P$3),"")</f>
        <v/>
      </c>
      <c r="Q3" t="str">
        <f ca="1">IFERROR(IF(0=LEN(ReferenceData!$Q$3),"",ReferenceData!$Q$3),"")</f>
        <v/>
      </c>
      <c r="R3" t="str">
        <f ca="1">IFERROR(IF(0=LEN(ReferenceData!$R$3),"",ReferenceData!$R$3),"")</f>
        <v/>
      </c>
      <c r="S3" t="str">
        <f ca="1">IFERROR(IF(0=LEN(ReferenceData!$S$3),"",ReferenceData!$S$3),"")</f>
        <v/>
      </c>
      <c r="T3" t="str">
        <f ca="1">IFERROR(IF(0=LEN(ReferenceData!$T$3),"",ReferenceData!$T$3),"")</f>
        <v/>
      </c>
      <c r="U3" t="str">
        <f ca="1">IFERROR(IF(0=LEN(ReferenceData!$U$3),"",ReferenceData!$U$3),"")</f>
        <v/>
      </c>
      <c r="V3" t="str">
        <f ca="1">IFERROR(IF(0=LEN(ReferenceData!$V$3),"",ReferenceData!$V$3),"")</f>
        <v/>
      </c>
      <c r="W3" t="str">
        <f ca="1">IFERROR(IF(0=LEN(ReferenceData!$W$3),"",ReferenceData!$W$3),"")</f>
        <v/>
      </c>
      <c r="X3" t="str">
        <f ca="1">IFERROR(IF(0=LEN(ReferenceData!$X$3),"",ReferenceData!$X$3),"")</f>
        <v/>
      </c>
      <c r="Y3" t="str">
        <f ca="1">IFERROR(IF(0=LEN(ReferenceData!$Y$3),"",ReferenceData!$Y$3),"")</f>
        <v/>
      </c>
      <c r="Z3" t="str">
        <f ca="1">IFERROR(IF(0=LEN(ReferenceData!$Z$3),"",ReferenceData!$Z$3),"")</f>
        <v/>
      </c>
      <c r="AA3" t="str">
        <f ca="1">IFERROR(IF(0=LEN(ReferenceData!$AA$3),"",ReferenceData!$AA$3),"")</f>
        <v/>
      </c>
      <c r="AB3" t="str">
        <f ca="1">IFERROR(IF(0=LEN(ReferenceData!$AB$3),"",ReferenceData!$AB$3),"")</f>
        <v/>
      </c>
      <c r="AC3" t="str">
        <f ca="1">IFERROR(IF(0=LEN(ReferenceData!$AC$3),"",ReferenceData!$AC$3),"")</f>
        <v/>
      </c>
      <c r="AD3" t="str">
        <f ca="1">IFERROR(IF(0=LEN(ReferenceData!$AD$3),"",ReferenceData!$AD$3),"")</f>
        <v/>
      </c>
      <c r="AE3" t="str">
        <f ca="1">IFERROR(IF(0=LEN(ReferenceData!$AE$3),"",ReferenceData!$AE$3),"")</f>
        <v/>
      </c>
      <c r="AF3" t="str">
        <f ca="1">IFERROR(IF(0=LEN(ReferenceData!$AF$3),"",ReferenceData!$AF$3),"")</f>
        <v/>
      </c>
      <c r="AG3" t="str">
        <f ca="1">IFERROR(IF(0=LEN(ReferenceData!$AG$3),"",ReferenceData!$AG$3),"")</f>
        <v/>
      </c>
      <c r="AH3" t="str">
        <f ca="1">IFERROR(IF(0=LEN(ReferenceData!$AH$3),"",ReferenceData!$AH$3),"")</f>
        <v/>
      </c>
      <c r="AI3" t="str">
        <f ca="1">IFERROR(IF(0=LEN(ReferenceData!$AI$3),"",ReferenceData!$AI$3),"")</f>
        <v/>
      </c>
      <c r="AJ3" t="str">
        <f ca="1">IFERROR(IF(0=LEN(ReferenceData!$AJ$3),"",ReferenceData!$AJ$3),"")</f>
        <v/>
      </c>
      <c r="AK3" t="str">
        <f ca="1">IFERROR(IF(0=LEN(ReferenceData!$AK$3),"",ReferenceData!$AK$3),"")</f>
        <v/>
      </c>
      <c r="AL3" t="str">
        <f ca="1">IFERROR(IF(0=LEN(ReferenceData!$AL$3),"",ReferenceData!$AL$3),"")</f>
        <v/>
      </c>
      <c r="AM3" t="str">
        <f ca="1">IFERROR(IF(0=LEN(ReferenceData!$AM$3),"",ReferenceData!$AM$3),"")</f>
        <v/>
      </c>
      <c r="AN3" t="str">
        <f ca="1">IFERROR(IF(0=LEN(ReferenceData!$AN$3),"",ReferenceData!$AN$3),"")</f>
        <v/>
      </c>
      <c r="AO3" t="str">
        <f ca="1">IFERROR(IF(0=LEN(ReferenceData!$AO$3),"",ReferenceData!$AO$3),"")</f>
        <v/>
      </c>
      <c r="AP3" t="str">
        <f ca="1">IFERROR(IF(0=LEN(ReferenceData!$AP$3),"",ReferenceData!$AP$3),"")</f>
        <v/>
      </c>
      <c r="AQ3" t="str">
        <f ca="1">IFERROR(IF(0=LEN(ReferenceData!$AQ$3),"",ReferenceData!$AQ$3),"")</f>
        <v/>
      </c>
      <c r="AR3" t="str">
        <f ca="1">IFERROR(IF(0=LEN(ReferenceData!$AR$3),"",ReferenceData!$AR$3),"")</f>
        <v/>
      </c>
      <c r="AS3" t="str">
        <f ca="1">IFERROR(IF(0=LEN(ReferenceData!$AS$3),"",ReferenceData!$AS$3),"")</f>
        <v/>
      </c>
      <c r="AT3" t="str">
        <f ca="1">IFERROR(IF(0=LEN(ReferenceData!$AT$3),"",ReferenceData!$AT$3),"")</f>
        <v/>
      </c>
      <c r="AU3" t="str">
        <f ca="1">IFERROR(IF(0=LEN(ReferenceData!$AU$3),"",ReferenceData!$AU$3),"")</f>
        <v/>
      </c>
      <c r="AV3" t="str">
        <f ca="1">IFERROR(IF(0=LEN(ReferenceData!$AV$3),"",ReferenceData!$AV$3),"")</f>
        <v/>
      </c>
      <c r="AW3" t="str">
        <f ca="1">IFERROR(IF(0=LEN(ReferenceData!$AW$3),"",ReferenceData!$AW$3),"")</f>
        <v/>
      </c>
      <c r="AX3" t="str">
        <f ca="1">IFERROR(IF(0=LEN(ReferenceData!$AX$3),"",ReferenceData!$AX$3),"")</f>
        <v/>
      </c>
      <c r="AY3" t="str">
        <f ca="1">IFERROR(IF(0=LEN(ReferenceData!$AY$3),"",ReferenceData!$AY$3),"")</f>
        <v/>
      </c>
      <c r="AZ3" t="str">
        <f ca="1">IFERROR(IF(0=LEN(ReferenceData!$AZ$3),"",ReferenceData!$AZ$3),"")</f>
        <v/>
      </c>
      <c r="BA3" t="str">
        <f ca="1">IFERROR(IF(0=LEN(ReferenceData!$BA$3),"",ReferenceData!$BA$3),"")</f>
        <v/>
      </c>
      <c r="BB3" t="str">
        <f ca="1">IFERROR(IF(0=LEN(ReferenceData!$BB$3),"",ReferenceData!$BB$3),"")</f>
        <v/>
      </c>
      <c r="BC3" t="str">
        <f ca="1">IFERROR(IF(0=LEN(ReferenceData!$BC$3),"",ReferenceData!$BC$3),"")</f>
        <v/>
      </c>
      <c r="BD3" t="str">
        <f ca="1">IFERROR(IF(0=LEN(ReferenceData!$BD$3),"",ReferenceData!$BD$3),"")</f>
        <v/>
      </c>
      <c r="BE3" t="str">
        <f ca="1">IFERROR(IF(0=LEN(ReferenceData!$BE$3),"",ReferenceData!$BE$3),"")</f>
        <v/>
      </c>
      <c r="BF3" t="str">
        <f ca="1">IFERROR(IF(0=LEN(ReferenceData!$BF$3),"",ReferenceData!$BF$3),"")</f>
        <v/>
      </c>
      <c r="BG3" t="str">
        <f ca="1">IFERROR(IF(0=LEN(ReferenceData!$BG$3),"",ReferenceData!$BG$3),"")</f>
        <v/>
      </c>
      <c r="BH3" t="str">
        <f ca="1">IFERROR(IF(0=LEN(ReferenceData!$BH$3),"",ReferenceData!$BH$3),"")</f>
        <v/>
      </c>
      <c r="BI3" t="str">
        <f ca="1">IFERROR(IF(0=LEN(ReferenceData!$BI$3),"",ReferenceData!$BI$3),"")</f>
        <v/>
      </c>
      <c r="BJ3" t="str">
        <f ca="1">IFERROR(IF(0=LEN(ReferenceData!$BJ$3),"",ReferenceData!$BJ$3),"")</f>
        <v/>
      </c>
      <c r="BK3" t="str">
        <f ca="1">IFERROR(IF(0=LEN(ReferenceData!$BK$3),"",ReferenceData!$BK$3),"")</f>
        <v/>
      </c>
      <c r="BL3" t="str">
        <f ca="1">IFERROR(IF(0=LEN(ReferenceData!$BL$3),"",ReferenceData!$BL$3),"")</f>
        <v/>
      </c>
      <c r="BM3" t="str">
        <f ca="1">IFERROR(IF(0=LEN(ReferenceData!$BM$3),"",ReferenceData!$BM$3),"")</f>
        <v/>
      </c>
    </row>
    <row r="4" spans="1:65" x14ac:dyDescent="0.25">
      <c r="A4" t="str">
        <f>IFERROR(IF(0=LEN(ReferenceData!$A$4),"",ReferenceData!$A$4),"")</f>
        <v/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Static</v>
      </c>
      <c r="F4" t="str">
        <f ca="1">IFERROR(IF(0=LEN(ReferenceData!$F$4),"",ReferenceData!$F$4),"")</f>
        <v/>
      </c>
      <c r="G4" t="str">
        <f ca="1">IFERROR(IF(0=LEN(ReferenceData!$G$4),"",ReferenceData!$G$4),"")</f>
        <v/>
      </c>
      <c r="H4" t="str">
        <f ca="1">IFERROR(IF(0=LEN(ReferenceData!$H$4),"",ReferenceData!$H$4),"")</f>
        <v/>
      </c>
      <c r="I4" t="str">
        <f ca="1">IFERROR(IF(0=LEN(ReferenceData!$I$4),"",ReferenceData!$I$4),"")</f>
        <v/>
      </c>
      <c r="J4" t="str">
        <f ca="1">IFERROR(IF(0=LEN(ReferenceData!$J$4),"",ReferenceData!$J$4),"")</f>
        <v/>
      </c>
      <c r="K4" t="str">
        <f ca="1">IFERROR(IF(0=LEN(ReferenceData!$K$4),"",ReferenceData!$K$4),"")</f>
        <v/>
      </c>
      <c r="L4" t="str">
        <f ca="1">IFERROR(IF(0=LEN(ReferenceData!$L$4),"",ReferenceData!$L$4),"")</f>
        <v/>
      </c>
      <c r="M4" t="str">
        <f ca="1">IFERROR(IF(0=LEN(ReferenceData!$M$4),"",ReferenceData!$M$4),"")</f>
        <v/>
      </c>
      <c r="N4" t="str">
        <f ca="1">IFERROR(IF(0=LEN(ReferenceData!$N$4),"",ReferenceData!$N$4),"")</f>
        <v/>
      </c>
      <c r="O4" t="str">
        <f ca="1">IFERROR(IF(0=LEN(ReferenceData!$O$4),"",ReferenceData!$O$4),"")</f>
        <v/>
      </c>
      <c r="P4" t="str">
        <f ca="1">IFERROR(IF(0=LEN(ReferenceData!$P$4),"",ReferenceData!$P$4),"")</f>
        <v/>
      </c>
      <c r="Q4" t="str">
        <f ca="1">IFERROR(IF(0=LEN(ReferenceData!$Q$4),"",ReferenceData!$Q$4),"")</f>
        <v/>
      </c>
      <c r="R4" t="str">
        <f ca="1">IFERROR(IF(0=LEN(ReferenceData!$R$4),"",ReferenceData!$R$4),"")</f>
        <v/>
      </c>
      <c r="S4" t="str">
        <f ca="1">IFERROR(IF(0=LEN(ReferenceData!$S$4),"",ReferenceData!$S$4),"")</f>
        <v/>
      </c>
      <c r="T4" t="str">
        <f ca="1">IFERROR(IF(0=LEN(ReferenceData!$T$4),"",ReferenceData!$T$4),"")</f>
        <v/>
      </c>
      <c r="U4" t="str">
        <f ca="1">IFERROR(IF(0=LEN(ReferenceData!$U$4),"",ReferenceData!$U$4),"")</f>
        <v/>
      </c>
      <c r="V4" t="str">
        <f ca="1">IFERROR(IF(0=LEN(ReferenceData!$V$4),"",ReferenceData!$V$4),"")</f>
        <v/>
      </c>
      <c r="W4" t="str">
        <f ca="1">IFERROR(IF(0=LEN(ReferenceData!$W$4),"",ReferenceData!$W$4),"")</f>
        <v/>
      </c>
      <c r="X4" t="str">
        <f ca="1">IFERROR(IF(0=LEN(ReferenceData!$X$4),"",ReferenceData!$X$4),"")</f>
        <v/>
      </c>
      <c r="Y4" t="str">
        <f ca="1">IFERROR(IF(0=LEN(ReferenceData!$Y$4),"",ReferenceData!$Y$4),"")</f>
        <v/>
      </c>
      <c r="Z4" t="str">
        <f ca="1">IFERROR(IF(0=LEN(ReferenceData!$Z$4),"",ReferenceData!$Z$4),"")</f>
        <v/>
      </c>
      <c r="AA4" t="str">
        <f ca="1">IFERROR(IF(0=LEN(ReferenceData!$AA$4),"",ReferenceData!$AA$4),"")</f>
        <v/>
      </c>
      <c r="AB4" t="str">
        <f ca="1">IFERROR(IF(0=LEN(ReferenceData!$AB$4),"",ReferenceData!$AB$4),"")</f>
        <v/>
      </c>
      <c r="AC4" t="str">
        <f ca="1">IFERROR(IF(0=LEN(ReferenceData!$AC$4),"",ReferenceData!$AC$4),"")</f>
        <v/>
      </c>
      <c r="AD4" t="str">
        <f ca="1">IFERROR(IF(0=LEN(ReferenceData!$AD$4),"",ReferenceData!$AD$4),"")</f>
        <v/>
      </c>
      <c r="AE4" t="str">
        <f ca="1">IFERROR(IF(0=LEN(ReferenceData!$AE$4),"",ReferenceData!$AE$4),"")</f>
        <v/>
      </c>
      <c r="AF4" t="str">
        <f ca="1">IFERROR(IF(0=LEN(ReferenceData!$AF$4),"",ReferenceData!$AF$4),"")</f>
        <v/>
      </c>
      <c r="AG4" t="str">
        <f ca="1">IFERROR(IF(0=LEN(ReferenceData!$AG$4),"",ReferenceData!$AG$4),"")</f>
        <v/>
      </c>
      <c r="AH4" t="str">
        <f ca="1">IFERROR(IF(0=LEN(ReferenceData!$AH$4),"",ReferenceData!$AH$4),"")</f>
        <v/>
      </c>
      <c r="AI4" t="str">
        <f ca="1">IFERROR(IF(0=LEN(ReferenceData!$AI$4),"",ReferenceData!$AI$4),"")</f>
        <v/>
      </c>
      <c r="AJ4" t="str">
        <f ca="1">IFERROR(IF(0=LEN(ReferenceData!$AJ$4),"",ReferenceData!$AJ$4),"")</f>
        <v/>
      </c>
      <c r="AK4" t="str">
        <f ca="1">IFERROR(IF(0=LEN(ReferenceData!$AK$4),"",ReferenceData!$AK$4),"")</f>
        <v/>
      </c>
      <c r="AL4" t="str">
        <f ca="1">IFERROR(IF(0=LEN(ReferenceData!$AL$4),"",ReferenceData!$AL$4),"")</f>
        <v/>
      </c>
      <c r="AM4" t="str">
        <f ca="1">IFERROR(IF(0=LEN(ReferenceData!$AM$4),"",ReferenceData!$AM$4),"")</f>
        <v/>
      </c>
      <c r="AN4" t="str">
        <f ca="1">IFERROR(IF(0=LEN(ReferenceData!$AN$4),"",ReferenceData!$AN$4),"")</f>
        <v/>
      </c>
      <c r="AO4" t="str">
        <f ca="1">IFERROR(IF(0=LEN(ReferenceData!$AO$4),"",ReferenceData!$AO$4),"")</f>
        <v/>
      </c>
      <c r="AP4" t="str">
        <f ca="1">IFERROR(IF(0=LEN(ReferenceData!$AP$4),"",ReferenceData!$AP$4),"")</f>
        <v/>
      </c>
      <c r="AQ4" t="str">
        <f ca="1">IFERROR(IF(0=LEN(ReferenceData!$AQ$4),"",ReferenceData!$AQ$4),"")</f>
        <v/>
      </c>
      <c r="AR4" t="str">
        <f ca="1">IFERROR(IF(0=LEN(ReferenceData!$AR$4),"",ReferenceData!$AR$4),"")</f>
        <v/>
      </c>
      <c r="AS4" t="str">
        <f ca="1">IFERROR(IF(0=LEN(ReferenceData!$AS$4),"",ReferenceData!$AS$4),"")</f>
        <v/>
      </c>
      <c r="AT4" t="str">
        <f ca="1">IFERROR(IF(0=LEN(ReferenceData!$AT$4),"",ReferenceData!$AT$4),"")</f>
        <v/>
      </c>
      <c r="AU4" t="str">
        <f ca="1">IFERROR(IF(0=LEN(ReferenceData!$AU$4),"",ReferenceData!$AU$4),"")</f>
        <v/>
      </c>
      <c r="AV4" t="str">
        <f ca="1">IFERROR(IF(0=LEN(ReferenceData!$AV$4),"",ReferenceData!$AV$4),"")</f>
        <v/>
      </c>
      <c r="AW4" t="str">
        <f ca="1">IFERROR(IF(0=LEN(ReferenceData!$AW$4),"",ReferenceData!$AW$4),"")</f>
        <v/>
      </c>
      <c r="AX4" t="str">
        <f ca="1">IFERROR(IF(0=LEN(ReferenceData!$AX$4),"",ReferenceData!$AX$4),"")</f>
        <v/>
      </c>
      <c r="AY4" t="str">
        <f ca="1">IFERROR(IF(0=LEN(ReferenceData!$AY$4),"",ReferenceData!$AY$4),"")</f>
        <v/>
      </c>
      <c r="AZ4" t="str">
        <f ca="1">IFERROR(IF(0=LEN(ReferenceData!$AZ$4),"",ReferenceData!$AZ$4),"")</f>
        <v/>
      </c>
      <c r="BA4" t="str">
        <f ca="1">IFERROR(IF(0=LEN(ReferenceData!$BA$4),"",ReferenceData!$BA$4),"")</f>
        <v/>
      </c>
      <c r="BB4" t="str">
        <f ca="1">IFERROR(IF(0=LEN(ReferenceData!$BB$4),"",ReferenceData!$BB$4),"")</f>
        <v/>
      </c>
      <c r="BC4" t="str">
        <f ca="1">IFERROR(IF(0=LEN(ReferenceData!$BC$4),"",ReferenceData!$BC$4),"")</f>
        <v/>
      </c>
      <c r="BD4" t="str">
        <f ca="1">IFERROR(IF(0=LEN(ReferenceData!$BD$4),"",ReferenceData!$BD$4),"")</f>
        <v/>
      </c>
      <c r="BE4" t="str">
        <f ca="1">IFERROR(IF(0=LEN(ReferenceData!$BE$4),"",ReferenceData!$BE$4),"")</f>
        <v/>
      </c>
      <c r="BF4" t="str">
        <f ca="1">IFERROR(IF(0=LEN(ReferenceData!$BF$4),"",ReferenceData!$BF$4),"")</f>
        <v/>
      </c>
      <c r="BG4" t="str">
        <f ca="1">IFERROR(IF(0=LEN(ReferenceData!$BG$4),"",ReferenceData!$BG$4),"")</f>
        <v/>
      </c>
      <c r="BH4" t="str">
        <f ca="1">IFERROR(IF(0=LEN(ReferenceData!$BH$4),"",ReferenceData!$BH$4),"")</f>
        <v/>
      </c>
      <c r="BI4" t="str">
        <f ca="1">IFERROR(IF(0=LEN(ReferenceData!$BI$4),"",ReferenceData!$BI$4),"")</f>
        <v/>
      </c>
      <c r="BJ4" t="str">
        <f ca="1">IFERROR(IF(0=LEN(ReferenceData!$BJ$4),"",ReferenceData!$BJ$4),"")</f>
        <v/>
      </c>
      <c r="BK4" t="str">
        <f ca="1">IFERROR(IF(0=LEN(ReferenceData!$BK$4),"",ReferenceData!$BK$4),"")</f>
        <v/>
      </c>
      <c r="BL4" t="str">
        <f ca="1">IFERROR(IF(0=LEN(ReferenceData!$BL$4),"",ReferenceData!$BL$4),"")</f>
        <v/>
      </c>
      <c r="BM4" t="str">
        <f ca="1">IFERROR(IF(0=LEN(ReferenceData!$BM$4),"",ReferenceData!$BM$4),"")</f>
        <v/>
      </c>
    </row>
    <row r="5" spans="1:65" x14ac:dyDescent="0.25">
      <c r="A5" t="str">
        <f>IFERROR(IF(0=LEN(ReferenceData!$A$5),"",ReferenceData!$A$5),"")</f>
        <v>Key Performance Indicators</v>
      </c>
      <c r="B5" t="str">
        <f>IFERROR(IF(0=LEN(ReferenceData!$B$5),"",ReferenceData!$B$5),"")</f>
        <v/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Heading</v>
      </c>
      <c r="F5" t="str">
        <f>IFERROR(IF(0=LEN(ReferenceData!$F$5),"",ReferenceData!$F$5),"")</f>
        <v/>
      </c>
      <c r="G5" t="str">
        <f>IFERROR(IF(0=LEN(ReferenceData!$G$5),"",ReferenceData!$G$5),"")</f>
        <v/>
      </c>
      <c r="H5" t="str">
        <f>IFERROR(IF(0=LEN(ReferenceData!$H$5),"",ReferenceData!$H$5),"")</f>
        <v/>
      </c>
      <c r="I5" t="str">
        <f>IFERROR(IF(0=LEN(ReferenceData!$I$5),"",ReferenceData!$I$5),"")</f>
        <v/>
      </c>
      <c r="J5" t="str">
        <f>IFERROR(IF(0=LEN(ReferenceData!$J$5),"",ReferenceData!$J$5),"")</f>
        <v/>
      </c>
      <c r="K5" t="str">
        <f>IFERROR(IF(0=LEN(ReferenceData!$K$5),"",ReferenceData!$K$5),"")</f>
        <v/>
      </c>
      <c r="L5" t="str">
        <f>IFERROR(IF(0=LEN(ReferenceData!$L$5),"",ReferenceData!$L$5),"")</f>
        <v/>
      </c>
      <c r="M5" t="str">
        <f>IFERROR(IF(0=LEN(ReferenceData!$M$5),"",ReferenceData!$M$5),"")</f>
        <v/>
      </c>
      <c r="N5" t="str">
        <f>IFERROR(IF(0=LEN(ReferenceData!$N$5),"",ReferenceData!$N$5),"")</f>
        <v/>
      </c>
      <c r="O5" t="str">
        <f>IFERROR(IF(0=LEN(ReferenceData!$O$5),"",ReferenceData!$O$5),"")</f>
        <v/>
      </c>
      <c r="P5" t="str">
        <f>IFERROR(IF(0=LEN(ReferenceData!$P$5),"",ReferenceData!$P$5),"")</f>
        <v/>
      </c>
      <c r="Q5" t="str">
        <f>IFERROR(IF(0=LEN(ReferenceData!$Q$5),"",ReferenceData!$Q$5),"")</f>
        <v/>
      </c>
      <c r="R5" t="str">
        <f>IFERROR(IF(0=LEN(ReferenceData!$R$5),"",ReferenceData!$R$5),"")</f>
        <v/>
      </c>
      <c r="S5" t="str">
        <f>IFERROR(IF(0=LEN(ReferenceData!$S$5),"",ReferenceData!$S$5),"")</f>
        <v/>
      </c>
      <c r="T5" t="str">
        <f>IFERROR(IF(0=LEN(ReferenceData!$T$5),"",ReferenceData!$T$5),"")</f>
        <v/>
      </c>
      <c r="U5" t="str">
        <f>IFERROR(IF(0=LEN(ReferenceData!$U$5),"",ReferenceData!$U$5),"")</f>
        <v/>
      </c>
      <c r="V5" t="str">
        <f>IFERROR(IF(0=LEN(ReferenceData!$V$5),"",ReferenceData!$V$5),"")</f>
        <v/>
      </c>
      <c r="W5" t="str">
        <f>IFERROR(IF(0=LEN(ReferenceData!$W$5),"",ReferenceData!$W$5),"")</f>
        <v/>
      </c>
      <c r="X5" t="str">
        <f>IFERROR(IF(0=LEN(ReferenceData!$X$5),"",ReferenceData!$X$5),"")</f>
        <v/>
      </c>
      <c r="Y5" t="str">
        <f>IFERROR(IF(0=LEN(ReferenceData!$Y$5),"",ReferenceData!$Y$5),"")</f>
        <v/>
      </c>
      <c r="Z5" t="str">
        <f>IFERROR(IF(0=LEN(ReferenceData!$Z$5),"",ReferenceData!$Z$5),"")</f>
        <v/>
      </c>
      <c r="AA5" t="str">
        <f>IFERROR(IF(0=LEN(ReferenceData!$AA$5),"",ReferenceData!$AA$5),"")</f>
        <v/>
      </c>
      <c r="AB5" t="str">
        <f>IFERROR(IF(0=LEN(ReferenceData!$AB$5),"",ReferenceData!$AB$5),"")</f>
        <v/>
      </c>
      <c r="AC5" t="str">
        <f>IFERROR(IF(0=LEN(ReferenceData!$AC$5),"",ReferenceData!$AC$5),"")</f>
        <v/>
      </c>
      <c r="AD5" t="str">
        <f>IFERROR(IF(0=LEN(ReferenceData!$AD$5),"",ReferenceData!$AD$5),"")</f>
        <v/>
      </c>
      <c r="AE5" t="str">
        <f>IFERROR(IF(0=LEN(ReferenceData!$AE$5),"",ReferenceData!$AE$5),"")</f>
        <v/>
      </c>
      <c r="AF5" t="str">
        <f>IFERROR(IF(0=LEN(ReferenceData!$AF$5),"",ReferenceData!$AF$5),"")</f>
        <v/>
      </c>
      <c r="AG5" t="str">
        <f>IFERROR(IF(0=LEN(ReferenceData!$AG$5),"",ReferenceData!$AG$5),"")</f>
        <v/>
      </c>
      <c r="AH5" t="str">
        <f>IFERROR(IF(0=LEN(ReferenceData!$AH$5),"",ReferenceData!$AH$5),"")</f>
        <v/>
      </c>
      <c r="AI5" t="str">
        <f>IFERROR(IF(0=LEN(ReferenceData!$AI$5),"",ReferenceData!$AI$5),"")</f>
        <v/>
      </c>
      <c r="AJ5" t="str">
        <f>IFERROR(IF(0=LEN(ReferenceData!$AJ$5),"",ReferenceData!$AJ$5),"")</f>
        <v/>
      </c>
      <c r="AK5" t="str">
        <f>IFERROR(IF(0=LEN(ReferenceData!$AK$5),"",ReferenceData!$AK$5),"")</f>
        <v/>
      </c>
      <c r="AL5" t="str">
        <f>IFERROR(IF(0=LEN(ReferenceData!$AL$5),"",ReferenceData!$AL$5),"")</f>
        <v/>
      </c>
      <c r="AM5" t="str">
        <f>IFERROR(IF(0=LEN(ReferenceData!$AM$5),"",ReferenceData!$AM$5),"")</f>
        <v/>
      </c>
      <c r="AN5" t="str">
        <f>IFERROR(IF(0=LEN(ReferenceData!$AN$5),"",ReferenceData!$AN$5),"")</f>
        <v/>
      </c>
      <c r="AO5" t="str">
        <f>IFERROR(IF(0=LEN(ReferenceData!$AO$5),"",ReferenceData!$AO$5),"")</f>
        <v/>
      </c>
      <c r="AP5" t="str">
        <f>IFERROR(IF(0=LEN(ReferenceData!$AP$5),"",ReferenceData!$AP$5),"")</f>
        <v/>
      </c>
      <c r="AQ5" t="str">
        <f>IFERROR(IF(0=LEN(ReferenceData!$AQ$5),"",ReferenceData!$AQ$5),"")</f>
        <v/>
      </c>
      <c r="AR5" t="str">
        <f>IFERROR(IF(0=LEN(ReferenceData!$AR$5),"",ReferenceData!$AR$5),"")</f>
        <v/>
      </c>
      <c r="AS5" t="str">
        <f>IFERROR(IF(0=LEN(ReferenceData!$AS$5),"",ReferenceData!$AS$5),"")</f>
        <v/>
      </c>
      <c r="AT5" t="str">
        <f>IFERROR(IF(0=LEN(ReferenceData!$AT$5),"",ReferenceData!$AT$5),"")</f>
        <v/>
      </c>
      <c r="AU5" t="str">
        <f>IFERROR(IF(0=LEN(ReferenceData!$AU$5),"",ReferenceData!$AU$5),"")</f>
        <v/>
      </c>
      <c r="AV5" t="str">
        <f>IFERROR(IF(0=LEN(ReferenceData!$AV$5),"",ReferenceData!$AV$5),"")</f>
        <v/>
      </c>
      <c r="AW5" t="str">
        <f>IFERROR(IF(0=LEN(ReferenceData!$AW$5),"",ReferenceData!$AW$5),"")</f>
        <v/>
      </c>
      <c r="AX5" t="str">
        <f>IFERROR(IF(0=LEN(ReferenceData!$AX$5),"",ReferenceData!$AX$5),"")</f>
        <v/>
      </c>
      <c r="AY5" t="str">
        <f>IFERROR(IF(0=LEN(ReferenceData!$AY$5),"",ReferenceData!$AY$5),"")</f>
        <v/>
      </c>
      <c r="AZ5" t="str">
        <f>IFERROR(IF(0=LEN(ReferenceData!$AZ$5),"",ReferenceData!$AZ$5),"")</f>
        <v/>
      </c>
      <c r="BA5" t="str">
        <f>IFERROR(IF(0=LEN(ReferenceData!$BA$5),"",ReferenceData!$BA$5),"")</f>
        <v/>
      </c>
      <c r="BB5" t="str">
        <f>IFERROR(IF(0=LEN(ReferenceData!$BB$5),"",ReferenceData!$BB$5),"")</f>
        <v/>
      </c>
      <c r="BC5" t="str">
        <f>IFERROR(IF(0=LEN(ReferenceData!$BC$5),"",ReferenceData!$BC$5),"")</f>
        <v/>
      </c>
      <c r="BD5" t="str">
        <f>IFERROR(IF(0=LEN(ReferenceData!$BD$5),"",ReferenceData!$BD$5),"")</f>
        <v/>
      </c>
      <c r="BE5" t="str">
        <f>IFERROR(IF(0=LEN(ReferenceData!$BE$5),"",ReferenceData!$BE$5),"")</f>
        <v/>
      </c>
      <c r="BF5" t="str">
        <f>IFERROR(IF(0=LEN(ReferenceData!$BF$5),"",ReferenceData!$BF$5),"")</f>
        <v/>
      </c>
      <c r="BG5" t="str">
        <f>IFERROR(IF(0=LEN(ReferenceData!$BG$5),"",ReferenceData!$BG$5),"")</f>
        <v/>
      </c>
      <c r="BH5" t="str">
        <f>IFERROR(IF(0=LEN(ReferenceData!$BH$5),"",ReferenceData!$BH$5),"")</f>
        <v/>
      </c>
      <c r="BI5" t="str">
        <f>IFERROR(IF(0=LEN(ReferenceData!$BI$5),"",ReferenceData!$BI$5),"")</f>
        <v/>
      </c>
      <c r="BJ5" t="str">
        <f>IFERROR(IF(0=LEN(ReferenceData!$BJ$5),"",ReferenceData!$BJ$5),"")</f>
        <v/>
      </c>
      <c r="BK5" t="str">
        <f>IFERROR(IF(0=LEN(ReferenceData!$BK$5),"",ReferenceData!$BK$5),"")</f>
        <v/>
      </c>
      <c r="BL5" t="str">
        <f>IFERROR(IF(0=LEN(ReferenceData!$BL$5),"",ReferenceData!$BL$5),"")</f>
        <v/>
      </c>
      <c r="BM5" t="str">
        <f>IFERROR(IF(0=LEN(ReferenceData!$BM$5),"",ReferenceData!$BM$5),"")</f>
        <v/>
      </c>
    </row>
    <row r="6" spans="1:65" x14ac:dyDescent="0.25">
      <c r="A6" t="str">
        <f>IFERROR(IF(0=LEN(ReferenceData!$A$6),"",ReferenceData!$A$6),"")</f>
        <v xml:space="preserve">    </v>
      </c>
      <c r="B6" t="str">
        <f>IFERROR(IF(0=LEN(ReferenceData!$B$6),"",ReferenceData!$B$6),"")</f>
        <v/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Static</v>
      </c>
      <c r="F6" t="str">
        <f ca="1">IFERROR(IF(0=LEN(ReferenceData!$F$6),"",ReferenceData!$F$6),"")</f>
        <v/>
      </c>
      <c r="G6" t="str">
        <f ca="1">IFERROR(IF(0=LEN(ReferenceData!$G$6),"",ReferenceData!$G$6),"")</f>
        <v/>
      </c>
      <c r="H6" t="str">
        <f ca="1">IFERROR(IF(0=LEN(ReferenceData!$H$6),"",ReferenceData!$H$6),"")</f>
        <v/>
      </c>
      <c r="I6" t="str">
        <f ca="1">IFERROR(IF(0=LEN(ReferenceData!$I$6),"",ReferenceData!$I$6),"")</f>
        <v/>
      </c>
      <c r="J6" t="str">
        <f ca="1">IFERROR(IF(0=LEN(ReferenceData!$J$6),"",ReferenceData!$J$6),"")</f>
        <v/>
      </c>
      <c r="K6" t="str">
        <f ca="1">IFERROR(IF(0=LEN(ReferenceData!$K$6),"",ReferenceData!$K$6),"")</f>
        <v/>
      </c>
      <c r="L6" t="str">
        <f ca="1">IFERROR(IF(0=LEN(ReferenceData!$L$6),"",ReferenceData!$L$6),"")</f>
        <v/>
      </c>
      <c r="M6" t="str">
        <f ca="1">IFERROR(IF(0=LEN(ReferenceData!$M$6),"",ReferenceData!$M$6),"")</f>
        <v/>
      </c>
      <c r="N6" t="str">
        <f ca="1">IFERROR(IF(0=LEN(ReferenceData!$N$6),"",ReferenceData!$N$6),"")</f>
        <v/>
      </c>
      <c r="O6" t="str">
        <f ca="1">IFERROR(IF(0=LEN(ReferenceData!$O$6),"",ReferenceData!$O$6),"")</f>
        <v/>
      </c>
      <c r="P6" t="str">
        <f ca="1">IFERROR(IF(0=LEN(ReferenceData!$P$6),"",ReferenceData!$P$6),"")</f>
        <v/>
      </c>
      <c r="Q6" t="str">
        <f ca="1">IFERROR(IF(0=LEN(ReferenceData!$Q$6),"",ReferenceData!$Q$6),"")</f>
        <v/>
      </c>
      <c r="R6" t="str">
        <f ca="1">IFERROR(IF(0=LEN(ReferenceData!$R$6),"",ReferenceData!$R$6),"")</f>
        <v/>
      </c>
      <c r="S6" t="str">
        <f ca="1">IFERROR(IF(0=LEN(ReferenceData!$S$6),"",ReferenceData!$S$6),"")</f>
        <v/>
      </c>
      <c r="T6" t="str">
        <f ca="1">IFERROR(IF(0=LEN(ReferenceData!$T$6),"",ReferenceData!$T$6),"")</f>
        <v/>
      </c>
      <c r="U6" t="str">
        <f ca="1">IFERROR(IF(0=LEN(ReferenceData!$U$6),"",ReferenceData!$U$6),"")</f>
        <v/>
      </c>
      <c r="V6" t="str">
        <f ca="1">IFERROR(IF(0=LEN(ReferenceData!$V$6),"",ReferenceData!$V$6),"")</f>
        <v/>
      </c>
      <c r="W6" t="str">
        <f ca="1">IFERROR(IF(0=LEN(ReferenceData!$W$6),"",ReferenceData!$W$6),"")</f>
        <v/>
      </c>
      <c r="X6" t="str">
        <f ca="1">IFERROR(IF(0=LEN(ReferenceData!$X$6),"",ReferenceData!$X$6),"")</f>
        <v/>
      </c>
      <c r="Y6" t="str">
        <f ca="1">IFERROR(IF(0=LEN(ReferenceData!$Y$6),"",ReferenceData!$Y$6),"")</f>
        <v/>
      </c>
      <c r="Z6" t="str">
        <f ca="1">IFERROR(IF(0=LEN(ReferenceData!$Z$6),"",ReferenceData!$Z$6),"")</f>
        <v/>
      </c>
      <c r="AA6" t="str">
        <f ca="1">IFERROR(IF(0=LEN(ReferenceData!$AA$6),"",ReferenceData!$AA$6),"")</f>
        <v/>
      </c>
      <c r="AB6" t="str">
        <f ca="1">IFERROR(IF(0=LEN(ReferenceData!$AB$6),"",ReferenceData!$AB$6),"")</f>
        <v/>
      </c>
      <c r="AC6" t="str">
        <f ca="1">IFERROR(IF(0=LEN(ReferenceData!$AC$6),"",ReferenceData!$AC$6),"")</f>
        <v/>
      </c>
      <c r="AD6" t="str">
        <f ca="1">IFERROR(IF(0=LEN(ReferenceData!$AD$6),"",ReferenceData!$AD$6),"")</f>
        <v/>
      </c>
      <c r="AE6" t="str">
        <f ca="1">IFERROR(IF(0=LEN(ReferenceData!$AE$6),"",ReferenceData!$AE$6),"")</f>
        <v/>
      </c>
      <c r="AF6" t="str">
        <f ca="1">IFERROR(IF(0=LEN(ReferenceData!$AF$6),"",ReferenceData!$AF$6),"")</f>
        <v/>
      </c>
      <c r="AG6" t="str">
        <f ca="1">IFERROR(IF(0=LEN(ReferenceData!$AG$6),"",ReferenceData!$AG$6),"")</f>
        <v/>
      </c>
      <c r="AH6" t="str">
        <f ca="1">IFERROR(IF(0=LEN(ReferenceData!$AH$6),"",ReferenceData!$AH$6),"")</f>
        <v/>
      </c>
      <c r="AI6" t="str">
        <f ca="1">IFERROR(IF(0=LEN(ReferenceData!$AI$6),"",ReferenceData!$AI$6),"")</f>
        <v/>
      </c>
      <c r="AJ6" t="str">
        <f ca="1">IFERROR(IF(0=LEN(ReferenceData!$AJ$6),"",ReferenceData!$AJ$6),"")</f>
        <v/>
      </c>
      <c r="AK6" t="str">
        <f ca="1">IFERROR(IF(0=LEN(ReferenceData!$AK$6),"",ReferenceData!$AK$6),"")</f>
        <v/>
      </c>
      <c r="AL6" t="str">
        <f ca="1">IFERROR(IF(0=LEN(ReferenceData!$AL$6),"",ReferenceData!$AL$6),"")</f>
        <v/>
      </c>
      <c r="AM6" t="str">
        <f ca="1">IFERROR(IF(0=LEN(ReferenceData!$AM$6),"",ReferenceData!$AM$6),"")</f>
        <v/>
      </c>
      <c r="AN6" t="str">
        <f ca="1">IFERROR(IF(0=LEN(ReferenceData!$AN$6),"",ReferenceData!$AN$6),"")</f>
        <v/>
      </c>
      <c r="AO6" t="str">
        <f ca="1">IFERROR(IF(0=LEN(ReferenceData!$AO$6),"",ReferenceData!$AO$6),"")</f>
        <v/>
      </c>
      <c r="AP6" t="str">
        <f ca="1">IFERROR(IF(0=LEN(ReferenceData!$AP$6),"",ReferenceData!$AP$6),"")</f>
        <v/>
      </c>
      <c r="AQ6" t="str">
        <f ca="1">IFERROR(IF(0=LEN(ReferenceData!$AQ$6),"",ReferenceData!$AQ$6),"")</f>
        <v/>
      </c>
      <c r="AR6" t="str">
        <f ca="1">IFERROR(IF(0=LEN(ReferenceData!$AR$6),"",ReferenceData!$AR$6),"")</f>
        <v/>
      </c>
      <c r="AS6" t="str">
        <f ca="1">IFERROR(IF(0=LEN(ReferenceData!$AS$6),"",ReferenceData!$AS$6),"")</f>
        <v/>
      </c>
      <c r="AT6" t="str">
        <f ca="1">IFERROR(IF(0=LEN(ReferenceData!$AT$6),"",ReferenceData!$AT$6),"")</f>
        <v/>
      </c>
      <c r="AU6" t="str">
        <f ca="1">IFERROR(IF(0=LEN(ReferenceData!$AU$6),"",ReferenceData!$AU$6),"")</f>
        <v/>
      </c>
      <c r="AV6" t="str">
        <f ca="1">IFERROR(IF(0=LEN(ReferenceData!$AV$6),"",ReferenceData!$AV$6),"")</f>
        <v/>
      </c>
      <c r="AW6" t="str">
        <f ca="1">IFERROR(IF(0=LEN(ReferenceData!$AW$6),"",ReferenceData!$AW$6),"")</f>
        <v/>
      </c>
      <c r="AX6" t="str">
        <f ca="1">IFERROR(IF(0=LEN(ReferenceData!$AX$6),"",ReferenceData!$AX$6),"")</f>
        <v/>
      </c>
      <c r="AY6" t="str">
        <f ca="1">IFERROR(IF(0=LEN(ReferenceData!$AY$6),"",ReferenceData!$AY$6),"")</f>
        <v/>
      </c>
      <c r="AZ6" t="str">
        <f ca="1">IFERROR(IF(0=LEN(ReferenceData!$AZ$6),"",ReferenceData!$AZ$6),"")</f>
        <v/>
      </c>
      <c r="BA6" t="str">
        <f ca="1">IFERROR(IF(0=LEN(ReferenceData!$BA$6),"",ReferenceData!$BA$6),"")</f>
        <v/>
      </c>
      <c r="BB6" t="str">
        <f ca="1">IFERROR(IF(0=LEN(ReferenceData!$BB$6),"",ReferenceData!$BB$6),"")</f>
        <v/>
      </c>
      <c r="BC6" t="str">
        <f ca="1">IFERROR(IF(0=LEN(ReferenceData!$BC$6),"",ReferenceData!$BC$6),"")</f>
        <v/>
      </c>
      <c r="BD6" t="str">
        <f ca="1">IFERROR(IF(0=LEN(ReferenceData!$BD$6),"",ReferenceData!$BD$6),"")</f>
        <v/>
      </c>
      <c r="BE6" t="str">
        <f ca="1">IFERROR(IF(0=LEN(ReferenceData!$BE$6),"",ReferenceData!$BE$6),"")</f>
        <v/>
      </c>
      <c r="BF6" t="str">
        <f ca="1">IFERROR(IF(0=LEN(ReferenceData!$BF$6),"",ReferenceData!$BF$6),"")</f>
        <v/>
      </c>
      <c r="BG6" t="str">
        <f ca="1">IFERROR(IF(0=LEN(ReferenceData!$BG$6),"",ReferenceData!$BG$6),"")</f>
        <v/>
      </c>
      <c r="BH6" t="str">
        <f ca="1">IFERROR(IF(0=LEN(ReferenceData!$BH$6),"",ReferenceData!$BH$6),"")</f>
        <v/>
      </c>
      <c r="BI6" t="str">
        <f ca="1">IFERROR(IF(0=LEN(ReferenceData!$BI$6),"",ReferenceData!$BI$6),"")</f>
        <v/>
      </c>
      <c r="BJ6" t="str">
        <f ca="1">IFERROR(IF(0=LEN(ReferenceData!$BJ$6),"",ReferenceData!$BJ$6),"")</f>
        <v/>
      </c>
      <c r="BK6" t="str">
        <f ca="1">IFERROR(IF(0=LEN(ReferenceData!$BK$6),"",ReferenceData!$BK$6),"")</f>
        <v/>
      </c>
      <c r="BL6" t="str">
        <f ca="1">IFERROR(IF(0=LEN(ReferenceData!$BL$6),"",ReferenceData!$BL$6),"")</f>
        <v/>
      </c>
      <c r="BM6" t="str">
        <f ca="1">IFERROR(IF(0=LEN(ReferenceData!$BM$6),"",ReferenceData!$BM$6),"")</f>
        <v/>
      </c>
    </row>
    <row r="7" spans="1:65" x14ac:dyDescent="0.25">
      <c r="A7" t="str">
        <f>IFERROR(IF(0=LEN(ReferenceData!$A$7),"",ReferenceData!$A$7),"")</f>
        <v xml:space="preserve">    Macro Drivers &amp; Industry-Level Statistics</v>
      </c>
      <c r="B7" t="str">
        <f>IFERROR(IF(0=LEN(ReferenceData!$B$7),"",ReferenceData!$B$7),"")</f>
        <v/>
      </c>
      <c r="C7" t="str">
        <f>IFERROR(IF(0=LEN(ReferenceData!$C$7),"",ReferenceData!$C$7),"")</f>
        <v/>
      </c>
      <c r="D7" t="str">
        <f>IFERROR(IF(0=LEN(ReferenceData!$D$7),"",ReferenceData!$D$7),"")</f>
        <v/>
      </c>
      <c r="E7" t="str">
        <f>IFERROR(IF(0=LEN(ReferenceData!$E$7),"",ReferenceData!$E$7),"")</f>
        <v>Heading</v>
      </c>
      <c r="F7" t="str">
        <f>IFERROR(IF(0=LEN(ReferenceData!$F$7),"",ReferenceData!$F$7),"")</f>
        <v/>
      </c>
      <c r="G7" t="str">
        <f>IFERROR(IF(0=LEN(ReferenceData!$G$7),"",ReferenceData!$G$7),"")</f>
        <v/>
      </c>
      <c r="H7" t="str">
        <f>IFERROR(IF(0=LEN(ReferenceData!$H$7),"",ReferenceData!$H$7),"")</f>
        <v/>
      </c>
      <c r="I7" t="str">
        <f>IFERROR(IF(0=LEN(ReferenceData!$I$7),"",ReferenceData!$I$7),"")</f>
        <v/>
      </c>
      <c r="J7" t="str">
        <f>IFERROR(IF(0=LEN(ReferenceData!$J$7),"",ReferenceData!$J$7),"")</f>
        <v/>
      </c>
      <c r="K7" t="str">
        <f>IFERROR(IF(0=LEN(ReferenceData!$K$7),"",ReferenceData!$K$7),"")</f>
        <v/>
      </c>
      <c r="L7" t="str">
        <f>IFERROR(IF(0=LEN(ReferenceData!$L$7),"",ReferenceData!$L$7),"")</f>
        <v/>
      </c>
      <c r="M7" t="str">
        <f>IFERROR(IF(0=LEN(ReferenceData!$M$7),"",ReferenceData!$M$7),"")</f>
        <v/>
      </c>
      <c r="N7" t="str">
        <f>IFERROR(IF(0=LEN(ReferenceData!$N$7),"",ReferenceData!$N$7),"")</f>
        <v/>
      </c>
      <c r="O7" t="str">
        <f>IFERROR(IF(0=LEN(ReferenceData!$O$7),"",ReferenceData!$O$7),"")</f>
        <v/>
      </c>
      <c r="P7" t="str">
        <f>IFERROR(IF(0=LEN(ReferenceData!$P$7),"",ReferenceData!$P$7),"")</f>
        <v/>
      </c>
      <c r="Q7" t="str">
        <f>IFERROR(IF(0=LEN(ReferenceData!$Q$7),"",ReferenceData!$Q$7),"")</f>
        <v/>
      </c>
      <c r="R7" t="str">
        <f>IFERROR(IF(0=LEN(ReferenceData!$R$7),"",ReferenceData!$R$7),"")</f>
        <v/>
      </c>
      <c r="S7" t="str">
        <f>IFERROR(IF(0=LEN(ReferenceData!$S$7),"",ReferenceData!$S$7),"")</f>
        <v/>
      </c>
      <c r="T7" t="str">
        <f>IFERROR(IF(0=LEN(ReferenceData!$T$7),"",ReferenceData!$T$7),"")</f>
        <v/>
      </c>
      <c r="U7" t="str">
        <f>IFERROR(IF(0=LEN(ReferenceData!$U$7),"",ReferenceData!$U$7),"")</f>
        <v/>
      </c>
      <c r="V7" t="str">
        <f>IFERROR(IF(0=LEN(ReferenceData!$V$7),"",ReferenceData!$V$7),"")</f>
        <v/>
      </c>
      <c r="W7" t="str">
        <f>IFERROR(IF(0=LEN(ReferenceData!$W$7),"",ReferenceData!$W$7),"")</f>
        <v/>
      </c>
      <c r="X7" t="str">
        <f>IFERROR(IF(0=LEN(ReferenceData!$X$7),"",ReferenceData!$X$7),"")</f>
        <v/>
      </c>
      <c r="Y7" t="str">
        <f>IFERROR(IF(0=LEN(ReferenceData!$Y$7),"",ReferenceData!$Y$7),"")</f>
        <v/>
      </c>
      <c r="Z7" t="str">
        <f>IFERROR(IF(0=LEN(ReferenceData!$Z$7),"",ReferenceData!$Z$7),"")</f>
        <v/>
      </c>
      <c r="AA7" t="str">
        <f>IFERROR(IF(0=LEN(ReferenceData!$AA$7),"",ReferenceData!$AA$7),"")</f>
        <v/>
      </c>
      <c r="AB7" t="str">
        <f>IFERROR(IF(0=LEN(ReferenceData!$AB$7),"",ReferenceData!$AB$7),"")</f>
        <v/>
      </c>
      <c r="AC7" t="str">
        <f>IFERROR(IF(0=LEN(ReferenceData!$AC$7),"",ReferenceData!$AC$7),"")</f>
        <v/>
      </c>
      <c r="AD7" t="str">
        <f>IFERROR(IF(0=LEN(ReferenceData!$AD$7),"",ReferenceData!$AD$7),"")</f>
        <v/>
      </c>
      <c r="AE7" t="str">
        <f>IFERROR(IF(0=LEN(ReferenceData!$AE$7),"",ReferenceData!$AE$7),"")</f>
        <v/>
      </c>
      <c r="AF7" t="str">
        <f>IFERROR(IF(0=LEN(ReferenceData!$AF$7),"",ReferenceData!$AF$7),"")</f>
        <v/>
      </c>
      <c r="AG7" t="str">
        <f>IFERROR(IF(0=LEN(ReferenceData!$AG$7),"",ReferenceData!$AG$7),"")</f>
        <v/>
      </c>
      <c r="AH7" t="str">
        <f>IFERROR(IF(0=LEN(ReferenceData!$AH$7),"",ReferenceData!$AH$7),"")</f>
        <v/>
      </c>
      <c r="AI7" t="str">
        <f>IFERROR(IF(0=LEN(ReferenceData!$AI$7),"",ReferenceData!$AI$7),"")</f>
        <v/>
      </c>
      <c r="AJ7" t="str">
        <f>IFERROR(IF(0=LEN(ReferenceData!$AJ$7),"",ReferenceData!$AJ$7),"")</f>
        <v/>
      </c>
      <c r="AK7" t="str">
        <f>IFERROR(IF(0=LEN(ReferenceData!$AK$7),"",ReferenceData!$AK$7),"")</f>
        <v/>
      </c>
      <c r="AL7" t="str">
        <f>IFERROR(IF(0=LEN(ReferenceData!$AL$7),"",ReferenceData!$AL$7),"")</f>
        <v/>
      </c>
      <c r="AM7" t="str">
        <f>IFERROR(IF(0=LEN(ReferenceData!$AM$7),"",ReferenceData!$AM$7),"")</f>
        <v/>
      </c>
      <c r="AN7" t="str">
        <f>IFERROR(IF(0=LEN(ReferenceData!$AN$7),"",ReferenceData!$AN$7),"")</f>
        <v/>
      </c>
      <c r="AO7" t="str">
        <f>IFERROR(IF(0=LEN(ReferenceData!$AO$7),"",ReferenceData!$AO$7),"")</f>
        <v/>
      </c>
      <c r="AP7" t="str">
        <f>IFERROR(IF(0=LEN(ReferenceData!$AP$7),"",ReferenceData!$AP$7),"")</f>
        <v/>
      </c>
      <c r="AQ7" t="str">
        <f>IFERROR(IF(0=LEN(ReferenceData!$AQ$7),"",ReferenceData!$AQ$7),"")</f>
        <v/>
      </c>
      <c r="AR7" t="str">
        <f>IFERROR(IF(0=LEN(ReferenceData!$AR$7),"",ReferenceData!$AR$7),"")</f>
        <v/>
      </c>
      <c r="AS7" t="str">
        <f>IFERROR(IF(0=LEN(ReferenceData!$AS$7),"",ReferenceData!$AS$7),"")</f>
        <v/>
      </c>
      <c r="AT7" t="str">
        <f>IFERROR(IF(0=LEN(ReferenceData!$AT$7),"",ReferenceData!$AT$7),"")</f>
        <v/>
      </c>
      <c r="AU7" t="str">
        <f>IFERROR(IF(0=LEN(ReferenceData!$AU$7),"",ReferenceData!$AU$7),"")</f>
        <v/>
      </c>
      <c r="AV7" t="str">
        <f>IFERROR(IF(0=LEN(ReferenceData!$AV$7),"",ReferenceData!$AV$7),"")</f>
        <v/>
      </c>
      <c r="AW7" t="str">
        <f>IFERROR(IF(0=LEN(ReferenceData!$AW$7),"",ReferenceData!$AW$7),"")</f>
        <v/>
      </c>
      <c r="AX7" t="str">
        <f>IFERROR(IF(0=LEN(ReferenceData!$AX$7),"",ReferenceData!$AX$7),"")</f>
        <v/>
      </c>
      <c r="AY7" t="str">
        <f>IFERROR(IF(0=LEN(ReferenceData!$AY$7),"",ReferenceData!$AY$7),"")</f>
        <v/>
      </c>
      <c r="AZ7" t="str">
        <f>IFERROR(IF(0=LEN(ReferenceData!$AZ$7),"",ReferenceData!$AZ$7),"")</f>
        <v/>
      </c>
      <c r="BA7" t="str">
        <f>IFERROR(IF(0=LEN(ReferenceData!$BA$7),"",ReferenceData!$BA$7),"")</f>
        <v/>
      </c>
      <c r="BB7" t="str">
        <f>IFERROR(IF(0=LEN(ReferenceData!$BB$7),"",ReferenceData!$BB$7),"")</f>
        <v/>
      </c>
      <c r="BC7" t="str">
        <f>IFERROR(IF(0=LEN(ReferenceData!$BC$7),"",ReferenceData!$BC$7),"")</f>
        <v/>
      </c>
      <c r="BD7" t="str">
        <f>IFERROR(IF(0=LEN(ReferenceData!$BD$7),"",ReferenceData!$BD$7),"")</f>
        <v/>
      </c>
      <c r="BE7" t="str">
        <f>IFERROR(IF(0=LEN(ReferenceData!$BE$7),"",ReferenceData!$BE$7),"")</f>
        <v/>
      </c>
      <c r="BF7" t="str">
        <f>IFERROR(IF(0=LEN(ReferenceData!$BF$7),"",ReferenceData!$BF$7),"")</f>
        <v/>
      </c>
      <c r="BG7" t="str">
        <f>IFERROR(IF(0=LEN(ReferenceData!$BG$7),"",ReferenceData!$BG$7),"")</f>
        <v/>
      </c>
      <c r="BH7" t="str">
        <f>IFERROR(IF(0=LEN(ReferenceData!$BH$7),"",ReferenceData!$BH$7),"")</f>
        <v/>
      </c>
      <c r="BI7" t="str">
        <f>IFERROR(IF(0=LEN(ReferenceData!$BI$7),"",ReferenceData!$BI$7),"")</f>
        <v/>
      </c>
      <c r="BJ7" t="str">
        <f>IFERROR(IF(0=LEN(ReferenceData!$BJ$7),"",ReferenceData!$BJ$7),"")</f>
        <v/>
      </c>
      <c r="BK7" t="str">
        <f>IFERROR(IF(0=LEN(ReferenceData!$BK$7),"",ReferenceData!$BK$7),"")</f>
        <v/>
      </c>
      <c r="BL7" t="str">
        <f>IFERROR(IF(0=LEN(ReferenceData!$BL$7),"",ReferenceData!$BL$7),"")</f>
        <v/>
      </c>
      <c r="BM7" t="str">
        <f>IFERROR(IF(0=LEN(ReferenceData!$BM$7),"",ReferenceData!$BM$7),"")</f>
        <v/>
      </c>
    </row>
    <row r="8" spans="1:65" x14ac:dyDescent="0.25">
      <c r="A8" t="str">
        <f>IFERROR(IF(0=LEN(ReferenceData!$A$8),"",ReferenceData!$A$8),"")</f>
        <v xml:space="preserve">        Key Consumer Confidence</v>
      </c>
      <c r="B8" t="str">
        <f>IFERROR(IF(0=LEN(ReferenceData!$B$8),"",ReferenceData!$B$8),"")</f>
        <v/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Static</v>
      </c>
      <c r="F8" t="str">
        <f ca="1">IFERROR(IF(0=LEN(ReferenceData!$F$8),"",ReferenceData!$F$8),"")</f>
        <v/>
      </c>
      <c r="G8" t="str">
        <f ca="1">IFERROR(IF(0=LEN(ReferenceData!$G$8),"",ReferenceData!$G$8),"")</f>
        <v/>
      </c>
      <c r="H8" t="str">
        <f ca="1">IFERROR(IF(0=LEN(ReferenceData!$H$8),"",ReferenceData!$H$8),"")</f>
        <v/>
      </c>
      <c r="I8" t="str">
        <f ca="1">IFERROR(IF(0=LEN(ReferenceData!$I$8),"",ReferenceData!$I$8),"")</f>
        <v/>
      </c>
      <c r="J8" t="str">
        <f ca="1">IFERROR(IF(0=LEN(ReferenceData!$J$8),"",ReferenceData!$J$8),"")</f>
        <v/>
      </c>
      <c r="K8" t="str">
        <f ca="1">IFERROR(IF(0=LEN(ReferenceData!$K$8),"",ReferenceData!$K$8),"")</f>
        <v/>
      </c>
      <c r="L8" t="str">
        <f ca="1">IFERROR(IF(0=LEN(ReferenceData!$L$8),"",ReferenceData!$L$8),"")</f>
        <v/>
      </c>
      <c r="M8" t="str">
        <f ca="1">IFERROR(IF(0=LEN(ReferenceData!$M$8),"",ReferenceData!$M$8),"")</f>
        <v/>
      </c>
      <c r="N8" t="str">
        <f ca="1">IFERROR(IF(0=LEN(ReferenceData!$N$8),"",ReferenceData!$N$8),"")</f>
        <v/>
      </c>
      <c r="O8" t="str">
        <f ca="1">IFERROR(IF(0=LEN(ReferenceData!$O$8),"",ReferenceData!$O$8),"")</f>
        <v/>
      </c>
      <c r="P8" t="str">
        <f ca="1">IFERROR(IF(0=LEN(ReferenceData!$P$8),"",ReferenceData!$P$8),"")</f>
        <v/>
      </c>
      <c r="Q8" t="str">
        <f ca="1">IFERROR(IF(0=LEN(ReferenceData!$Q$8),"",ReferenceData!$Q$8),"")</f>
        <v/>
      </c>
      <c r="R8" t="str">
        <f ca="1">IFERROR(IF(0=LEN(ReferenceData!$R$8),"",ReferenceData!$R$8),"")</f>
        <v/>
      </c>
      <c r="S8" t="str">
        <f ca="1">IFERROR(IF(0=LEN(ReferenceData!$S$8),"",ReferenceData!$S$8),"")</f>
        <v/>
      </c>
      <c r="T8" t="str">
        <f ca="1">IFERROR(IF(0=LEN(ReferenceData!$T$8),"",ReferenceData!$T$8),"")</f>
        <v/>
      </c>
      <c r="U8" t="str">
        <f ca="1">IFERROR(IF(0=LEN(ReferenceData!$U$8),"",ReferenceData!$U$8),"")</f>
        <v/>
      </c>
      <c r="V8" t="str">
        <f ca="1">IFERROR(IF(0=LEN(ReferenceData!$V$8),"",ReferenceData!$V$8),"")</f>
        <v/>
      </c>
      <c r="W8" t="str">
        <f ca="1">IFERROR(IF(0=LEN(ReferenceData!$W$8),"",ReferenceData!$W$8),"")</f>
        <v/>
      </c>
      <c r="X8" t="str">
        <f ca="1">IFERROR(IF(0=LEN(ReferenceData!$X$8),"",ReferenceData!$X$8),"")</f>
        <v/>
      </c>
      <c r="Y8" t="str">
        <f ca="1">IFERROR(IF(0=LEN(ReferenceData!$Y$8),"",ReferenceData!$Y$8),"")</f>
        <v/>
      </c>
      <c r="Z8" t="str">
        <f ca="1">IFERROR(IF(0=LEN(ReferenceData!$Z$8),"",ReferenceData!$Z$8),"")</f>
        <v/>
      </c>
      <c r="AA8" t="str">
        <f ca="1">IFERROR(IF(0=LEN(ReferenceData!$AA$8),"",ReferenceData!$AA$8),"")</f>
        <v/>
      </c>
      <c r="AB8" t="str">
        <f ca="1">IFERROR(IF(0=LEN(ReferenceData!$AB$8),"",ReferenceData!$AB$8),"")</f>
        <v/>
      </c>
      <c r="AC8" t="str">
        <f ca="1">IFERROR(IF(0=LEN(ReferenceData!$AC$8),"",ReferenceData!$AC$8),"")</f>
        <v/>
      </c>
      <c r="AD8" t="str">
        <f ca="1">IFERROR(IF(0=LEN(ReferenceData!$AD$8),"",ReferenceData!$AD$8),"")</f>
        <v/>
      </c>
      <c r="AE8" t="str">
        <f ca="1">IFERROR(IF(0=LEN(ReferenceData!$AE$8),"",ReferenceData!$AE$8),"")</f>
        <v/>
      </c>
      <c r="AF8" t="str">
        <f ca="1">IFERROR(IF(0=LEN(ReferenceData!$AF$8),"",ReferenceData!$AF$8),"")</f>
        <v/>
      </c>
      <c r="AG8" t="str">
        <f ca="1">IFERROR(IF(0=LEN(ReferenceData!$AG$8),"",ReferenceData!$AG$8),"")</f>
        <v/>
      </c>
      <c r="AH8" t="str">
        <f ca="1">IFERROR(IF(0=LEN(ReferenceData!$AH$8),"",ReferenceData!$AH$8),"")</f>
        <v/>
      </c>
      <c r="AI8" t="str">
        <f ca="1">IFERROR(IF(0=LEN(ReferenceData!$AI$8),"",ReferenceData!$AI$8),"")</f>
        <v/>
      </c>
      <c r="AJ8" t="str">
        <f ca="1">IFERROR(IF(0=LEN(ReferenceData!$AJ$8),"",ReferenceData!$AJ$8),"")</f>
        <v/>
      </c>
      <c r="AK8" t="str">
        <f ca="1">IFERROR(IF(0=LEN(ReferenceData!$AK$8),"",ReferenceData!$AK$8),"")</f>
        <v/>
      </c>
      <c r="AL8" t="str">
        <f ca="1">IFERROR(IF(0=LEN(ReferenceData!$AL$8),"",ReferenceData!$AL$8),"")</f>
        <v/>
      </c>
      <c r="AM8" t="str">
        <f ca="1">IFERROR(IF(0=LEN(ReferenceData!$AM$8),"",ReferenceData!$AM$8),"")</f>
        <v/>
      </c>
      <c r="AN8" t="str">
        <f ca="1">IFERROR(IF(0=LEN(ReferenceData!$AN$8),"",ReferenceData!$AN$8),"")</f>
        <v/>
      </c>
      <c r="AO8" t="str">
        <f ca="1">IFERROR(IF(0=LEN(ReferenceData!$AO$8),"",ReferenceData!$AO$8),"")</f>
        <v/>
      </c>
      <c r="AP8" t="str">
        <f ca="1">IFERROR(IF(0=LEN(ReferenceData!$AP$8),"",ReferenceData!$AP$8),"")</f>
        <v/>
      </c>
      <c r="AQ8" t="str">
        <f ca="1">IFERROR(IF(0=LEN(ReferenceData!$AQ$8),"",ReferenceData!$AQ$8),"")</f>
        <v/>
      </c>
      <c r="AR8" t="str">
        <f ca="1">IFERROR(IF(0=LEN(ReferenceData!$AR$8),"",ReferenceData!$AR$8),"")</f>
        <v/>
      </c>
      <c r="AS8" t="str">
        <f ca="1">IFERROR(IF(0=LEN(ReferenceData!$AS$8),"",ReferenceData!$AS$8),"")</f>
        <v/>
      </c>
      <c r="AT8" t="str">
        <f ca="1">IFERROR(IF(0=LEN(ReferenceData!$AT$8),"",ReferenceData!$AT$8),"")</f>
        <v/>
      </c>
      <c r="AU8" t="str">
        <f ca="1">IFERROR(IF(0=LEN(ReferenceData!$AU$8),"",ReferenceData!$AU$8),"")</f>
        <v/>
      </c>
      <c r="AV8" t="str">
        <f ca="1">IFERROR(IF(0=LEN(ReferenceData!$AV$8),"",ReferenceData!$AV$8),"")</f>
        <v/>
      </c>
      <c r="AW8" t="str">
        <f ca="1">IFERROR(IF(0=LEN(ReferenceData!$AW$8),"",ReferenceData!$AW$8),"")</f>
        <v/>
      </c>
      <c r="AX8" t="str">
        <f ca="1">IFERROR(IF(0=LEN(ReferenceData!$AX$8),"",ReferenceData!$AX$8),"")</f>
        <v/>
      </c>
      <c r="AY8" t="str">
        <f ca="1">IFERROR(IF(0=LEN(ReferenceData!$AY$8),"",ReferenceData!$AY$8),"")</f>
        <v/>
      </c>
      <c r="AZ8" t="str">
        <f ca="1">IFERROR(IF(0=LEN(ReferenceData!$AZ$8),"",ReferenceData!$AZ$8),"")</f>
        <v/>
      </c>
      <c r="BA8" t="str">
        <f ca="1">IFERROR(IF(0=LEN(ReferenceData!$BA$8),"",ReferenceData!$BA$8),"")</f>
        <v/>
      </c>
      <c r="BB8" t="str">
        <f ca="1">IFERROR(IF(0=LEN(ReferenceData!$BB$8),"",ReferenceData!$BB$8),"")</f>
        <v/>
      </c>
      <c r="BC8" t="str">
        <f ca="1">IFERROR(IF(0=LEN(ReferenceData!$BC$8),"",ReferenceData!$BC$8),"")</f>
        <v/>
      </c>
      <c r="BD8" t="str">
        <f ca="1">IFERROR(IF(0=LEN(ReferenceData!$BD$8),"",ReferenceData!$BD$8),"")</f>
        <v/>
      </c>
      <c r="BE8" t="str">
        <f ca="1">IFERROR(IF(0=LEN(ReferenceData!$BE$8),"",ReferenceData!$BE$8),"")</f>
        <v/>
      </c>
      <c r="BF8" t="str">
        <f ca="1">IFERROR(IF(0=LEN(ReferenceData!$BF$8),"",ReferenceData!$BF$8),"")</f>
        <v/>
      </c>
      <c r="BG8" t="str">
        <f ca="1">IFERROR(IF(0=LEN(ReferenceData!$BG$8),"",ReferenceData!$BG$8),"")</f>
        <v/>
      </c>
      <c r="BH8" t="str">
        <f ca="1">IFERROR(IF(0=LEN(ReferenceData!$BH$8),"",ReferenceData!$BH$8),"")</f>
        <v/>
      </c>
      <c r="BI8" t="str">
        <f ca="1">IFERROR(IF(0=LEN(ReferenceData!$BI$8),"",ReferenceData!$BI$8),"")</f>
        <v/>
      </c>
      <c r="BJ8" t="str">
        <f ca="1">IFERROR(IF(0=LEN(ReferenceData!$BJ$8),"",ReferenceData!$BJ$8),"")</f>
        <v/>
      </c>
      <c r="BK8" t="str">
        <f ca="1">IFERROR(IF(0=LEN(ReferenceData!$BK$8),"",ReferenceData!$BK$8),"")</f>
        <v/>
      </c>
      <c r="BL8" t="str">
        <f ca="1">IFERROR(IF(0=LEN(ReferenceData!$BL$8),"",ReferenceData!$BL$8),"")</f>
        <v/>
      </c>
      <c r="BM8" t="str">
        <f ca="1">IFERROR(IF(0=LEN(ReferenceData!$BM$8),"",ReferenceData!$BM$8),"")</f>
        <v/>
      </c>
    </row>
    <row r="9" spans="1:65" x14ac:dyDescent="0.25">
      <c r="A9" t="str">
        <f>IFERROR(IF(0=LEN(ReferenceData!$A$9),"",ReferenceData!$A$9),"")</f>
        <v xml:space="preserve">            China</v>
      </c>
      <c r="B9" t="str">
        <f>IFERROR(IF(0=LEN(ReferenceData!$B$9),"",ReferenceData!$B$9),"")</f>
        <v>CHCSCONF Index</v>
      </c>
      <c r="C9" t="str">
        <f>IFERROR(IF(0=LEN(ReferenceData!$C$9),"",ReferenceData!$C$9),"")</f>
        <v>PR005</v>
      </c>
      <c r="D9" t="str">
        <f>IFERROR(IF(0=LEN(ReferenceData!$D$9),"",ReferenceData!$D$9),"")</f>
        <v>PX_LAST</v>
      </c>
      <c r="E9" t="str">
        <f>IFERROR(IF(0=LEN(ReferenceData!$E$9),"",ReferenceData!$E$9),"")</f>
        <v>Dynamic</v>
      </c>
      <c r="F9" t="str">
        <f ca="1">IFERROR(IF(0=LEN(ReferenceData!$F$9),"",ReferenceData!$F$9),"")</f>
        <v/>
      </c>
      <c r="G9">
        <f ca="1">IFERROR(IF(0=LEN(ReferenceData!$G$9),"",ReferenceData!$G$9),"")</f>
        <v>121.2</v>
      </c>
      <c r="H9">
        <f ca="1">IFERROR(IF(0=LEN(ReferenceData!$H$9),"",ReferenceData!$H$9),"")</f>
        <v>122.8</v>
      </c>
      <c r="I9">
        <f ca="1">IFERROR(IF(0=LEN(ReferenceData!$I$9),"",ReferenceData!$I$9),"")</f>
        <v>122.2</v>
      </c>
      <c r="J9">
        <f ca="1">IFERROR(IF(0=LEN(ReferenceData!$J$9),"",ReferenceData!$J$9),"")</f>
        <v>122.1</v>
      </c>
      <c r="K9">
        <f ca="1">IFERROR(IF(0=LEN(ReferenceData!$K$9),"",ReferenceData!$K$9),"")</f>
        <v>120.5</v>
      </c>
      <c r="L9">
        <f ca="1">IFERROR(IF(0=LEN(ReferenceData!$L$9),"",ReferenceData!$L$9),"")</f>
        <v>112.6</v>
      </c>
      <c r="M9">
        <f ca="1">IFERROR(IF(0=LEN(ReferenceData!$M$9),"",ReferenceData!$M$9),"")</f>
        <v>122.2</v>
      </c>
      <c r="N9">
        <f ca="1">IFERROR(IF(0=LEN(ReferenceData!$N$9),"",ReferenceData!$N$9),"")</f>
        <v>126.6</v>
      </c>
      <c r="O9">
        <f ca="1">IFERROR(IF(0=LEN(ReferenceData!$O$9),"",ReferenceData!$O$9),"")</f>
        <v>124.1</v>
      </c>
      <c r="P9">
        <f ca="1">IFERROR(IF(0=LEN(ReferenceData!$P$9),"",ReferenceData!$P$9),"")</f>
        <v>125.9</v>
      </c>
      <c r="Q9">
        <f ca="1">IFERROR(IF(0=LEN(ReferenceData!$Q$9),"",ReferenceData!$Q$9),"")</f>
        <v>124.1</v>
      </c>
      <c r="R9">
        <f ca="1">IFERROR(IF(0=LEN(ReferenceData!$R$9),"",ReferenceData!$R$9),"")</f>
        <v>123</v>
      </c>
      <c r="S9">
        <f ca="1">IFERROR(IF(0=LEN(ReferenceData!$S$9),"",ReferenceData!$S$9),"")</f>
        <v>118.5</v>
      </c>
      <c r="T9">
        <f ca="1">IFERROR(IF(0=LEN(ReferenceData!$T$9),"",ReferenceData!$T$9),"")</f>
        <v>118.2</v>
      </c>
      <c r="U9">
        <f ca="1">IFERROR(IF(0=LEN(ReferenceData!$U$9),"",ReferenceData!$U$9),"")</f>
        <v>122.3</v>
      </c>
      <c r="V9">
        <f ca="1">IFERROR(IF(0=LEN(ReferenceData!$V$9),"",ReferenceData!$V$9),"")</f>
        <v>122.6</v>
      </c>
      <c r="W9">
        <f ca="1">IFERROR(IF(0=LEN(ReferenceData!$W$9),"",ReferenceData!$W$9),"")</f>
        <v>118.6</v>
      </c>
      <c r="X9">
        <f ca="1">IFERROR(IF(0=LEN(ReferenceData!$X$9),"",ReferenceData!$X$9),"")</f>
        <v>113.3</v>
      </c>
      <c r="Y9">
        <f ca="1">IFERROR(IF(0=LEN(ReferenceData!$Y$9),"",ReferenceData!$Y$9),"")</f>
        <v>114.2</v>
      </c>
      <c r="Z9">
        <f ca="1">IFERROR(IF(0=LEN(ReferenceData!$Z$9),"",ReferenceData!$Z$9),"")</f>
        <v>108.4</v>
      </c>
      <c r="AA9">
        <f ca="1">IFERROR(IF(0=LEN(ReferenceData!$AA$9),"",ReferenceData!$AA$9),"")</f>
        <v>104.6</v>
      </c>
      <c r="AB9">
        <f ca="1">IFERROR(IF(0=LEN(ReferenceData!$AB$9),"",ReferenceData!$AB$9),"")</f>
        <v>102.9</v>
      </c>
      <c r="AC9">
        <f ca="1">IFERROR(IF(0=LEN(ReferenceData!$AC$9),"",ReferenceData!$AC$9),"")</f>
        <v>100</v>
      </c>
      <c r="AD9">
        <f ca="1">IFERROR(IF(0=LEN(ReferenceData!$AD$9),"",ReferenceData!$AD$9),"")</f>
        <v>103.7</v>
      </c>
      <c r="AE9">
        <f ca="1">IFERROR(IF(0=LEN(ReferenceData!$AE$9),"",ReferenceData!$AE$9),"")</f>
        <v>105.6</v>
      </c>
      <c r="AF9">
        <f ca="1">IFERROR(IF(0=LEN(ReferenceData!$AF$9),"",ReferenceData!$AF$9),"")</f>
        <v>105.54</v>
      </c>
      <c r="AG9">
        <f ca="1">IFERROR(IF(0=LEN(ReferenceData!$AG$9),"",ReferenceData!$AG$9),"")</f>
        <v>107.1</v>
      </c>
      <c r="AH9">
        <f ca="1">IFERROR(IF(0=LEN(ReferenceData!$AH$9),"",ReferenceData!$AH$9),"")</f>
        <v>105.8</v>
      </c>
      <c r="AI9">
        <f ca="1">IFERROR(IF(0=LEN(ReferenceData!$AI$9),"",ReferenceData!$AI$9),"")</f>
        <v>105.4</v>
      </c>
      <c r="AJ9">
        <f ca="1">IFERROR(IF(0=LEN(ReferenceData!$AJ$9),"",ReferenceData!$AJ$9),"")</f>
        <v>104.7</v>
      </c>
      <c r="AK9">
        <f ca="1">IFERROR(IF(0=LEN(ReferenceData!$AK$9),"",ReferenceData!$AK$9),"")</f>
        <v>107.9</v>
      </c>
      <c r="AL9">
        <f ca="1">IFERROR(IF(0=LEN(ReferenceData!$AL$9),"",ReferenceData!$AL$9),"")</f>
        <v>102.3</v>
      </c>
      <c r="AM9">
        <f ca="1">IFERROR(IF(0=LEN(ReferenceData!$AM$9),"",ReferenceData!$AM$9),"")</f>
        <v>99.8</v>
      </c>
      <c r="AN9">
        <f ca="1">IFERROR(IF(0=LEN(ReferenceData!$AN$9),"",ReferenceData!$AN$9),"")</f>
        <v>97</v>
      </c>
      <c r="AO9">
        <f ca="1">IFERROR(IF(0=LEN(ReferenceData!$AO$9),"",ReferenceData!$AO$9),"")</f>
        <v>102.6</v>
      </c>
      <c r="AP9">
        <f ca="1">IFERROR(IF(0=LEN(ReferenceData!$AP$9),"",ReferenceData!$AP$9),"")</f>
        <v>103.7</v>
      </c>
      <c r="AQ9">
        <f ca="1">IFERROR(IF(0=LEN(ReferenceData!$AQ$9),"",ReferenceData!$AQ$9),"")</f>
        <v>100.8</v>
      </c>
      <c r="AR9">
        <f ca="1">IFERROR(IF(0=LEN(ReferenceData!$AR$9),"",ReferenceData!$AR$9),"")</f>
        <v>99.3</v>
      </c>
      <c r="AS9">
        <f ca="1">IFERROR(IF(0=LEN(ReferenceData!$AS$9),"",ReferenceData!$AS$9),"")</f>
        <v>100</v>
      </c>
      <c r="AT9">
        <f ca="1">IFERROR(IF(0=LEN(ReferenceData!$AT$9),"",ReferenceData!$AT$9),"")</f>
        <v>100.5</v>
      </c>
      <c r="AU9">
        <f ca="1">IFERROR(IF(0=LEN(ReferenceData!$AU$9),"",ReferenceData!$AU$9),"")</f>
        <v>103.4</v>
      </c>
      <c r="AV9">
        <f ca="1">IFERROR(IF(0=LEN(ReferenceData!$AV$9),"",ReferenceData!$AV$9),"")</f>
        <v>108.1</v>
      </c>
      <c r="AW9">
        <f ca="1">IFERROR(IF(0=LEN(ReferenceData!$AW$9),"",ReferenceData!$AW$9),"")</f>
        <v>107.6</v>
      </c>
      <c r="AX9">
        <f ca="1">IFERROR(IF(0=LEN(ReferenceData!$AX$9),"",ReferenceData!$AX$9),"")</f>
        <v>100.4</v>
      </c>
      <c r="AY9">
        <f ca="1">IFERROR(IF(0=LEN(ReferenceData!$AY$9),"",ReferenceData!$AY$9),"")</f>
        <v>104.1</v>
      </c>
      <c r="AZ9">
        <f ca="1">IFERROR(IF(0=LEN(ReferenceData!$AZ$9),"",ReferenceData!$AZ$9),"")</f>
        <v>108.5</v>
      </c>
      <c r="BA9">
        <f ca="1">IFERROR(IF(0=LEN(ReferenceData!$BA$9),"",ReferenceData!$BA$9),"")</f>
        <v>107.9</v>
      </c>
      <c r="BB9">
        <f ca="1">IFERROR(IF(0=LEN(ReferenceData!$BB$9),"",ReferenceData!$BB$9),"")</f>
        <v>103.9</v>
      </c>
      <c r="BC9">
        <f ca="1">IFERROR(IF(0=LEN(ReferenceData!$BC$9),"",ReferenceData!$BC$9),"")</f>
        <v>102.8</v>
      </c>
      <c r="BD9">
        <f ca="1">IFERROR(IF(0=LEN(ReferenceData!$BD$9),"",ReferenceData!$BD$9),"")</f>
        <v>101</v>
      </c>
      <c r="BE9">
        <f ca="1">IFERROR(IF(0=LEN(ReferenceData!$BE$9),"",ReferenceData!$BE$9),"")</f>
        <v>100.3</v>
      </c>
      <c r="BF9">
        <f ca="1">IFERROR(IF(0=LEN(ReferenceData!$BF$9),"",ReferenceData!$BF$9),"")</f>
        <v>101.83830399999999</v>
      </c>
      <c r="BG9">
        <f ca="1">IFERROR(IF(0=LEN(ReferenceData!$BG$9),"",ReferenceData!$BG$9),"")</f>
        <v>108.93244799999999</v>
      </c>
      <c r="BH9">
        <f ca="1">IFERROR(IF(0=LEN(ReferenceData!$BH$9),"",ReferenceData!$BH$9),"")</f>
        <v>109.842552</v>
      </c>
      <c r="BI9">
        <f ca="1">IFERROR(IF(0=LEN(ReferenceData!$BI$9),"",ReferenceData!$BI$9),"")</f>
        <v>110.30927200000001</v>
      </c>
      <c r="BJ9">
        <f ca="1">IFERROR(IF(0=LEN(ReferenceData!$BJ$9),"",ReferenceData!$BJ$9),"")</f>
        <v>113.10959200000001</v>
      </c>
      <c r="BK9">
        <f ca="1">IFERROR(IF(0=LEN(ReferenceData!$BK$9),"",ReferenceData!$BK$9),"")</f>
        <v>113.08625600000001</v>
      </c>
      <c r="BL9">
        <f ca="1">IFERROR(IF(0=LEN(ReferenceData!$BL$9),"",ReferenceData!$BL$9),"")</f>
        <v>113.692992</v>
      </c>
      <c r="BM9">
        <f ca="1">IFERROR(IF(0=LEN(ReferenceData!$BM$9),"",ReferenceData!$BM$9),"")</f>
        <v>111.03268799999999</v>
      </c>
    </row>
    <row r="10" spans="1:65" x14ac:dyDescent="0.25">
      <c r="A10" t="str">
        <f>IFERROR(IF(0=LEN(ReferenceData!$A$10),"",ReferenceData!$A$10),"")</f>
        <v xml:space="preserve">            U.S. (Uni. of Michigan)</v>
      </c>
      <c r="B10" t="str">
        <f>IFERROR(IF(0=LEN(ReferenceData!$B$10),"",ReferenceData!$B$10),"")</f>
        <v>CONSSENT Index</v>
      </c>
      <c r="C10" t="str">
        <f>IFERROR(IF(0=LEN(ReferenceData!$C$10),"",ReferenceData!$C$10),"")</f>
        <v>PR291</v>
      </c>
      <c r="D10" t="str">
        <f>IFERROR(IF(0=LEN(ReferenceData!$D$10),"",ReferenceData!$D$10),"")</f>
        <v>BN_SURVEY_MEDIAN</v>
      </c>
      <c r="E10" t="str">
        <f>IFERROR(IF(0=LEN(ReferenceData!$E$10),"",ReferenceData!$E$10),"")</f>
        <v>Dynamic</v>
      </c>
      <c r="F10">
        <f ca="1">IFERROR(IF(0=LEN(ReferenceData!$F$10),"",ReferenceData!$F$10),"")</f>
        <v>72.25</v>
      </c>
      <c r="G10">
        <f ca="1">IFERROR(IF(0=LEN(ReferenceData!$G$10),"",ReferenceData!$G$10),"")</f>
        <v>71</v>
      </c>
      <c r="H10">
        <f ca="1">IFERROR(IF(0=LEN(ReferenceData!$H$10),"",ReferenceData!$H$10),"")</f>
        <v>86.5</v>
      </c>
      <c r="I10">
        <f ca="1">IFERROR(IF(0=LEN(ReferenceData!$I$10),"",ReferenceData!$I$10),"")</f>
        <v>83.6</v>
      </c>
      <c r="J10">
        <f ca="1">IFERROR(IF(0=LEN(ReferenceData!$J$10),"",ReferenceData!$J$10),"")</f>
        <v>81.099999999999994</v>
      </c>
      <c r="K10">
        <f ca="1">IFERROR(IF(0=LEN(ReferenceData!$K$10),"",ReferenceData!$K$10),"")</f>
        <v>79</v>
      </c>
      <c r="L10">
        <f ca="1">IFERROR(IF(0=LEN(ReferenceData!$L$10),"",ReferenceData!$L$10),"")</f>
        <v>79.2</v>
      </c>
      <c r="M10">
        <f ca="1">IFERROR(IF(0=LEN(ReferenceData!$M$10),"",ReferenceData!$M$10),"")</f>
        <v>90</v>
      </c>
      <c r="N10">
        <f ca="1">IFERROR(IF(0=LEN(ReferenceData!$N$10),"",ReferenceData!$N$10),"")</f>
        <v>99.2</v>
      </c>
      <c r="O10">
        <f ca="1">IFERROR(IF(0=LEN(ReferenceData!$O$10),"",ReferenceData!$O$10),"")</f>
        <v>98.5</v>
      </c>
      <c r="P10">
        <f ca="1">IFERROR(IF(0=LEN(ReferenceData!$P$10),"",ReferenceData!$P$10),"")</f>
        <v>97.9</v>
      </c>
      <c r="Q10">
        <f ca="1">IFERROR(IF(0=LEN(ReferenceData!$Q$10),"",ReferenceData!$Q$10),"")</f>
        <v>97.8</v>
      </c>
      <c r="R10">
        <f ca="1">IFERROR(IF(0=LEN(ReferenceData!$R$10),"",ReferenceData!$R$10),"")</f>
        <v>97.35</v>
      </c>
      <c r="S10">
        <f ca="1">IFERROR(IF(0=LEN(ReferenceData!$S$10),"",ReferenceData!$S$10),"")</f>
        <v>100.55</v>
      </c>
      <c r="T10">
        <f ca="1">IFERROR(IF(0=LEN(ReferenceData!$T$10),"",ReferenceData!$T$10),"")</f>
        <v>99</v>
      </c>
      <c r="U10">
        <f ca="1">IFERROR(IF(0=LEN(ReferenceData!$U$10),"",ReferenceData!$U$10),"")</f>
        <v>102</v>
      </c>
      <c r="V10">
        <f ca="1">IFERROR(IF(0=LEN(ReferenceData!$V$10),"",ReferenceData!$V$10),"")</f>
        <v>97.2</v>
      </c>
      <c r="W10">
        <f ca="1">IFERROR(IF(0=LEN(ReferenceData!$W$10),"",ReferenceData!$W$10),"")</f>
        <v>95.3</v>
      </c>
      <c r="X10">
        <f ca="1">IFERROR(IF(0=LEN(ReferenceData!$X$10),"",ReferenceData!$X$10),"")</f>
        <v>94.5</v>
      </c>
      <c r="Y10">
        <f ca="1">IFERROR(IF(0=LEN(ReferenceData!$Y$10),"",ReferenceData!$Y$10),"")</f>
        <v>97.6</v>
      </c>
      <c r="Z10">
        <f ca="1">IFERROR(IF(0=LEN(ReferenceData!$Z$10),"",ReferenceData!$Z$10),"")</f>
        <v>98</v>
      </c>
      <c r="AA10">
        <f ca="1">IFERROR(IF(0=LEN(ReferenceData!$AA$10),"",ReferenceData!$AA$10),"")</f>
        <v>90</v>
      </c>
      <c r="AB10">
        <f ca="1">IFERROR(IF(0=LEN(ReferenceData!$AB$10),"",ReferenceData!$AB$10),"")</f>
        <v>94.1</v>
      </c>
      <c r="AC10">
        <f ca="1">IFERROR(IF(0=LEN(ReferenceData!$AC$10),"",ReferenceData!$AC$10),"")</f>
        <v>90.5</v>
      </c>
      <c r="AD10">
        <f ca="1">IFERROR(IF(0=LEN(ReferenceData!$AD$10),"",ReferenceData!$AD$10),"")</f>
        <v>92</v>
      </c>
      <c r="AE10">
        <f ca="1">IFERROR(IF(0=LEN(ReferenceData!$AE$10),"",ReferenceData!$AE$10),"")</f>
        <v>86.5</v>
      </c>
      <c r="AF10">
        <f ca="1">IFERROR(IF(0=LEN(ReferenceData!$AF$10),"",ReferenceData!$AF$10),"")</f>
        <v>94.6</v>
      </c>
      <c r="AG10">
        <f ca="1">IFERROR(IF(0=LEN(ReferenceData!$AG$10),"",ReferenceData!$AG$10),"")</f>
        <v>92</v>
      </c>
      <c r="AH10">
        <f ca="1">IFERROR(IF(0=LEN(ReferenceData!$AH$10),"",ReferenceData!$AH$10),"")</f>
        <v>93.5</v>
      </c>
      <c r="AI10">
        <f ca="1">IFERROR(IF(0=LEN(ReferenceData!$AI$10),"",ReferenceData!$AI$10),"")</f>
        <v>84.8</v>
      </c>
      <c r="AJ10">
        <f ca="1">IFERROR(IF(0=LEN(ReferenceData!$AJ$10),"",ReferenceData!$AJ$10),"")</f>
        <v>82</v>
      </c>
      <c r="AK10">
        <f ca="1">IFERROR(IF(0=LEN(ReferenceData!$AK$10),"",ReferenceData!$AK$10),"")</f>
        <v>80.5</v>
      </c>
      <c r="AL10">
        <f ca="1">IFERROR(IF(0=LEN(ReferenceData!$AL$10),"",ReferenceData!$AL$10),"")</f>
        <v>83</v>
      </c>
      <c r="AM10">
        <f ca="1">IFERROR(IF(0=LEN(ReferenceData!$AM$10),"",ReferenceData!$AM$10),"")</f>
        <v>78</v>
      </c>
      <c r="AN10">
        <f ca="1">IFERROR(IF(0=LEN(ReferenceData!$AN$10),"",ReferenceData!$AN$10),"")</f>
        <v>83</v>
      </c>
      <c r="AO10">
        <f ca="1">IFERROR(IF(0=LEN(ReferenceData!$AO$10),"",ReferenceData!$AO$10),"")</f>
        <v>72.599999999999994</v>
      </c>
      <c r="AP10">
        <f ca="1">IFERROR(IF(0=LEN(ReferenceData!$AP$10),"",ReferenceData!$AP$10),"")</f>
        <v>75</v>
      </c>
      <c r="AQ10">
        <f ca="1">IFERROR(IF(0=LEN(ReferenceData!$AQ$10),"",ReferenceData!$AQ$10),"")</f>
        <v>79</v>
      </c>
      <c r="AR10">
        <f ca="1">IFERROR(IF(0=LEN(ReferenceData!$AR$10),"",ReferenceData!$AR$10),"")</f>
        <v>74.099999999999994</v>
      </c>
      <c r="AS10">
        <f ca="1">IFERROR(IF(0=LEN(ReferenceData!$AS$10),"",ReferenceData!$AS$10),"")</f>
        <v>74.5</v>
      </c>
      <c r="AT10">
        <f ca="1">IFERROR(IF(0=LEN(ReferenceData!$AT$10),"",ReferenceData!$AT$10),"")</f>
        <v>68</v>
      </c>
      <c r="AU10">
        <f ca="1">IFERROR(IF(0=LEN(ReferenceData!$AU$10),"",ReferenceData!$AU$10),"")</f>
        <v>57.8</v>
      </c>
      <c r="AV10">
        <f ca="1">IFERROR(IF(0=LEN(ReferenceData!$AV$10),"",ReferenceData!$AV$10),"")</f>
        <v>72</v>
      </c>
      <c r="AW10">
        <f ca="1">IFERROR(IF(0=LEN(ReferenceData!$AW$10),"",ReferenceData!$AW$10),"")</f>
        <v>68</v>
      </c>
      <c r="AX10">
        <f ca="1">IFERROR(IF(0=LEN(ReferenceData!$AX$10),"",ReferenceData!$AX$10),"")</f>
        <v>74.5</v>
      </c>
      <c r="AY10">
        <f ca="1">IFERROR(IF(0=LEN(ReferenceData!$AY$10),"",ReferenceData!$AY$10),"")</f>
        <v>67</v>
      </c>
      <c r="AZ10">
        <f ca="1">IFERROR(IF(0=LEN(ReferenceData!$AZ$10),"",ReferenceData!$AZ$10),"")</f>
        <v>75.5</v>
      </c>
      <c r="BA10">
        <f ca="1">IFERROR(IF(0=LEN(ReferenceData!$BA$10),"",ReferenceData!$BA$10),"")</f>
        <v>73</v>
      </c>
      <c r="BB10">
        <f ca="1">IFERROR(IF(0=LEN(ReferenceData!$BB$10),"",ReferenceData!$BB$10),"")</f>
        <v>73.8</v>
      </c>
      <c r="BC10">
        <f ca="1">IFERROR(IF(0=LEN(ReferenceData!$BC$10),"",ReferenceData!$BC$10),"")</f>
        <v>70.5</v>
      </c>
      <c r="BD10">
        <f ca="1">IFERROR(IF(0=LEN(ReferenceData!$BD$10),"",ReferenceData!$BD$10),"")</f>
        <v>69</v>
      </c>
      <c r="BE10">
        <f ca="1">IFERROR(IF(0=LEN(ReferenceData!$BE$10),"",ReferenceData!$BE$10),"")</f>
        <v>56.8</v>
      </c>
      <c r="BF10">
        <f ca="1">IFERROR(IF(0=LEN(ReferenceData!$BF$10),"",ReferenceData!$BF$10),"")</f>
        <v>58.8</v>
      </c>
      <c r="BG10">
        <f ca="1">IFERROR(IF(0=LEN(ReferenceData!$BG$10),"",ReferenceData!$BG$10),"")</f>
        <v>70.75</v>
      </c>
      <c r="BH10">
        <f ca="1">IFERROR(IF(0=LEN(ReferenceData!$BH$10),"",ReferenceData!$BH$10),"")</f>
        <v>56.7</v>
      </c>
      <c r="BI10">
        <f ca="1">IFERROR(IF(0=LEN(ReferenceData!$BI$10),"",ReferenceData!$BI$10),"")</f>
        <v>70</v>
      </c>
      <c r="BJ10">
        <f ca="1">IFERROR(IF(0=LEN(ReferenceData!$BJ$10),"",ReferenceData!$BJ$10),"")</f>
        <v>74.5</v>
      </c>
      <c r="BK10">
        <f ca="1">IFERROR(IF(0=LEN(ReferenceData!$BK$10),"",ReferenceData!$BK$10),"")</f>
        <v>84</v>
      </c>
      <c r="BL10">
        <f ca="1">IFERROR(IF(0=LEN(ReferenceData!$BL$10),"",ReferenceData!$BL$10),"")</f>
        <v>84</v>
      </c>
      <c r="BM10">
        <f ca="1">IFERROR(IF(0=LEN(ReferenceData!$BM$10),"",ReferenceData!$BM$10),"")</f>
        <v>88.5</v>
      </c>
    </row>
    <row r="11" spans="1:65" x14ac:dyDescent="0.25">
      <c r="A11" t="str">
        <f>IFERROR(IF(0=LEN(ReferenceData!$A$11),"",ReferenceData!$A$11),"")</f>
        <v xml:space="preserve">            EUR</v>
      </c>
      <c r="B11" t="str">
        <f>IFERROR(IF(0=LEN(ReferenceData!$B$11),"",ReferenceData!$B$11),"")</f>
        <v>EUCCEMU Index</v>
      </c>
      <c r="C11" t="str">
        <f>IFERROR(IF(0=LEN(ReferenceData!$C$11),"",ReferenceData!$C$11),"")</f>
        <v>PR291</v>
      </c>
      <c r="D11" t="str">
        <f>IFERROR(IF(0=LEN(ReferenceData!$D$11),"",ReferenceData!$D$11),"")</f>
        <v>BN_SURVEY_MEDIAN</v>
      </c>
      <c r="E11" t="str">
        <f>IFERROR(IF(0=LEN(ReferenceData!$E$11),"",ReferenceData!$E$11),"")</f>
        <v>Dynamic</v>
      </c>
      <c r="F11">
        <f ca="1">IFERROR(IF(0=LEN(ReferenceData!$F$11),"",ReferenceData!$F$11),"")</f>
        <v>-5</v>
      </c>
      <c r="G11">
        <f ca="1">IFERROR(IF(0=LEN(ReferenceData!$G$11),"",ReferenceData!$G$11),"")</f>
        <v>-5.85</v>
      </c>
      <c r="H11">
        <f ca="1">IFERROR(IF(0=LEN(ReferenceData!$H$11),"",ReferenceData!$H$11),"")</f>
        <v>-3.1</v>
      </c>
      <c r="I11">
        <f ca="1">IFERROR(IF(0=LEN(ReferenceData!$I$11),"",ReferenceData!$I$11),"")</f>
        <v>-14.5</v>
      </c>
      <c r="J11">
        <f ca="1">IFERROR(IF(0=LEN(ReferenceData!$J$11),"",ReferenceData!$J$11),"")</f>
        <v>-18</v>
      </c>
      <c r="K11">
        <f ca="1">IFERROR(IF(0=LEN(ReferenceData!$K$11),"",ReferenceData!$K$11),"")</f>
        <v>-14.7</v>
      </c>
      <c r="L11">
        <f ca="1">IFERROR(IF(0=LEN(ReferenceData!$L$11),"",ReferenceData!$L$11),"")</f>
        <v>-15</v>
      </c>
      <c r="M11">
        <f ca="1">IFERROR(IF(0=LEN(ReferenceData!$M$11),"",ReferenceData!$M$11),"")</f>
        <v>-13</v>
      </c>
      <c r="N11">
        <f ca="1">IFERROR(IF(0=LEN(ReferenceData!$N$11),"",ReferenceData!$N$11),"")</f>
        <v>-7.3</v>
      </c>
      <c r="O11">
        <f ca="1">IFERROR(IF(0=LEN(ReferenceData!$O$11),"",ReferenceData!$O$11),"")</f>
        <v>-6.6</v>
      </c>
      <c r="P11">
        <f ca="1">IFERROR(IF(0=LEN(ReferenceData!$P$11),"",ReferenceData!$P$11),"")</f>
        <v>-7.2</v>
      </c>
      <c r="Q11">
        <f ca="1">IFERROR(IF(0=LEN(ReferenceData!$Q$11),"",ReferenceData!$Q$11),"")</f>
        <v>-7.2</v>
      </c>
      <c r="R11">
        <f ca="1">IFERROR(IF(0=LEN(ReferenceData!$R$11),"",ReferenceData!$R$11),"")</f>
        <v>-6.2</v>
      </c>
      <c r="S11">
        <f ca="1">IFERROR(IF(0=LEN(ReferenceData!$S$11),"",ReferenceData!$S$11),"")</f>
        <v>-2.9</v>
      </c>
      <c r="T11">
        <f ca="1">IFERROR(IF(0=LEN(ReferenceData!$T$11),"",ReferenceData!$T$11),"")</f>
        <v>-0.5</v>
      </c>
      <c r="U11">
        <f ca="1">IFERROR(IF(0=LEN(ReferenceData!$U$11),"",ReferenceData!$U$11),"")</f>
        <v>0.1</v>
      </c>
      <c r="V11">
        <f ca="1">IFERROR(IF(0=LEN(ReferenceData!$V$11),"",ReferenceData!$V$11),"")</f>
        <v>0.5</v>
      </c>
      <c r="W11">
        <f ca="1">IFERROR(IF(0=LEN(ReferenceData!$W$11),"",ReferenceData!$W$11),"")</f>
        <v>-1.2</v>
      </c>
      <c r="X11">
        <f ca="1">IFERROR(IF(0=LEN(ReferenceData!$X$11),"",ReferenceData!$X$11),"")</f>
        <v>-1.3</v>
      </c>
      <c r="Y11">
        <f ca="1">IFERROR(IF(0=LEN(ReferenceData!$Y$11),"",ReferenceData!$Y$11),"")</f>
        <v>-5</v>
      </c>
      <c r="Z11">
        <f ca="1">IFERROR(IF(0=LEN(ReferenceData!$Z$11),"",ReferenceData!$Z$11),"")</f>
        <v>-5.0999999999999996</v>
      </c>
      <c r="AA11">
        <f ca="1">IFERROR(IF(0=LEN(ReferenceData!$AA$11),"",ReferenceData!$AA$11),"")</f>
        <v>-8.1999999999999993</v>
      </c>
      <c r="AB11">
        <f ca="1">IFERROR(IF(0=LEN(ReferenceData!$AB$11),"",ReferenceData!$AB$11),"")</f>
        <v>-7.3</v>
      </c>
      <c r="AC11">
        <f ca="1">IFERROR(IF(0=LEN(ReferenceData!$AC$11),"",ReferenceData!$AC$11),"")</f>
        <v>-9.6999999999999993</v>
      </c>
      <c r="AD11">
        <f ca="1">IFERROR(IF(0=LEN(ReferenceData!$AD$11),"",ReferenceData!$AD$11),"")</f>
        <v>-5.7</v>
      </c>
      <c r="AE11">
        <f ca="1">IFERROR(IF(0=LEN(ReferenceData!$AE$11),"",ReferenceData!$AE$11),"")</f>
        <v>-7.1</v>
      </c>
      <c r="AF11">
        <f ca="1">IFERROR(IF(0=LEN(ReferenceData!$AF$11),"",ReferenceData!$AF$11),"")</f>
        <v>-5.6</v>
      </c>
      <c r="AG11">
        <f ca="1">IFERROR(IF(0=LEN(ReferenceData!$AG$11),"",ReferenceData!$AG$11),"")</f>
        <v>-3.7</v>
      </c>
      <c r="AH11">
        <f ca="1">IFERROR(IF(0=LEN(ReferenceData!$AH$11),"",ReferenceData!$AH$11),"")</f>
        <v>-10.9</v>
      </c>
      <c r="AI11">
        <f ca="1">IFERROR(IF(0=LEN(ReferenceData!$AI$11),"",ReferenceData!$AI$11),"")</f>
        <v>-11.4</v>
      </c>
      <c r="AJ11">
        <f ca="1">IFERROR(IF(0=LEN(ReferenceData!$AJ$11),"",ReferenceData!$AJ$11),"")</f>
        <v>-6.5</v>
      </c>
      <c r="AK11">
        <f ca="1">IFERROR(IF(0=LEN(ReferenceData!$AK$11),"",ReferenceData!$AK$11),"")</f>
        <v>-12.3</v>
      </c>
      <c r="AL11">
        <f ca="1">IFERROR(IF(0=LEN(ReferenceData!$AL$11),"",ReferenceData!$AL$11),"")</f>
        <v>-13.6</v>
      </c>
      <c r="AM11">
        <f ca="1">IFERROR(IF(0=LEN(ReferenceData!$AM$11),"",ReferenceData!$AM$11),"")</f>
        <v>-14.5</v>
      </c>
      <c r="AN11">
        <f ca="1">IFERROR(IF(0=LEN(ReferenceData!$AN$11),"",ReferenceData!$AN$11),"")</f>
        <v>-18.8</v>
      </c>
      <c r="AO11">
        <f ca="1">IFERROR(IF(0=LEN(ReferenceData!$AO$11),"",ReferenceData!$AO$11),"")</f>
        <v>-23.5</v>
      </c>
      <c r="AP11">
        <f ca="1">IFERROR(IF(0=LEN(ReferenceData!$AP$11),"",ReferenceData!$AP$11),"")</f>
        <v>-26.6</v>
      </c>
      <c r="AQ11">
        <f ca="1">IFERROR(IF(0=LEN(ReferenceData!$AQ$11),"",ReferenceData!$AQ$11),"")</f>
        <v>-25.9</v>
      </c>
      <c r="AR11">
        <f ca="1">IFERROR(IF(0=LEN(ReferenceData!$AR$11),"",ReferenceData!$AR$11),"")</f>
        <v>-20</v>
      </c>
      <c r="AS11">
        <f ca="1">IFERROR(IF(0=LEN(ReferenceData!$AS$11),"",ReferenceData!$AS$11),"")</f>
        <v>-19</v>
      </c>
      <c r="AT11">
        <f ca="1">IFERROR(IF(0=LEN(ReferenceData!$AT$11),"",ReferenceData!$AT$11),"")</f>
        <v>-21</v>
      </c>
      <c r="AU11">
        <f ca="1">IFERROR(IF(0=LEN(ReferenceData!$AU$11),"",ReferenceData!$AU$11),"")</f>
        <v>-18</v>
      </c>
      <c r="AV11">
        <f ca="1">IFERROR(IF(0=LEN(ReferenceData!$AV$11),"",ReferenceData!$AV$11),"")</f>
        <v>-10.4</v>
      </c>
      <c r="AW11">
        <f ca="1">IFERROR(IF(0=LEN(ReferenceData!$AW$11),"",ReferenceData!$AW$11),"")</f>
        <v>-11</v>
      </c>
      <c r="AX11">
        <f ca="1">IFERROR(IF(0=LEN(ReferenceData!$AX$11),"",ReferenceData!$AX$11),"")</f>
        <v>-10.199999999999999</v>
      </c>
      <c r="AY11">
        <f ca="1">IFERROR(IF(0=LEN(ReferenceData!$AY$11),"",ReferenceData!$AY$11),"")</f>
        <v>-11</v>
      </c>
      <c r="AZ11">
        <f ca="1">IFERROR(IF(0=LEN(ReferenceData!$AZ$11),"",ReferenceData!$AZ$11),"")</f>
        <v>-17</v>
      </c>
      <c r="BA11">
        <f ca="1">IFERROR(IF(0=LEN(ReferenceData!$BA$11),"",ReferenceData!$BA$11),"")</f>
        <v>-17</v>
      </c>
      <c r="BB11">
        <f ca="1">IFERROR(IF(0=LEN(ReferenceData!$BB$11),"",ReferenceData!$BB$11),"")</f>
        <v>-16</v>
      </c>
      <c r="BC11">
        <f ca="1">IFERROR(IF(0=LEN(ReferenceData!$BC$11),"",ReferenceData!$BC$11),"")</f>
        <v>-21</v>
      </c>
      <c r="BD11">
        <f ca="1">IFERROR(IF(0=LEN(ReferenceData!$BD$11),"",ReferenceData!$BD$11),"")</f>
        <v>-30</v>
      </c>
      <c r="BE11">
        <f ca="1">IFERROR(IF(0=LEN(ReferenceData!$BE$11),"",ReferenceData!$BE$11),"")</f>
        <v>-33.5</v>
      </c>
      <c r="BF11">
        <f ca="1">IFERROR(IF(0=LEN(ReferenceData!$BF$11),"",ReferenceData!$BF$11),"")</f>
        <v>-26</v>
      </c>
      <c r="BG11">
        <f ca="1">IFERROR(IF(0=LEN(ReferenceData!$BG$11),"",ReferenceData!$BG$11),"")</f>
        <v>-19</v>
      </c>
      <c r="BH11">
        <f ca="1">IFERROR(IF(0=LEN(ReferenceData!$BH$11),"",ReferenceData!$BH$11),"")</f>
        <v>-16</v>
      </c>
      <c r="BI11">
        <f ca="1">IFERROR(IF(0=LEN(ReferenceData!$BI$11),"",ReferenceData!$BI$11),"")</f>
        <v>-12</v>
      </c>
      <c r="BJ11">
        <f ca="1">IFERROR(IF(0=LEN(ReferenceData!$BJ$11),"",ReferenceData!$BJ$11),"")</f>
        <v>-8</v>
      </c>
      <c r="BK11">
        <f ca="1">IFERROR(IF(0=LEN(ReferenceData!$BK$11),"",ReferenceData!$BK$11),"")</f>
        <v>-4</v>
      </c>
      <c r="BL11">
        <f ca="1">IFERROR(IF(0=LEN(ReferenceData!$BL$11),"",ReferenceData!$BL$11),"")</f>
        <v>-1</v>
      </c>
      <c r="BM11">
        <f ca="1">IFERROR(IF(0=LEN(ReferenceData!$BM$11),"",ReferenceData!$BM$11),"")</f>
        <v>-4</v>
      </c>
    </row>
    <row r="12" spans="1:65" x14ac:dyDescent="0.25">
      <c r="A12" t="str">
        <f>IFERROR(IF(0=LEN(ReferenceData!$A$12),"",ReferenceData!$A$12),"")</f>
        <v xml:space="preserve">            Russia</v>
      </c>
      <c r="B12" t="str">
        <f>IFERROR(IF(0=LEN(ReferenceData!$B$12),"",ReferenceData!$B$12),"")</f>
        <v>RUCNCNCF Index</v>
      </c>
      <c r="C12" t="str">
        <f>IFERROR(IF(0=LEN(ReferenceData!$C$12),"",ReferenceData!$C$12),"")</f>
        <v>PR005</v>
      </c>
      <c r="D12" t="str">
        <f>IFERROR(IF(0=LEN(ReferenceData!$D$12),"",ReferenceData!$D$12),"")</f>
        <v>PX_LAST</v>
      </c>
      <c r="E12" t="str">
        <f>IFERROR(IF(0=LEN(ReferenceData!$E$12),"",ReferenceData!$E$12),"")</f>
        <v>Dynamic</v>
      </c>
      <c r="F12" t="str">
        <f ca="1">IFERROR(IF(0=LEN(ReferenceData!$F$12),"",ReferenceData!$F$12),"")</f>
        <v/>
      </c>
      <c r="G12">
        <f ca="1">IFERROR(IF(0=LEN(ReferenceData!$G$12),"",ReferenceData!$G$12),"")</f>
        <v>-19</v>
      </c>
      <c r="H12">
        <f ca="1">IFERROR(IF(0=LEN(ReferenceData!$H$12),"",ReferenceData!$H$12),"")</f>
        <v>-18</v>
      </c>
      <c r="I12">
        <f ca="1">IFERROR(IF(0=LEN(ReferenceData!$I$12),"",ReferenceData!$I$12),"")</f>
        <v>-21</v>
      </c>
      <c r="J12">
        <f ca="1">IFERROR(IF(0=LEN(ReferenceData!$J$12),"",ReferenceData!$J$12),"")</f>
        <v>-26</v>
      </c>
      <c r="K12">
        <f ca="1">IFERROR(IF(0=LEN(ReferenceData!$K$12),"",ReferenceData!$K$12),"")</f>
        <v>-22</v>
      </c>
      <c r="L12">
        <f ca="1">IFERROR(IF(0=LEN(ReferenceData!$L$12),"",ReferenceData!$L$12),"")</f>
        <v>-30</v>
      </c>
      <c r="M12">
        <f ca="1">IFERROR(IF(0=LEN(ReferenceData!$M$12),"",ReferenceData!$M$12),"")</f>
        <v>-11</v>
      </c>
      <c r="N12">
        <f ca="1">IFERROR(IF(0=LEN(ReferenceData!$N$12),"",ReferenceData!$N$12),"")</f>
        <v>-13</v>
      </c>
      <c r="O12">
        <f ca="1">IFERROR(IF(0=LEN(ReferenceData!$O$12),"",ReferenceData!$O$12),"")</f>
        <v>-13</v>
      </c>
      <c r="P12">
        <f ca="1">IFERROR(IF(0=LEN(ReferenceData!$P$12),"",ReferenceData!$P$12),"")</f>
        <v>-15</v>
      </c>
      <c r="Q12">
        <f ca="1">IFERROR(IF(0=LEN(ReferenceData!$Q$12),"",ReferenceData!$Q$12),"")</f>
        <v>-16</v>
      </c>
      <c r="R12">
        <f ca="1">IFERROR(IF(0=LEN(ReferenceData!$R$12),"",ReferenceData!$R$12),"")</f>
        <v>-17</v>
      </c>
      <c r="S12">
        <f ca="1">IFERROR(IF(0=LEN(ReferenceData!$S$12),"",ReferenceData!$S$12),"")</f>
        <v>-14</v>
      </c>
      <c r="T12">
        <f ca="1">IFERROR(IF(0=LEN(ReferenceData!$T$12),"",ReferenceData!$T$12),"")</f>
        <v>-8</v>
      </c>
      <c r="U12">
        <f ca="1">IFERROR(IF(0=LEN(ReferenceData!$U$12),"",ReferenceData!$U$12),"")</f>
        <v>-8</v>
      </c>
      <c r="V12">
        <f ca="1">IFERROR(IF(0=LEN(ReferenceData!$V$12),"",ReferenceData!$V$12),"")</f>
        <v>-11</v>
      </c>
      <c r="W12">
        <f ca="1">IFERROR(IF(0=LEN(ReferenceData!$W$12),"",ReferenceData!$W$12),"")</f>
        <v>-11</v>
      </c>
      <c r="X12">
        <f ca="1">IFERROR(IF(0=LEN(ReferenceData!$X$12),"",ReferenceData!$X$12),"")</f>
        <v>-14</v>
      </c>
      <c r="Y12">
        <f ca="1">IFERROR(IF(0=LEN(ReferenceData!$Y$12),"",ReferenceData!$Y$12),"")</f>
        <v>-15</v>
      </c>
      <c r="Z12">
        <f ca="1">IFERROR(IF(0=LEN(ReferenceData!$Z$12),"",ReferenceData!$Z$12),"")</f>
        <v>-18</v>
      </c>
      <c r="AA12">
        <f ca="1">IFERROR(IF(0=LEN(ReferenceData!$AA$12),"",ReferenceData!$AA$12),"")</f>
        <v>-19</v>
      </c>
      <c r="AB12">
        <f ca="1">IFERROR(IF(0=LEN(ReferenceData!$AB$12),"",ReferenceData!$AB$12),"")</f>
        <v>-26</v>
      </c>
      <c r="AC12">
        <f ca="1">IFERROR(IF(0=LEN(ReferenceData!$AC$12),"",ReferenceData!$AC$12),"")</f>
        <v>-30</v>
      </c>
      <c r="AD12">
        <f ca="1">IFERROR(IF(0=LEN(ReferenceData!$AD$12),"",ReferenceData!$AD$12),"")</f>
        <v>-26</v>
      </c>
      <c r="AE12">
        <f ca="1">IFERROR(IF(0=LEN(ReferenceData!$AE$12),"",ReferenceData!$AE$12),"")</f>
        <v>-24</v>
      </c>
      <c r="AF12">
        <f ca="1">IFERROR(IF(0=LEN(ReferenceData!$AF$12),"",ReferenceData!$AF$12),"")</f>
        <v>-23</v>
      </c>
      <c r="AG12">
        <f ca="1">IFERROR(IF(0=LEN(ReferenceData!$AG$12),"",ReferenceData!$AG$12),"")</f>
        <v>-32</v>
      </c>
      <c r="AH12">
        <f ca="1">IFERROR(IF(0=LEN(ReferenceData!$AH$12),"",ReferenceData!$AH$12),"")</f>
        <v>-18</v>
      </c>
      <c r="AI12">
        <f ca="1">IFERROR(IF(0=LEN(ReferenceData!$AI$12),"",ReferenceData!$AI$12),"")</f>
        <v>-7</v>
      </c>
      <c r="AJ12">
        <f ca="1">IFERROR(IF(0=LEN(ReferenceData!$AJ$12),"",ReferenceData!$AJ$12),"")</f>
        <v>-6</v>
      </c>
      <c r="AK12">
        <f ca="1">IFERROR(IF(0=LEN(ReferenceData!$AK$12),"",ReferenceData!$AK$12),"")</f>
        <v>-11</v>
      </c>
      <c r="AL12">
        <f ca="1">IFERROR(IF(0=LEN(ReferenceData!$AL$12),"",ReferenceData!$AL$12),"")</f>
        <v>-11</v>
      </c>
      <c r="AM12">
        <f ca="1">IFERROR(IF(0=LEN(ReferenceData!$AM$12),"",ReferenceData!$AM$12),"")</f>
        <v>-7</v>
      </c>
      <c r="AN12">
        <f ca="1">IFERROR(IF(0=LEN(ReferenceData!$AN$12),"",ReferenceData!$AN$12),"")</f>
        <v>-6</v>
      </c>
      <c r="AO12">
        <f ca="1">IFERROR(IF(0=LEN(ReferenceData!$AO$12),"",ReferenceData!$AO$12),"")</f>
        <v>-7</v>
      </c>
      <c r="AP12">
        <f ca="1">IFERROR(IF(0=LEN(ReferenceData!$AP$12),"",ReferenceData!$AP$12),"")</f>
        <v>-8</v>
      </c>
      <c r="AQ12">
        <f ca="1">IFERROR(IF(0=LEN(ReferenceData!$AQ$12),"",ReferenceData!$AQ$12),"")</f>
        <v>-6</v>
      </c>
      <c r="AR12">
        <f ca="1">IFERROR(IF(0=LEN(ReferenceData!$AR$12),"",ReferenceData!$AR$12),"")</f>
        <v>-4</v>
      </c>
      <c r="AS12">
        <f ca="1">IFERROR(IF(0=LEN(ReferenceData!$AS$12),"",ReferenceData!$AS$12),"")</f>
        <v>-5</v>
      </c>
      <c r="AT12">
        <f ca="1">IFERROR(IF(0=LEN(ReferenceData!$AT$12),"",ReferenceData!$AT$12),"")</f>
        <v>-7</v>
      </c>
      <c r="AU12">
        <f ca="1">IFERROR(IF(0=LEN(ReferenceData!$AU$12),"",ReferenceData!$AU$12),"")</f>
        <v>-7</v>
      </c>
      <c r="AV12">
        <f ca="1">IFERROR(IF(0=LEN(ReferenceData!$AV$12),"",ReferenceData!$AV$12),"")</f>
        <v>-9</v>
      </c>
      <c r="AW12">
        <f ca="1">IFERROR(IF(0=LEN(ReferenceData!$AW$12),"",ReferenceData!$AW$12),"")</f>
        <v>-13</v>
      </c>
      <c r="AX12">
        <f ca="1">IFERROR(IF(0=LEN(ReferenceData!$AX$12),"",ReferenceData!$AX$12),"")</f>
        <v>-10</v>
      </c>
      <c r="AY12">
        <f ca="1">IFERROR(IF(0=LEN(ReferenceData!$AY$12),"",ReferenceData!$AY$12),"")</f>
        <v>-11</v>
      </c>
      <c r="AZ12">
        <f ca="1">IFERROR(IF(0=LEN(ReferenceData!$AZ$12),"",ReferenceData!$AZ$12),"")</f>
        <v>-7</v>
      </c>
      <c r="BA12">
        <f ca="1">IFERROR(IF(0=LEN(ReferenceData!$BA$12),"",ReferenceData!$BA$12),"")</f>
        <v>-10</v>
      </c>
      <c r="BB12">
        <f ca="1">IFERROR(IF(0=LEN(ReferenceData!$BB$12),"",ReferenceData!$BB$12),"")</f>
        <v>-20</v>
      </c>
      <c r="BC12">
        <f ca="1">IFERROR(IF(0=LEN(ReferenceData!$BC$12),"",ReferenceData!$BC$12),"")</f>
        <v>-25</v>
      </c>
      <c r="BD12">
        <f ca="1">IFERROR(IF(0=LEN(ReferenceData!$BD$12),"",ReferenceData!$BD$12),"")</f>
        <v>-32</v>
      </c>
      <c r="BE12">
        <f ca="1">IFERROR(IF(0=LEN(ReferenceData!$BE$12),"",ReferenceData!$BE$12),"")</f>
        <v>-35</v>
      </c>
      <c r="BF12">
        <f ca="1">IFERROR(IF(0=LEN(ReferenceData!$BF$12),"",ReferenceData!$BF$12),"")</f>
        <v>-20</v>
      </c>
      <c r="BG12">
        <f ca="1">IFERROR(IF(0=LEN(ReferenceData!$BG$12),"",ReferenceData!$BG$12),"")</f>
        <v>1</v>
      </c>
      <c r="BH12">
        <f ca="1">IFERROR(IF(0=LEN(ReferenceData!$BH$12),"",ReferenceData!$BH$12),"")</f>
        <v>-2</v>
      </c>
      <c r="BI12">
        <f ca="1">IFERROR(IF(0=LEN(ReferenceData!$BI$12),"",ReferenceData!$BI$12),"")</f>
        <v>0.4</v>
      </c>
      <c r="BJ12">
        <f ca="1">IFERROR(IF(0=LEN(ReferenceData!$BJ$12),"",ReferenceData!$BJ$12),"")</f>
        <v>-5</v>
      </c>
      <c r="BK12">
        <f ca="1">IFERROR(IF(0=LEN(ReferenceData!$BK$12),"",ReferenceData!$BK$12),"")</f>
        <v>-0.5</v>
      </c>
      <c r="BL12">
        <f ca="1">IFERROR(IF(0=LEN(ReferenceData!$BL$12),"",ReferenceData!$BL$12),"")</f>
        <v>0.2</v>
      </c>
      <c r="BM12">
        <f ca="1">IFERROR(IF(0=LEN(ReferenceData!$BM$12),"",ReferenceData!$BM$12),"")</f>
        <v>-3</v>
      </c>
    </row>
    <row r="13" spans="1:65" x14ac:dyDescent="0.25">
      <c r="A13" t="str">
        <f>IFERROR(IF(0=LEN(ReferenceData!$A$13),"",ReferenceData!$A$13),"")</f>
        <v xml:space="preserve">        Key Average FOREX Rates (Period Average)</v>
      </c>
      <c r="B13" t="str">
        <f>IFERROR(IF(0=LEN(ReferenceData!$B$13),"",ReferenceData!$B$13),"")</f>
        <v/>
      </c>
      <c r="C13" t="str">
        <f>IFERROR(IF(0=LEN(ReferenceData!$C$13),"",ReferenceData!$C$13),"")</f>
        <v/>
      </c>
      <c r="D13" t="str">
        <f>IFERROR(IF(0=LEN(ReferenceData!$D$13),"",ReferenceData!$D$13),"")</f>
        <v/>
      </c>
      <c r="E13" t="str">
        <f>IFERROR(IF(0=LEN(ReferenceData!$E$13),"",ReferenceData!$E$13),"")</f>
        <v>Static</v>
      </c>
      <c r="F13" t="str">
        <f ca="1">IFERROR(IF(0=LEN(ReferenceData!$F$13),"",ReferenceData!$F$13),"")</f>
        <v/>
      </c>
      <c r="G13" t="str">
        <f ca="1">IFERROR(IF(0=LEN(ReferenceData!$G$13),"",ReferenceData!$G$13),"")</f>
        <v/>
      </c>
      <c r="H13" t="str">
        <f ca="1">IFERROR(IF(0=LEN(ReferenceData!$H$13),"",ReferenceData!$H$13),"")</f>
        <v/>
      </c>
      <c r="I13" t="str">
        <f ca="1">IFERROR(IF(0=LEN(ReferenceData!$I$13),"",ReferenceData!$I$13),"")</f>
        <v/>
      </c>
      <c r="J13" t="str">
        <f ca="1">IFERROR(IF(0=LEN(ReferenceData!$J$13),"",ReferenceData!$J$13),"")</f>
        <v/>
      </c>
      <c r="K13" t="str">
        <f ca="1">IFERROR(IF(0=LEN(ReferenceData!$K$13),"",ReferenceData!$K$13),"")</f>
        <v/>
      </c>
      <c r="L13" t="str">
        <f ca="1">IFERROR(IF(0=LEN(ReferenceData!$L$13),"",ReferenceData!$L$13),"")</f>
        <v/>
      </c>
      <c r="M13" t="str">
        <f ca="1">IFERROR(IF(0=LEN(ReferenceData!$M$13),"",ReferenceData!$M$13),"")</f>
        <v/>
      </c>
      <c r="N13" t="str">
        <f ca="1">IFERROR(IF(0=LEN(ReferenceData!$N$13),"",ReferenceData!$N$13),"")</f>
        <v/>
      </c>
      <c r="O13" t="str">
        <f ca="1">IFERROR(IF(0=LEN(ReferenceData!$O$13),"",ReferenceData!$O$13),"")</f>
        <v/>
      </c>
      <c r="P13" t="str">
        <f ca="1">IFERROR(IF(0=LEN(ReferenceData!$P$13),"",ReferenceData!$P$13),"")</f>
        <v/>
      </c>
      <c r="Q13" t="str">
        <f ca="1">IFERROR(IF(0=LEN(ReferenceData!$Q$13),"",ReferenceData!$Q$13),"")</f>
        <v/>
      </c>
      <c r="R13" t="str">
        <f ca="1">IFERROR(IF(0=LEN(ReferenceData!$R$13),"",ReferenceData!$R$13),"")</f>
        <v/>
      </c>
      <c r="S13" t="str">
        <f ca="1">IFERROR(IF(0=LEN(ReferenceData!$S$13),"",ReferenceData!$S$13),"")</f>
        <v/>
      </c>
      <c r="T13" t="str">
        <f ca="1">IFERROR(IF(0=LEN(ReferenceData!$T$13),"",ReferenceData!$T$13),"")</f>
        <v/>
      </c>
      <c r="U13" t="str">
        <f ca="1">IFERROR(IF(0=LEN(ReferenceData!$U$13),"",ReferenceData!$U$13),"")</f>
        <v/>
      </c>
      <c r="V13" t="str">
        <f ca="1">IFERROR(IF(0=LEN(ReferenceData!$V$13),"",ReferenceData!$V$13),"")</f>
        <v/>
      </c>
      <c r="W13" t="str">
        <f ca="1">IFERROR(IF(0=LEN(ReferenceData!$W$13),"",ReferenceData!$W$13),"")</f>
        <v/>
      </c>
      <c r="X13" t="str">
        <f ca="1">IFERROR(IF(0=LEN(ReferenceData!$X$13),"",ReferenceData!$X$13),"")</f>
        <v/>
      </c>
      <c r="Y13" t="str">
        <f ca="1">IFERROR(IF(0=LEN(ReferenceData!$Y$13),"",ReferenceData!$Y$13),"")</f>
        <v/>
      </c>
      <c r="Z13" t="str">
        <f ca="1">IFERROR(IF(0=LEN(ReferenceData!$Z$13),"",ReferenceData!$Z$13),"")</f>
        <v/>
      </c>
      <c r="AA13" t="str">
        <f ca="1">IFERROR(IF(0=LEN(ReferenceData!$AA$13),"",ReferenceData!$AA$13),"")</f>
        <v/>
      </c>
      <c r="AB13" t="str">
        <f ca="1">IFERROR(IF(0=LEN(ReferenceData!$AB$13),"",ReferenceData!$AB$13),"")</f>
        <v/>
      </c>
      <c r="AC13" t="str">
        <f ca="1">IFERROR(IF(0=LEN(ReferenceData!$AC$13),"",ReferenceData!$AC$13),"")</f>
        <v/>
      </c>
      <c r="AD13" t="str">
        <f ca="1">IFERROR(IF(0=LEN(ReferenceData!$AD$13),"",ReferenceData!$AD$13),"")</f>
        <v/>
      </c>
      <c r="AE13" t="str">
        <f ca="1">IFERROR(IF(0=LEN(ReferenceData!$AE$13),"",ReferenceData!$AE$13),"")</f>
        <v/>
      </c>
      <c r="AF13" t="str">
        <f ca="1">IFERROR(IF(0=LEN(ReferenceData!$AF$13),"",ReferenceData!$AF$13),"")</f>
        <v/>
      </c>
      <c r="AG13" t="str">
        <f ca="1">IFERROR(IF(0=LEN(ReferenceData!$AG$13),"",ReferenceData!$AG$13),"")</f>
        <v/>
      </c>
      <c r="AH13" t="str">
        <f ca="1">IFERROR(IF(0=LEN(ReferenceData!$AH$13),"",ReferenceData!$AH$13),"")</f>
        <v/>
      </c>
      <c r="AI13" t="str">
        <f ca="1">IFERROR(IF(0=LEN(ReferenceData!$AI$13),"",ReferenceData!$AI$13),"")</f>
        <v/>
      </c>
      <c r="AJ13" t="str">
        <f ca="1">IFERROR(IF(0=LEN(ReferenceData!$AJ$13),"",ReferenceData!$AJ$13),"")</f>
        <v/>
      </c>
      <c r="AK13" t="str">
        <f ca="1">IFERROR(IF(0=LEN(ReferenceData!$AK$13),"",ReferenceData!$AK$13),"")</f>
        <v/>
      </c>
      <c r="AL13" t="str">
        <f ca="1">IFERROR(IF(0=LEN(ReferenceData!$AL$13),"",ReferenceData!$AL$13),"")</f>
        <v/>
      </c>
      <c r="AM13" t="str">
        <f ca="1">IFERROR(IF(0=LEN(ReferenceData!$AM$13),"",ReferenceData!$AM$13),"")</f>
        <v/>
      </c>
      <c r="AN13" t="str">
        <f ca="1">IFERROR(IF(0=LEN(ReferenceData!$AN$13),"",ReferenceData!$AN$13),"")</f>
        <v/>
      </c>
      <c r="AO13" t="str">
        <f ca="1">IFERROR(IF(0=LEN(ReferenceData!$AO$13),"",ReferenceData!$AO$13),"")</f>
        <v/>
      </c>
      <c r="AP13" t="str">
        <f ca="1">IFERROR(IF(0=LEN(ReferenceData!$AP$13),"",ReferenceData!$AP$13),"")</f>
        <v/>
      </c>
      <c r="AQ13" t="str">
        <f ca="1">IFERROR(IF(0=LEN(ReferenceData!$AQ$13),"",ReferenceData!$AQ$13),"")</f>
        <v/>
      </c>
      <c r="AR13" t="str">
        <f ca="1">IFERROR(IF(0=LEN(ReferenceData!$AR$13),"",ReferenceData!$AR$13),"")</f>
        <v/>
      </c>
      <c r="AS13" t="str">
        <f ca="1">IFERROR(IF(0=LEN(ReferenceData!$AS$13),"",ReferenceData!$AS$13),"")</f>
        <v/>
      </c>
      <c r="AT13" t="str">
        <f ca="1">IFERROR(IF(0=LEN(ReferenceData!$AT$13),"",ReferenceData!$AT$13),"")</f>
        <v/>
      </c>
      <c r="AU13" t="str">
        <f ca="1">IFERROR(IF(0=LEN(ReferenceData!$AU$13),"",ReferenceData!$AU$13),"")</f>
        <v/>
      </c>
      <c r="AV13" t="str">
        <f ca="1">IFERROR(IF(0=LEN(ReferenceData!$AV$13),"",ReferenceData!$AV$13),"")</f>
        <v/>
      </c>
      <c r="AW13" t="str">
        <f ca="1">IFERROR(IF(0=LEN(ReferenceData!$AW$13),"",ReferenceData!$AW$13),"")</f>
        <v/>
      </c>
      <c r="AX13" t="str">
        <f ca="1">IFERROR(IF(0=LEN(ReferenceData!$AX$13),"",ReferenceData!$AX$13),"")</f>
        <v/>
      </c>
      <c r="AY13" t="str">
        <f ca="1">IFERROR(IF(0=LEN(ReferenceData!$AY$13),"",ReferenceData!$AY$13),"")</f>
        <v/>
      </c>
      <c r="AZ13" t="str">
        <f ca="1">IFERROR(IF(0=LEN(ReferenceData!$AZ$13),"",ReferenceData!$AZ$13),"")</f>
        <v/>
      </c>
      <c r="BA13" t="str">
        <f ca="1">IFERROR(IF(0=LEN(ReferenceData!$BA$13),"",ReferenceData!$BA$13),"")</f>
        <v/>
      </c>
      <c r="BB13" t="str">
        <f ca="1">IFERROR(IF(0=LEN(ReferenceData!$BB$13),"",ReferenceData!$BB$13),"")</f>
        <v/>
      </c>
      <c r="BC13" t="str">
        <f ca="1">IFERROR(IF(0=LEN(ReferenceData!$BC$13),"",ReferenceData!$BC$13),"")</f>
        <v/>
      </c>
      <c r="BD13" t="str">
        <f ca="1">IFERROR(IF(0=LEN(ReferenceData!$BD$13),"",ReferenceData!$BD$13),"")</f>
        <v/>
      </c>
      <c r="BE13" t="str">
        <f ca="1">IFERROR(IF(0=LEN(ReferenceData!$BE$13),"",ReferenceData!$BE$13),"")</f>
        <v/>
      </c>
      <c r="BF13" t="str">
        <f ca="1">IFERROR(IF(0=LEN(ReferenceData!$BF$13),"",ReferenceData!$BF$13),"")</f>
        <v/>
      </c>
      <c r="BG13" t="str">
        <f ca="1">IFERROR(IF(0=LEN(ReferenceData!$BG$13),"",ReferenceData!$BG$13),"")</f>
        <v/>
      </c>
      <c r="BH13" t="str">
        <f ca="1">IFERROR(IF(0=LEN(ReferenceData!$BH$13),"",ReferenceData!$BH$13),"")</f>
        <v/>
      </c>
      <c r="BI13" t="str">
        <f ca="1">IFERROR(IF(0=LEN(ReferenceData!$BI$13),"",ReferenceData!$BI$13),"")</f>
        <v/>
      </c>
      <c r="BJ13" t="str">
        <f ca="1">IFERROR(IF(0=LEN(ReferenceData!$BJ$13),"",ReferenceData!$BJ$13),"")</f>
        <v/>
      </c>
      <c r="BK13" t="str">
        <f ca="1">IFERROR(IF(0=LEN(ReferenceData!$BK$13),"",ReferenceData!$BK$13),"")</f>
        <v/>
      </c>
      <c r="BL13" t="str">
        <f ca="1">IFERROR(IF(0=LEN(ReferenceData!$BL$13),"",ReferenceData!$BL$13),"")</f>
        <v/>
      </c>
      <c r="BM13" t="str">
        <f ca="1">IFERROR(IF(0=LEN(ReferenceData!$BM$13),"",ReferenceData!$BM$13),"")</f>
        <v/>
      </c>
    </row>
    <row r="14" spans="1:65" x14ac:dyDescent="0.25">
      <c r="A14" t="str">
        <f>IFERROR(IF(0=LEN(ReferenceData!$A$14),"",ReferenceData!$A$14),"")</f>
        <v xml:space="preserve">            CNH/USD</v>
      </c>
      <c r="B14" t="str">
        <f>IFERROR(IF(0=LEN(ReferenceData!$B$14),"",ReferenceData!$B$14),"")</f>
        <v>CNHUSD Curncy</v>
      </c>
      <c r="C14" t="str">
        <f>IFERROR(IF(0=LEN(ReferenceData!$C$14),"",ReferenceData!$C$14),"")</f>
        <v>PX388</v>
      </c>
      <c r="D14" t="str">
        <f>IFERROR(IF(0=LEN(ReferenceData!$D$14),"",ReferenceData!$D$14),"")</f>
        <v>INTERVAL_AVG</v>
      </c>
      <c r="E14" t="str">
        <f>IFERROR(IF(0=LEN(ReferenceData!$E$14),"",ReferenceData!$E$14),"")</f>
        <v>Dynamic</v>
      </c>
      <c r="F14">
        <f ca="1">IFERROR(IF(0=LEN(ReferenceData!$F$14),"",ReferenceData!$F$14),"")</f>
        <v>0.15590000000000001</v>
      </c>
      <c r="G14">
        <f ca="1">IFERROR(IF(0=LEN(ReferenceData!$G$14),"",ReferenceData!$G$14),"")</f>
        <v>0.15459999999999999</v>
      </c>
      <c r="H14">
        <f ca="1">IFERROR(IF(0=LEN(ReferenceData!$H$14),"",ReferenceData!$H$14),"")</f>
        <v>0.15479999999999999</v>
      </c>
      <c r="I14">
        <f ca="1">IFERROR(IF(0=LEN(ReferenceData!$I$14),"",ReferenceData!$I$14),"")</f>
        <v>0.15429999999999999</v>
      </c>
      <c r="J14">
        <f ca="1">IFERROR(IF(0=LEN(ReferenceData!$J$14),"",ReferenceData!$J$14),"")</f>
        <v>0.15129999999999999</v>
      </c>
      <c r="K14">
        <f ca="1">IFERROR(IF(0=LEN(ReferenceData!$K$14),"",ReferenceData!$K$14),"")</f>
        <v>0.14460000000000001</v>
      </c>
      <c r="L14">
        <f ca="1">IFERROR(IF(0=LEN(ReferenceData!$L$14),"",ReferenceData!$L$14),"")</f>
        <v>0.1409</v>
      </c>
      <c r="M14">
        <f ca="1">IFERROR(IF(0=LEN(ReferenceData!$M$14),"",ReferenceData!$M$14),"")</f>
        <v>0.1431</v>
      </c>
      <c r="N14">
        <f ca="1">IFERROR(IF(0=LEN(ReferenceData!$N$14),"",ReferenceData!$N$14),"")</f>
        <v>0.14199999999999999</v>
      </c>
      <c r="O14">
        <f ca="1">IFERROR(IF(0=LEN(ReferenceData!$O$14),"",ReferenceData!$O$14),"")</f>
        <v>0.1424</v>
      </c>
      <c r="P14">
        <f ca="1">IFERROR(IF(0=LEN(ReferenceData!$P$14),"",ReferenceData!$P$14),"")</f>
        <v>0.1464</v>
      </c>
      <c r="Q14">
        <f ca="1">IFERROR(IF(0=LEN(ReferenceData!$Q$14),"",ReferenceData!$Q$14),"")</f>
        <v>0.14799999999999999</v>
      </c>
      <c r="R14">
        <f ca="1">IFERROR(IF(0=LEN(ReferenceData!$R$14),"",ReferenceData!$R$14),"")</f>
        <v>0.14460000000000001</v>
      </c>
      <c r="S14">
        <f ca="1">IFERROR(IF(0=LEN(ReferenceData!$S$14),"",ReferenceData!$S$14),"")</f>
        <v>0.14680000000000001</v>
      </c>
      <c r="T14">
        <f ca="1">IFERROR(IF(0=LEN(ReferenceData!$T$14),"",ReferenceData!$T$14),"")</f>
        <v>0.15690000000000001</v>
      </c>
      <c r="U14">
        <f ca="1">IFERROR(IF(0=LEN(ReferenceData!$U$14),"",ReferenceData!$U$14),"")</f>
        <v>0.15740000000000001</v>
      </c>
      <c r="V14">
        <f ca="1">IFERROR(IF(0=LEN(ReferenceData!$V$14),"",ReferenceData!$V$14),"")</f>
        <v>0.1512</v>
      </c>
      <c r="W14">
        <f ca="1">IFERROR(IF(0=LEN(ReferenceData!$W$14),"",ReferenceData!$W$14),"")</f>
        <v>0.14990000000000001</v>
      </c>
      <c r="X14">
        <f ca="1">IFERROR(IF(0=LEN(ReferenceData!$X$14),"",ReferenceData!$X$14),"")</f>
        <v>0.1459</v>
      </c>
      <c r="Y14">
        <f ca="1">IFERROR(IF(0=LEN(ReferenceData!$Y$14),"",ReferenceData!$Y$14),"")</f>
        <v>0.1457</v>
      </c>
      <c r="Z14">
        <f ca="1">IFERROR(IF(0=LEN(ReferenceData!$Z$14),"",ReferenceData!$Z$14),"")</f>
        <v>0.14610000000000001</v>
      </c>
      <c r="AA14">
        <f ca="1">IFERROR(IF(0=LEN(ReferenceData!$AA$14),"",ReferenceData!$AA$14),"")</f>
        <v>0.14979999999999999</v>
      </c>
      <c r="AB14">
        <f ca="1">IFERROR(IF(0=LEN(ReferenceData!$AB$14),"",ReferenceData!$AB$14),"")</f>
        <v>0.15279999999999999</v>
      </c>
      <c r="AC14">
        <f ca="1">IFERROR(IF(0=LEN(ReferenceData!$AC$14),"",ReferenceData!$AC$14),"")</f>
        <v>0.15260000000000001</v>
      </c>
      <c r="AD14">
        <f ca="1">IFERROR(IF(0=LEN(ReferenceData!$AD$14),"",ReferenceData!$AD$14),"")</f>
        <v>0.15559999999999999</v>
      </c>
      <c r="AE14">
        <f ca="1">IFERROR(IF(0=LEN(ReferenceData!$AE$14),"",ReferenceData!$AE$14),"")</f>
        <v>0.15790000000000001</v>
      </c>
      <c r="AF14">
        <f ca="1">IFERROR(IF(0=LEN(ReferenceData!$AF$14),"",ReferenceData!$AF$14),"")</f>
        <v>0.16120000000000001</v>
      </c>
      <c r="AG14">
        <f ca="1">IFERROR(IF(0=LEN(ReferenceData!$AG$14),"",ReferenceData!$AG$14),"")</f>
        <v>0.16009999999999999</v>
      </c>
      <c r="AH14">
        <f ca="1">IFERROR(IF(0=LEN(ReferenceData!$AH$14),"",ReferenceData!$AH$14),"")</f>
        <v>0.16239999999999999</v>
      </c>
      <c r="AI14">
        <f ca="1">IFERROR(IF(0=LEN(ReferenceData!$AI$14),"",ReferenceData!$AI$14),"")</f>
        <v>0.16209999999999999</v>
      </c>
      <c r="AJ14">
        <f ca="1">IFERROR(IF(0=LEN(ReferenceData!$AJ$14),"",ReferenceData!$AJ$14),"")</f>
        <v>0.1605</v>
      </c>
      <c r="AK14">
        <f ca="1">IFERROR(IF(0=LEN(ReferenceData!$AK$14),"",ReferenceData!$AK$14),"")</f>
        <v>0.16439999999999999</v>
      </c>
      <c r="AL14">
        <f ca="1">IFERROR(IF(0=LEN(ReferenceData!$AL$14),"",ReferenceData!$AL$14),"")</f>
        <v>0.16439999999999999</v>
      </c>
      <c r="AM14">
        <f ca="1">IFERROR(IF(0=LEN(ReferenceData!$AM$14),"",ReferenceData!$AM$14),"")</f>
        <v>0.1633</v>
      </c>
      <c r="AN14">
        <f ca="1">IFERROR(IF(0=LEN(ReferenceData!$AN$14),"",ReferenceData!$AN$14),"")</f>
        <v>0.16250000000000001</v>
      </c>
      <c r="AO14">
        <f ca="1">IFERROR(IF(0=LEN(ReferenceData!$AO$14),"",ReferenceData!$AO$14),"")</f>
        <v>0.161</v>
      </c>
      <c r="AP14">
        <f ca="1">IFERROR(IF(0=LEN(ReferenceData!$AP$14),"",ReferenceData!$AP$14),"")</f>
        <v>0.1603</v>
      </c>
      <c r="AQ14">
        <f ca="1">IFERROR(IF(0=LEN(ReferenceData!$AQ$14),"",ReferenceData!$AQ$14),"")</f>
        <v>0.1573</v>
      </c>
      <c r="AR14">
        <f ca="1">IFERROR(IF(0=LEN(ReferenceData!$AR$14),"",ReferenceData!$AR$14),"")</f>
        <v>0.15790000000000001</v>
      </c>
      <c r="AS14">
        <f ca="1">IFERROR(IF(0=LEN(ReferenceData!$AS$14),"",ReferenceData!$AS$14),"")</f>
        <v>0.15859999999999999</v>
      </c>
      <c r="AT14">
        <f ca="1">IFERROR(IF(0=LEN(ReferenceData!$AT$14),"",ReferenceData!$AT$14),"")</f>
        <v>0.1565</v>
      </c>
      <c r="AU14">
        <f ca="1">IFERROR(IF(0=LEN(ReferenceData!$AU$14),"",ReferenceData!$AU$14),"")</f>
        <v>0.15579999999999999</v>
      </c>
      <c r="AV14">
        <f ca="1">IFERROR(IF(0=LEN(ReferenceData!$AV$14),"",ReferenceData!$AV$14),"")</f>
        <v>0.154</v>
      </c>
      <c r="AW14">
        <f ca="1">IFERROR(IF(0=LEN(ReferenceData!$AW$14),"",ReferenceData!$AW$14),"")</f>
        <v>0.1522</v>
      </c>
      <c r="AX14">
        <f ca="1">IFERROR(IF(0=LEN(ReferenceData!$AX$14),"",ReferenceData!$AX$14),"")</f>
        <v>0.15140000000000001</v>
      </c>
      <c r="AY14">
        <f ca="1">IFERROR(IF(0=LEN(ReferenceData!$AY$14),"",ReferenceData!$AY$14),"")</f>
        <v>0.1489</v>
      </c>
      <c r="AZ14">
        <f ca="1">IFERROR(IF(0=LEN(ReferenceData!$AZ$14),"",ReferenceData!$AZ$14),"")</f>
        <v>0</v>
      </c>
      <c r="BA14">
        <f ca="1">IFERROR(IF(0=LEN(ReferenceData!$BA$14),"",ReferenceData!$BA$14),"")</f>
        <v>0</v>
      </c>
      <c r="BB14">
        <f ca="1">IFERROR(IF(0=LEN(ReferenceData!$BB$14),"",ReferenceData!$BB$14),"")</f>
        <v>0</v>
      </c>
      <c r="BC14">
        <f ca="1">IFERROR(IF(0=LEN(ReferenceData!$BC$14),"",ReferenceData!$BC$14),"")</f>
        <v>0</v>
      </c>
      <c r="BD14">
        <f ca="1">IFERROR(IF(0=LEN(ReferenceData!$BD$14),"",ReferenceData!$BD$14),"")</f>
        <v>0</v>
      </c>
      <c r="BE14">
        <f ca="1">IFERROR(IF(0=LEN(ReferenceData!$BE$14),"",ReferenceData!$BE$14),"")</f>
        <v>0</v>
      </c>
      <c r="BF14">
        <f ca="1">IFERROR(IF(0=LEN(ReferenceData!$BF$14),"",ReferenceData!$BF$14),"")</f>
        <v>0</v>
      </c>
      <c r="BG14">
        <f ca="1">IFERROR(IF(0=LEN(ReferenceData!$BG$14),"",ReferenceData!$BG$14),"")</f>
        <v>0</v>
      </c>
      <c r="BH14">
        <f ca="1">IFERROR(IF(0=LEN(ReferenceData!$BH$14),"",ReferenceData!$BH$14),"")</f>
        <v>0</v>
      </c>
      <c r="BI14">
        <f ca="1">IFERROR(IF(0=LEN(ReferenceData!$BI$14),"",ReferenceData!$BI$14),"")</f>
        <v>0</v>
      </c>
      <c r="BJ14">
        <f ca="1">IFERROR(IF(0=LEN(ReferenceData!$BJ$14),"",ReferenceData!$BJ$14),"")</f>
        <v>0</v>
      </c>
      <c r="BK14">
        <f ca="1">IFERROR(IF(0=LEN(ReferenceData!$BK$14),"",ReferenceData!$BK$14),"")</f>
        <v>0</v>
      </c>
      <c r="BL14">
        <f ca="1">IFERROR(IF(0=LEN(ReferenceData!$BL$14),"",ReferenceData!$BL$14),"")</f>
        <v>0</v>
      </c>
      <c r="BM14">
        <f ca="1">IFERROR(IF(0=LEN(ReferenceData!$BM$14),"",ReferenceData!$BM$14),"")</f>
        <v>0</v>
      </c>
    </row>
    <row r="15" spans="1:65" x14ac:dyDescent="0.25">
      <c r="A15" t="str">
        <f>IFERROR(IF(0=LEN(ReferenceData!$A$15),"",ReferenceData!$A$15),"")</f>
        <v xml:space="preserve">            CNH/EUR</v>
      </c>
      <c r="B15" t="str">
        <f>IFERROR(IF(0=LEN(ReferenceData!$B$15),"",ReferenceData!$B$15),"")</f>
        <v>CNHEUR Curncy</v>
      </c>
      <c r="C15" t="str">
        <f>IFERROR(IF(0=LEN(ReferenceData!$C$15),"",ReferenceData!$C$15),"")</f>
        <v>PX388</v>
      </c>
      <c r="D15" t="str">
        <f>IFERROR(IF(0=LEN(ReferenceData!$D$15),"",ReferenceData!$D$15),"")</f>
        <v>INTERVAL_AVG</v>
      </c>
      <c r="E15" t="str">
        <f>IFERROR(IF(0=LEN(ReferenceData!$E$15),"",ReferenceData!$E$15),"")</f>
        <v>Dynamic</v>
      </c>
      <c r="F15">
        <f ca="1">IFERROR(IF(0=LEN(ReferenceData!$F$15),"",ReferenceData!$F$15),"")</f>
        <v>0.13439999999999999</v>
      </c>
      <c r="G15">
        <f ca="1">IFERROR(IF(0=LEN(ReferenceData!$G$15),"",ReferenceData!$G$15),"")</f>
        <v>0.13120000000000001</v>
      </c>
      <c r="H15">
        <f ca="1">IFERROR(IF(0=LEN(ReferenceData!$H$15),"",ReferenceData!$H$15),"")</f>
        <v>0.1285</v>
      </c>
      <c r="I15">
        <f ca="1">IFERROR(IF(0=LEN(ReferenceData!$I$15),"",ReferenceData!$I$15),"")</f>
        <v>0.12809999999999999</v>
      </c>
      <c r="J15">
        <f ca="1">IFERROR(IF(0=LEN(ReferenceData!$J$15),"",ReferenceData!$J$15),"")</f>
        <v>0.12690000000000001</v>
      </c>
      <c r="K15">
        <f ca="1">IFERROR(IF(0=LEN(ReferenceData!$K$15),"",ReferenceData!$K$15),"")</f>
        <v>0.1237</v>
      </c>
      <c r="L15">
        <f ca="1">IFERROR(IF(0=LEN(ReferenceData!$L$15),"",ReferenceData!$L$15),"")</f>
        <v>0.128</v>
      </c>
      <c r="M15">
        <f ca="1">IFERROR(IF(0=LEN(ReferenceData!$M$15),"",ReferenceData!$M$15),"")</f>
        <v>0.1298</v>
      </c>
      <c r="N15">
        <f ca="1">IFERROR(IF(0=LEN(ReferenceData!$N$15),"",ReferenceData!$N$15),"")</f>
        <v>0.1283</v>
      </c>
      <c r="O15">
        <f ca="1">IFERROR(IF(0=LEN(ReferenceData!$O$15),"",ReferenceData!$O$15),"")</f>
        <v>0.12809999999999999</v>
      </c>
      <c r="P15">
        <f ca="1">IFERROR(IF(0=LEN(ReferenceData!$P$15),"",ReferenceData!$P$15),"")</f>
        <v>0.1303</v>
      </c>
      <c r="Q15">
        <f ca="1">IFERROR(IF(0=LEN(ReferenceData!$Q$15),"",ReferenceData!$Q$15),"")</f>
        <v>0.1303</v>
      </c>
      <c r="R15">
        <f ca="1">IFERROR(IF(0=LEN(ReferenceData!$R$15),"",ReferenceData!$R$15),"")</f>
        <v>0.12670000000000001</v>
      </c>
      <c r="S15">
        <f ca="1">IFERROR(IF(0=LEN(ReferenceData!$S$15),"",ReferenceData!$S$15),"")</f>
        <v>0.12620000000000001</v>
      </c>
      <c r="T15">
        <f ca="1">IFERROR(IF(0=LEN(ReferenceData!$T$15),"",ReferenceData!$T$15),"")</f>
        <v>0.13170000000000001</v>
      </c>
      <c r="U15">
        <f ca="1">IFERROR(IF(0=LEN(ReferenceData!$U$15),"",ReferenceData!$U$15),"")</f>
        <v>0.12809999999999999</v>
      </c>
      <c r="V15">
        <f ca="1">IFERROR(IF(0=LEN(ReferenceData!$V$15),"",ReferenceData!$V$15),"")</f>
        <v>0.12839999999999999</v>
      </c>
      <c r="W15">
        <f ca="1">IFERROR(IF(0=LEN(ReferenceData!$W$15),"",ReferenceData!$W$15),"")</f>
        <v>0.1275</v>
      </c>
      <c r="X15">
        <f ca="1">IFERROR(IF(0=LEN(ReferenceData!$X$15),"",ReferenceData!$X$15),"")</f>
        <v>0.13250000000000001</v>
      </c>
      <c r="Y15">
        <f ca="1">IFERROR(IF(0=LEN(ReferenceData!$Y$15),"",ReferenceData!$Y$15),"")</f>
        <v>0.1368</v>
      </c>
      <c r="Z15">
        <f ca="1">IFERROR(IF(0=LEN(ReferenceData!$Z$15),"",ReferenceData!$Z$15),"")</f>
        <v>0.1356</v>
      </c>
      <c r="AA15">
        <f ca="1">IFERROR(IF(0=LEN(ReferenceData!$AA$15),"",ReferenceData!$AA$15),"")</f>
        <v>0.13420000000000001</v>
      </c>
      <c r="AB15">
        <f ca="1">IFERROR(IF(0=LEN(ReferenceData!$AB$15),"",ReferenceData!$AB$15),"")</f>
        <v>0.1353</v>
      </c>
      <c r="AC15">
        <f ca="1">IFERROR(IF(0=LEN(ReferenceData!$AC$15),"",ReferenceData!$AC$15),"")</f>
        <v>0.13819999999999999</v>
      </c>
      <c r="AD15">
        <f ca="1">IFERROR(IF(0=LEN(ReferenceData!$AD$15),"",ReferenceData!$AD$15),"")</f>
        <v>0.1421</v>
      </c>
      <c r="AE15">
        <f ca="1">IFERROR(IF(0=LEN(ReferenceData!$AE$15),"",ReferenceData!$AE$15),"")</f>
        <v>0.14199999999999999</v>
      </c>
      <c r="AF15">
        <f ca="1">IFERROR(IF(0=LEN(ReferenceData!$AF$15),"",ReferenceData!$AF$15),"")</f>
        <v>0.14560000000000001</v>
      </c>
      <c r="AG15">
        <f ca="1">IFERROR(IF(0=LEN(ReferenceData!$AG$15),"",ReferenceData!$AG$15),"")</f>
        <v>0.14230000000000001</v>
      </c>
      <c r="AH15">
        <f ca="1">IFERROR(IF(0=LEN(ReferenceData!$AH$15),"",ReferenceData!$AH$15),"")</f>
        <v>0.13009999999999999</v>
      </c>
      <c r="AI15">
        <f ca="1">IFERROR(IF(0=LEN(ReferenceData!$AI$15),"",ReferenceData!$AI$15),"")</f>
        <v>0.12239999999999999</v>
      </c>
      <c r="AJ15">
        <f ca="1">IFERROR(IF(0=LEN(ReferenceData!$AJ$15),"",ReferenceData!$AJ$15),"")</f>
        <v>0.11700000000000001</v>
      </c>
      <c r="AK15">
        <f ca="1">IFERROR(IF(0=LEN(ReferenceData!$AK$15),"",ReferenceData!$AK$15),"")</f>
        <v>0.12</v>
      </c>
      <c r="AL15">
        <f ca="1">IFERROR(IF(0=LEN(ReferenceData!$AL$15),"",ReferenceData!$AL$15),"")</f>
        <v>0.1208</v>
      </c>
      <c r="AM15">
        <f ca="1">IFERROR(IF(0=LEN(ReferenceData!$AM$15),"",ReferenceData!$AM$15),"")</f>
        <v>0.12330000000000001</v>
      </c>
      <c r="AN15">
        <f ca="1">IFERROR(IF(0=LEN(ReferenceData!$AN$15),"",ReferenceData!$AN$15),"")</f>
        <v>0.1244</v>
      </c>
      <c r="AO15">
        <f ca="1">IFERROR(IF(0=LEN(ReferenceData!$AO$15),"",ReferenceData!$AO$15),"")</f>
        <v>0.122</v>
      </c>
      <c r="AP15">
        <f ca="1">IFERROR(IF(0=LEN(ReferenceData!$AP$15),"",ReferenceData!$AP$15),"")</f>
        <v>0.1235</v>
      </c>
      <c r="AQ15">
        <f ca="1">IFERROR(IF(0=LEN(ReferenceData!$AQ$15),"",ReferenceData!$AQ$15),"")</f>
        <v>0.1258</v>
      </c>
      <c r="AR15">
        <f ca="1">IFERROR(IF(0=LEN(ReferenceData!$AR$15),"",ReferenceData!$AR$15),"")</f>
        <v>0.1231</v>
      </c>
      <c r="AS15">
        <f ca="1">IFERROR(IF(0=LEN(ReferenceData!$AS$15),"",ReferenceData!$AS$15),"")</f>
        <v>0.12089999999999999</v>
      </c>
      <c r="AT15">
        <f ca="1">IFERROR(IF(0=LEN(ReferenceData!$AT$15),"",ReferenceData!$AT$15),"")</f>
        <v>0.1162</v>
      </c>
      <c r="AU15">
        <f ca="1">IFERROR(IF(0=LEN(ReferenceData!$AU$15),"",ReferenceData!$AU$15),"")</f>
        <v>0.1104</v>
      </c>
      <c r="AV15">
        <f ca="1">IFERROR(IF(0=LEN(ReferenceData!$AV$15),"",ReferenceData!$AV$15),"")</f>
        <v>0.107</v>
      </c>
      <c r="AW15">
        <f ca="1">IFERROR(IF(0=LEN(ReferenceData!$AW$15),"",ReferenceData!$AW$15),"")</f>
        <v>0.11119999999999999</v>
      </c>
      <c r="AX15">
        <f ca="1">IFERROR(IF(0=LEN(ReferenceData!$AX$15),"",ReferenceData!$AX$15),"")</f>
        <v>0.1116</v>
      </c>
      <c r="AY15">
        <f ca="1">IFERROR(IF(0=LEN(ReferenceData!$AY$15),"",ReferenceData!$AY$15),"")</f>
        <v>0.11459999999999999</v>
      </c>
      <c r="AZ15">
        <f ca="1">IFERROR(IF(0=LEN(ReferenceData!$AZ$15),"",ReferenceData!$AZ$15),"")</f>
        <v>0</v>
      </c>
      <c r="BA15">
        <f ca="1">IFERROR(IF(0=LEN(ReferenceData!$BA$15),"",ReferenceData!$BA$15),"")</f>
        <v>0</v>
      </c>
      <c r="BB15">
        <f ca="1">IFERROR(IF(0=LEN(ReferenceData!$BB$15),"",ReferenceData!$BB$15),"")</f>
        <v>0</v>
      </c>
      <c r="BC15">
        <f ca="1">IFERROR(IF(0=LEN(ReferenceData!$BC$15),"",ReferenceData!$BC$15),"")</f>
        <v>0</v>
      </c>
      <c r="BD15">
        <f ca="1">IFERROR(IF(0=LEN(ReferenceData!$BD$15),"",ReferenceData!$BD$15),"")</f>
        <v>0</v>
      </c>
      <c r="BE15">
        <f ca="1">IFERROR(IF(0=LEN(ReferenceData!$BE$15),"",ReferenceData!$BE$15),"")</f>
        <v>0</v>
      </c>
      <c r="BF15">
        <f ca="1">IFERROR(IF(0=LEN(ReferenceData!$BF$15),"",ReferenceData!$BF$15),"")</f>
        <v>0</v>
      </c>
      <c r="BG15">
        <f ca="1">IFERROR(IF(0=LEN(ReferenceData!$BG$15),"",ReferenceData!$BG$15),"")</f>
        <v>0</v>
      </c>
      <c r="BH15">
        <f ca="1">IFERROR(IF(0=LEN(ReferenceData!$BH$15),"",ReferenceData!$BH$15),"")</f>
        <v>0</v>
      </c>
      <c r="BI15">
        <f ca="1">IFERROR(IF(0=LEN(ReferenceData!$BI$15),"",ReferenceData!$BI$15),"")</f>
        <v>0</v>
      </c>
      <c r="BJ15">
        <f ca="1">IFERROR(IF(0=LEN(ReferenceData!$BJ$15),"",ReferenceData!$BJ$15),"")</f>
        <v>0</v>
      </c>
      <c r="BK15">
        <f ca="1">IFERROR(IF(0=LEN(ReferenceData!$BK$15),"",ReferenceData!$BK$15),"")</f>
        <v>0</v>
      </c>
      <c r="BL15">
        <f ca="1">IFERROR(IF(0=LEN(ReferenceData!$BL$15),"",ReferenceData!$BL$15),"")</f>
        <v>0</v>
      </c>
      <c r="BM15">
        <f ca="1">IFERROR(IF(0=LEN(ReferenceData!$BM$15),"",ReferenceData!$BM$15),"")</f>
        <v>0</v>
      </c>
    </row>
    <row r="16" spans="1:65" x14ac:dyDescent="0.25">
      <c r="A16" t="str">
        <f>IFERROR(IF(0=LEN(ReferenceData!$A$16),"",ReferenceData!$A$16),"")</f>
        <v xml:space="preserve">            EUR/USD</v>
      </c>
      <c r="B16" t="str">
        <f>IFERROR(IF(0=LEN(ReferenceData!$B$16),"",ReferenceData!$B$16),"")</f>
        <v>EURUSD Curncy</v>
      </c>
      <c r="C16" t="str">
        <f>IFERROR(IF(0=LEN(ReferenceData!$C$16),"",ReferenceData!$C$16),"")</f>
        <v>PX388</v>
      </c>
      <c r="D16" t="str">
        <f>IFERROR(IF(0=LEN(ReferenceData!$D$16),"",ReferenceData!$D$16),"")</f>
        <v>INTERVAL_AVG</v>
      </c>
      <c r="E16" t="str">
        <f>IFERROR(IF(0=LEN(ReferenceData!$E$16),"",ReferenceData!$E$16),"")</f>
        <v>Dynamic</v>
      </c>
      <c r="F16">
        <f ca="1">IFERROR(IF(0=LEN(ReferenceData!$F$16),"",ReferenceData!$F$16),"")</f>
        <v>1.1594</v>
      </c>
      <c r="G16">
        <f ca="1">IFERROR(IF(0=LEN(ReferenceData!$G$16),"",ReferenceData!$G$16),"")</f>
        <v>1.1786000000000001</v>
      </c>
      <c r="H16">
        <f ca="1">IFERROR(IF(0=LEN(ReferenceData!$H$16),"",ReferenceData!$H$16),"")</f>
        <v>1.2052</v>
      </c>
      <c r="I16">
        <f ca="1">IFERROR(IF(0=LEN(ReferenceData!$I$16),"",ReferenceData!$I$16),"")</f>
        <v>1.2051000000000001</v>
      </c>
      <c r="J16">
        <f ca="1">IFERROR(IF(0=LEN(ReferenceData!$J$16),"",ReferenceData!$J$16),"")</f>
        <v>1.1930000000000001</v>
      </c>
      <c r="K16">
        <f ca="1">IFERROR(IF(0=LEN(ReferenceData!$K$16),"",ReferenceData!$K$16),"")</f>
        <v>1.1691</v>
      </c>
      <c r="L16">
        <f ca="1">IFERROR(IF(0=LEN(ReferenceData!$L$16),"",ReferenceData!$L$16),"")</f>
        <v>1.1012999999999999</v>
      </c>
      <c r="M16">
        <f ca="1">IFERROR(IF(0=LEN(ReferenceData!$M$16),"",ReferenceData!$M$16),"")</f>
        <v>1.1029</v>
      </c>
      <c r="N16">
        <f ca="1">IFERROR(IF(0=LEN(ReferenceData!$N$16),"",ReferenceData!$N$16),"")</f>
        <v>1.1073</v>
      </c>
      <c r="O16">
        <f ca="1">IFERROR(IF(0=LEN(ReferenceData!$O$16),"",ReferenceData!$O$16),"")</f>
        <v>1.1116999999999999</v>
      </c>
      <c r="P16">
        <f ca="1">IFERROR(IF(0=LEN(ReferenceData!$P$16),"",ReferenceData!$P$16),"")</f>
        <v>1.1234</v>
      </c>
      <c r="Q16">
        <f ca="1">IFERROR(IF(0=LEN(ReferenceData!$Q$16),"",ReferenceData!$Q$16),"")</f>
        <v>1.1356999999999999</v>
      </c>
      <c r="R16">
        <f ca="1">IFERROR(IF(0=LEN(ReferenceData!$R$16),"",ReferenceData!$R$16),"")</f>
        <v>1.1408</v>
      </c>
      <c r="S16">
        <f ca="1">IFERROR(IF(0=LEN(ReferenceData!$S$16),"",ReferenceData!$S$16),"")</f>
        <v>1.1629</v>
      </c>
      <c r="T16">
        <f ca="1">IFERROR(IF(0=LEN(ReferenceData!$T$16),"",ReferenceData!$T$16),"")</f>
        <v>1.1916</v>
      </c>
      <c r="U16">
        <f ca="1">IFERROR(IF(0=LEN(ReferenceData!$U$16),"",ReferenceData!$U$16),"")</f>
        <v>1.2287999999999999</v>
      </c>
      <c r="V16">
        <f ca="1">IFERROR(IF(0=LEN(ReferenceData!$V$16),"",ReferenceData!$V$16),"")</f>
        <v>1.1778</v>
      </c>
      <c r="W16">
        <f ca="1">IFERROR(IF(0=LEN(ReferenceData!$W$16),"",ReferenceData!$W$16),"")</f>
        <v>1.1754</v>
      </c>
      <c r="X16">
        <f ca="1">IFERROR(IF(0=LEN(ReferenceData!$X$16),"",ReferenceData!$X$16),"")</f>
        <v>1.1012999999999999</v>
      </c>
      <c r="Y16">
        <f ca="1">IFERROR(IF(0=LEN(ReferenceData!$Y$16),"",ReferenceData!$Y$16),"")</f>
        <v>1.0653999999999999</v>
      </c>
      <c r="Z16">
        <f ca="1">IFERROR(IF(0=LEN(ReferenceData!$Z$16),"",ReferenceData!$Z$16),"")</f>
        <v>1.0779000000000001</v>
      </c>
      <c r="AA16">
        <f ca="1">IFERROR(IF(0=LEN(ReferenceData!$AA$16),"",ReferenceData!$AA$16),"")</f>
        <v>1.1163000000000001</v>
      </c>
      <c r="AB16">
        <f ca="1">IFERROR(IF(0=LEN(ReferenceData!$AB$16),"",ReferenceData!$AB$16),"")</f>
        <v>1.1292</v>
      </c>
      <c r="AC16">
        <f ca="1">IFERROR(IF(0=LEN(ReferenceData!$AC$16),"",ReferenceData!$AC$16),"")</f>
        <v>1.1041000000000001</v>
      </c>
      <c r="AD16">
        <f ca="1">IFERROR(IF(0=LEN(ReferenceData!$AD$16),"",ReferenceData!$AD$16),"")</f>
        <v>1.0952</v>
      </c>
      <c r="AE16">
        <f ca="1">IFERROR(IF(0=LEN(ReferenceData!$AE$16),"",ReferenceData!$AE$16),"")</f>
        <v>1.1125</v>
      </c>
      <c r="AF16">
        <f ca="1">IFERROR(IF(0=LEN(ReferenceData!$AF$16),"",ReferenceData!$AF$16),"")</f>
        <v>1.1069</v>
      </c>
      <c r="AG16">
        <f ca="1">IFERROR(IF(0=LEN(ReferenceData!$AG$16),"",ReferenceData!$AG$16),"")</f>
        <v>1.1268</v>
      </c>
      <c r="AH16">
        <f ca="1">IFERROR(IF(0=LEN(ReferenceData!$AH$16),"",ReferenceData!$AH$16),"")</f>
        <v>1.2487999999999999</v>
      </c>
      <c r="AI16">
        <f ca="1">IFERROR(IF(0=LEN(ReferenceData!$AI$16),"",ReferenceData!$AI$16),"")</f>
        <v>1.3251999999999999</v>
      </c>
      <c r="AJ16">
        <f ca="1">IFERROR(IF(0=LEN(ReferenceData!$AJ$16),"",ReferenceData!$AJ$16),"")</f>
        <v>1.3715999999999999</v>
      </c>
      <c r="AK16">
        <f ca="1">IFERROR(IF(0=LEN(ReferenceData!$AK$16),"",ReferenceData!$AK$16),"")</f>
        <v>1.3704000000000001</v>
      </c>
      <c r="AL16">
        <f ca="1">IFERROR(IF(0=LEN(ReferenceData!$AL$16),"",ReferenceData!$AL$16),"")</f>
        <v>1.3614999999999999</v>
      </c>
      <c r="AM16">
        <f ca="1">IFERROR(IF(0=LEN(ReferenceData!$AM$16),"",ReferenceData!$AM$16),"")</f>
        <v>1.3253999999999999</v>
      </c>
      <c r="AN16">
        <f ca="1">IFERROR(IF(0=LEN(ReferenceData!$AN$16),"",ReferenceData!$AN$16),"")</f>
        <v>1.3062</v>
      </c>
      <c r="AO16">
        <f ca="1">IFERROR(IF(0=LEN(ReferenceData!$AO$16),"",ReferenceData!$AO$16),"")</f>
        <v>1.32</v>
      </c>
      <c r="AP16">
        <f ca="1">IFERROR(IF(0=LEN(ReferenceData!$AP$16),"",ReferenceData!$AP$16),"")</f>
        <v>1.2976000000000001</v>
      </c>
      <c r="AQ16">
        <f ca="1">IFERROR(IF(0=LEN(ReferenceData!$AQ$16),"",ReferenceData!$AQ$16),"")</f>
        <v>1.2511000000000001</v>
      </c>
      <c r="AR16">
        <f ca="1">IFERROR(IF(0=LEN(ReferenceData!$AR$16),"",ReferenceData!$AR$16),"")</f>
        <v>1.2831999999999999</v>
      </c>
      <c r="AS16">
        <f ca="1">IFERROR(IF(0=LEN(ReferenceData!$AS$16),"",ReferenceData!$AS$16),"")</f>
        <v>1.3119000000000001</v>
      </c>
      <c r="AT16">
        <f ca="1">IFERROR(IF(0=LEN(ReferenceData!$AT$16),"",ReferenceData!$AT$16),"")</f>
        <v>1.3472999999999999</v>
      </c>
      <c r="AU16">
        <f ca="1">IFERROR(IF(0=LEN(ReferenceData!$AU$16),"",ReferenceData!$AU$16),"")</f>
        <v>1.4129</v>
      </c>
      <c r="AV16">
        <f ca="1">IFERROR(IF(0=LEN(ReferenceData!$AV$16),"",ReferenceData!$AV$16),"")</f>
        <v>1.4398</v>
      </c>
      <c r="AW16">
        <f ca="1">IFERROR(IF(0=LEN(ReferenceData!$AW$16),"",ReferenceData!$AW$16),"")</f>
        <v>1.3695999999999999</v>
      </c>
      <c r="AX16">
        <f ca="1">IFERROR(IF(0=LEN(ReferenceData!$AX$16),"",ReferenceData!$AX$16),"")</f>
        <v>1.3579000000000001</v>
      </c>
      <c r="AY16">
        <f ca="1">IFERROR(IF(0=LEN(ReferenceData!$AY$16),"",ReferenceData!$AY$16),"")</f>
        <v>1.2930999999999999</v>
      </c>
      <c r="AZ16">
        <f ca="1">IFERROR(IF(0=LEN(ReferenceData!$AZ$16),"",ReferenceData!$AZ$16),"")</f>
        <v>1.2727999999999999</v>
      </c>
      <c r="BA16">
        <f ca="1">IFERROR(IF(0=LEN(ReferenceData!$BA$16),"",ReferenceData!$BA$16),"")</f>
        <v>1.3836999999999999</v>
      </c>
      <c r="BB16">
        <f ca="1">IFERROR(IF(0=LEN(ReferenceData!$BB$16),"",ReferenceData!$BB$16),"")</f>
        <v>1.4765999999999999</v>
      </c>
      <c r="BC16">
        <f ca="1">IFERROR(IF(0=LEN(ReferenceData!$BC$16),"",ReferenceData!$BC$16),"")</f>
        <v>1.4301999999999999</v>
      </c>
      <c r="BD16">
        <f ca="1">IFERROR(IF(0=LEN(ReferenceData!$BD$16),"",ReferenceData!$BD$16),"")</f>
        <v>1.363</v>
      </c>
      <c r="BE16">
        <f ca="1">IFERROR(IF(0=LEN(ReferenceData!$BE$16),"",ReferenceData!$BE$16),"")</f>
        <v>1.3063</v>
      </c>
      <c r="BF16">
        <f ca="1">IFERROR(IF(0=LEN(ReferenceData!$BF$16),"",ReferenceData!$BF$16),"")</f>
        <v>1.3201000000000001</v>
      </c>
      <c r="BG16">
        <f ca="1">IFERROR(IF(0=LEN(ReferenceData!$BG$16),"",ReferenceData!$BG$16),"")</f>
        <v>1.504</v>
      </c>
      <c r="BH16">
        <f ca="1">IFERROR(IF(0=LEN(ReferenceData!$BH$16),"",ReferenceData!$BH$16),"")</f>
        <v>1.5631999999999999</v>
      </c>
      <c r="BI16">
        <f ca="1">IFERROR(IF(0=LEN(ReferenceData!$BI$16),"",ReferenceData!$BI$16),"")</f>
        <v>1.4992000000000001</v>
      </c>
      <c r="BJ16">
        <f ca="1">IFERROR(IF(0=LEN(ReferenceData!$BJ$16),"",ReferenceData!$BJ$16),"")</f>
        <v>1.4483999999999999</v>
      </c>
      <c r="BK16">
        <f ca="1">IFERROR(IF(0=LEN(ReferenceData!$BK$16),"",ReferenceData!$BK$16),"")</f>
        <v>1.3746</v>
      </c>
      <c r="BL16">
        <f ca="1">IFERROR(IF(0=LEN(ReferenceData!$BL$16),"",ReferenceData!$BL$16),"")</f>
        <v>1.3483000000000001</v>
      </c>
      <c r="BM16">
        <f ca="1">IFERROR(IF(0=LEN(ReferenceData!$BM$16),"",ReferenceData!$BM$16),"")</f>
        <v>1.3110999999999999</v>
      </c>
    </row>
    <row r="17" spans="1:65" x14ac:dyDescent="0.25">
      <c r="A17" t="str">
        <f>IFERROR(IF(0=LEN(ReferenceData!$A$17),"",ReferenceData!$A$17),"")</f>
        <v xml:space="preserve">            CNH/JPY</v>
      </c>
      <c r="B17" t="str">
        <f>IFERROR(IF(0=LEN(ReferenceData!$B$17),"",ReferenceData!$B$17),"")</f>
        <v>CNHJPY Curncy</v>
      </c>
      <c r="C17" t="str">
        <f>IFERROR(IF(0=LEN(ReferenceData!$C$17),"",ReferenceData!$C$17),"")</f>
        <v>PX388</v>
      </c>
      <c r="D17" t="str">
        <f>IFERROR(IF(0=LEN(ReferenceData!$D$17),"",ReferenceData!$D$17),"")</f>
        <v>INTERVAL_AVG</v>
      </c>
      <c r="E17" t="str">
        <f>IFERROR(IF(0=LEN(ReferenceData!$E$17),"",ReferenceData!$E$17),"")</f>
        <v>Dynamic</v>
      </c>
      <c r="F17">
        <f ca="1">IFERROR(IF(0=LEN(ReferenceData!$F$17),"",ReferenceData!$F$17),"")</f>
        <v>17.66</v>
      </c>
      <c r="G17">
        <f ca="1">IFERROR(IF(0=LEN(ReferenceData!$G$17),"",ReferenceData!$G$17),"")</f>
        <v>17.012499999999999</v>
      </c>
      <c r="H17">
        <f ca="1">IFERROR(IF(0=LEN(ReferenceData!$H$17),"",ReferenceData!$H$17),"")</f>
        <v>16.945399999999999</v>
      </c>
      <c r="I17">
        <f ca="1">IFERROR(IF(0=LEN(ReferenceData!$I$17),"",ReferenceData!$I$17),"")</f>
        <v>16.362200000000001</v>
      </c>
      <c r="J17">
        <f ca="1">IFERROR(IF(0=LEN(ReferenceData!$J$17),"",ReferenceData!$J$17),"")</f>
        <v>15.805899999999999</v>
      </c>
      <c r="K17">
        <f ca="1">IFERROR(IF(0=LEN(ReferenceData!$K$17),"",ReferenceData!$K$17),"")</f>
        <v>15.3452</v>
      </c>
      <c r="L17">
        <f ca="1">IFERROR(IF(0=LEN(ReferenceData!$L$17),"",ReferenceData!$L$17),"")</f>
        <v>15.1555</v>
      </c>
      <c r="M17">
        <f ca="1">IFERROR(IF(0=LEN(ReferenceData!$M$17),"",ReferenceData!$M$17),"")</f>
        <v>15.595000000000001</v>
      </c>
      <c r="N17">
        <f ca="1">IFERROR(IF(0=LEN(ReferenceData!$N$17),"",ReferenceData!$N$17),"")</f>
        <v>15.4383</v>
      </c>
      <c r="O17">
        <f ca="1">IFERROR(IF(0=LEN(ReferenceData!$O$17),"",ReferenceData!$O$17),"")</f>
        <v>15.6995</v>
      </c>
      <c r="P17">
        <f ca="1">IFERROR(IF(0=LEN(ReferenceData!$P$17),"",ReferenceData!$P$17),"")</f>
        <v>16.100000000000001</v>
      </c>
      <c r="Q17">
        <f ca="1">IFERROR(IF(0=LEN(ReferenceData!$Q$17),"",ReferenceData!$Q$17),"")</f>
        <v>16.305700000000002</v>
      </c>
      <c r="R17">
        <f ca="1">IFERROR(IF(0=LEN(ReferenceData!$R$17),"",ReferenceData!$R$17),"")</f>
        <v>16.303699999999999</v>
      </c>
      <c r="S17">
        <f ca="1">IFERROR(IF(0=LEN(ReferenceData!$S$17),"",ReferenceData!$S$17),"")</f>
        <v>16.366199999999999</v>
      </c>
      <c r="T17">
        <f ca="1">IFERROR(IF(0=LEN(ReferenceData!$T$17),"",ReferenceData!$T$17),"")</f>
        <v>17.125599999999999</v>
      </c>
      <c r="U17">
        <f ca="1">IFERROR(IF(0=LEN(ReferenceData!$U$17),"",ReferenceData!$U$17),"")</f>
        <v>17.048300000000001</v>
      </c>
      <c r="V17">
        <f ca="1">IFERROR(IF(0=LEN(ReferenceData!$V$17),"",ReferenceData!$V$17),"")</f>
        <v>17.072500000000002</v>
      </c>
      <c r="W17">
        <f ca="1">IFERROR(IF(0=LEN(ReferenceData!$W$17),"",ReferenceData!$W$17),"")</f>
        <v>16.632000000000001</v>
      </c>
      <c r="X17">
        <f ca="1">IFERROR(IF(0=LEN(ReferenceData!$X$17),"",ReferenceData!$X$17),"")</f>
        <v>16.215599999999998</v>
      </c>
      <c r="Y17">
        <f ca="1">IFERROR(IF(0=LEN(ReferenceData!$Y$17),"",ReferenceData!$Y$17),"")</f>
        <v>16.554600000000001</v>
      </c>
      <c r="Z17">
        <f ca="1">IFERROR(IF(0=LEN(ReferenceData!$Z$17),"",ReferenceData!$Z$17),"")</f>
        <v>16.002700000000001</v>
      </c>
      <c r="AA17">
        <f ca="1">IFERROR(IF(0=LEN(ReferenceData!$AA$17),"",ReferenceData!$AA$17),"")</f>
        <v>15.337999999999999</v>
      </c>
      <c r="AB17">
        <f ca="1">IFERROR(IF(0=LEN(ReferenceData!$AB$17),"",ReferenceData!$AB$17),"")</f>
        <v>16.497199999999999</v>
      </c>
      <c r="AC17">
        <f ca="1">IFERROR(IF(0=LEN(ReferenceData!$AC$17),"",ReferenceData!$AC$17),"")</f>
        <v>17.5687</v>
      </c>
      <c r="AD17">
        <f ca="1">IFERROR(IF(0=LEN(ReferenceData!$AD$17),"",ReferenceData!$AD$17),"")</f>
        <v>18.8903</v>
      </c>
      <c r="AE17">
        <f ca="1">IFERROR(IF(0=LEN(ReferenceData!$AE$17),"",ReferenceData!$AE$17),"")</f>
        <v>19.2865</v>
      </c>
      <c r="AF17">
        <f ca="1">IFERROR(IF(0=LEN(ReferenceData!$AF$17),"",ReferenceData!$AF$17),"")</f>
        <v>19.556699999999999</v>
      </c>
      <c r="AG17">
        <f ca="1">IFERROR(IF(0=LEN(ReferenceData!$AG$17),"",ReferenceData!$AG$17),"")</f>
        <v>19.081</v>
      </c>
      <c r="AH17">
        <f ca="1">IFERROR(IF(0=LEN(ReferenceData!$AH$17),"",ReferenceData!$AH$17),"")</f>
        <v>18.6022</v>
      </c>
      <c r="AI17">
        <f ca="1">IFERROR(IF(0=LEN(ReferenceData!$AI$17),"",ReferenceData!$AI$17),"")</f>
        <v>16.864000000000001</v>
      </c>
      <c r="AJ17">
        <f ca="1">IFERROR(IF(0=LEN(ReferenceData!$AJ$17),"",ReferenceData!$AJ$17),"")</f>
        <v>16.3916</v>
      </c>
      <c r="AK17">
        <f ca="1">IFERROR(IF(0=LEN(ReferenceData!$AK$17),"",ReferenceData!$AK$17),"")</f>
        <v>16.902100000000001</v>
      </c>
      <c r="AL17">
        <f ca="1">IFERROR(IF(0=LEN(ReferenceData!$AL$17),"",ReferenceData!$AL$17),"")</f>
        <v>16.518000000000001</v>
      </c>
      <c r="AM17">
        <f ca="1">IFERROR(IF(0=LEN(ReferenceData!$AM$17),"",ReferenceData!$AM$17),"")</f>
        <v>16.150700000000001</v>
      </c>
      <c r="AN17">
        <f ca="1">IFERROR(IF(0=LEN(ReferenceData!$AN$17),"",ReferenceData!$AN$17),"")</f>
        <v>16.045999999999999</v>
      </c>
      <c r="AO17">
        <f ca="1">IFERROR(IF(0=LEN(ReferenceData!$AO$17),"",ReferenceData!$AO$17),"")</f>
        <v>14.8507</v>
      </c>
      <c r="AP17">
        <f ca="1">IFERROR(IF(0=LEN(ReferenceData!$AP$17),"",ReferenceData!$AP$17),"")</f>
        <v>13.022399999999999</v>
      </c>
      <c r="AQ17">
        <f ca="1">IFERROR(IF(0=LEN(ReferenceData!$AQ$17),"",ReferenceData!$AQ$17),"")</f>
        <v>12.3697</v>
      </c>
      <c r="AR17">
        <f ca="1">IFERROR(IF(0=LEN(ReferenceData!$AR$17),"",ReferenceData!$AR$17),"")</f>
        <v>12.648</v>
      </c>
      <c r="AS17">
        <f ca="1">IFERROR(IF(0=LEN(ReferenceData!$AS$17),"",ReferenceData!$AS$17),"")</f>
        <v>12.586600000000001</v>
      </c>
      <c r="AT17">
        <f ca="1">IFERROR(IF(0=LEN(ReferenceData!$AT$17),"",ReferenceData!$AT$17),"")</f>
        <v>12.1149</v>
      </c>
      <c r="AU17">
        <f ca="1">IFERROR(IF(0=LEN(ReferenceData!$AU$17),"",ReferenceData!$AU$17),"")</f>
        <v>12.1113</v>
      </c>
      <c r="AV17">
        <f ca="1">IFERROR(IF(0=LEN(ReferenceData!$AV$17),"",ReferenceData!$AV$17),"")</f>
        <v>12.570600000000001</v>
      </c>
      <c r="AW17">
        <f ca="1">IFERROR(IF(0=LEN(ReferenceData!$AW$17),"",ReferenceData!$AW$17),"")</f>
        <v>12.5215</v>
      </c>
      <c r="AX17">
        <f ca="1">IFERROR(IF(0=LEN(ReferenceData!$AX$17),"",ReferenceData!$AX$17),"")</f>
        <v>12.4977</v>
      </c>
      <c r="AY17">
        <f ca="1">IFERROR(IF(0=LEN(ReferenceData!$AY$17),"",ReferenceData!$AY$17),"")</f>
        <v>12.5709</v>
      </c>
      <c r="AZ17">
        <f ca="1">IFERROR(IF(0=LEN(ReferenceData!$AZ$17),"",ReferenceData!$AZ$17),"")</f>
        <v>0</v>
      </c>
      <c r="BA17">
        <f ca="1">IFERROR(IF(0=LEN(ReferenceData!$BA$17),"",ReferenceData!$BA$17),"")</f>
        <v>0</v>
      </c>
      <c r="BB17">
        <f ca="1">IFERROR(IF(0=LEN(ReferenceData!$BB$17),"",ReferenceData!$BB$17),"")</f>
        <v>0</v>
      </c>
      <c r="BC17">
        <f ca="1">IFERROR(IF(0=LEN(ReferenceData!$BC$17),"",ReferenceData!$BC$17),"")</f>
        <v>0</v>
      </c>
      <c r="BD17">
        <f ca="1">IFERROR(IF(0=LEN(ReferenceData!$BD$17),"",ReferenceData!$BD$17),"")</f>
        <v>0</v>
      </c>
      <c r="BE17">
        <f ca="1">IFERROR(IF(0=LEN(ReferenceData!$BE$17),"",ReferenceData!$BE$17),"")</f>
        <v>0</v>
      </c>
      <c r="BF17">
        <f ca="1">IFERROR(IF(0=LEN(ReferenceData!$BF$17),"",ReferenceData!$BF$17),"")</f>
        <v>0</v>
      </c>
      <c r="BG17">
        <f ca="1">IFERROR(IF(0=LEN(ReferenceData!$BG$17),"",ReferenceData!$BG$17),"")</f>
        <v>0</v>
      </c>
      <c r="BH17">
        <f ca="1">IFERROR(IF(0=LEN(ReferenceData!$BH$17),"",ReferenceData!$BH$17),"")</f>
        <v>0</v>
      </c>
      <c r="BI17">
        <f ca="1">IFERROR(IF(0=LEN(ReferenceData!$BI$17),"",ReferenceData!$BI$17),"")</f>
        <v>0</v>
      </c>
      <c r="BJ17">
        <f ca="1">IFERROR(IF(0=LEN(ReferenceData!$BJ$17),"",ReferenceData!$BJ$17),"")</f>
        <v>0</v>
      </c>
      <c r="BK17">
        <f ca="1">IFERROR(IF(0=LEN(ReferenceData!$BK$17),"",ReferenceData!$BK$17),"")</f>
        <v>0</v>
      </c>
      <c r="BL17">
        <f ca="1">IFERROR(IF(0=LEN(ReferenceData!$BL$17),"",ReferenceData!$BL$17),"")</f>
        <v>0</v>
      </c>
      <c r="BM17">
        <f ca="1">IFERROR(IF(0=LEN(ReferenceData!$BM$17),"",ReferenceData!$BM$17),"")</f>
        <v>0</v>
      </c>
    </row>
    <row r="18" spans="1:65" x14ac:dyDescent="0.25">
      <c r="A18" t="str">
        <f>IFERROR(IF(0=LEN(ReferenceData!$A$18),"",ReferenceData!$A$18),"")</f>
        <v xml:space="preserve">    </v>
      </c>
      <c r="B18" t="str">
        <f>IFERROR(IF(0=LEN(ReferenceData!$B$18),"",ReferenceData!$B$18),"")</f>
        <v/>
      </c>
      <c r="C18" t="str">
        <f>IFERROR(IF(0=LEN(ReferenceData!$C$18),"",ReferenceData!$C$18),"")</f>
        <v/>
      </c>
      <c r="D18" t="str">
        <f>IFERROR(IF(0=LEN(ReferenceData!$D$18),"",ReferenceData!$D$18),"")</f>
        <v/>
      </c>
      <c r="E18" t="str">
        <f>IFERROR(IF(0=LEN(ReferenceData!$E$18),"",ReferenceData!$E$18),"")</f>
        <v>Static</v>
      </c>
      <c r="F18" t="str">
        <f ca="1">IFERROR(IF(0=LEN(ReferenceData!$F$18),"",ReferenceData!$F$18),"")</f>
        <v/>
      </c>
      <c r="G18" t="str">
        <f ca="1">IFERROR(IF(0=LEN(ReferenceData!$G$18),"",ReferenceData!$G$18),"")</f>
        <v/>
      </c>
      <c r="H18" t="str">
        <f ca="1">IFERROR(IF(0=LEN(ReferenceData!$H$18),"",ReferenceData!$H$18),"")</f>
        <v/>
      </c>
      <c r="I18" t="str">
        <f ca="1">IFERROR(IF(0=LEN(ReferenceData!$I$18),"",ReferenceData!$I$18),"")</f>
        <v/>
      </c>
      <c r="J18" t="str">
        <f ca="1">IFERROR(IF(0=LEN(ReferenceData!$J$18),"",ReferenceData!$J$18),"")</f>
        <v/>
      </c>
      <c r="K18" t="str">
        <f ca="1">IFERROR(IF(0=LEN(ReferenceData!$K$18),"",ReferenceData!$K$18),"")</f>
        <v/>
      </c>
      <c r="L18" t="str">
        <f ca="1">IFERROR(IF(0=LEN(ReferenceData!$L$18),"",ReferenceData!$L$18),"")</f>
        <v/>
      </c>
      <c r="M18" t="str">
        <f ca="1">IFERROR(IF(0=LEN(ReferenceData!$M$18),"",ReferenceData!$M$18),"")</f>
        <v/>
      </c>
      <c r="N18" t="str">
        <f ca="1">IFERROR(IF(0=LEN(ReferenceData!$N$18),"",ReferenceData!$N$18),"")</f>
        <v/>
      </c>
      <c r="O18" t="str">
        <f ca="1">IFERROR(IF(0=LEN(ReferenceData!$O$18),"",ReferenceData!$O$18),"")</f>
        <v/>
      </c>
      <c r="P18" t="str">
        <f ca="1">IFERROR(IF(0=LEN(ReferenceData!$P$18),"",ReferenceData!$P$18),"")</f>
        <v/>
      </c>
      <c r="Q18" t="str">
        <f ca="1">IFERROR(IF(0=LEN(ReferenceData!$Q$18),"",ReferenceData!$Q$18),"")</f>
        <v/>
      </c>
      <c r="R18" t="str">
        <f ca="1">IFERROR(IF(0=LEN(ReferenceData!$R$18),"",ReferenceData!$R$18),"")</f>
        <v/>
      </c>
      <c r="S18" t="str">
        <f ca="1">IFERROR(IF(0=LEN(ReferenceData!$S$18),"",ReferenceData!$S$18),"")</f>
        <v/>
      </c>
      <c r="T18" t="str">
        <f ca="1">IFERROR(IF(0=LEN(ReferenceData!$T$18),"",ReferenceData!$T$18),"")</f>
        <v/>
      </c>
      <c r="U18" t="str">
        <f ca="1">IFERROR(IF(0=LEN(ReferenceData!$U$18),"",ReferenceData!$U$18),"")</f>
        <v/>
      </c>
      <c r="V18" t="str">
        <f ca="1">IFERROR(IF(0=LEN(ReferenceData!$V$18),"",ReferenceData!$V$18),"")</f>
        <v/>
      </c>
      <c r="W18" t="str">
        <f ca="1">IFERROR(IF(0=LEN(ReferenceData!$W$18),"",ReferenceData!$W$18),"")</f>
        <v/>
      </c>
      <c r="X18" t="str">
        <f ca="1">IFERROR(IF(0=LEN(ReferenceData!$X$18),"",ReferenceData!$X$18),"")</f>
        <v/>
      </c>
      <c r="Y18" t="str">
        <f ca="1">IFERROR(IF(0=LEN(ReferenceData!$Y$18),"",ReferenceData!$Y$18),"")</f>
        <v/>
      </c>
      <c r="Z18" t="str">
        <f ca="1">IFERROR(IF(0=LEN(ReferenceData!$Z$18),"",ReferenceData!$Z$18),"")</f>
        <v/>
      </c>
      <c r="AA18" t="str">
        <f ca="1">IFERROR(IF(0=LEN(ReferenceData!$AA$18),"",ReferenceData!$AA$18),"")</f>
        <v/>
      </c>
      <c r="AB18" t="str">
        <f ca="1">IFERROR(IF(0=LEN(ReferenceData!$AB$18),"",ReferenceData!$AB$18),"")</f>
        <v/>
      </c>
      <c r="AC18" t="str">
        <f ca="1">IFERROR(IF(0=LEN(ReferenceData!$AC$18),"",ReferenceData!$AC$18),"")</f>
        <v/>
      </c>
      <c r="AD18" t="str">
        <f ca="1">IFERROR(IF(0=LEN(ReferenceData!$AD$18),"",ReferenceData!$AD$18),"")</f>
        <v/>
      </c>
      <c r="AE18" t="str">
        <f ca="1">IFERROR(IF(0=LEN(ReferenceData!$AE$18),"",ReferenceData!$AE$18),"")</f>
        <v/>
      </c>
      <c r="AF18" t="str">
        <f ca="1">IFERROR(IF(0=LEN(ReferenceData!$AF$18),"",ReferenceData!$AF$18),"")</f>
        <v/>
      </c>
      <c r="AG18" t="str">
        <f ca="1">IFERROR(IF(0=LEN(ReferenceData!$AG$18),"",ReferenceData!$AG$18),"")</f>
        <v/>
      </c>
      <c r="AH18" t="str">
        <f ca="1">IFERROR(IF(0=LEN(ReferenceData!$AH$18),"",ReferenceData!$AH$18),"")</f>
        <v/>
      </c>
      <c r="AI18" t="str">
        <f ca="1">IFERROR(IF(0=LEN(ReferenceData!$AI$18),"",ReferenceData!$AI$18),"")</f>
        <v/>
      </c>
      <c r="AJ18" t="str">
        <f ca="1">IFERROR(IF(0=LEN(ReferenceData!$AJ$18),"",ReferenceData!$AJ$18),"")</f>
        <v/>
      </c>
      <c r="AK18" t="str">
        <f ca="1">IFERROR(IF(0=LEN(ReferenceData!$AK$18),"",ReferenceData!$AK$18),"")</f>
        <v/>
      </c>
      <c r="AL18" t="str">
        <f ca="1">IFERROR(IF(0=LEN(ReferenceData!$AL$18),"",ReferenceData!$AL$18),"")</f>
        <v/>
      </c>
      <c r="AM18" t="str">
        <f ca="1">IFERROR(IF(0=LEN(ReferenceData!$AM$18),"",ReferenceData!$AM$18),"")</f>
        <v/>
      </c>
      <c r="AN18" t="str">
        <f ca="1">IFERROR(IF(0=LEN(ReferenceData!$AN$18),"",ReferenceData!$AN$18),"")</f>
        <v/>
      </c>
      <c r="AO18" t="str">
        <f ca="1">IFERROR(IF(0=LEN(ReferenceData!$AO$18),"",ReferenceData!$AO$18),"")</f>
        <v/>
      </c>
      <c r="AP18" t="str">
        <f ca="1">IFERROR(IF(0=LEN(ReferenceData!$AP$18),"",ReferenceData!$AP$18),"")</f>
        <v/>
      </c>
      <c r="AQ18" t="str">
        <f ca="1">IFERROR(IF(0=LEN(ReferenceData!$AQ$18),"",ReferenceData!$AQ$18),"")</f>
        <v/>
      </c>
      <c r="AR18" t="str">
        <f ca="1">IFERROR(IF(0=LEN(ReferenceData!$AR$18),"",ReferenceData!$AR$18),"")</f>
        <v/>
      </c>
      <c r="AS18" t="str">
        <f ca="1">IFERROR(IF(0=LEN(ReferenceData!$AS$18),"",ReferenceData!$AS$18),"")</f>
        <v/>
      </c>
      <c r="AT18" t="str">
        <f ca="1">IFERROR(IF(0=LEN(ReferenceData!$AT$18),"",ReferenceData!$AT$18),"")</f>
        <v/>
      </c>
      <c r="AU18" t="str">
        <f ca="1">IFERROR(IF(0=LEN(ReferenceData!$AU$18),"",ReferenceData!$AU$18),"")</f>
        <v/>
      </c>
      <c r="AV18" t="str">
        <f ca="1">IFERROR(IF(0=LEN(ReferenceData!$AV$18),"",ReferenceData!$AV$18),"")</f>
        <v/>
      </c>
      <c r="AW18" t="str">
        <f ca="1">IFERROR(IF(0=LEN(ReferenceData!$AW$18),"",ReferenceData!$AW$18),"")</f>
        <v/>
      </c>
      <c r="AX18" t="str">
        <f ca="1">IFERROR(IF(0=LEN(ReferenceData!$AX$18),"",ReferenceData!$AX$18),"")</f>
        <v/>
      </c>
      <c r="AY18" t="str">
        <f ca="1">IFERROR(IF(0=LEN(ReferenceData!$AY$18),"",ReferenceData!$AY$18),"")</f>
        <v/>
      </c>
      <c r="AZ18" t="str">
        <f ca="1">IFERROR(IF(0=LEN(ReferenceData!$AZ$18),"",ReferenceData!$AZ$18),"")</f>
        <v/>
      </c>
      <c r="BA18" t="str">
        <f ca="1">IFERROR(IF(0=LEN(ReferenceData!$BA$18),"",ReferenceData!$BA$18),"")</f>
        <v/>
      </c>
      <c r="BB18" t="str">
        <f ca="1">IFERROR(IF(0=LEN(ReferenceData!$BB$18),"",ReferenceData!$BB$18),"")</f>
        <v/>
      </c>
      <c r="BC18" t="str">
        <f ca="1">IFERROR(IF(0=LEN(ReferenceData!$BC$18),"",ReferenceData!$BC$18),"")</f>
        <v/>
      </c>
      <c r="BD18" t="str">
        <f ca="1">IFERROR(IF(0=LEN(ReferenceData!$BD$18),"",ReferenceData!$BD$18),"")</f>
        <v/>
      </c>
      <c r="BE18" t="str">
        <f ca="1">IFERROR(IF(0=LEN(ReferenceData!$BE$18),"",ReferenceData!$BE$18),"")</f>
        <v/>
      </c>
      <c r="BF18" t="str">
        <f ca="1">IFERROR(IF(0=LEN(ReferenceData!$BF$18),"",ReferenceData!$BF$18),"")</f>
        <v/>
      </c>
      <c r="BG18" t="str">
        <f ca="1">IFERROR(IF(0=LEN(ReferenceData!$BG$18),"",ReferenceData!$BG$18),"")</f>
        <v/>
      </c>
      <c r="BH18" t="str">
        <f ca="1">IFERROR(IF(0=LEN(ReferenceData!$BH$18),"",ReferenceData!$BH$18),"")</f>
        <v/>
      </c>
      <c r="BI18" t="str">
        <f ca="1">IFERROR(IF(0=LEN(ReferenceData!$BI$18),"",ReferenceData!$BI$18),"")</f>
        <v/>
      </c>
      <c r="BJ18" t="str">
        <f ca="1">IFERROR(IF(0=LEN(ReferenceData!$BJ$18),"",ReferenceData!$BJ$18),"")</f>
        <v/>
      </c>
      <c r="BK18" t="str">
        <f ca="1">IFERROR(IF(0=LEN(ReferenceData!$BK$18),"",ReferenceData!$BK$18),"")</f>
        <v/>
      </c>
      <c r="BL18" t="str">
        <f ca="1">IFERROR(IF(0=LEN(ReferenceData!$BL$18),"",ReferenceData!$BL$18),"")</f>
        <v/>
      </c>
      <c r="BM18" t="str">
        <f ca="1">IFERROR(IF(0=LEN(ReferenceData!$BM$18),"",ReferenceData!$BM$18),"")</f>
        <v/>
      </c>
    </row>
    <row r="19" spans="1:65" x14ac:dyDescent="0.25">
      <c r="A19" t="str">
        <f>IFERROR(IF(0=LEN(ReferenceData!$A$19),"",ReferenceData!$A$19),"")</f>
        <v xml:space="preserve">    Company-Level Industry Statistics</v>
      </c>
      <c r="B19" t="str">
        <f>IFERROR(IF(0=LEN(ReferenceData!$B$19),"",ReferenceData!$B$19),"")</f>
        <v/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Heading</v>
      </c>
      <c r="F19" t="str">
        <f>IFERROR(IF(0=LEN(ReferenceData!$F$19),"",ReferenceData!$F$19),"")</f>
        <v/>
      </c>
      <c r="G19" t="str">
        <f>IFERROR(IF(0=LEN(ReferenceData!$G$19),"",ReferenceData!$G$19),"")</f>
        <v/>
      </c>
      <c r="H19" t="str">
        <f>IFERROR(IF(0=LEN(ReferenceData!$H$19),"",ReferenceData!$H$19),"")</f>
        <v/>
      </c>
      <c r="I19" t="str">
        <f>IFERROR(IF(0=LEN(ReferenceData!$I$19),"",ReferenceData!$I$19),"")</f>
        <v/>
      </c>
      <c r="J19" t="str">
        <f>IFERROR(IF(0=LEN(ReferenceData!$J$19),"",ReferenceData!$J$19),"")</f>
        <v/>
      </c>
      <c r="K19" t="str">
        <f>IFERROR(IF(0=LEN(ReferenceData!$K$19),"",ReferenceData!$K$19),"")</f>
        <v/>
      </c>
      <c r="L19" t="str">
        <f>IFERROR(IF(0=LEN(ReferenceData!$L$19),"",ReferenceData!$L$19),"")</f>
        <v/>
      </c>
      <c r="M19" t="str">
        <f>IFERROR(IF(0=LEN(ReferenceData!$M$19),"",ReferenceData!$M$19),"")</f>
        <v/>
      </c>
      <c r="N19" t="str">
        <f>IFERROR(IF(0=LEN(ReferenceData!$N$19),"",ReferenceData!$N$19),"")</f>
        <v/>
      </c>
      <c r="O19" t="str">
        <f>IFERROR(IF(0=LEN(ReferenceData!$O$19),"",ReferenceData!$O$19),"")</f>
        <v/>
      </c>
      <c r="P19" t="str">
        <f>IFERROR(IF(0=LEN(ReferenceData!$P$19),"",ReferenceData!$P$19),"")</f>
        <v/>
      </c>
      <c r="Q19" t="str">
        <f>IFERROR(IF(0=LEN(ReferenceData!$Q$19),"",ReferenceData!$Q$19),"")</f>
        <v/>
      </c>
      <c r="R19" t="str">
        <f>IFERROR(IF(0=LEN(ReferenceData!$R$19),"",ReferenceData!$R$19),"")</f>
        <v/>
      </c>
      <c r="S19" t="str">
        <f>IFERROR(IF(0=LEN(ReferenceData!$S$19),"",ReferenceData!$S$19),"")</f>
        <v/>
      </c>
      <c r="T19" t="str">
        <f>IFERROR(IF(0=LEN(ReferenceData!$T$19),"",ReferenceData!$T$19),"")</f>
        <v/>
      </c>
      <c r="U19" t="str">
        <f>IFERROR(IF(0=LEN(ReferenceData!$U$19),"",ReferenceData!$U$19),"")</f>
        <v/>
      </c>
      <c r="V19" t="str">
        <f>IFERROR(IF(0=LEN(ReferenceData!$V$19),"",ReferenceData!$V$19),"")</f>
        <v/>
      </c>
      <c r="W19" t="str">
        <f>IFERROR(IF(0=LEN(ReferenceData!$W$19),"",ReferenceData!$W$19),"")</f>
        <v/>
      </c>
      <c r="X19" t="str">
        <f>IFERROR(IF(0=LEN(ReferenceData!$X$19),"",ReferenceData!$X$19),"")</f>
        <v/>
      </c>
      <c r="Y19" t="str">
        <f>IFERROR(IF(0=LEN(ReferenceData!$Y$19),"",ReferenceData!$Y$19),"")</f>
        <v/>
      </c>
      <c r="Z19" t="str">
        <f>IFERROR(IF(0=LEN(ReferenceData!$Z$19),"",ReferenceData!$Z$19),"")</f>
        <v/>
      </c>
      <c r="AA19" t="str">
        <f>IFERROR(IF(0=LEN(ReferenceData!$AA$19),"",ReferenceData!$AA$19),"")</f>
        <v/>
      </c>
      <c r="AB19" t="str">
        <f>IFERROR(IF(0=LEN(ReferenceData!$AB$19),"",ReferenceData!$AB$19),"")</f>
        <v/>
      </c>
      <c r="AC19" t="str">
        <f>IFERROR(IF(0=LEN(ReferenceData!$AC$19),"",ReferenceData!$AC$19),"")</f>
        <v/>
      </c>
      <c r="AD19" t="str">
        <f>IFERROR(IF(0=LEN(ReferenceData!$AD$19),"",ReferenceData!$AD$19),"")</f>
        <v/>
      </c>
      <c r="AE19" t="str">
        <f>IFERROR(IF(0=LEN(ReferenceData!$AE$19),"",ReferenceData!$AE$19),"")</f>
        <v/>
      </c>
      <c r="AF19" t="str">
        <f>IFERROR(IF(0=LEN(ReferenceData!$AF$19),"",ReferenceData!$AF$19),"")</f>
        <v/>
      </c>
      <c r="AG19" t="str">
        <f>IFERROR(IF(0=LEN(ReferenceData!$AG$19),"",ReferenceData!$AG$19),"")</f>
        <v/>
      </c>
      <c r="AH19" t="str">
        <f>IFERROR(IF(0=LEN(ReferenceData!$AH$19),"",ReferenceData!$AH$19),"")</f>
        <v/>
      </c>
      <c r="AI19" t="str">
        <f>IFERROR(IF(0=LEN(ReferenceData!$AI$19),"",ReferenceData!$AI$19),"")</f>
        <v/>
      </c>
      <c r="AJ19" t="str">
        <f>IFERROR(IF(0=LEN(ReferenceData!$AJ$19),"",ReferenceData!$AJ$19),"")</f>
        <v/>
      </c>
      <c r="AK19" t="str">
        <f>IFERROR(IF(0=LEN(ReferenceData!$AK$19),"",ReferenceData!$AK$19),"")</f>
        <v/>
      </c>
      <c r="AL19" t="str">
        <f>IFERROR(IF(0=LEN(ReferenceData!$AL$19),"",ReferenceData!$AL$19),"")</f>
        <v/>
      </c>
      <c r="AM19" t="str">
        <f>IFERROR(IF(0=LEN(ReferenceData!$AM$19),"",ReferenceData!$AM$19),"")</f>
        <v/>
      </c>
      <c r="AN19" t="str">
        <f>IFERROR(IF(0=LEN(ReferenceData!$AN$19),"",ReferenceData!$AN$19),"")</f>
        <v/>
      </c>
      <c r="AO19" t="str">
        <f>IFERROR(IF(0=LEN(ReferenceData!$AO$19),"",ReferenceData!$AO$19),"")</f>
        <v/>
      </c>
      <c r="AP19" t="str">
        <f>IFERROR(IF(0=LEN(ReferenceData!$AP$19),"",ReferenceData!$AP$19),"")</f>
        <v/>
      </c>
      <c r="AQ19" t="str">
        <f>IFERROR(IF(0=LEN(ReferenceData!$AQ$19),"",ReferenceData!$AQ$19),"")</f>
        <v/>
      </c>
      <c r="AR19" t="str">
        <f>IFERROR(IF(0=LEN(ReferenceData!$AR$19),"",ReferenceData!$AR$19),"")</f>
        <v/>
      </c>
      <c r="AS19" t="str">
        <f>IFERROR(IF(0=LEN(ReferenceData!$AS$19),"",ReferenceData!$AS$19),"")</f>
        <v/>
      </c>
      <c r="AT19" t="str">
        <f>IFERROR(IF(0=LEN(ReferenceData!$AT$19),"",ReferenceData!$AT$19),"")</f>
        <v/>
      </c>
      <c r="AU19" t="str">
        <f>IFERROR(IF(0=LEN(ReferenceData!$AU$19),"",ReferenceData!$AU$19),"")</f>
        <v/>
      </c>
      <c r="AV19" t="str">
        <f>IFERROR(IF(0=LEN(ReferenceData!$AV$19),"",ReferenceData!$AV$19),"")</f>
        <v/>
      </c>
      <c r="AW19" t="str">
        <f>IFERROR(IF(0=LEN(ReferenceData!$AW$19),"",ReferenceData!$AW$19),"")</f>
        <v/>
      </c>
      <c r="AX19" t="str">
        <f>IFERROR(IF(0=LEN(ReferenceData!$AX$19),"",ReferenceData!$AX$19),"")</f>
        <v/>
      </c>
      <c r="AY19" t="str">
        <f>IFERROR(IF(0=LEN(ReferenceData!$AY$19),"",ReferenceData!$AY$19),"")</f>
        <v/>
      </c>
      <c r="AZ19" t="str">
        <f>IFERROR(IF(0=LEN(ReferenceData!$AZ$19),"",ReferenceData!$AZ$19),"")</f>
        <v/>
      </c>
      <c r="BA19" t="str">
        <f>IFERROR(IF(0=LEN(ReferenceData!$BA$19),"",ReferenceData!$BA$19),"")</f>
        <v/>
      </c>
      <c r="BB19" t="str">
        <f>IFERROR(IF(0=LEN(ReferenceData!$BB$19),"",ReferenceData!$BB$19),"")</f>
        <v/>
      </c>
      <c r="BC19" t="str">
        <f>IFERROR(IF(0=LEN(ReferenceData!$BC$19),"",ReferenceData!$BC$19),"")</f>
        <v/>
      </c>
      <c r="BD19" t="str">
        <f>IFERROR(IF(0=LEN(ReferenceData!$BD$19),"",ReferenceData!$BD$19),"")</f>
        <v/>
      </c>
      <c r="BE19" t="str">
        <f>IFERROR(IF(0=LEN(ReferenceData!$BE$19),"",ReferenceData!$BE$19),"")</f>
        <v/>
      </c>
      <c r="BF19" t="str">
        <f>IFERROR(IF(0=LEN(ReferenceData!$BF$19),"",ReferenceData!$BF$19),"")</f>
        <v/>
      </c>
      <c r="BG19" t="str">
        <f>IFERROR(IF(0=LEN(ReferenceData!$BG$19),"",ReferenceData!$BG$19),"")</f>
        <v/>
      </c>
      <c r="BH19" t="str">
        <f>IFERROR(IF(0=LEN(ReferenceData!$BH$19),"",ReferenceData!$BH$19),"")</f>
        <v/>
      </c>
      <c r="BI19" t="str">
        <f>IFERROR(IF(0=LEN(ReferenceData!$BI$19),"",ReferenceData!$BI$19),"")</f>
        <v/>
      </c>
      <c r="BJ19" t="str">
        <f>IFERROR(IF(0=LEN(ReferenceData!$BJ$19),"",ReferenceData!$BJ$19),"")</f>
        <v/>
      </c>
      <c r="BK19" t="str">
        <f>IFERROR(IF(0=LEN(ReferenceData!$BK$19),"",ReferenceData!$BK$19),"")</f>
        <v/>
      </c>
      <c r="BL19" t="str">
        <f>IFERROR(IF(0=LEN(ReferenceData!$BL$19),"",ReferenceData!$BL$19),"")</f>
        <v/>
      </c>
      <c r="BM19" t="str">
        <f>IFERROR(IF(0=LEN(ReferenceData!$BM$19),"",ReferenceData!$BM$19),"")</f>
        <v/>
      </c>
    </row>
    <row r="20" spans="1:65" x14ac:dyDescent="0.25">
      <c r="A20" t="str">
        <f>IFERROR(IF(0=LEN(ReferenceData!$A$20),"",ReferenceData!$A$20),"")</f>
        <v xml:space="preserve">        </v>
      </c>
      <c r="B20" t="str">
        <f>IFERROR(IF(0=LEN(ReferenceData!$B$20),"",ReferenceData!$B$20),"")</f>
        <v/>
      </c>
      <c r="C20" t="str">
        <f>IFERROR(IF(0=LEN(ReferenceData!$C$20),"",ReferenceData!$C$20),"")</f>
        <v/>
      </c>
      <c r="D20" t="str">
        <f>IFERROR(IF(0=LEN(ReferenceData!$D$20),"",ReferenceData!$D$20),"")</f>
        <v/>
      </c>
      <c r="E20" t="str">
        <f>IFERROR(IF(0=LEN(ReferenceData!$E$20),"",ReferenceData!$E$20),"")</f>
        <v>Static</v>
      </c>
      <c r="F20" t="str">
        <f ca="1">IFERROR(IF(0=LEN(ReferenceData!$F$20),"",ReferenceData!$F$20),"")</f>
        <v/>
      </c>
      <c r="G20" t="str">
        <f ca="1">IFERROR(IF(0=LEN(ReferenceData!$G$20),"",ReferenceData!$G$20),"")</f>
        <v/>
      </c>
      <c r="H20" t="str">
        <f ca="1">IFERROR(IF(0=LEN(ReferenceData!$H$20),"",ReferenceData!$H$20),"")</f>
        <v/>
      </c>
      <c r="I20" t="str">
        <f ca="1">IFERROR(IF(0=LEN(ReferenceData!$I$20),"",ReferenceData!$I$20),"")</f>
        <v/>
      </c>
      <c r="J20" t="str">
        <f ca="1">IFERROR(IF(0=LEN(ReferenceData!$J$20),"",ReferenceData!$J$20),"")</f>
        <v/>
      </c>
      <c r="K20" t="str">
        <f ca="1">IFERROR(IF(0=LEN(ReferenceData!$K$20),"",ReferenceData!$K$20),"")</f>
        <v/>
      </c>
      <c r="L20" t="str">
        <f ca="1">IFERROR(IF(0=LEN(ReferenceData!$L$20),"",ReferenceData!$L$20),"")</f>
        <v/>
      </c>
      <c r="M20" t="str">
        <f ca="1">IFERROR(IF(0=LEN(ReferenceData!$M$20),"",ReferenceData!$M$20),"")</f>
        <v/>
      </c>
      <c r="N20" t="str">
        <f ca="1">IFERROR(IF(0=LEN(ReferenceData!$N$20),"",ReferenceData!$N$20),"")</f>
        <v/>
      </c>
      <c r="O20" t="str">
        <f ca="1">IFERROR(IF(0=LEN(ReferenceData!$O$20),"",ReferenceData!$O$20),"")</f>
        <v/>
      </c>
      <c r="P20" t="str">
        <f ca="1">IFERROR(IF(0=LEN(ReferenceData!$P$20),"",ReferenceData!$P$20),"")</f>
        <v/>
      </c>
      <c r="Q20" t="str">
        <f ca="1">IFERROR(IF(0=LEN(ReferenceData!$Q$20),"",ReferenceData!$Q$20),"")</f>
        <v/>
      </c>
      <c r="R20" t="str">
        <f ca="1">IFERROR(IF(0=LEN(ReferenceData!$R$20),"",ReferenceData!$R$20),"")</f>
        <v/>
      </c>
      <c r="S20" t="str">
        <f ca="1">IFERROR(IF(0=LEN(ReferenceData!$S$20),"",ReferenceData!$S$20),"")</f>
        <v/>
      </c>
      <c r="T20" t="str">
        <f ca="1">IFERROR(IF(0=LEN(ReferenceData!$T$20),"",ReferenceData!$T$20),"")</f>
        <v/>
      </c>
      <c r="U20" t="str">
        <f ca="1">IFERROR(IF(0=LEN(ReferenceData!$U$20),"",ReferenceData!$U$20),"")</f>
        <v/>
      </c>
      <c r="V20" t="str">
        <f ca="1">IFERROR(IF(0=LEN(ReferenceData!$V$20),"",ReferenceData!$V$20),"")</f>
        <v/>
      </c>
      <c r="W20" t="str">
        <f ca="1">IFERROR(IF(0=LEN(ReferenceData!$W$20),"",ReferenceData!$W$20),"")</f>
        <v/>
      </c>
      <c r="X20" t="str">
        <f ca="1">IFERROR(IF(0=LEN(ReferenceData!$X$20),"",ReferenceData!$X$20),"")</f>
        <v/>
      </c>
      <c r="Y20" t="str">
        <f ca="1">IFERROR(IF(0=LEN(ReferenceData!$Y$20),"",ReferenceData!$Y$20),"")</f>
        <v/>
      </c>
      <c r="Z20" t="str">
        <f ca="1">IFERROR(IF(0=LEN(ReferenceData!$Z$20),"",ReferenceData!$Z$20),"")</f>
        <v/>
      </c>
      <c r="AA20" t="str">
        <f ca="1">IFERROR(IF(0=LEN(ReferenceData!$AA$20),"",ReferenceData!$AA$20),"")</f>
        <v/>
      </c>
      <c r="AB20" t="str">
        <f ca="1">IFERROR(IF(0=LEN(ReferenceData!$AB$20),"",ReferenceData!$AB$20),"")</f>
        <v/>
      </c>
      <c r="AC20" t="str">
        <f ca="1">IFERROR(IF(0=LEN(ReferenceData!$AC$20),"",ReferenceData!$AC$20),"")</f>
        <v/>
      </c>
      <c r="AD20" t="str">
        <f ca="1">IFERROR(IF(0=LEN(ReferenceData!$AD$20),"",ReferenceData!$AD$20),"")</f>
        <v/>
      </c>
      <c r="AE20" t="str">
        <f ca="1">IFERROR(IF(0=LEN(ReferenceData!$AE$20),"",ReferenceData!$AE$20),"")</f>
        <v/>
      </c>
      <c r="AF20" t="str">
        <f ca="1">IFERROR(IF(0=LEN(ReferenceData!$AF$20),"",ReferenceData!$AF$20),"")</f>
        <v/>
      </c>
      <c r="AG20" t="str">
        <f ca="1">IFERROR(IF(0=LEN(ReferenceData!$AG$20),"",ReferenceData!$AG$20),"")</f>
        <v/>
      </c>
      <c r="AH20" t="str">
        <f ca="1">IFERROR(IF(0=LEN(ReferenceData!$AH$20),"",ReferenceData!$AH$20),"")</f>
        <v/>
      </c>
      <c r="AI20" t="str">
        <f ca="1">IFERROR(IF(0=LEN(ReferenceData!$AI$20),"",ReferenceData!$AI$20),"")</f>
        <v/>
      </c>
      <c r="AJ20" t="str">
        <f ca="1">IFERROR(IF(0=LEN(ReferenceData!$AJ$20),"",ReferenceData!$AJ$20),"")</f>
        <v/>
      </c>
      <c r="AK20" t="str">
        <f ca="1">IFERROR(IF(0=LEN(ReferenceData!$AK$20),"",ReferenceData!$AK$20),"")</f>
        <v/>
      </c>
      <c r="AL20" t="str">
        <f ca="1">IFERROR(IF(0=LEN(ReferenceData!$AL$20),"",ReferenceData!$AL$20),"")</f>
        <v/>
      </c>
      <c r="AM20" t="str">
        <f ca="1">IFERROR(IF(0=LEN(ReferenceData!$AM$20),"",ReferenceData!$AM$20),"")</f>
        <v/>
      </c>
      <c r="AN20" t="str">
        <f ca="1">IFERROR(IF(0=LEN(ReferenceData!$AN$20),"",ReferenceData!$AN$20),"")</f>
        <v/>
      </c>
      <c r="AO20" t="str">
        <f ca="1">IFERROR(IF(0=LEN(ReferenceData!$AO$20),"",ReferenceData!$AO$20),"")</f>
        <v/>
      </c>
      <c r="AP20" t="str">
        <f ca="1">IFERROR(IF(0=LEN(ReferenceData!$AP$20),"",ReferenceData!$AP$20),"")</f>
        <v/>
      </c>
      <c r="AQ20" t="str">
        <f ca="1">IFERROR(IF(0=LEN(ReferenceData!$AQ$20),"",ReferenceData!$AQ$20),"")</f>
        <v/>
      </c>
      <c r="AR20" t="str">
        <f ca="1">IFERROR(IF(0=LEN(ReferenceData!$AR$20),"",ReferenceData!$AR$20),"")</f>
        <v/>
      </c>
      <c r="AS20" t="str">
        <f ca="1">IFERROR(IF(0=LEN(ReferenceData!$AS$20),"",ReferenceData!$AS$20),"")</f>
        <v/>
      </c>
      <c r="AT20" t="str">
        <f ca="1">IFERROR(IF(0=LEN(ReferenceData!$AT$20),"",ReferenceData!$AT$20),"")</f>
        <v/>
      </c>
      <c r="AU20" t="str">
        <f ca="1">IFERROR(IF(0=LEN(ReferenceData!$AU$20),"",ReferenceData!$AU$20),"")</f>
        <v/>
      </c>
      <c r="AV20" t="str">
        <f ca="1">IFERROR(IF(0=LEN(ReferenceData!$AV$20),"",ReferenceData!$AV$20),"")</f>
        <v/>
      </c>
      <c r="AW20" t="str">
        <f ca="1">IFERROR(IF(0=LEN(ReferenceData!$AW$20),"",ReferenceData!$AW$20),"")</f>
        <v/>
      </c>
      <c r="AX20" t="str">
        <f ca="1">IFERROR(IF(0=LEN(ReferenceData!$AX$20),"",ReferenceData!$AX$20),"")</f>
        <v/>
      </c>
      <c r="AY20" t="str">
        <f ca="1">IFERROR(IF(0=LEN(ReferenceData!$AY$20),"",ReferenceData!$AY$20),"")</f>
        <v/>
      </c>
      <c r="AZ20" t="str">
        <f ca="1">IFERROR(IF(0=LEN(ReferenceData!$AZ$20),"",ReferenceData!$AZ$20),"")</f>
        <v/>
      </c>
      <c r="BA20" t="str">
        <f ca="1">IFERROR(IF(0=LEN(ReferenceData!$BA$20),"",ReferenceData!$BA$20),"")</f>
        <v/>
      </c>
      <c r="BB20" t="str">
        <f ca="1">IFERROR(IF(0=LEN(ReferenceData!$BB$20),"",ReferenceData!$BB$20),"")</f>
        <v/>
      </c>
      <c r="BC20" t="str">
        <f ca="1">IFERROR(IF(0=LEN(ReferenceData!$BC$20),"",ReferenceData!$BC$20),"")</f>
        <v/>
      </c>
      <c r="BD20" t="str">
        <f ca="1">IFERROR(IF(0=LEN(ReferenceData!$BD$20),"",ReferenceData!$BD$20),"")</f>
        <v/>
      </c>
      <c r="BE20" t="str">
        <f ca="1">IFERROR(IF(0=LEN(ReferenceData!$BE$20),"",ReferenceData!$BE$20),"")</f>
        <v/>
      </c>
      <c r="BF20" t="str">
        <f ca="1">IFERROR(IF(0=LEN(ReferenceData!$BF$20),"",ReferenceData!$BF$20),"")</f>
        <v/>
      </c>
      <c r="BG20" t="str">
        <f ca="1">IFERROR(IF(0=LEN(ReferenceData!$BG$20),"",ReferenceData!$BG$20),"")</f>
        <v/>
      </c>
      <c r="BH20" t="str">
        <f ca="1">IFERROR(IF(0=LEN(ReferenceData!$BH$20),"",ReferenceData!$BH$20),"")</f>
        <v/>
      </c>
      <c r="BI20" t="str">
        <f ca="1">IFERROR(IF(0=LEN(ReferenceData!$BI$20),"",ReferenceData!$BI$20),"")</f>
        <v/>
      </c>
      <c r="BJ20" t="str">
        <f ca="1">IFERROR(IF(0=LEN(ReferenceData!$BJ$20),"",ReferenceData!$BJ$20),"")</f>
        <v/>
      </c>
      <c r="BK20" t="str">
        <f ca="1">IFERROR(IF(0=LEN(ReferenceData!$BK$20),"",ReferenceData!$BK$20),"")</f>
        <v/>
      </c>
      <c r="BL20" t="str">
        <f ca="1">IFERROR(IF(0=LEN(ReferenceData!$BL$20),"",ReferenceData!$BL$20),"")</f>
        <v/>
      </c>
      <c r="BM20" t="str">
        <f ca="1">IFERROR(IF(0=LEN(ReferenceData!$BM$20),"",ReferenceData!$BM$20),"")</f>
        <v/>
      </c>
    </row>
    <row r="21" spans="1:65" x14ac:dyDescent="0.25">
      <c r="A21" t="str">
        <f>IFERROR(IF(0=LEN(ReferenceData!$A$21),"",ReferenceData!$A$21),"")</f>
        <v xml:space="preserve">        Total Sales Growth (%)</v>
      </c>
      <c r="B21" t="str">
        <f>IFERROR(IF(0=LEN(ReferenceData!$B$21),"",ReferenceData!$B$21),"")</f>
        <v>KER FP Equity</v>
      </c>
      <c r="C21" t="str">
        <f>IFERROR(IF(0=LEN(ReferenceData!$C$21),"",ReferenceData!$C$21),"")</f>
        <v>RR033</v>
      </c>
      <c r="D21" t="str">
        <f>IFERROR(IF(0=LEN(ReferenceData!$D$21),"",ReferenceData!$D$21),"")</f>
        <v>SALES_GROWTH</v>
      </c>
      <c r="E21" t="str">
        <f>IFERROR(IF(0=LEN(ReferenceData!$E$21),"",ReferenceData!$E$21),"")</f>
        <v>Dynamic</v>
      </c>
      <c r="F21" t="str">
        <f ca="1">IFERROR(IF(0=LEN(ReferenceData!$F$21),"",ReferenceData!$F$21),"")</f>
        <v/>
      </c>
      <c r="G21">
        <f ca="1">IFERROR(IF(0=LEN(ReferenceData!$G$21),"",ReferenceData!$G$21),"")</f>
        <v>12.644914869999999</v>
      </c>
      <c r="H21">
        <f ca="1">IFERROR(IF(0=LEN(ReferenceData!$H$21),"",ReferenceData!$H$21),"")</f>
        <v>91.126844739999996</v>
      </c>
      <c r="I21">
        <f ca="1">IFERROR(IF(0=LEN(ReferenceData!$I$21),"",ReferenceData!$I$21),"")</f>
        <v>21.441058940000001</v>
      </c>
      <c r="J21">
        <f ca="1">IFERROR(IF(0=LEN(ReferenceData!$J$21),"",ReferenceData!$J$21),"")</f>
        <v>-8.1710812980000007</v>
      </c>
      <c r="K21">
        <f ca="1">IFERROR(IF(0=LEN(ReferenceData!$K$21),"",ReferenceData!$K$21),"")</f>
        <v>-4.2964526589999998</v>
      </c>
      <c r="L21">
        <f ca="1">IFERROR(IF(0=LEN(ReferenceData!$L$21),"",ReferenceData!$L$21),"")</f>
        <v>-43.54934987</v>
      </c>
      <c r="M21">
        <f ca="1">IFERROR(IF(0=LEN(ReferenceData!$M$21),"",ReferenceData!$M$21),"")</f>
        <v>-15.377909280000001</v>
      </c>
      <c r="N21">
        <f ca="1">IFERROR(IF(0=LEN(ReferenceData!$N$21),"",ReferenceData!$N$21),"")</f>
        <v>13.86901342</v>
      </c>
      <c r="O21">
        <f ca="1">IFERROR(IF(0=LEN(ReferenceData!$O$21),"",ReferenceData!$O$21),"")</f>
        <v>14.18577307</v>
      </c>
      <c r="P21">
        <f ca="1">IFERROR(IF(0=LEN(ReferenceData!$P$21),"",ReferenceData!$P$21),"")</f>
        <v>15.8478653</v>
      </c>
      <c r="Q21">
        <f ca="1">IFERROR(IF(0=LEN(ReferenceData!$Q$21),"",ReferenceData!$Q$21),"")</f>
        <v>21.862726160000001</v>
      </c>
      <c r="R21">
        <f ca="1">IFERROR(IF(0=LEN(ReferenceData!$R$21),"",ReferenceData!$R$21),"")</f>
        <v>-10.034065549999999</v>
      </c>
      <c r="S21">
        <f ca="1">IFERROR(IF(0=LEN(ReferenceData!$S$21),"",ReferenceData!$S$21),"")</f>
        <v>27.64520486</v>
      </c>
      <c r="T21">
        <f ca="1">IFERROR(IF(0=LEN(ReferenceData!$T$21),"",ReferenceData!$T$21),"")</f>
        <v>26.57938803</v>
      </c>
      <c r="U21">
        <f ca="1">IFERROR(IF(0=LEN(ReferenceData!$U$21),"",ReferenceData!$U$21),"")</f>
        <v>27.022164060000001</v>
      </c>
      <c r="V21">
        <f ca="1">IFERROR(IF(0=LEN(ReferenceData!$V$21),"",ReferenceData!$V$21),"")</f>
        <v>21.36116101</v>
      </c>
      <c r="W21">
        <f ca="1">IFERROR(IF(0=LEN(ReferenceData!$W$21),"",ReferenceData!$W$21),"")</f>
        <v>-16.312368509999999</v>
      </c>
      <c r="X21">
        <f ca="1">IFERROR(IF(0=LEN(ReferenceData!$X$21),"",ReferenceData!$X$21),"")</f>
        <v>-11.501801889999999</v>
      </c>
      <c r="Y21">
        <f ca="1">IFERROR(IF(0=LEN(ReferenceData!$Y$21),"",ReferenceData!$Y$21),"")</f>
        <v>31.1953888</v>
      </c>
      <c r="Z21">
        <f ca="1">IFERROR(IF(0=LEN(ReferenceData!$Z$21),"",ReferenceData!$Z$21),"")</f>
        <v>10.41397765</v>
      </c>
      <c r="AA21">
        <f ca="1">IFERROR(IF(0=LEN(ReferenceData!$AA$21),"",ReferenceData!$AA$21),"")</f>
        <v>9.9993092010000009</v>
      </c>
      <c r="AB21">
        <f ca="1">IFERROR(IF(0=LEN(ReferenceData!$AB$21),"",ReferenceData!$AB$21),"")</f>
        <v>3.7675182610000002</v>
      </c>
      <c r="AC21">
        <f ca="1">IFERROR(IF(0=LEN(ReferenceData!$AC$21),"",ReferenceData!$AC$21),"")</f>
        <v>2.7461335349999998</v>
      </c>
      <c r="AD21">
        <f ca="1">IFERROR(IF(0=LEN(ReferenceData!$AD$21),"",ReferenceData!$AD$21),"")</f>
        <v>15.85454811</v>
      </c>
      <c r="AE21">
        <f ca="1">IFERROR(IF(0=LEN(ReferenceData!$AE$21),"",ReferenceData!$AE$21),"")</f>
        <v>11.987003440000001</v>
      </c>
      <c r="AF21">
        <f ca="1">IFERROR(IF(0=LEN(ReferenceData!$AF$21),"",ReferenceData!$AF$21),"")</f>
        <v>21.79891027</v>
      </c>
      <c r="AG21">
        <f ca="1">IFERROR(IF(0=LEN(ReferenceData!$AG$21),"",ReferenceData!$AG$21),"")</f>
        <v>10.55045872</v>
      </c>
      <c r="AH21">
        <f ca="1">IFERROR(IF(0=LEN(ReferenceData!$AH$21),"",ReferenceData!$AH$21),"")</f>
        <v>8.7196161619999994</v>
      </c>
      <c r="AI21">
        <f ca="1">IFERROR(IF(0=LEN(ReferenceData!$AI$21),"",ReferenceData!$AI$21),"")</f>
        <v>2.4692826000000001</v>
      </c>
      <c r="AJ21">
        <f ca="1">IFERROR(IF(0=LEN(ReferenceData!$AJ$21),"",ReferenceData!$AJ$21),"")</f>
        <v>1.785095321</v>
      </c>
      <c r="AK21">
        <f ca="1">IFERROR(IF(0=LEN(ReferenceData!$AK$21),"",ReferenceData!$AK$21),"")</f>
        <v>1.164360445</v>
      </c>
      <c r="AL21">
        <f ca="1">IFERROR(IF(0=LEN(ReferenceData!$AL$21),"",ReferenceData!$AL$21),"")</f>
        <v>-1.572867067</v>
      </c>
      <c r="AM21">
        <f ca="1">IFERROR(IF(0=LEN(ReferenceData!$AM$21),"",ReferenceData!$AM$21),"")</f>
        <v>-1.4607092639999999</v>
      </c>
      <c r="AN21">
        <f ca="1">IFERROR(IF(0=LEN(ReferenceData!$AN$21),"",ReferenceData!$AN$21),"")</f>
        <v>1.593450128</v>
      </c>
      <c r="AO21">
        <f ca="1">IFERROR(IF(0=LEN(ReferenceData!$AO$21),"",ReferenceData!$AO$21),"")</f>
        <v>1.2169605880000001</v>
      </c>
      <c r="AP21">
        <f ca="1">IFERROR(IF(0=LEN(ReferenceData!$AP$21),"",ReferenceData!$AP$21),"")</f>
        <v>27.548785339999998</v>
      </c>
      <c r="AQ21">
        <f ca="1">IFERROR(IF(0=LEN(ReferenceData!$AQ$21),"",ReferenceData!$AQ$21),"")</f>
        <v>-33.615079469999998</v>
      </c>
      <c r="AR21">
        <f ca="1">IFERROR(IF(0=LEN(ReferenceData!$AR$21),"",ReferenceData!$AR$21),"")</f>
        <v>-14.27816769</v>
      </c>
      <c r="AS21">
        <f ca="1">IFERROR(IF(0=LEN(ReferenceData!$AS$21),"",ReferenceData!$AS$21),"")</f>
        <v>-17.006875040000001</v>
      </c>
      <c r="AT21">
        <f ca="1">IFERROR(IF(0=LEN(ReferenceData!$AT$21),"",ReferenceData!$AT$21),"")</f>
        <v>-52.688475939999996</v>
      </c>
      <c r="AU21">
        <f ca="1">IFERROR(IF(0=LEN(ReferenceData!$AU$21),"",ReferenceData!$AU$21),"")</f>
        <v>8.0303624449999997</v>
      </c>
      <c r="AV21">
        <f ca="1">IFERROR(IF(0=LEN(ReferenceData!$AV$21),"",ReferenceData!$AV$21),"")</f>
        <v>-33.91022444</v>
      </c>
      <c r="AW21">
        <f ca="1">IFERROR(IF(0=LEN(ReferenceData!$AW$21),"",ReferenceData!$AW$21),"")</f>
        <v>-16.99611719</v>
      </c>
      <c r="AX21">
        <f ca="1">IFERROR(IF(0=LEN(ReferenceData!$AX$21),"",ReferenceData!$AX$21),"")</f>
        <v>-10.14348599</v>
      </c>
      <c r="AY21">
        <f ca="1">IFERROR(IF(0=LEN(ReferenceData!$AY$21),"",ReferenceData!$AY$21),"")</f>
        <v>-21.761048219999999</v>
      </c>
      <c r="AZ21">
        <f ca="1">IFERROR(IF(0=LEN(ReferenceData!$AZ$21),"",ReferenceData!$AZ$21),"")</f>
        <v>-10.055402279999999</v>
      </c>
      <c r="BA21">
        <f ca="1">IFERROR(IF(0=LEN(ReferenceData!$BA$21),"",ReferenceData!$BA$21),"")</f>
        <v>-28.83399623</v>
      </c>
      <c r="BB21" t="str">
        <f ca="1">IFERROR(IF(0=LEN(ReferenceData!$BB$21),"",ReferenceData!$BB$21),"")</f>
        <v/>
      </c>
      <c r="BC21" t="str">
        <f ca="1">IFERROR(IF(0=LEN(ReferenceData!$BC$21),"",ReferenceData!$BC$21),"")</f>
        <v/>
      </c>
      <c r="BD21" t="str">
        <f ca="1">IFERROR(IF(0=LEN(ReferenceData!$BD$21),"",ReferenceData!$BD$21),"")</f>
        <v/>
      </c>
      <c r="BE21" t="str">
        <f ca="1">IFERROR(IF(0=LEN(ReferenceData!$BE$21),"",ReferenceData!$BE$21),"")</f>
        <v/>
      </c>
      <c r="BF21" t="str">
        <f ca="1">IFERROR(IF(0=LEN(ReferenceData!$BF$21),"",ReferenceData!$BF$21),"")</f>
        <v/>
      </c>
      <c r="BG21" t="str">
        <f ca="1">IFERROR(IF(0=LEN(ReferenceData!$BG$21),"",ReferenceData!$BG$21),"")</f>
        <v/>
      </c>
      <c r="BH21" t="str">
        <f ca="1">IFERROR(IF(0=LEN(ReferenceData!$BH$21),"",ReferenceData!$BH$21),"")</f>
        <v/>
      </c>
      <c r="BI21" t="str">
        <f ca="1">IFERROR(IF(0=LEN(ReferenceData!$BI$21),"",ReferenceData!$BI$21),"")</f>
        <v/>
      </c>
      <c r="BJ21" t="str">
        <f ca="1">IFERROR(IF(0=LEN(ReferenceData!$BJ$21),"",ReferenceData!$BJ$21),"")</f>
        <v/>
      </c>
      <c r="BK21" t="str">
        <f ca="1">IFERROR(IF(0=LEN(ReferenceData!$BK$21),"",ReferenceData!$BK$21),"")</f>
        <v/>
      </c>
      <c r="BL21" t="str">
        <f ca="1">IFERROR(IF(0=LEN(ReferenceData!$BL$21),"",ReferenceData!$BL$21),"")</f>
        <v/>
      </c>
      <c r="BM21" t="str">
        <f ca="1">IFERROR(IF(0=LEN(ReferenceData!$BM$21),"",ReferenceData!$BM$21),"")</f>
        <v/>
      </c>
    </row>
    <row r="22" spans="1:65" x14ac:dyDescent="0.25">
      <c r="A22" t="str">
        <f>IFERROR(IF(0=LEN(ReferenceData!$A$22),"",ReferenceData!$A$22),"")</f>
        <v xml:space="preserve">            Luxury Division</v>
      </c>
      <c r="B22" t="str">
        <f>IFERROR(IF(0=LEN(ReferenceData!$B$22),"",ReferenceData!$B$22),"")</f>
        <v>KER FP Equity</v>
      </c>
      <c r="C22" t="str">
        <f>IFERROR(IF(0=LEN(ReferenceData!$C$22),"",ReferenceData!$C$22),"")</f>
        <v>BI047</v>
      </c>
      <c r="D22" t="str">
        <f>IFERROR(IF(0=LEN(ReferenceData!$D$22),"",ReferenceData!$D$22),"")</f>
        <v>BICS_SEGMENT_DATA</v>
      </c>
      <c r="E22" t="str">
        <f>IFERROR(IF(0=LEN(ReferenceData!$E$22),"",ReferenceData!$E$22),"")</f>
        <v>Dynamic</v>
      </c>
      <c r="F22" t="str">
        <f ca="1">IFERROR(IF(0=LEN(ReferenceData!$F$22),"",ReferenceData!$F$22),"")</f>
        <v/>
      </c>
      <c r="G22">
        <f ca="1">IFERROR(IF(0=LEN(ReferenceData!$G$22),"",ReferenceData!$G$22),"")</f>
        <v>12.3</v>
      </c>
      <c r="H22">
        <f ca="1">IFERROR(IF(0=LEN(ReferenceData!$H$22),"",ReferenceData!$H$22),"")</f>
        <v>88.7</v>
      </c>
      <c r="I22">
        <f ca="1">IFERROR(IF(0=LEN(ReferenceData!$I$22),"",ReferenceData!$I$22),"")</f>
        <v>21.6</v>
      </c>
      <c r="J22">
        <f ca="1">IFERROR(IF(0=LEN(ReferenceData!$J$22),"",ReferenceData!$J$22),"")</f>
        <v>-8</v>
      </c>
      <c r="K22">
        <f ca="1">IFERROR(IF(0=LEN(ReferenceData!$K$22),"",ReferenceData!$K$22),"")</f>
        <v>-4.7</v>
      </c>
      <c r="L22">
        <f ca="1">IFERROR(IF(0=LEN(ReferenceData!$L$22),"",ReferenceData!$L$22),"")</f>
        <v>-43</v>
      </c>
      <c r="M22">
        <f ca="1">IFERROR(IF(0=LEN(ReferenceData!$M$22),"",ReferenceData!$M$22),"")</f>
        <v>-16</v>
      </c>
      <c r="N22">
        <f ca="1">IFERROR(IF(0=LEN(ReferenceData!$N$22),"",ReferenceData!$N$22),"")</f>
        <v>14</v>
      </c>
      <c r="O22">
        <f ca="1">IFERROR(IF(0=LEN(ReferenceData!$O$22),"",ReferenceData!$O$22),"")</f>
        <v>13.9</v>
      </c>
      <c r="P22">
        <f ca="1">IFERROR(IF(0=LEN(ReferenceData!$P$22),"",ReferenceData!$P$22),"")</f>
        <v>15.7</v>
      </c>
      <c r="Q22">
        <f ca="1">IFERROR(IF(0=LEN(ReferenceData!$Q$22),"",ReferenceData!$Q$22),"")</f>
        <v>21.7</v>
      </c>
      <c r="R22">
        <f ca="1">IFERROR(IF(0=LEN(ReferenceData!$R$22),"",ReferenceData!$R$22),"")</f>
        <v>23.5</v>
      </c>
      <c r="S22">
        <f ca="1">IFERROR(IF(0=LEN(ReferenceData!$S$22),"",ReferenceData!$S$22),"")</f>
        <v>27.2</v>
      </c>
      <c r="T22">
        <f ca="1">IFERROR(IF(0=LEN(ReferenceData!$T$22),"",ReferenceData!$T$22),"")</f>
        <v>31</v>
      </c>
      <c r="U22">
        <f ca="1">IFERROR(IF(0=LEN(ReferenceData!$U$22),"",ReferenceData!$U$22),"")</f>
        <v>17.8</v>
      </c>
      <c r="V22">
        <f ca="1">IFERROR(IF(0=LEN(ReferenceData!$V$22),"",ReferenceData!$V$22),"")</f>
        <v>24.6</v>
      </c>
      <c r="W22">
        <f ca="1">IFERROR(IF(0=LEN(ReferenceData!$W$22),"",ReferenceData!$W$22),"")</f>
        <v>26.6</v>
      </c>
      <c r="X22">
        <f ca="1">IFERROR(IF(0=LEN(ReferenceData!$X$22),"",ReferenceData!$X$22),"")</f>
        <v>26</v>
      </c>
      <c r="Y22">
        <f ca="1">IFERROR(IF(0=LEN(ReferenceData!$Y$22),"",ReferenceData!$Y$22),"")</f>
        <v>34</v>
      </c>
      <c r="Z22">
        <f ca="1">IFERROR(IF(0=LEN(ReferenceData!$Z$22),"",ReferenceData!$Z$22),"")</f>
        <v>11.8</v>
      </c>
      <c r="AA22">
        <f ca="1">IFERROR(IF(0=LEN(ReferenceData!$AA$22),"",ReferenceData!$AA$22),"")</f>
        <v>12</v>
      </c>
      <c r="AB22">
        <f ca="1">IFERROR(IF(0=LEN(ReferenceData!$AB$22),"",ReferenceData!$AB$22),"")</f>
        <v>3.3</v>
      </c>
      <c r="AC22">
        <f ca="1">IFERROR(IF(0=LEN(ReferenceData!$AC$22),"",ReferenceData!$AC$22),"")</f>
        <v>2.8</v>
      </c>
      <c r="AD22">
        <f ca="1">IFERROR(IF(0=LEN(ReferenceData!$AD$22),"",ReferenceData!$AD$22),"")</f>
        <v>16</v>
      </c>
      <c r="AE22">
        <f ca="1">IFERROR(IF(0=LEN(ReferenceData!$AE$22),"",ReferenceData!$AE$22),"")</f>
        <v>14</v>
      </c>
      <c r="AF22">
        <f ca="1">IFERROR(IF(0=LEN(ReferenceData!$AF$22),"",ReferenceData!$AF$22),"")</f>
        <v>24.6</v>
      </c>
      <c r="AG22">
        <f ca="1">IFERROR(IF(0=LEN(ReferenceData!$AG$22),"",ReferenceData!$AG$22),"")</f>
        <v>10.9</v>
      </c>
      <c r="AH22">
        <f ca="1">IFERROR(IF(0=LEN(ReferenceData!$AH$22),"",ReferenceData!$AH$22),"")</f>
        <v>9.1</v>
      </c>
      <c r="AI22">
        <f ca="1">IFERROR(IF(0=LEN(ReferenceData!$AI$22),"",ReferenceData!$AI$22),"")</f>
        <v>16.5</v>
      </c>
      <c r="AJ22">
        <f ca="1">IFERROR(IF(0=LEN(ReferenceData!$AJ$22),"",ReferenceData!$AJ$22),"")</f>
        <v>4.8</v>
      </c>
      <c r="AK22">
        <f ca="1">IFERROR(IF(0=LEN(ReferenceData!$AK$22),"",ReferenceData!$AK$22),"")</f>
        <v>5.0999999999999996</v>
      </c>
      <c r="AL22">
        <f ca="1">IFERROR(IF(0=LEN(ReferenceData!$AL$22),"",ReferenceData!$AL$22),"")</f>
        <v>4.7</v>
      </c>
      <c r="AM22">
        <f ca="1">IFERROR(IF(0=LEN(ReferenceData!$AM$22),"",ReferenceData!$AM$22),"")</f>
        <v>1.5</v>
      </c>
      <c r="AN22">
        <f ca="1">IFERROR(IF(0=LEN(ReferenceData!$AN$22),"",ReferenceData!$AN$22),"")</f>
        <v>6</v>
      </c>
      <c r="AO22">
        <f ca="1">IFERROR(IF(0=LEN(ReferenceData!$AO$22),"",ReferenceData!$AO$22),"")</f>
        <v>4.5</v>
      </c>
      <c r="AP22" t="str">
        <f ca="1">IFERROR(IF(0=LEN(ReferenceData!$AP$22),"",ReferenceData!$AP$22),"")</f>
        <v/>
      </c>
      <c r="AQ22" t="str">
        <f ca="1">IFERROR(IF(0=LEN(ReferenceData!$AQ$22),"",ReferenceData!$AQ$22),"")</f>
        <v/>
      </c>
      <c r="AR22" t="str">
        <f ca="1">IFERROR(IF(0=LEN(ReferenceData!$AR$22),"",ReferenceData!$AR$22),"")</f>
        <v/>
      </c>
      <c r="AS22" t="str">
        <f ca="1">IFERROR(IF(0=LEN(ReferenceData!$AS$22),"",ReferenceData!$AS$22),"")</f>
        <v/>
      </c>
      <c r="AT22" t="str">
        <f ca="1">IFERROR(IF(0=LEN(ReferenceData!$AT$22),"",ReferenceData!$AT$22),"")</f>
        <v/>
      </c>
      <c r="AU22" t="str">
        <f ca="1">IFERROR(IF(0=LEN(ReferenceData!$AU$22),"",ReferenceData!$AU$22),"")</f>
        <v/>
      </c>
      <c r="AV22" t="str">
        <f ca="1">IFERROR(IF(0=LEN(ReferenceData!$AV$22),"",ReferenceData!$AV$22),"")</f>
        <v/>
      </c>
      <c r="AW22" t="str">
        <f ca="1">IFERROR(IF(0=LEN(ReferenceData!$AW$22),"",ReferenceData!$AW$22),"")</f>
        <v/>
      </c>
      <c r="AX22" t="str">
        <f ca="1">IFERROR(IF(0=LEN(ReferenceData!$AX$22),"",ReferenceData!$AX$22),"")</f>
        <v/>
      </c>
      <c r="AY22" t="str">
        <f ca="1">IFERROR(IF(0=LEN(ReferenceData!$AY$22),"",ReferenceData!$AY$22),"")</f>
        <v/>
      </c>
      <c r="AZ22" t="str">
        <f ca="1">IFERROR(IF(0=LEN(ReferenceData!$AZ$22),"",ReferenceData!$AZ$22),"")</f>
        <v/>
      </c>
      <c r="BA22" t="str">
        <f ca="1">IFERROR(IF(0=LEN(ReferenceData!$BA$22),"",ReferenceData!$BA$22),"")</f>
        <v/>
      </c>
      <c r="BB22" t="str">
        <f ca="1">IFERROR(IF(0=LEN(ReferenceData!$BB$22),"",ReferenceData!$BB$22),"")</f>
        <v/>
      </c>
      <c r="BC22" t="str">
        <f ca="1">IFERROR(IF(0=LEN(ReferenceData!$BC$22),"",ReferenceData!$BC$22),"")</f>
        <v/>
      </c>
      <c r="BD22" t="str">
        <f ca="1">IFERROR(IF(0=LEN(ReferenceData!$BD$22),"",ReferenceData!$BD$22),"")</f>
        <v/>
      </c>
      <c r="BE22" t="str">
        <f ca="1">IFERROR(IF(0=LEN(ReferenceData!$BE$22),"",ReferenceData!$BE$22),"")</f>
        <v/>
      </c>
      <c r="BF22" t="str">
        <f ca="1">IFERROR(IF(0=LEN(ReferenceData!$BF$22),"",ReferenceData!$BF$22),"")</f>
        <v/>
      </c>
      <c r="BG22" t="str">
        <f ca="1">IFERROR(IF(0=LEN(ReferenceData!$BG$22),"",ReferenceData!$BG$22),"")</f>
        <v/>
      </c>
      <c r="BH22" t="str">
        <f ca="1">IFERROR(IF(0=LEN(ReferenceData!$BH$22),"",ReferenceData!$BH$22),"")</f>
        <v/>
      </c>
      <c r="BI22" t="str">
        <f ca="1">IFERROR(IF(0=LEN(ReferenceData!$BI$22),"",ReferenceData!$BI$22),"")</f>
        <v/>
      </c>
      <c r="BJ22" t="str">
        <f ca="1">IFERROR(IF(0=LEN(ReferenceData!$BJ$22),"",ReferenceData!$BJ$22),"")</f>
        <v/>
      </c>
      <c r="BK22" t="str">
        <f ca="1">IFERROR(IF(0=LEN(ReferenceData!$BK$22),"",ReferenceData!$BK$22),"")</f>
        <v/>
      </c>
      <c r="BL22" t="str">
        <f ca="1">IFERROR(IF(0=LEN(ReferenceData!$BL$22),"",ReferenceData!$BL$22),"")</f>
        <v/>
      </c>
      <c r="BM22" t="str">
        <f ca="1">IFERROR(IF(0=LEN(ReferenceData!$BM$22),"",ReferenceData!$BM$22),"")</f>
        <v/>
      </c>
    </row>
    <row r="23" spans="1:65" x14ac:dyDescent="0.25">
      <c r="A23" t="str">
        <f>IFERROR(IF(0=LEN(ReferenceData!$A$23),"",ReferenceData!$A$23),"")</f>
        <v xml:space="preserve">                Retail</v>
      </c>
      <c r="B23" t="str">
        <f>IFERROR(IF(0=LEN(ReferenceData!$B$23),"",ReferenceData!$B$23),"")</f>
        <v>KER FP Equity</v>
      </c>
      <c r="C23" t="str">
        <f>IFERROR(IF(0=LEN(ReferenceData!$C$23),"",ReferenceData!$C$23),"")</f>
        <v>BI047</v>
      </c>
      <c r="D23" t="str">
        <f>IFERROR(IF(0=LEN(ReferenceData!$D$23),"",ReferenceData!$D$23),"")</f>
        <v>BICS_SEGMENT_DATA</v>
      </c>
      <c r="E23" t="str">
        <f>IFERROR(IF(0=LEN(ReferenceData!$E$23),"",ReferenceData!$E$23),"")</f>
        <v>Dynamic</v>
      </c>
      <c r="F23" t="str">
        <f ca="1">IFERROR(IF(0=LEN(ReferenceData!$F$23),"",ReferenceData!$F$23),"")</f>
        <v/>
      </c>
      <c r="G23">
        <f ca="1">IFERROR(IF(0=LEN(ReferenceData!$G$23),"",ReferenceData!$G$23),"")</f>
        <v>12</v>
      </c>
      <c r="H23">
        <f ca="1">IFERROR(IF(0=LEN(ReferenceData!$H$23),"",ReferenceData!$H$23),"")</f>
        <v>98</v>
      </c>
      <c r="I23">
        <f ca="1">IFERROR(IF(0=LEN(ReferenceData!$I$23),"",ReferenceData!$I$23),"")</f>
        <v>32</v>
      </c>
      <c r="J23">
        <f ca="1">IFERROR(IF(0=LEN(ReferenceData!$J$23),"",ReferenceData!$J$23),"")</f>
        <v>-3</v>
      </c>
      <c r="K23">
        <f ca="1">IFERROR(IF(0=LEN(ReferenceData!$K$23),"",ReferenceData!$K$23),"")</f>
        <v>0</v>
      </c>
      <c r="L23">
        <f ca="1">IFERROR(IF(0=LEN(ReferenceData!$L$23),"",ReferenceData!$L$23),"")</f>
        <v>-42</v>
      </c>
      <c r="M23">
        <f ca="1">IFERROR(IF(0=LEN(ReferenceData!$M$23),"",ReferenceData!$M$23),"")</f>
        <v>-19</v>
      </c>
      <c r="N23">
        <f ca="1">IFERROR(IF(0=LEN(ReferenceData!$N$23),"",ReferenceData!$N$23),"")</f>
        <v>12</v>
      </c>
      <c r="O23">
        <f ca="1">IFERROR(IF(0=LEN(ReferenceData!$O$23),"",ReferenceData!$O$23),"")</f>
        <v>12</v>
      </c>
      <c r="P23">
        <f ca="1">IFERROR(IF(0=LEN(ReferenceData!$P$23),"",ReferenceData!$P$23),"")</f>
        <v>12</v>
      </c>
      <c r="Q23">
        <f ca="1">IFERROR(IF(0=LEN(ReferenceData!$Q$23),"",ReferenceData!$Q$23),"")</f>
        <v>19</v>
      </c>
      <c r="R23">
        <f ca="1">IFERROR(IF(0=LEN(ReferenceData!$R$23),"",ReferenceData!$R$23),"")</f>
        <v>25</v>
      </c>
      <c r="S23">
        <f ca="1">IFERROR(IF(0=LEN(ReferenceData!$S$23),"",ReferenceData!$S$23),"")</f>
        <v>28</v>
      </c>
      <c r="T23">
        <f ca="1">IFERROR(IF(0=LEN(ReferenceData!$T$23),"",ReferenceData!$T$23),"")</f>
        <v>34</v>
      </c>
      <c r="U23">
        <f ca="1">IFERROR(IF(0=LEN(ReferenceData!$U$23),"",ReferenceData!$U$23),"")</f>
        <v>40</v>
      </c>
      <c r="V23">
        <f ca="1">IFERROR(IF(0=LEN(ReferenceData!$V$23),"",ReferenceData!$V$23),"")</f>
        <v>36</v>
      </c>
      <c r="W23">
        <f ca="1">IFERROR(IF(0=LEN(ReferenceData!$W$23),"",ReferenceData!$W$23),"")</f>
        <v>37</v>
      </c>
      <c r="X23">
        <f ca="1">IFERROR(IF(0=LEN(ReferenceData!$X$23),"",ReferenceData!$X$23),"")</f>
        <v>32</v>
      </c>
      <c r="Y23">
        <f ca="1">IFERROR(IF(0=LEN(ReferenceData!$Y$23),"",ReferenceData!$Y$23),"")</f>
        <v>37</v>
      </c>
      <c r="Z23">
        <f ca="1">IFERROR(IF(0=LEN(ReferenceData!$Z$23),"",ReferenceData!$Z$23),"")</f>
        <v>18</v>
      </c>
      <c r="AA23">
        <f ca="1">IFERROR(IF(0=LEN(ReferenceData!$AA$23),"",ReferenceData!$AA$23),"")</f>
        <v>14</v>
      </c>
      <c r="AB23">
        <f ca="1">IFERROR(IF(0=LEN(ReferenceData!$AB$23),"",ReferenceData!$AB$23),"")</f>
        <v>5</v>
      </c>
      <c r="AC23">
        <f ca="1">IFERROR(IF(0=LEN(ReferenceData!$AC$23),"",ReferenceData!$AC$23),"")</f>
        <v>3</v>
      </c>
      <c r="AD23">
        <f ca="1">IFERROR(IF(0=LEN(ReferenceData!$AD$23),"",ReferenceData!$AD$23),"")</f>
        <v>6</v>
      </c>
      <c r="AE23">
        <f ca="1">IFERROR(IF(0=LEN(ReferenceData!$AE$23),"",ReferenceData!$AE$23),"")</f>
        <v>1</v>
      </c>
      <c r="AF23">
        <f ca="1">IFERROR(IF(0=LEN(ReferenceData!$AF$23),"",ReferenceData!$AF$23),"")</f>
        <v>10</v>
      </c>
      <c r="AG23">
        <f ca="1">IFERROR(IF(0=LEN(ReferenceData!$AG$23),"",ReferenceData!$AG$23),"")</f>
        <v>-4</v>
      </c>
      <c r="AH23" t="str">
        <f ca="1">IFERROR(IF(0=LEN(ReferenceData!$AH$23),"",ReferenceData!$AH$23),"")</f>
        <v/>
      </c>
      <c r="AI23" t="str">
        <f ca="1">IFERROR(IF(0=LEN(ReferenceData!$AI$23),"",ReferenceData!$AI$23),"")</f>
        <v/>
      </c>
      <c r="AJ23" t="str">
        <f ca="1">IFERROR(IF(0=LEN(ReferenceData!$AJ$23),"",ReferenceData!$AJ$23),"")</f>
        <v/>
      </c>
      <c r="AK23" t="str">
        <f ca="1">IFERROR(IF(0=LEN(ReferenceData!$AK$23),"",ReferenceData!$AK$23),"")</f>
        <v/>
      </c>
      <c r="AL23" t="str">
        <f ca="1">IFERROR(IF(0=LEN(ReferenceData!$AL$23),"",ReferenceData!$AL$23),"")</f>
        <v/>
      </c>
      <c r="AM23" t="str">
        <f ca="1">IFERROR(IF(0=LEN(ReferenceData!$AM$23),"",ReferenceData!$AM$23),"")</f>
        <v/>
      </c>
      <c r="AN23" t="str">
        <f ca="1">IFERROR(IF(0=LEN(ReferenceData!$AN$23),"",ReferenceData!$AN$23),"")</f>
        <v/>
      </c>
      <c r="AO23" t="str">
        <f ca="1">IFERROR(IF(0=LEN(ReferenceData!$AO$23),"",ReferenceData!$AO$23),"")</f>
        <v/>
      </c>
      <c r="AP23" t="str">
        <f ca="1">IFERROR(IF(0=LEN(ReferenceData!$AP$23),"",ReferenceData!$AP$23),"")</f>
        <v/>
      </c>
      <c r="AQ23" t="str">
        <f ca="1">IFERROR(IF(0=LEN(ReferenceData!$AQ$23),"",ReferenceData!$AQ$23),"")</f>
        <v/>
      </c>
      <c r="AR23" t="str">
        <f ca="1">IFERROR(IF(0=LEN(ReferenceData!$AR$23),"",ReferenceData!$AR$23),"")</f>
        <v/>
      </c>
      <c r="AS23" t="str">
        <f ca="1">IFERROR(IF(0=LEN(ReferenceData!$AS$23),"",ReferenceData!$AS$23),"")</f>
        <v/>
      </c>
      <c r="AT23" t="str">
        <f ca="1">IFERROR(IF(0=LEN(ReferenceData!$AT$23),"",ReferenceData!$AT$23),"")</f>
        <v/>
      </c>
      <c r="AU23" t="str">
        <f ca="1">IFERROR(IF(0=LEN(ReferenceData!$AU$23),"",ReferenceData!$AU$23),"")</f>
        <v/>
      </c>
      <c r="AV23" t="str">
        <f ca="1">IFERROR(IF(0=LEN(ReferenceData!$AV$23),"",ReferenceData!$AV$23),"")</f>
        <v/>
      </c>
      <c r="AW23" t="str">
        <f ca="1">IFERROR(IF(0=LEN(ReferenceData!$AW$23),"",ReferenceData!$AW$23),"")</f>
        <v/>
      </c>
      <c r="AX23" t="str">
        <f ca="1">IFERROR(IF(0=LEN(ReferenceData!$AX$23),"",ReferenceData!$AX$23),"")</f>
        <v/>
      </c>
      <c r="AY23" t="str">
        <f ca="1">IFERROR(IF(0=LEN(ReferenceData!$AY$23),"",ReferenceData!$AY$23),"")</f>
        <v/>
      </c>
      <c r="AZ23" t="str">
        <f ca="1">IFERROR(IF(0=LEN(ReferenceData!$AZ$23),"",ReferenceData!$AZ$23),"")</f>
        <v/>
      </c>
      <c r="BA23" t="str">
        <f ca="1">IFERROR(IF(0=LEN(ReferenceData!$BA$23),"",ReferenceData!$BA$23),"")</f>
        <v/>
      </c>
      <c r="BB23" t="str">
        <f ca="1">IFERROR(IF(0=LEN(ReferenceData!$BB$23),"",ReferenceData!$BB$23),"")</f>
        <v/>
      </c>
      <c r="BC23" t="str">
        <f ca="1">IFERROR(IF(0=LEN(ReferenceData!$BC$23),"",ReferenceData!$BC$23),"")</f>
        <v/>
      </c>
      <c r="BD23" t="str">
        <f ca="1">IFERROR(IF(0=LEN(ReferenceData!$BD$23),"",ReferenceData!$BD$23),"")</f>
        <v/>
      </c>
      <c r="BE23" t="str">
        <f ca="1">IFERROR(IF(0=LEN(ReferenceData!$BE$23),"",ReferenceData!$BE$23),"")</f>
        <v/>
      </c>
      <c r="BF23" t="str">
        <f ca="1">IFERROR(IF(0=LEN(ReferenceData!$BF$23),"",ReferenceData!$BF$23),"")</f>
        <v/>
      </c>
      <c r="BG23" t="str">
        <f ca="1">IFERROR(IF(0=LEN(ReferenceData!$BG$23),"",ReferenceData!$BG$23),"")</f>
        <v/>
      </c>
      <c r="BH23" t="str">
        <f ca="1">IFERROR(IF(0=LEN(ReferenceData!$BH$23),"",ReferenceData!$BH$23),"")</f>
        <v/>
      </c>
      <c r="BI23" t="str">
        <f ca="1">IFERROR(IF(0=LEN(ReferenceData!$BI$23),"",ReferenceData!$BI$23),"")</f>
        <v/>
      </c>
      <c r="BJ23" t="str">
        <f ca="1">IFERROR(IF(0=LEN(ReferenceData!$BJ$23),"",ReferenceData!$BJ$23),"")</f>
        <v/>
      </c>
      <c r="BK23" t="str">
        <f ca="1">IFERROR(IF(0=LEN(ReferenceData!$BK$23),"",ReferenceData!$BK$23),"")</f>
        <v/>
      </c>
      <c r="BL23" t="str">
        <f ca="1">IFERROR(IF(0=LEN(ReferenceData!$BL$23),"",ReferenceData!$BL$23),"")</f>
        <v/>
      </c>
      <c r="BM23" t="str">
        <f ca="1">IFERROR(IF(0=LEN(ReferenceData!$BM$23),"",ReferenceData!$BM$23),"")</f>
        <v/>
      </c>
    </row>
    <row r="24" spans="1:65" x14ac:dyDescent="0.25">
      <c r="A24" t="str">
        <f>IFERROR(IF(0=LEN(ReferenceData!$A$24),"",ReferenceData!$A$24),"")</f>
        <v xml:space="preserve">                Wholesale</v>
      </c>
      <c r="B24" t="str">
        <f>IFERROR(IF(0=LEN(ReferenceData!$B$24),"",ReferenceData!$B$24),"")</f>
        <v>KER FP Equity</v>
      </c>
      <c r="C24" t="str">
        <f>IFERROR(IF(0=LEN(ReferenceData!$C$24),"",ReferenceData!$C$24),"")</f>
        <v>BI047</v>
      </c>
      <c r="D24" t="str">
        <f>IFERROR(IF(0=LEN(ReferenceData!$D$24),"",ReferenceData!$D$24),"")</f>
        <v>BICS_SEGMENT_DATA</v>
      </c>
      <c r="E24" t="str">
        <f>IFERROR(IF(0=LEN(ReferenceData!$E$24),"",ReferenceData!$E$24),"")</f>
        <v>Dynamic</v>
      </c>
      <c r="F24" t="str">
        <f ca="1">IFERROR(IF(0=LEN(ReferenceData!$F$24),"",ReferenceData!$F$24),"")</f>
        <v/>
      </c>
      <c r="G24">
        <f ca="1">IFERROR(IF(0=LEN(ReferenceData!$G$24),"",ReferenceData!$G$24),"")</f>
        <v>10</v>
      </c>
      <c r="H24">
        <f ca="1">IFERROR(IF(0=LEN(ReferenceData!$H$24),"",ReferenceData!$H$24),"")</f>
        <v>67</v>
      </c>
      <c r="I24">
        <f ca="1">IFERROR(IF(0=LEN(ReferenceData!$I$24),"",ReferenceData!$I$24),"")</f>
        <v>9</v>
      </c>
      <c r="J24">
        <f ca="1">IFERROR(IF(0=LEN(ReferenceData!$J$24),"",ReferenceData!$J$24),"")</f>
        <v>-12</v>
      </c>
      <c r="K24">
        <f ca="1">IFERROR(IF(0=LEN(ReferenceData!$K$24),"",ReferenceData!$K$24),"")</f>
        <v>-5</v>
      </c>
      <c r="L24">
        <f ca="1">IFERROR(IF(0=LEN(ReferenceData!$L$24),"",ReferenceData!$L$24),"")</f>
        <v>-48</v>
      </c>
      <c r="M24">
        <f ca="1">IFERROR(IF(0=LEN(ReferenceData!$M$24),"",ReferenceData!$M$24),"")</f>
        <v>-7</v>
      </c>
      <c r="N24" t="str">
        <f ca="1">IFERROR(IF(0=LEN(ReferenceData!$N$24),"",ReferenceData!$N$24),"")</f>
        <v/>
      </c>
      <c r="O24">
        <f ca="1">IFERROR(IF(0=LEN(ReferenceData!$O$24),"",ReferenceData!$O$24),"")</f>
        <v>9</v>
      </c>
      <c r="P24">
        <f ca="1">IFERROR(IF(0=LEN(ReferenceData!$P$24),"",ReferenceData!$P$24),"")</f>
        <v>15</v>
      </c>
      <c r="Q24">
        <f ca="1">IFERROR(IF(0=LEN(ReferenceData!$Q$24),"",ReferenceData!$Q$24),"")</f>
        <v>12</v>
      </c>
      <c r="R24" t="str">
        <f ca="1">IFERROR(IF(0=LEN(ReferenceData!$R$24),"",ReferenceData!$R$24),"")</f>
        <v/>
      </c>
      <c r="S24">
        <f ca="1">IFERROR(IF(0=LEN(ReferenceData!$S$24),"",ReferenceData!$S$24),"")</f>
        <v>27</v>
      </c>
      <c r="T24">
        <f ca="1">IFERROR(IF(0=LEN(ReferenceData!$T$24),"",ReferenceData!$T$24),"")</f>
        <v>24</v>
      </c>
      <c r="U24">
        <f ca="1">IFERROR(IF(0=LEN(ReferenceData!$U$24),"",ReferenceData!$U$24),"")</f>
        <v>30</v>
      </c>
      <c r="V24" t="str">
        <f ca="1">IFERROR(IF(0=LEN(ReferenceData!$V$24),"",ReferenceData!$V$24),"")</f>
        <v/>
      </c>
      <c r="W24">
        <f ca="1">IFERROR(IF(0=LEN(ReferenceData!$W$24),"",ReferenceData!$W$24),"")</f>
        <v>22</v>
      </c>
      <c r="X24">
        <f ca="1">IFERROR(IF(0=LEN(ReferenceData!$X$24),"",ReferenceData!$X$24),"")</f>
        <v>10</v>
      </c>
      <c r="Y24">
        <f ca="1">IFERROR(IF(0=LEN(ReferenceData!$Y$24),"",ReferenceData!$Y$24),"")</f>
        <v>20</v>
      </c>
      <c r="Z24" t="str">
        <f ca="1">IFERROR(IF(0=LEN(ReferenceData!$Z$24),"",ReferenceData!$Z$24),"")</f>
        <v/>
      </c>
      <c r="AA24">
        <f ca="1">IFERROR(IF(0=LEN(ReferenceData!$AA$24),"",ReferenceData!$AA$24),"")</f>
        <v>5</v>
      </c>
      <c r="AB24">
        <f ca="1">IFERROR(IF(0=LEN(ReferenceData!$AB$24),"",ReferenceData!$AB$24),"")</f>
        <v>7</v>
      </c>
      <c r="AC24">
        <f ca="1">IFERROR(IF(0=LEN(ReferenceData!$AC$24),"",ReferenceData!$AC$24),"")</f>
        <v>3</v>
      </c>
      <c r="AD24" t="str">
        <f ca="1">IFERROR(IF(0=LEN(ReferenceData!$AD$24),"",ReferenceData!$AD$24),"")</f>
        <v/>
      </c>
      <c r="AE24">
        <f ca="1">IFERROR(IF(0=LEN(ReferenceData!$AE$24),"",ReferenceData!$AE$24),"")</f>
        <v>-3</v>
      </c>
      <c r="AF24" t="str">
        <f ca="1">IFERROR(IF(0=LEN(ReferenceData!$AF$24),"",ReferenceData!$AF$24),"")</f>
        <v/>
      </c>
      <c r="AG24">
        <f ca="1">IFERROR(IF(0=LEN(ReferenceData!$AG$24),"",ReferenceData!$AG$24),"")</f>
        <v>-11</v>
      </c>
      <c r="AH24" t="str">
        <f ca="1">IFERROR(IF(0=LEN(ReferenceData!$AH$24),"",ReferenceData!$AH$24),"")</f>
        <v/>
      </c>
      <c r="AI24" t="str">
        <f ca="1">IFERROR(IF(0=LEN(ReferenceData!$AI$24),"",ReferenceData!$AI$24),"")</f>
        <v/>
      </c>
      <c r="AJ24" t="str">
        <f ca="1">IFERROR(IF(0=LEN(ReferenceData!$AJ$24),"",ReferenceData!$AJ$24),"")</f>
        <v/>
      </c>
      <c r="AK24">
        <f ca="1">IFERROR(IF(0=LEN(ReferenceData!$AK$24),"",ReferenceData!$AK$24),"")</f>
        <v>-8</v>
      </c>
      <c r="AL24" t="str">
        <f ca="1">IFERROR(IF(0=LEN(ReferenceData!$AL$24),"",ReferenceData!$AL$24),"")</f>
        <v/>
      </c>
      <c r="AM24" t="str">
        <f ca="1">IFERROR(IF(0=LEN(ReferenceData!$AM$24),"",ReferenceData!$AM$24),"")</f>
        <v/>
      </c>
      <c r="AN24" t="str">
        <f ca="1">IFERROR(IF(0=LEN(ReferenceData!$AN$24),"",ReferenceData!$AN$24),"")</f>
        <v/>
      </c>
      <c r="AO24" t="str">
        <f ca="1">IFERROR(IF(0=LEN(ReferenceData!$AO$24),"",ReferenceData!$AO$24),"")</f>
        <v/>
      </c>
      <c r="AP24" t="str">
        <f ca="1">IFERROR(IF(0=LEN(ReferenceData!$AP$24),"",ReferenceData!$AP$24),"")</f>
        <v/>
      </c>
      <c r="AQ24" t="str">
        <f ca="1">IFERROR(IF(0=LEN(ReferenceData!$AQ$24),"",ReferenceData!$AQ$24),"")</f>
        <v/>
      </c>
      <c r="AR24" t="str">
        <f ca="1">IFERROR(IF(0=LEN(ReferenceData!$AR$24),"",ReferenceData!$AR$24),"")</f>
        <v/>
      </c>
      <c r="AS24" t="str">
        <f ca="1">IFERROR(IF(0=LEN(ReferenceData!$AS$24),"",ReferenceData!$AS$24),"")</f>
        <v/>
      </c>
      <c r="AT24" t="str">
        <f ca="1">IFERROR(IF(0=LEN(ReferenceData!$AT$24),"",ReferenceData!$AT$24),"")</f>
        <v/>
      </c>
      <c r="AU24" t="str">
        <f ca="1">IFERROR(IF(0=LEN(ReferenceData!$AU$24),"",ReferenceData!$AU$24),"")</f>
        <v/>
      </c>
      <c r="AV24" t="str">
        <f ca="1">IFERROR(IF(0=LEN(ReferenceData!$AV$24),"",ReferenceData!$AV$24),"")</f>
        <v/>
      </c>
      <c r="AW24" t="str">
        <f ca="1">IFERROR(IF(0=LEN(ReferenceData!$AW$24),"",ReferenceData!$AW$24),"")</f>
        <v/>
      </c>
      <c r="AX24" t="str">
        <f ca="1">IFERROR(IF(0=LEN(ReferenceData!$AX$24),"",ReferenceData!$AX$24),"")</f>
        <v/>
      </c>
      <c r="AY24" t="str">
        <f ca="1">IFERROR(IF(0=LEN(ReferenceData!$AY$24),"",ReferenceData!$AY$24),"")</f>
        <v/>
      </c>
      <c r="AZ24" t="str">
        <f ca="1">IFERROR(IF(0=LEN(ReferenceData!$AZ$24),"",ReferenceData!$AZ$24),"")</f>
        <v/>
      </c>
      <c r="BA24" t="str">
        <f ca="1">IFERROR(IF(0=LEN(ReferenceData!$BA$24),"",ReferenceData!$BA$24),"")</f>
        <v/>
      </c>
      <c r="BB24" t="str">
        <f ca="1">IFERROR(IF(0=LEN(ReferenceData!$BB$24),"",ReferenceData!$BB$24),"")</f>
        <v/>
      </c>
      <c r="BC24" t="str">
        <f ca="1">IFERROR(IF(0=LEN(ReferenceData!$BC$24),"",ReferenceData!$BC$24),"")</f>
        <v/>
      </c>
      <c r="BD24" t="str">
        <f ca="1">IFERROR(IF(0=LEN(ReferenceData!$BD$24),"",ReferenceData!$BD$24),"")</f>
        <v/>
      </c>
      <c r="BE24" t="str">
        <f ca="1">IFERROR(IF(0=LEN(ReferenceData!$BE$24),"",ReferenceData!$BE$24),"")</f>
        <v/>
      </c>
      <c r="BF24" t="str">
        <f ca="1">IFERROR(IF(0=LEN(ReferenceData!$BF$24),"",ReferenceData!$BF$24),"")</f>
        <v/>
      </c>
      <c r="BG24" t="str">
        <f ca="1">IFERROR(IF(0=LEN(ReferenceData!$BG$24),"",ReferenceData!$BG$24),"")</f>
        <v/>
      </c>
      <c r="BH24" t="str">
        <f ca="1">IFERROR(IF(0=LEN(ReferenceData!$BH$24),"",ReferenceData!$BH$24),"")</f>
        <v/>
      </c>
      <c r="BI24" t="str">
        <f ca="1">IFERROR(IF(0=LEN(ReferenceData!$BI$24),"",ReferenceData!$BI$24),"")</f>
        <v/>
      </c>
      <c r="BJ24" t="str">
        <f ca="1">IFERROR(IF(0=LEN(ReferenceData!$BJ$24),"",ReferenceData!$BJ$24),"")</f>
        <v/>
      </c>
      <c r="BK24" t="str">
        <f ca="1">IFERROR(IF(0=LEN(ReferenceData!$BK$24),"",ReferenceData!$BK$24),"")</f>
        <v/>
      </c>
      <c r="BL24" t="str">
        <f ca="1">IFERROR(IF(0=LEN(ReferenceData!$BL$24),"",ReferenceData!$BL$24),"")</f>
        <v/>
      </c>
      <c r="BM24" t="str">
        <f ca="1">IFERROR(IF(0=LEN(ReferenceData!$BM$24),"",ReferenceData!$BM$24),"")</f>
        <v/>
      </c>
    </row>
    <row r="25" spans="1:65" x14ac:dyDescent="0.25">
      <c r="A25" t="str">
        <f>IFERROR(IF(0=LEN(ReferenceData!$A$25),"",ReferenceData!$A$25),"")</f>
        <v xml:space="preserve">                Royalties and Others</v>
      </c>
      <c r="B25" t="str">
        <f>IFERROR(IF(0=LEN(ReferenceData!$B$25),"",ReferenceData!$B$25),"")</f>
        <v>KER FP Equity</v>
      </c>
      <c r="C25" t="str">
        <f>IFERROR(IF(0=LEN(ReferenceData!$C$25),"",ReferenceData!$C$25),"")</f>
        <v>BI047</v>
      </c>
      <c r="D25" t="str">
        <f>IFERROR(IF(0=LEN(ReferenceData!$D$25),"",ReferenceData!$D$25),"")</f>
        <v>BICS_SEGMENT_DATA</v>
      </c>
      <c r="E25" t="str">
        <f>IFERROR(IF(0=LEN(ReferenceData!$E$25),"",ReferenceData!$E$25),"")</f>
        <v>Dynamic</v>
      </c>
      <c r="F25" t="str">
        <f ca="1">IFERROR(IF(0=LEN(ReferenceData!$F$25),"",ReferenceData!$F$25),"")</f>
        <v/>
      </c>
      <c r="G25">
        <f ca="1">IFERROR(IF(0=LEN(ReferenceData!$G$25),"",ReferenceData!$G$25),"")</f>
        <v>37</v>
      </c>
      <c r="H25">
        <f ca="1">IFERROR(IF(0=LEN(ReferenceData!$H$25),"",ReferenceData!$H$25),"")</f>
        <v>121</v>
      </c>
      <c r="I25">
        <f ca="1">IFERROR(IF(0=LEN(ReferenceData!$I$25),"",ReferenceData!$I$25),"")</f>
        <v>5</v>
      </c>
      <c r="J25" t="str">
        <f ca="1">IFERROR(IF(0=LEN(ReferenceData!$J$25),"",ReferenceData!$J$25),"")</f>
        <v/>
      </c>
      <c r="K25">
        <f ca="1">IFERROR(IF(0=LEN(ReferenceData!$K$25),"",ReferenceData!$K$25),"")</f>
        <v>-27</v>
      </c>
      <c r="L25">
        <f ca="1">IFERROR(IF(0=LEN(ReferenceData!$L$25),"",ReferenceData!$L$25),"")</f>
        <v>-56</v>
      </c>
      <c r="M25">
        <f ca="1">IFERROR(IF(0=LEN(ReferenceData!$M$25),"",ReferenceData!$M$25),"")</f>
        <v>-23</v>
      </c>
      <c r="N25" t="str">
        <f ca="1">IFERROR(IF(0=LEN(ReferenceData!$N$25),"",ReferenceData!$N$25),"")</f>
        <v/>
      </c>
      <c r="O25">
        <f ca="1">IFERROR(IF(0=LEN(ReferenceData!$O$25),"",ReferenceData!$O$25),"")</f>
        <v>17</v>
      </c>
      <c r="P25">
        <f ca="1">IFERROR(IF(0=LEN(ReferenceData!$P$25),"",ReferenceData!$P$25),"")</f>
        <v>16</v>
      </c>
      <c r="Q25">
        <f ca="1">IFERROR(IF(0=LEN(ReferenceData!$Q$25),"",ReferenceData!$Q$25),"")</f>
        <v>29</v>
      </c>
      <c r="R25" t="str">
        <f ca="1">IFERROR(IF(0=LEN(ReferenceData!$R$25),"",ReferenceData!$R$25),"")</f>
        <v/>
      </c>
      <c r="S25">
        <f ca="1">IFERROR(IF(0=LEN(ReferenceData!$S$25),"",ReferenceData!$S$25),"")</f>
        <v>11</v>
      </c>
      <c r="T25">
        <f ca="1">IFERROR(IF(0=LEN(ReferenceData!$T$25),"",ReferenceData!$T$25),"")</f>
        <v>9</v>
      </c>
      <c r="U25">
        <f ca="1">IFERROR(IF(0=LEN(ReferenceData!$U$25),"",ReferenceData!$U$25),"")</f>
        <v>2</v>
      </c>
      <c r="V25" t="str">
        <f ca="1">IFERROR(IF(0=LEN(ReferenceData!$V$25),"",ReferenceData!$V$25),"")</f>
        <v/>
      </c>
      <c r="W25">
        <f ca="1">IFERROR(IF(0=LEN(ReferenceData!$W$25),"",ReferenceData!$W$25),"")</f>
        <v>13</v>
      </c>
      <c r="X25">
        <f ca="1">IFERROR(IF(0=LEN(ReferenceData!$X$25),"",ReferenceData!$X$25),"")</f>
        <v>5</v>
      </c>
      <c r="Y25">
        <f ca="1">IFERROR(IF(0=LEN(ReferenceData!$Y$25),"",ReferenceData!$Y$25),"")</f>
        <v>9</v>
      </c>
      <c r="Z25" t="str">
        <f ca="1">IFERROR(IF(0=LEN(ReferenceData!$Z$25),"",ReferenceData!$Z$25),"")</f>
        <v/>
      </c>
      <c r="AA25">
        <f ca="1">IFERROR(IF(0=LEN(ReferenceData!$AA$25),"",ReferenceData!$AA$25),"")</f>
        <v>-2</v>
      </c>
      <c r="AB25" t="str">
        <f ca="1">IFERROR(IF(0=LEN(ReferenceData!$AB$25),"",ReferenceData!$AB$25),"")</f>
        <v/>
      </c>
      <c r="AC25">
        <f ca="1">IFERROR(IF(0=LEN(ReferenceData!$AC$25),"",ReferenceData!$AC$25),"")</f>
        <v>-16</v>
      </c>
      <c r="AD25" t="str">
        <f ca="1">IFERROR(IF(0=LEN(ReferenceData!$AD$25),"",ReferenceData!$AD$25),"")</f>
        <v/>
      </c>
      <c r="AE25">
        <f ca="1">IFERROR(IF(0=LEN(ReferenceData!$AE$25),"",ReferenceData!$AE$25),"")</f>
        <v>7</v>
      </c>
      <c r="AF25" t="str">
        <f ca="1">IFERROR(IF(0=LEN(ReferenceData!$AF$25),"",ReferenceData!$AF$25),"")</f>
        <v/>
      </c>
      <c r="AG25">
        <f ca="1">IFERROR(IF(0=LEN(ReferenceData!$AG$25),"",ReferenceData!$AG$25),"")</f>
        <v>-4</v>
      </c>
      <c r="AH25" t="str">
        <f ca="1">IFERROR(IF(0=LEN(ReferenceData!$AH$25),"",ReferenceData!$AH$25),"")</f>
        <v/>
      </c>
      <c r="AI25" t="str">
        <f ca="1">IFERROR(IF(0=LEN(ReferenceData!$AI$25),"",ReferenceData!$AI$25),"")</f>
        <v/>
      </c>
      <c r="AJ25" t="str">
        <f ca="1">IFERROR(IF(0=LEN(ReferenceData!$AJ$25),"",ReferenceData!$AJ$25),"")</f>
        <v/>
      </c>
      <c r="AK25" t="str">
        <f ca="1">IFERROR(IF(0=LEN(ReferenceData!$AK$25),"",ReferenceData!$AK$25),"")</f>
        <v/>
      </c>
      <c r="AL25" t="str">
        <f ca="1">IFERROR(IF(0=LEN(ReferenceData!$AL$25),"",ReferenceData!$AL$25),"")</f>
        <v/>
      </c>
      <c r="AM25" t="str">
        <f ca="1">IFERROR(IF(0=LEN(ReferenceData!$AM$25),"",ReferenceData!$AM$25),"")</f>
        <v/>
      </c>
      <c r="AN25" t="str">
        <f ca="1">IFERROR(IF(0=LEN(ReferenceData!$AN$25),"",ReferenceData!$AN$25),"")</f>
        <v/>
      </c>
      <c r="AO25" t="str">
        <f ca="1">IFERROR(IF(0=LEN(ReferenceData!$AO$25),"",ReferenceData!$AO$25),"")</f>
        <v/>
      </c>
      <c r="AP25" t="str">
        <f ca="1">IFERROR(IF(0=LEN(ReferenceData!$AP$25),"",ReferenceData!$AP$25),"")</f>
        <v/>
      </c>
      <c r="AQ25" t="str">
        <f ca="1">IFERROR(IF(0=LEN(ReferenceData!$AQ$25),"",ReferenceData!$AQ$25),"")</f>
        <v/>
      </c>
      <c r="AR25" t="str">
        <f ca="1">IFERROR(IF(0=LEN(ReferenceData!$AR$25),"",ReferenceData!$AR$25),"")</f>
        <v/>
      </c>
      <c r="AS25" t="str">
        <f ca="1">IFERROR(IF(0=LEN(ReferenceData!$AS$25),"",ReferenceData!$AS$25),"")</f>
        <v/>
      </c>
      <c r="AT25" t="str">
        <f ca="1">IFERROR(IF(0=LEN(ReferenceData!$AT$25),"",ReferenceData!$AT$25),"")</f>
        <v/>
      </c>
      <c r="AU25" t="str">
        <f ca="1">IFERROR(IF(0=LEN(ReferenceData!$AU$25),"",ReferenceData!$AU$25),"")</f>
        <v/>
      </c>
      <c r="AV25" t="str">
        <f ca="1">IFERROR(IF(0=LEN(ReferenceData!$AV$25),"",ReferenceData!$AV$25),"")</f>
        <v/>
      </c>
      <c r="AW25" t="str">
        <f ca="1">IFERROR(IF(0=LEN(ReferenceData!$AW$25),"",ReferenceData!$AW$25),"")</f>
        <v/>
      </c>
      <c r="AX25" t="str">
        <f ca="1">IFERROR(IF(0=LEN(ReferenceData!$AX$25),"",ReferenceData!$AX$25),"")</f>
        <v/>
      </c>
      <c r="AY25" t="str">
        <f ca="1">IFERROR(IF(0=LEN(ReferenceData!$AY$25),"",ReferenceData!$AY$25),"")</f>
        <v/>
      </c>
      <c r="AZ25" t="str">
        <f ca="1">IFERROR(IF(0=LEN(ReferenceData!$AZ$25),"",ReferenceData!$AZ$25),"")</f>
        <v/>
      </c>
      <c r="BA25" t="str">
        <f ca="1">IFERROR(IF(0=LEN(ReferenceData!$BA$25),"",ReferenceData!$BA$25),"")</f>
        <v/>
      </c>
      <c r="BB25" t="str">
        <f ca="1">IFERROR(IF(0=LEN(ReferenceData!$BB$25),"",ReferenceData!$BB$25),"")</f>
        <v/>
      </c>
      <c r="BC25" t="str">
        <f ca="1">IFERROR(IF(0=LEN(ReferenceData!$BC$25),"",ReferenceData!$BC$25),"")</f>
        <v/>
      </c>
      <c r="BD25" t="str">
        <f ca="1">IFERROR(IF(0=LEN(ReferenceData!$BD$25),"",ReferenceData!$BD$25),"")</f>
        <v/>
      </c>
      <c r="BE25" t="str">
        <f ca="1">IFERROR(IF(0=LEN(ReferenceData!$BE$25),"",ReferenceData!$BE$25),"")</f>
        <v/>
      </c>
      <c r="BF25" t="str">
        <f ca="1">IFERROR(IF(0=LEN(ReferenceData!$BF$25),"",ReferenceData!$BF$25),"")</f>
        <v/>
      </c>
      <c r="BG25" t="str">
        <f ca="1">IFERROR(IF(0=LEN(ReferenceData!$BG$25),"",ReferenceData!$BG$25),"")</f>
        <v/>
      </c>
      <c r="BH25" t="str">
        <f ca="1">IFERROR(IF(0=LEN(ReferenceData!$BH$25),"",ReferenceData!$BH$25),"")</f>
        <v/>
      </c>
      <c r="BI25" t="str">
        <f ca="1">IFERROR(IF(0=LEN(ReferenceData!$BI$25),"",ReferenceData!$BI$25),"")</f>
        <v/>
      </c>
      <c r="BJ25" t="str">
        <f ca="1">IFERROR(IF(0=LEN(ReferenceData!$BJ$25),"",ReferenceData!$BJ$25),"")</f>
        <v/>
      </c>
      <c r="BK25" t="str">
        <f ca="1">IFERROR(IF(0=LEN(ReferenceData!$BK$25),"",ReferenceData!$BK$25),"")</f>
        <v/>
      </c>
      <c r="BL25" t="str">
        <f ca="1">IFERROR(IF(0=LEN(ReferenceData!$BL$25),"",ReferenceData!$BL$25),"")</f>
        <v/>
      </c>
      <c r="BM25" t="str">
        <f ca="1">IFERROR(IF(0=LEN(ReferenceData!$BM$25),"",ReferenceData!$BM$25),"")</f>
        <v/>
      </c>
    </row>
    <row r="26" spans="1:65" x14ac:dyDescent="0.25">
      <c r="A26" t="str">
        <f>IFERROR(IF(0=LEN(ReferenceData!$A$26),"",ReferenceData!$A$26),"")</f>
        <v xml:space="preserve">                FX</v>
      </c>
      <c r="B26" t="str">
        <f>IFERROR(IF(0=LEN(ReferenceData!$B$26),"",ReferenceData!$B$26),"")</f>
        <v>KER FP Equity</v>
      </c>
      <c r="C26" t="str">
        <f>IFERROR(IF(0=LEN(ReferenceData!$C$26),"",ReferenceData!$C$26),"")</f>
        <v>BI047</v>
      </c>
      <c r="D26" t="str">
        <f>IFERROR(IF(0=LEN(ReferenceData!$D$26),"",ReferenceData!$D$26),"")</f>
        <v>BICS_SEGMENT_DATA</v>
      </c>
      <c r="E26" t="str">
        <f>IFERROR(IF(0=LEN(ReferenceData!$E$26),"",ReferenceData!$E$26),"")</f>
        <v>Dynamic</v>
      </c>
      <c r="F26" t="str">
        <f ca="1">IFERROR(IF(0=LEN(ReferenceData!$F$26),"",ReferenceData!$F$26),"")</f>
        <v/>
      </c>
      <c r="G26" t="str">
        <f ca="1">IFERROR(IF(0=LEN(ReferenceData!$G$26),"",ReferenceData!$G$26),"")</f>
        <v/>
      </c>
      <c r="H26" t="str">
        <f ca="1">IFERROR(IF(0=LEN(ReferenceData!$H$26),"",ReferenceData!$H$26),"")</f>
        <v/>
      </c>
      <c r="I26" t="str">
        <f ca="1">IFERROR(IF(0=LEN(ReferenceData!$I$26),"",ReferenceData!$I$26),"")</f>
        <v/>
      </c>
      <c r="J26" t="str">
        <f ca="1">IFERROR(IF(0=LEN(ReferenceData!$J$26),"",ReferenceData!$J$26),"")</f>
        <v/>
      </c>
      <c r="K26" t="str">
        <f ca="1">IFERROR(IF(0=LEN(ReferenceData!$K$26),"",ReferenceData!$K$26),"")</f>
        <v/>
      </c>
      <c r="L26" t="str">
        <f ca="1">IFERROR(IF(0=LEN(ReferenceData!$L$26),"",ReferenceData!$L$26),"")</f>
        <v/>
      </c>
      <c r="M26">
        <f ca="1">IFERROR(IF(0=LEN(ReferenceData!$M$26),"",ReferenceData!$M$26),"")</f>
        <v>1</v>
      </c>
      <c r="N26" t="str">
        <f ca="1">IFERROR(IF(0=LEN(ReferenceData!$N$26),"",ReferenceData!$N$26),"")</f>
        <v/>
      </c>
      <c r="O26">
        <f ca="1">IFERROR(IF(0=LEN(ReferenceData!$O$26),"",ReferenceData!$O$26),"")</f>
        <v>2</v>
      </c>
      <c r="P26" t="str">
        <f ca="1">IFERROR(IF(0=LEN(ReferenceData!$P$26),"",ReferenceData!$P$26),"")</f>
        <v/>
      </c>
      <c r="Q26">
        <f ca="1">IFERROR(IF(0=LEN(ReferenceData!$Q$26),"",ReferenceData!$Q$26),"")</f>
        <v>4</v>
      </c>
      <c r="R26" t="str">
        <f ca="1">IFERROR(IF(0=LEN(ReferenceData!$R$26),"",ReferenceData!$R$26),"")</f>
        <v/>
      </c>
      <c r="S26">
        <f ca="1">IFERROR(IF(0=LEN(ReferenceData!$S$26),"",ReferenceData!$S$26),"")</f>
        <v>0</v>
      </c>
      <c r="T26" t="str">
        <f ca="1">IFERROR(IF(0=LEN(ReferenceData!$T$26),"",ReferenceData!$T$26),"")</f>
        <v/>
      </c>
      <c r="U26">
        <f ca="1">IFERROR(IF(0=LEN(ReferenceData!$U$26),"",ReferenceData!$U$26),"")</f>
        <v>-7</v>
      </c>
      <c r="V26" t="str">
        <f ca="1">IFERROR(IF(0=LEN(ReferenceData!$V$26),"",ReferenceData!$V$26),"")</f>
        <v/>
      </c>
      <c r="W26">
        <f ca="1">IFERROR(IF(0=LEN(ReferenceData!$W$26),"",ReferenceData!$W$26),"")</f>
        <v>-4</v>
      </c>
      <c r="X26">
        <f ca="1">IFERROR(IF(0=LEN(ReferenceData!$X$26),"",ReferenceData!$X$26),"")</f>
        <v>1</v>
      </c>
      <c r="Y26">
        <f ca="1">IFERROR(IF(0=LEN(ReferenceData!$Y$26),"",ReferenceData!$Y$26),"")</f>
        <v>2</v>
      </c>
      <c r="Z26" t="str">
        <f ca="1">IFERROR(IF(0=LEN(ReferenceData!$Z$26),"",ReferenceData!$Z$26),"")</f>
        <v/>
      </c>
      <c r="AA26">
        <f ca="1">IFERROR(IF(0=LEN(ReferenceData!$AA$26),"",ReferenceData!$AA$26),"")</f>
        <v>1</v>
      </c>
      <c r="AB26" t="str">
        <f ca="1">IFERROR(IF(0=LEN(ReferenceData!$AB$26),"",ReferenceData!$AB$26),"")</f>
        <v/>
      </c>
      <c r="AC26">
        <f ca="1">IFERROR(IF(0=LEN(ReferenceData!$AC$26),"",ReferenceData!$AC$26),"")</f>
        <v>0</v>
      </c>
      <c r="AD26" t="str">
        <f ca="1">IFERROR(IF(0=LEN(ReferenceData!$AD$26),"",ReferenceData!$AD$26),"")</f>
        <v/>
      </c>
      <c r="AE26">
        <f ca="1">IFERROR(IF(0=LEN(ReferenceData!$AE$26),"",ReferenceData!$AE$26),"")</f>
        <v>8</v>
      </c>
      <c r="AF26" t="str">
        <f ca="1">IFERROR(IF(0=LEN(ReferenceData!$AF$26),"",ReferenceData!$AF$26),"")</f>
        <v/>
      </c>
      <c r="AG26">
        <f ca="1">IFERROR(IF(0=LEN(ReferenceData!$AG$26),"",ReferenceData!$AG$26),"")</f>
        <v>11</v>
      </c>
      <c r="AH26" t="str">
        <f ca="1">IFERROR(IF(0=LEN(ReferenceData!$AH$26),"",ReferenceData!$AH$26),"")</f>
        <v/>
      </c>
      <c r="AI26" t="str">
        <f ca="1">IFERROR(IF(0=LEN(ReferenceData!$AI$26),"",ReferenceData!$AI$26),"")</f>
        <v/>
      </c>
      <c r="AJ26" t="str">
        <f ca="1">IFERROR(IF(0=LEN(ReferenceData!$AJ$26),"",ReferenceData!$AJ$26),"")</f>
        <v/>
      </c>
      <c r="AK26" t="str">
        <f ca="1">IFERROR(IF(0=LEN(ReferenceData!$AK$26),"",ReferenceData!$AK$26),"")</f>
        <v/>
      </c>
      <c r="AL26" t="str">
        <f ca="1">IFERROR(IF(0=LEN(ReferenceData!$AL$26),"",ReferenceData!$AL$26),"")</f>
        <v/>
      </c>
      <c r="AM26" t="str">
        <f ca="1">IFERROR(IF(0=LEN(ReferenceData!$AM$26),"",ReferenceData!$AM$26),"")</f>
        <v/>
      </c>
      <c r="AN26" t="str">
        <f ca="1">IFERROR(IF(0=LEN(ReferenceData!$AN$26),"",ReferenceData!$AN$26),"")</f>
        <v/>
      </c>
      <c r="AO26" t="str">
        <f ca="1">IFERROR(IF(0=LEN(ReferenceData!$AO$26),"",ReferenceData!$AO$26),"")</f>
        <v/>
      </c>
      <c r="AP26" t="str">
        <f ca="1">IFERROR(IF(0=LEN(ReferenceData!$AP$26),"",ReferenceData!$AP$26),"")</f>
        <v/>
      </c>
      <c r="AQ26" t="str">
        <f ca="1">IFERROR(IF(0=LEN(ReferenceData!$AQ$26),"",ReferenceData!$AQ$26),"")</f>
        <v/>
      </c>
      <c r="AR26" t="str">
        <f ca="1">IFERROR(IF(0=LEN(ReferenceData!$AR$26),"",ReferenceData!$AR$26),"")</f>
        <v/>
      </c>
      <c r="AS26" t="str">
        <f ca="1">IFERROR(IF(0=LEN(ReferenceData!$AS$26),"",ReferenceData!$AS$26),"")</f>
        <v/>
      </c>
      <c r="AT26" t="str">
        <f ca="1">IFERROR(IF(0=LEN(ReferenceData!$AT$26),"",ReferenceData!$AT$26),"")</f>
        <v/>
      </c>
      <c r="AU26" t="str">
        <f ca="1">IFERROR(IF(0=LEN(ReferenceData!$AU$26),"",ReferenceData!$AU$26),"")</f>
        <v/>
      </c>
      <c r="AV26" t="str">
        <f ca="1">IFERROR(IF(0=LEN(ReferenceData!$AV$26),"",ReferenceData!$AV$26),"")</f>
        <v/>
      </c>
      <c r="AW26" t="str">
        <f ca="1">IFERROR(IF(0=LEN(ReferenceData!$AW$26),"",ReferenceData!$AW$26),"")</f>
        <v/>
      </c>
      <c r="AX26" t="str">
        <f ca="1">IFERROR(IF(0=LEN(ReferenceData!$AX$26),"",ReferenceData!$AX$26),"")</f>
        <v/>
      </c>
      <c r="AY26" t="str">
        <f ca="1">IFERROR(IF(0=LEN(ReferenceData!$AY$26),"",ReferenceData!$AY$26),"")</f>
        <v/>
      </c>
      <c r="AZ26" t="str">
        <f ca="1">IFERROR(IF(0=LEN(ReferenceData!$AZ$26),"",ReferenceData!$AZ$26),"")</f>
        <v/>
      </c>
      <c r="BA26" t="str">
        <f ca="1">IFERROR(IF(0=LEN(ReferenceData!$BA$26),"",ReferenceData!$BA$26),"")</f>
        <v/>
      </c>
      <c r="BB26" t="str">
        <f ca="1">IFERROR(IF(0=LEN(ReferenceData!$BB$26),"",ReferenceData!$BB$26),"")</f>
        <v/>
      </c>
      <c r="BC26" t="str">
        <f ca="1">IFERROR(IF(0=LEN(ReferenceData!$BC$26),"",ReferenceData!$BC$26),"")</f>
        <v/>
      </c>
      <c r="BD26" t="str">
        <f ca="1">IFERROR(IF(0=LEN(ReferenceData!$BD$26),"",ReferenceData!$BD$26),"")</f>
        <v/>
      </c>
      <c r="BE26" t="str">
        <f ca="1">IFERROR(IF(0=LEN(ReferenceData!$BE$26),"",ReferenceData!$BE$26),"")</f>
        <v/>
      </c>
      <c r="BF26" t="str">
        <f ca="1">IFERROR(IF(0=LEN(ReferenceData!$BF$26),"",ReferenceData!$BF$26),"")</f>
        <v/>
      </c>
      <c r="BG26" t="str">
        <f ca="1">IFERROR(IF(0=LEN(ReferenceData!$BG$26),"",ReferenceData!$BG$26),"")</f>
        <v/>
      </c>
      <c r="BH26" t="str">
        <f ca="1">IFERROR(IF(0=LEN(ReferenceData!$BH$26),"",ReferenceData!$BH$26),"")</f>
        <v/>
      </c>
      <c r="BI26" t="str">
        <f ca="1">IFERROR(IF(0=LEN(ReferenceData!$BI$26),"",ReferenceData!$BI$26),"")</f>
        <v/>
      </c>
      <c r="BJ26" t="str">
        <f ca="1">IFERROR(IF(0=LEN(ReferenceData!$BJ$26),"",ReferenceData!$BJ$26),"")</f>
        <v/>
      </c>
      <c r="BK26" t="str">
        <f ca="1">IFERROR(IF(0=LEN(ReferenceData!$BK$26),"",ReferenceData!$BK$26),"")</f>
        <v/>
      </c>
      <c r="BL26" t="str">
        <f ca="1">IFERROR(IF(0=LEN(ReferenceData!$BL$26),"",ReferenceData!$BL$26),"")</f>
        <v/>
      </c>
      <c r="BM26" t="str">
        <f ca="1">IFERROR(IF(0=LEN(ReferenceData!$BM$26),"",ReferenceData!$BM$26),"")</f>
        <v/>
      </c>
    </row>
    <row r="27" spans="1:65" x14ac:dyDescent="0.25">
      <c r="A27" t="str">
        <f>IFERROR(IF(0=LEN(ReferenceData!$A$27),"",ReferenceData!$A$27),"")</f>
        <v xml:space="preserve">            Brand Breakdown</v>
      </c>
      <c r="B27" t="str">
        <f>IFERROR(IF(0=LEN(ReferenceData!$B$27),"",ReferenceData!$B$27),"")</f>
        <v/>
      </c>
      <c r="C27" t="str">
        <f>IFERROR(IF(0=LEN(ReferenceData!$C$27),"",ReferenceData!$C$27),"")</f>
        <v/>
      </c>
      <c r="D27" t="str">
        <f>IFERROR(IF(0=LEN(ReferenceData!$D$27),"",ReferenceData!$D$27),"")</f>
        <v/>
      </c>
      <c r="E27" t="str">
        <f>IFERROR(IF(0=LEN(ReferenceData!$E$27),"",ReferenceData!$E$27),"")</f>
        <v>Static</v>
      </c>
      <c r="F27" t="str">
        <f ca="1">IFERROR(IF(0=LEN(ReferenceData!$F$27),"",ReferenceData!$F$27),"")</f>
        <v/>
      </c>
      <c r="G27" t="str">
        <f ca="1">IFERROR(IF(0=LEN(ReferenceData!$G$27),"",ReferenceData!$G$27),"")</f>
        <v/>
      </c>
      <c r="H27" t="str">
        <f ca="1">IFERROR(IF(0=LEN(ReferenceData!$H$27),"",ReferenceData!$H$27),"")</f>
        <v/>
      </c>
      <c r="I27" t="str">
        <f ca="1">IFERROR(IF(0=LEN(ReferenceData!$I$27),"",ReferenceData!$I$27),"")</f>
        <v/>
      </c>
      <c r="J27" t="str">
        <f ca="1">IFERROR(IF(0=LEN(ReferenceData!$J$27),"",ReferenceData!$J$27),"")</f>
        <v/>
      </c>
      <c r="K27" t="str">
        <f ca="1">IFERROR(IF(0=LEN(ReferenceData!$K$27),"",ReferenceData!$K$27),"")</f>
        <v/>
      </c>
      <c r="L27" t="str">
        <f ca="1">IFERROR(IF(0=LEN(ReferenceData!$L$27),"",ReferenceData!$L$27),"")</f>
        <v/>
      </c>
      <c r="M27" t="str">
        <f ca="1">IFERROR(IF(0=LEN(ReferenceData!$M$27),"",ReferenceData!$M$27),"")</f>
        <v/>
      </c>
      <c r="N27" t="str">
        <f ca="1">IFERROR(IF(0=LEN(ReferenceData!$N$27),"",ReferenceData!$N$27),"")</f>
        <v/>
      </c>
      <c r="O27" t="str">
        <f ca="1">IFERROR(IF(0=LEN(ReferenceData!$O$27),"",ReferenceData!$O$27),"")</f>
        <v/>
      </c>
      <c r="P27" t="str">
        <f ca="1">IFERROR(IF(0=LEN(ReferenceData!$P$27),"",ReferenceData!$P$27),"")</f>
        <v/>
      </c>
      <c r="Q27" t="str">
        <f ca="1">IFERROR(IF(0=LEN(ReferenceData!$Q$27),"",ReferenceData!$Q$27),"")</f>
        <v/>
      </c>
      <c r="R27" t="str">
        <f ca="1">IFERROR(IF(0=LEN(ReferenceData!$R$27),"",ReferenceData!$R$27),"")</f>
        <v/>
      </c>
      <c r="S27" t="str">
        <f ca="1">IFERROR(IF(0=LEN(ReferenceData!$S$27),"",ReferenceData!$S$27),"")</f>
        <v/>
      </c>
      <c r="T27" t="str">
        <f ca="1">IFERROR(IF(0=LEN(ReferenceData!$T$27),"",ReferenceData!$T$27),"")</f>
        <v/>
      </c>
      <c r="U27" t="str">
        <f ca="1">IFERROR(IF(0=LEN(ReferenceData!$U$27),"",ReferenceData!$U$27),"")</f>
        <v/>
      </c>
      <c r="V27" t="str">
        <f ca="1">IFERROR(IF(0=LEN(ReferenceData!$V$27),"",ReferenceData!$V$27),"")</f>
        <v/>
      </c>
      <c r="W27" t="str">
        <f ca="1">IFERROR(IF(0=LEN(ReferenceData!$W$27),"",ReferenceData!$W$27),"")</f>
        <v/>
      </c>
      <c r="X27" t="str">
        <f ca="1">IFERROR(IF(0=LEN(ReferenceData!$X$27),"",ReferenceData!$X$27),"")</f>
        <v/>
      </c>
      <c r="Y27" t="str">
        <f ca="1">IFERROR(IF(0=LEN(ReferenceData!$Y$27),"",ReferenceData!$Y$27),"")</f>
        <v/>
      </c>
      <c r="Z27" t="str">
        <f ca="1">IFERROR(IF(0=LEN(ReferenceData!$Z$27),"",ReferenceData!$Z$27),"")</f>
        <v/>
      </c>
      <c r="AA27" t="str">
        <f ca="1">IFERROR(IF(0=LEN(ReferenceData!$AA$27),"",ReferenceData!$AA$27),"")</f>
        <v/>
      </c>
      <c r="AB27" t="str">
        <f ca="1">IFERROR(IF(0=LEN(ReferenceData!$AB$27),"",ReferenceData!$AB$27),"")</f>
        <v/>
      </c>
      <c r="AC27" t="str">
        <f ca="1">IFERROR(IF(0=LEN(ReferenceData!$AC$27),"",ReferenceData!$AC$27),"")</f>
        <v/>
      </c>
      <c r="AD27" t="str">
        <f ca="1">IFERROR(IF(0=LEN(ReferenceData!$AD$27),"",ReferenceData!$AD$27),"")</f>
        <v/>
      </c>
      <c r="AE27" t="str">
        <f ca="1">IFERROR(IF(0=LEN(ReferenceData!$AE$27),"",ReferenceData!$AE$27),"")</f>
        <v/>
      </c>
      <c r="AF27" t="str">
        <f ca="1">IFERROR(IF(0=LEN(ReferenceData!$AF$27),"",ReferenceData!$AF$27),"")</f>
        <v/>
      </c>
      <c r="AG27" t="str">
        <f ca="1">IFERROR(IF(0=LEN(ReferenceData!$AG$27),"",ReferenceData!$AG$27),"")</f>
        <v/>
      </c>
      <c r="AH27" t="str">
        <f ca="1">IFERROR(IF(0=LEN(ReferenceData!$AH$27),"",ReferenceData!$AH$27),"")</f>
        <v/>
      </c>
      <c r="AI27" t="str">
        <f ca="1">IFERROR(IF(0=LEN(ReferenceData!$AI$27),"",ReferenceData!$AI$27),"")</f>
        <v/>
      </c>
      <c r="AJ27" t="str">
        <f ca="1">IFERROR(IF(0=LEN(ReferenceData!$AJ$27),"",ReferenceData!$AJ$27),"")</f>
        <v/>
      </c>
      <c r="AK27" t="str">
        <f ca="1">IFERROR(IF(0=LEN(ReferenceData!$AK$27),"",ReferenceData!$AK$27),"")</f>
        <v/>
      </c>
      <c r="AL27" t="str">
        <f ca="1">IFERROR(IF(0=LEN(ReferenceData!$AL$27),"",ReferenceData!$AL$27),"")</f>
        <v/>
      </c>
      <c r="AM27" t="str">
        <f ca="1">IFERROR(IF(0=LEN(ReferenceData!$AM$27),"",ReferenceData!$AM$27),"")</f>
        <v/>
      </c>
      <c r="AN27" t="str">
        <f ca="1">IFERROR(IF(0=LEN(ReferenceData!$AN$27),"",ReferenceData!$AN$27),"")</f>
        <v/>
      </c>
      <c r="AO27" t="str">
        <f ca="1">IFERROR(IF(0=LEN(ReferenceData!$AO$27),"",ReferenceData!$AO$27),"")</f>
        <v/>
      </c>
      <c r="AP27" t="str">
        <f ca="1">IFERROR(IF(0=LEN(ReferenceData!$AP$27),"",ReferenceData!$AP$27),"")</f>
        <v/>
      </c>
      <c r="AQ27" t="str">
        <f ca="1">IFERROR(IF(0=LEN(ReferenceData!$AQ$27),"",ReferenceData!$AQ$27),"")</f>
        <v/>
      </c>
      <c r="AR27" t="str">
        <f ca="1">IFERROR(IF(0=LEN(ReferenceData!$AR$27),"",ReferenceData!$AR$27),"")</f>
        <v/>
      </c>
      <c r="AS27" t="str">
        <f ca="1">IFERROR(IF(0=LEN(ReferenceData!$AS$27),"",ReferenceData!$AS$27),"")</f>
        <v/>
      </c>
      <c r="AT27" t="str">
        <f ca="1">IFERROR(IF(0=LEN(ReferenceData!$AT$27),"",ReferenceData!$AT$27),"")</f>
        <v/>
      </c>
      <c r="AU27" t="str">
        <f ca="1">IFERROR(IF(0=LEN(ReferenceData!$AU$27),"",ReferenceData!$AU$27),"")</f>
        <v/>
      </c>
      <c r="AV27" t="str">
        <f ca="1">IFERROR(IF(0=LEN(ReferenceData!$AV$27),"",ReferenceData!$AV$27),"")</f>
        <v/>
      </c>
      <c r="AW27" t="str">
        <f ca="1">IFERROR(IF(0=LEN(ReferenceData!$AW$27),"",ReferenceData!$AW$27),"")</f>
        <v/>
      </c>
      <c r="AX27" t="str">
        <f ca="1">IFERROR(IF(0=LEN(ReferenceData!$AX$27),"",ReferenceData!$AX$27),"")</f>
        <v/>
      </c>
      <c r="AY27" t="str">
        <f ca="1">IFERROR(IF(0=LEN(ReferenceData!$AY$27),"",ReferenceData!$AY$27),"")</f>
        <v/>
      </c>
      <c r="AZ27" t="str">
        <f ca="1">IFERROR(IF(0=LEN(ReferenceData!$AZ$27),"",ReferenceData!$AZ$27),"")</f>
        <v/>
      </c>
      <c r="BA27" t="str">
        <f ca="1">IFERROR(IF(0=LEN(ReferenceData!$BA$27),"",ReferenceData!$BA$27),"")</f>
        <v/>
      </c>
      <c r="BB27" t="str">
        <f ca="1">IFERROR(IF(0=LEN(ReferenceData!$BB$27),"",ReferenceData!$BB$27),"")</f>
        <v/>
      </c>
      <c r="BC27" t="str">
        <f ca="1">IFERROR(IF(0=LEN(ReferenceData!$BC$27),"",ReferenceData!$BC$27),"")</f>
        <v/>
      </c>
      <c r="BD27" t="str">
        <f ca="1">IFERROR(IF(0=LEN(ReferenceData!$BD$27),"",ReferenceData!$BD$27),"")</f>
        <v/>
      </c>
      <c r="BE27" t="str">
        <f ca="1">IFERROR(IF(0=LEN(ReferenceData!$BE$27),"",ReferenceData!$BE$27),"")</f>
        <v/>
      </c>
      <c r="BF27" t="str">
        <f ca="1">IFERROR(IF(0=LEN(ReferenceData!$BF$27),"",ReferenceData!$BF$27),"")</f>
        <v/>
      </c>
      <c r="BG27" t="str">
        <f ca="1">IFERROR(IF(0=LEN(ReferenceData!$BG$27),"",ReferenceData!$BG$27),"")</f>
        <v/>
      </c>
      <c r="BH27" t="str">
        <f ca="1">IFERROR(IF(0=LEN(ReferenceData!$BH$27),"",ReferenceData!$BH$27),"")</f>
        <v/>
      </c>
      <c r="BI27" t="str">
        <f ca="1">IFERROR(IF(0=LEN(ReferenceData!$BI$27),"",ReferenceData!$BI$27),"")</f>
        <v/>
      </c>
      <c r="BJ27" t="str">
        <f ca="1">IFERROR(IF(0=LEN(ReferenceData!$BJ$27),"",ReferenceData!$BJ$27),"")</f>
        <v/>
      </c>
      <c r="BK27" t="str">
        <f ca="1">IFERROR(IF(0=LEN(ReferenceData!$BK$27),"",ReferenceData!$BK$27),"")</f>
        <v/>
      </c>
      <c r="BL27" t="str">
        <f ca="1">IFERROR(IF(0=LEN(ReferenceData!$BL$27),"",ReferenceData!$BL$27),"")</f>
        <v/>
      </c>
      <c r="BM27" t="str">
        <f ca="1">IFERROR(IF(0=LEN(ReferenceData!$BM$27),"",ReferenceData!$BM$27),"")</f>
        <v/>
      </c>
    </row>
    <row r="28" spans="1:65" x14ac:dyDescent="0.25">
      <c r="A28" t="str">
        <f>IFERROR(IF(0=LEN(ReferenceData!$A$28),"",ReferenceData!$A$28),"")</f>
        <v xml:space="preserve">                Gucci</v>
      </c>
      <c r="B28" t="str">
        <f>IFERROR(IF(0=LEN(ReferenceData!$B$28),"",ReferenceData!$B$28),"")</f>
        <v>KER FP Equity</v>
      </c>
      <c r="C28" t="str">
        <f>IFERROR(IF(0=LEN(ReferenceData!$C$28),"",ReferenceData!$C$28),"")</f>
        <v>BI047</v>
      </c>
      <c r="D28" t="str">
        <f>IFERROR(IF(0=LEN(ReferenceData!$D$28),"",ReferenceData!$D$28),"")</f>
        <v>BICS_SEGMENT_DATA</v>
      </c>
      <c r="E28" t="str">
        <f>IFERROR(IF(0=LEN(ReferenceData!$E$28),"",ReferenceData!$E$28),"")</f>
        <v>Dynamic</v>
      </c>
      <c r="F28" t="str">
        <f ca="1">IFERROR(IF(0=LEN(ReferenceData!$F$28),"",ReferenceData!$F$28),"")</f>
        <v/>
      </c>
      <c r="G28">
        <f ca="1">IFERROR(IF(0=LEN(ReferenceData!$G$28),"",ReferenceData!$G$28),"")</f>
        <v>4.5</v>
      </c>
      <c r="H28">
        <f ca="1">IFERROR(IF(0=LEN(ReferenceData!$H$28),"",ReferenceData!$H$28),"")</f>
        <v>82.3</v>
      </c>
      <c r="I28">
        <f ca="1">IFERROR(IF(0=LEN(ReferenceData!$I$28),"",ReferenceData!$I$28),"")</f>
        <v>20.2</v>
      </c>
      <c r="J28">
        <f ca="1">IFERROR(IF(0=LEN(ReferenceData!$J$28),"",ReferenceData!$J$28),"")</f>
        <v>-13.5</v>
      </c>
      <c r="K28">
        <f ca="1">IFERROR(IF(0=LEN(ReferenceData!$K$28),"",ReferenceData!$K$28),"")</f>
        <v>-12.1</v>
      </c>
      <c r="L28">
        <f ca="1">IFERROR(IF(0=LEN(ReferenceData!$L$28),"",ReferenceData!$L$28),"")</f>
        <v>-45</v>
      </c>
      <c r="M28">
        <f ca="1">IFERROR(IF(0=LEN(ReferenceData!$M$28),"",ReferenceData!$M$28),"")</f>
        <v>-22.4</v>
      </c>
      <c r="N28">
        <f ca="1">IFERROR(IF(0=LEN(ReferenceData!$N$28),"",ReferenceData!$N$28),"")</f>
        <v>12.9</v>
      </c>
      <c r="O28">
        <f ca="1">IFERROR(IF(0=LEN(ReferenceData!$O$28),"",ReferenceData!$O$28),"")</f>
        <v>13.3</v>
      </c>
      <c r="P28">
        <f ca="1">IFERROR(IF(0=LEN(ReferenceData!$P$28),"",ReferenceData!$P$28),"")</f>
        <v>15.4</v>
      </c>
      <c r="Q28">
        <f ca="1">IFERROR(IF(0=LEN(ReferenceData!$Q$28),"",ReferenceData!$Q$28),"")</f>
        <v>24.6</v>
      </c>
      <c r="R28">
        <f ca="1">IFERROR(IF(0=LEN(ReferenceData!$R$28),"",ReferenceData!$R$28),"")</f>
        <v>28</v>
      </c>
      <c r="S28">
        <f ca="1">IFERROR(IF(0=LEN(ReferenceData!$S$28),"",ReferenceData!$S$28),"")</f>
        <v>34.9</v>
      </c>
      <c r="T28">
        <f ca="1">IFERROR(IF(0=LEN(ReferenceData!$T$28),"",ReferenceData!$T$28),"")</f>
        <v>34.299999999999997</v>
      </c>
      <c r="U28">
        <f ca="1">IFERROR(IF(0=LEN(ReferenceData!$U$28),"",ReferenceData!$U$28),"")</f>
        <v>19.7</v>
      </c>
      <c r="V28">
        <f ca="1">IFERROR(IF(0=LEN(ReferenceData!$V$28),"",ReferenceData!$V$28),"")</f>
        <v>35.9</v>
      </c>
      <c r="W28">
        <f ca="1">IFERROR(IF(0=LEN(ReferenceData!$W$28),"",ReferenceData!$W$28),"")</f>
        <v>42.8</v>
      </c>
      <c r="X28">
        <f ca="1">IFERROR(IF(0=LEN(ReferenceData!$X$28),"",ReferenceData!$X$28),"")</f>
        <v>40.4</v>
      </c>
      <c r="Y28">
        <f ca="1">IFERROR(IF(0=LEN(ReferenceData!$Y$28),"",ReferenceData!$Y$28),"")</f>
        <v>51.4</v>
      </c>
      <c r="Z28">
        <f ca="1">IFERROR(IF(0=LEN(ReferenceData!$Z$28),"",ReferenceData!$Z$28),"")</f>
        <v>22.1</v>
      </c>
      <c r="AA28">
        <f ca="1">IFERROR(IF(0=LEN(ReferenceData!$AA$28),"",ReferenceData!$AA$28),"")</f>
        <v>17.8</v>
      </c>
      <c r="AB28">
        <f ca="1">IFERROR(IF(0=LEN(ReferenceData!$AB$28),"",ReferenceData!$AB$28),"")</f>
        <v>4.8</v>
      </c>
      <c r="AC28">
        <f ca="1">IFERROR(IF(0=LEN(ReferenceData!$AC$28),"",ReferenceData!$AC$28),"")</f>
        <v>2.9</v>
      </c>
      <c r="AD28">
        <f ca="1">IFERROR(IF(0=LEN(ReferenceData!$AD$28),"",ReferenceData!$AD$28),"")</f>
        <v>13.4</v>
      </c>
      <c r="AE28">
        <f ca="1">IFERROR(IF(0=LEN(ReferenceData!$AE$28),"",ReferenceData!$AE$28),"")</f>
        <v>8.6</v>
      </c>
      <c r="AF28">
        <f ca="1">IFERROR(IF(0=LEN(ReferenceData!$AF$28),"",ReferenceData!$AF$28),"")</f>
        <v>19.899999999999999</v>
      </c>
      <c r="AG28">
        <f ca="1">IFERROR(IF(0=LEN(ReferenceData!$AG$28),"",ReferenceData!$AG$28),"")</f>
        <v>3.7</v>
      </c>
      <c r="AH28">
        <f ca="1">IFERROR(IF(0=LEN(ReferenceData!$AH$28),"",ReferenceData!$AH$28),"")</f>
        <v>3</v>
      </c>
      <c r="AI28">
        <f ca="1">IFERROR(IF(0=LEN(ReferenceData!$AI$28),"",ReferenceData!$AI$28),"")</f>
        <v>10.7</v>
      </c>
      <c r="AJ28">
        <f ca="1">IFERROR(IF(0=LEN(ReferenceData!$AJ$28),"",ReferenceData!$AJ$28),"")</f>
        <v>-5.7</v>
      </c>
      <c r="AK28">
        <f ca="1">IFERROR(IF(0=LEN(ReferenceData!$AK$28),"",ReferenceData!$AK$28),"")</f>
        <v>-3.2</v>
      </c>
      <c r="AL28">
        <f ca="1">IFERROR(IF(0=LEN(ReferenceData!$AL$28),"",ReferenceData!$AL$28),"")</f>
        <v>-5.5</v>
      </c>
      <c r="AM28">
        <f ca="1">IFERROR(IF(0=LEN(ReferenceData!$AM$28),"",ReferenceData!$AM$28),"")</f>
        <v>-5.4</v>
      </c>
      <c r="AN28">
        <f ca="1">IFERROR(IF(0=LEN(ReferenceData!$AN$28),"",ReferenceData!$AN$28),"")</f>
        <v>1</v>
      </c>
      <c r="AO28">
        <f ca="1">IFERROR(IF(0=LEN(ReferenceData!$AO$28),"",ReferenceData!$AO$28),"")</f>
        <v>2.1</v>
      </c>
      <c r="AP28" t="str">
        <f ca="1">IFERROR(IF(0=LEN(ReferenceData!$AP$28),"",ReferenceData!$AP$28),"")</f>
        <v/>
      </c>
      <c r="AQ28" t="str">
        <f ca="1">IFERROR(IF(0=LEN(ReferenceData!$AQ$28),"",ReferenceData!$AQ$28),"")</f>
        <v/>
      </c>
      <c r="AR28" t="str">
        <f ca="1">IFERROR(IF(0=LEN(ReferenceData!$AR$28),"",ReferenceData!$AR$28),"")</f>
        <v/>
      </c>
      <c r="AS28" t="str">
        <f ca="1">IFERROR(IF(0=LEN(ReferenceData!$AS$28),"",ReferenceData!$AS$28),"")</f>
        <v/>
      </c>
      <c r="AT28" t="str">
        <f ca="1">IFERROR(IF(0=LEN(ReferenceData!$AT$28),"",ReferenceData!$AT$28),"")</f>
        <v/>
      </c>
      <c r="AU28" t="str">
        <f ca="1">IFERROR(IF(0=LEN(ReferenceData!$AU$28),"",ReferenceData!$AU$28),"")</f>
        <v/>
      </c>
      <c r="AV28" t="str">
        <f ca="1">IFERROR(IF(0=LEN(ReferenceData!$AV$28),"",ReferenceData!$AV$28),"")</f>
        <v/>
      </c>
      <c r="AW28" t="str">
        <f ca="1">IFERROR(IF(0=LEN(ReferenceData!$AW$28),"",ReferenceData!$AW$28),"")</f>
        <v/>
      </c>
      <c r="AX28" t="str">
        <f ca="1">IFERROR(IF(0=LEN(ReferenceData!$AX$28),"",ReferenceData!$AX$28),"")</f>
        <v/>
      </c>
      <c r="AY28" t="str">
        <f ca="1">IFERROR(IF(0=LEN(ReferenceData!$AY$28),"",ReferenceData!$AY$28),"")</f>
        <v/>
      </c>
      <c r="AZ28" t="str">
        <f ca="1">IFERROR(IF(0=LEN(ReferenceData!$AZ$28),"",ReferenceData!$AZ$28),"")</f>
        <v/>
      </c>
      <c r="BA28" t="str">
        <f ca="1">IFERROR(IF(0=LEN(ReferenceData!$BA$28),"",ReferenceData!$BA$28),"")</f>
        <v/>
      </c>
      <c r="BB28" t="str">
        <f ca="1">IFERROR(IF(0=LEN(ReferenceData!$BB$28),"",ReferenceData!$BB$28),"")</f>
        <v/>
      </c>
      <c r="BC28" t="str">
        <f ca="1">IFERROR(IF(0=LEN(ReferenceData!$BC$28),"",ReferenceData!$BC$28),"")</f>
        <v/>
      </c>
      <c r="BD28" t="str">
        <f ca="1">IFERROR(IF(0=LEN(ReferenceData!$BD$28),"",ReferenceData!$BD$28),"")</f>
        <v/>
      </c>
      <c r="BE28" t="str">
        <f ca="1">IFERROR(IF(0=LEN(ReferenceData!$BE$28),"",ReferenceData!$BE$28),"")</f>
        <v/>
      </c>
      <c r="BF28" t="str">
        <f ca="1">IFERROR(IF(0=LEN(ReferenceData!$BF$28),"",ReferenceData!$BF$28),"")</f>
        <v/>
      </c>
      <c r="BG28" t="str">
        <f ca="1">IFERROR(IF(0=LEN(ReferenceData!$BG$28),"",ReferenceData!$BG$28),"")</f>
        <v/>
      </c>
      <c r="BH28" t="str">
        <f ca="1">IFERROR(IF(0=LEN(ReferenceData!$BH$28),"",ReferenceData!$BH$28),"")</f>
        <v/>
      </c>
      <c r="BI28" t="str">
        <f ca="1">IFERROR(IF(0=LEN(ReferenceData!$BI$28),"",ReferenceData!$BI$28),"")</f>
        <v/>
      </c>
      <c r="BJ28" t="str">
        <f ca="1">IFERROR(IF(0=LEN(ReferenceData!$BJ$28),"",ReferenceData!$BJ$28),"")</f>
        <v/>
      </c>
      <c r="BK28" t="str">
        <f ca="1">IFERROR(IF(0=LEN(ReferenceData!$BK$28),"",ReferenceData!$BK$28),"")</f>
        <v/>
      </c>
      <c r="BL28" t="str">
        <f ca="1">IFERROR(IF(0=LEN(ReferenceData!$BL$28),"",ReferenceData!$BL$28),"")</f>
        <v/>
      </c>
      <c r="BM28" t="str">
        <f ca="1">IFERROR(IF(0=LEN(ReferenceData!$BM$28),"",ReferenceData!$BM$28),"")</f>
        <v/>
      </c>
    </row>
    <row r="29" spans="1:65" x14ac:dyDescent="0.25">
      <c r="A29" t="str">
        <f>IFERROR(IF(0=LEN(ReferenceData!$A$29),"",ReferenceData!$A$29),"")</f>
        <v xml:space="preserve">                    Retail</v>
      </c>
      <c r="B29" t="str">
        <f>IFERROR(IF(0=LEN(ReferenceData!$B$29),"",ReferenceData!$B$29),"")</f>
        <v>KER FP Equity</v>
      </c>
      <c r="C29" t="str">
        <f>IFERROR(IF(0=LEN(ReferenceData!$C$29),"",ReferenceData!$C$29),"")</f>
        <v>BI047</v>
      </c>
      <c r="D29" t="str">
        <f>IFERROR(IF(0=LEN(ReferenceData!$D$29),"",ReferenceData!$D$29),"")</f>
        <v>BICS_SEGMENT_DATA</v>
      </c>
      <c r="E29" t="str">
        <f>IFERROR(IF(0=LEN(ReferenceData!$E$29),"",ReferenceData!$E$29),"")</f>
        <v>Dynamic</v>
      </c>
      <c r="F29" t="str">
        <f ca="1">IFERROR(IF(0=LEN(ReferenceData!$F$29),"",ReferenceData!$F$29),"")</f>
        <v/>
      </c>
      <c r="G29">
        <f ca="1">IFERROR(IF(0=LEN(ReferenceData!$G$29),"",ReferenceData!$G$29),"")</f>
        <v>7</v>
      </c>
      <c r="H29">
        <f ca="1">IFERROR(IF(0=LEN(ReferenceData!$H$29),"",ReferenceData!$H$29),"")</f>
        <v>93</v>
      </c>
      <c r="I29">
        <f ca="1">IFERROR(IF(0=LEN(ReferenceData!$I$29),"",ReferenceData!$I$29),"")</f>
        <v>34</v>
      </c>
      <c r="J29">
        <f ca="1">IFERROR(IF(0=LEN(ReferenceData!$J$29),"",ReferenceData!$J$29),"")</f>
        <v>-7</v>
      </c>
      <c r="K29">
        <f ca="1">IFERROR(IF(0=LEN(ReferenceData!$K$29),"",ReferenceData!$K$29),"")</f>
        <v>-4</v>
      </c>
      <c r="L29">
        <f ca="1">IFERROR(IF(0=LEN(ReferenceData!$L$29),"",ReferenceData!$L$29),"")</f>
        <v>-43</v>
      </c>
      <c r="M29">
        <f ca="1">IFERROR(IF(0=LEN(ReferenceData!$M$29),"",ReferenceData!$M$29),"")</f>
        <v>-24</v>
      </c>
      <c r="N29">
        <f ca="1">IFERROR(IF(0=LEN(ReferenceData!$N$29),"",ReferenceData!$N$29),"")</f>
        <v>10</v>
      </c>
      <c r="O29">
        <f ca="1">IFERROR(IF(0=LEN(ReferenceData!$O$29),"",ReferenceData!$O$29),"")</f>
        <v>11</v>
      </c>
      <c r="P29">
        <f ca="1">IFERROR(IF(0=LEN(ReferenceData!$P$29),"",ReferenceData!$P$29),"")</f>
        <v>12</v>
      </c>
      <c r="Q29">
        <f ca="1">IFERROR(IF(0=LEN(ReferenceData!$Q$29),"",ReferenceData!$Q$29),"")</f>
        <v>20</v>
      </c>
      <c r="R29">
        <f ca="1">IFERROR(IF(0=LEN(ReferenceData!$R$29),"",ReferenceData!$R$29),"")</f>
        <v>29</v>
      </c>
      <c r="S29">
        <f ca="1">IFERROR(IF(0=LEN(ReferenceData!$S$29),"",ReferenceData!$S$29),"")</f>
        <v>35</v>
      </c>
      <c r="T29">
        <f ca="1">IFERROR(IF(0=LEN(ReferenceData!$T$29),"",ReferenceData!$T$29),"")</f>
        <v>43</v>
      </c>
      <c r="U29">
        <f ca="1">IFERROR(IF(0=LEN(ReferenceData!$U$29),"",ReferenceData!$U$29),"")</f>
        <v>50</v>
      </c>
      <c r="V29">
        <f ca="1">IFERROR(IF(0=LEN(ReferenceData!$V$29),"",ReferenceData!$V$29),"")</f>
        <v>45</v>
      </c>
      <c r="W29">
        <f ca="1">IFERROR(IF(0=LEN(ReferenceData!$W$29),"",ReferenceData!$W$29),"")</f>
        <v>51</v>
      </c>
      <c r="X29">
        <f ca="1">IFERROR(IF(0=LEN(ReferenceData!$X$29),"",ReferenceData!$X$29),"")</f>
        <v>42</v>
      </c>
      <c r="Y29">
        <f ca="1">IFERROR(IF(0=LEN(ReferenceData!$Y$29),"",ReferenceData!$Y$29),"")</f>
        <v>51</v>
      </c>
      <c r="Z29">
        <f ca="1">IFERROR(IF(0=LEN(ReferenceData!$Z$29),"",ReferenceData!$Z$29),"")</f>
        <v>28</v>
      </c>
      <c r="AA29">
        <f ca="1">IFERROR(IF(0=LEN(ReferenceData!$AA$29),"",ReferenceData!$AA$29),"")</f>
        <v>19</v>
      </c>
      <c r="AB29">
        <f ca="1">IFERROR(IF(0=LEN(ReferenceData!$AB$29),"",ReferenceData!$AB$29),"")</f>
        <v>7</v>
      </c>
      <c r="AC29">
        <f ca="1">IFERROR(IF(0=LEN(ReferenceData!$AC$29),"",ReferenceData!$AC$29),"")</f>
        <v>3</v>
      </c>
      <c r="AD29" t="str">
        <f ca="1">IFERROR(IF(0=LEN(ReferenceData!$AD$29),"",ReferenceData!$AD$29),"")</f>
        <v/>
      </c>
      <c r="AE29" t="str">
        <f ca="1">IFERROR(IF(0=LEN(ReferenceData!$AE$29),"",ReferenceData!$AE$29),"")</f>
        <v/>
      </c>
      <c r="AF29" t="str">
        <f ca="1">IFERROR(IF(0=LEN(ReferenceData!$AF$29),"",ReferenceData!$AF$29),"")</f>
        <v/>
      </c>
      <c r="AG29" t="str">
        <f ca="1">IFERROR(IF(0=LEN(ReferenceData!$AG$29),"",ReferenceData!$AG$29),"")</f>
        <v/>
      </c>
      <c r="AH29" t="str">
        <f ca="1">IFERROR(IF(0=LEN(ReferenceData!$AH$29),"",ReferenceData!$AH$29),"")</f>
        <v/>
      </c>
      <c r="AI29" t="str">
        <f ca="1">IFERROR(IF(0=LEN(ReferenceData!$AI$29),"",ReferenceData!$AI$29),"")</f>
        <v/>
      </c>
      <c r="AJ29" t="str">
        <f ca="1">IFERROR(IF(0=LEN(ReferenceData!$AJ$29),"",ReferenceData!$AJ$29),"")</f>
        <v/>
      </c>
      <c r="AK29">
        <f ca="1">IFERROR(IF(0=LEN(ReferenceData!$AK$29),"",ReferenceData!$AK$29),"")</f>
        <v>6</v>
      </c>
      <c r="AL29" t="str">
        <f ca="1">IFERROR(IF(0=LEN(ReferenceData!$AL$29),"",ReferenceData!$AL$29),"")</f>
        <v/>
      </c>
      <c r="AM29" t="str">
        <f ca="1">IFERROR(IF(0=LEN(ReferenceData!$AM$29),"",ReferenceData!$AM$29),"")</f>
        <v/>
      </c>
      <c r="AN29" t="str">
        <f ca="1">IFERROR(IF(0=LEN(ReferenceData!$AN$29),"",ReferenceData!$AN$29),"")</f>
        <v/>
      </c>
      <c r="AO29" t="str">
        <f ca="1">IFERROR(IF(0=LEN(ReferenceData!$AO$29),"",ReferenceData!$AO$29),"")</f>
        <v/>
      </c>
      <c r="AP29" t="str">
        <f ca="1">IFERROR(IF(0=LEN(ReferenceData!$AP$29),"",ReferenceData!$AP$29),"")</f>
        <v/>
      </c>
      <c r="AQ29" t="str">
        <f ca="1">IFERROR(IF(0=LEN(ReferenceData!$AQ$29),"",ReferenceData!$AQ$29),"")</f>
        <v/>
      </c>
      <c r="AR29" t="str">
        <f ca="1">IFERROR(IF(0=LEN(ReferenceData!$AR$29),"",ReferenceData!$AR$29),"")</f>
        <v/>
      </c>
      <c r="AS29" t="str">
        <f ca="1">IFERROR(IF(0=LEN(ReferenceData!$AS$29),"",ReferenceData!$AS$29),"")</f>
        <v/>
      </c>
      <c r="AT29" t="str">
        <f ca="1">IFERROR(IF(0=LEN(ReferenceData!$AT$29),"",ReferenceData!$AT$29),"")</f>
        <v/>
      </c>
      <c r="AU29" t="str">
        <f ca="1">IFERROR(IF(0=LEN(ReferenceData!$AU$29),"",ReferenceData!$AU$29),"")</f>
        <v/>
      </c>
      <c r="AV29" t="str">
        <f ca="1">IFERROR(IF(0=LEN(ReferenceData!$AV$29),"",ReferenceData!$AV$29),"")</f>
        <v/>
      </c>
      <c r="AW29" t="str">
        <f ca="1">IFERROR(IF(0=LEN(ReferenceData!$AW$29),"",ReferenceData!$AW$29),"")</f>
        <v/>
      </c>
      <c r="AX29" t="str">
        <f ca="1">IFERROR(IF(0=LEN(ReferenceData!$AX$29),"",ReferenceData!$AX$29),"")</f>
        <v/>
      </c>
      <c r="AY29" t="str">
        <f ca="1">IFERROR(IF(0=LEN(ReferenceData!$AY$29),"",ReferenceData!$AY$29),"")</f>
        <v/>
      </c>
      <c r="AZ29" t="str">
        <f ca="1">IFERROR(IF(0=LEN(ReferenceData!$AZ$29),"",ReferenceData!$AZ$29),"")</f>
        <v/>
      </c>
      <c r="BA29" t="str">
        <f ca="1">IFERROR(IF(0=LEN(ReferenceData!$BA$29),"",ReferenceData!$BA$29),"")</f>
        <v/>
      </c>
      <c r="BB29" t="str">
        <f ca="1">IFERROR(IF(0=LEN(ReferenceData!$BB$29),"",ReferenceData!$BB$29),"")</f>
        <v/>
      </c>
      <c r="BC29" t="str">
        <f ca="1">IFERROR(IF(0=LEN(ReferenceData!$BC$29),"",ReferenceData!$BC$29),"")</f>
        <v/>
      </c>
      <c r="BD29" t="str">
        <f ca="1">IFERROR(IF(0=LEN(ReferenceData!$BD$29),"",ReferenceData!$BD$29),"")</f>
        <v/>
      </c>
      <c r="BE29" t="str">
        <f ca="1">IFERROR(IF(0=LEN(ReferenceData!$BE$29),"",ReferenceData!$BE$29),"")</f>
        <v/>
      </c>
      <c r="BF29" t="str">
        <f ca="1">IFERROR(IF(0=LEN(ReferenceData!$BF$29),"",ReferenceData!$BF$29),"")</f>
        <v/>
      </c>
      <c r="BG29" t="str">
        <f ca="1">IFERROR(IF(0=LEN(ReferenceData!$BG$29),"",ReferenceData!$BG$29),"")</f>
        <v/>
      </c>
      <c r="BH29" t="str">
        <f ca="1">IFERROR(IF(0=LEN(ReferenceData!$BH$29),"",ReferenceData!$BH$29),"")</f>
        <v/>
      </c>
      <c r="BI29" t="str">
        <f ca="1">IFERROR(IF(0=LEN(ReferenceData!$BI$29),"",ReferenceData!$BI$29),"")</f>
        <v/>
      </c>
      <c r="BJ29" t="str">
        <f ca="1">IFERROR(IF(0=LEN(ReferenceData!$BJ$29),"",ReferenceData!$BJ$29),"")</f>
        <v/>
      </c>
      <c r="BK29" t="str">
        <f ca="1">IFERROR(IF(0=LEN(ReferenceData!$BK$29),"",ReferenceData!$BK$29),"")</f>
        <v/>
      </c>
      <c r="BL29" t="str">
        <f ca="1">IFERROR(IF(0=LEN(ReferenceData!$BL$29),"",ReferenceData!$BL$29),"")</f>
        <v/>
      </c>
      <c r="BM29" t="str">
        <f ca="1">IFERROR(IF(0=LEN(ReferenceData!$BM$29),"",ReferenceData!$BM$29),"")</f>
        <v/>
      </c>
    </row>
    <row r="30" spans="1:65" x14ac:dyDescent="0.25">
      <c r="A30" t="str">
        <f>IFERROR(IF(0=LEN(ReferenceData!$A$30),"",ReferenceData!$A$30),"")</f>
        <v xml:space="preserve">                        Western Europe</v>
      </c>
      <c r="B30" t="str">
        <f>IFERROR(IF(0=LEN(ReferenceData!$B$30),"",ReferenceData!$B$30),"")</f>
        <v>KER FP Equity</v>
      </c>
      <c r="C30" t="str">
        <f>IFERROR(IF(0=LEN(ReferenceData!$C$30),"",ReferenceData!$C$30),"")</f>
        <v>BI047</v>
      </c>
      <c r="D30" t="str">
        <f>IFERROR(IF(0=LEN(ReferenceData!$D$30),"",ReferenceData!$D$30),"")</f>
        <v>BICS_SEGMENT_DATA</v>
      </c>
      <c r="E30" t="str">
        <f>IFERROR(IF(0=LEN(ReferenceData!$E$30),"",ReferenceData!$E$30),"")</f>
        <v>Dynamic</v>
      </c>
      <c r="F30" t="str">
        <f ca="1">IFERROR(IF(0=LEN(ReferenceData!$F$30),"",ReferenceData!$F$30),"")</f>
        <v/>
      </c>
      <c r="G30">
        <f ca="1">IFERROR(IF(0=LEN(ReferenceData!$G$30),"",ReferenceData!$G$30),"")</f>
        <v>7</v>
      </c>
      <c r="H30">
        <f ca="1">IFERROR(IF(0=LEN(ReferenceData!$H$30),"",ReferenceData!$H$30),"")</f>
        <v>75</v>
      </c>
      <c r="I30">
        <f ca="1">IFERROR(IF(0=LEN(ReferenceData!$I$30),"",ReferenceData!$I$30),"")</f>
        <v>-36</v>
      </c>
      <c r="J30">
        <f ca="1">IFERROR(IF(0=LEN(ReferenceData!$J$30),"",ReferenceData!$J$30),"")</f>
        <v>-45</v>
      </c>
      <c r="K30">
        <f ca="1">IFERROR(IF(0=LEN(ReferenceData!$K$30),"",ReferenceData!$K$30),"")</f>
        <v>-47</v>
      </c>
      <c r="L30">
        <f ca="1">IFERROR(IF(0=LEN(ReferenceData!$L$30),"",ReferenceData!$L$30),"")</f>
        <v>-71</v>
      </c>
      <c r="M30">
        <f ca="1">IFERROR(IF(0=LEN(ReferenceData!$M$30),"",ReferenceData!$M$30),"")</f>
        <v>-20</v>
      </c>
      <c r="N30">
        <f ca="1">IFERROR(IF(0=LEN(ReferenceData!$N$30),"",ReferenceData!$N$30),"")</f>
        <v>14</v>
      </c>
      <c r="O30">
        <f ca="1">IFERROR(IF(0=LEN(ReferenceData!$O$30),"",ReferenceData!$O$30),"")</f>
        <v>12</v>
      </c>
      <c r="P30">
        <f ca="1">IFERROR(IF(0=LEN(ReferenceData!$P$30),"",ReferenceData!$P$30),"")</f>
        <v>13</v>
      </c>
      <c r="Q30">
        <f ca="1">IFERROR(IF(0=LEN(ReferenceData!$Q$30),"",ReferenceData!$Q$30),"")</f>
        <v>12</v>
      </c>
      <c r="R30">
        <f ca="1">IFERROR(IF(0=LEN(ReferenceData!$R$30),"",ReferenceData!$R$30),"")</f>
        <v>19</v>
      </c>
      <c r="S30">
        <f ca="1">IFERROR(IF(0=LEN(ReferenceData!$S$30),"",ReferenceData!$S$30),"")</f>
        <v>25</v>
      </c>
      <c r="T30">
        <f ca="1">IFERROR(IF(0=LEN(ReferenceData!$T$30),"",ReferenceData!$T$30),"")</f>
        <v>32</v>
      </c>
      <c r="U30">
        <f ca="1">IFERROR(IF(0=LEN(ReferenceData!$U$30),"",ReferenceData!$U$30),"")</f>
        <v>44</v>
      </c>
      <c r="V30">
        <f ca="1">IFERROR(IF(0=LEN(ReferenceData!$V$30),"",ReferenceData!$V$30),"")</f>
        <v>50</v>
      </c>
      <c r="W30">
        <f ca="1">IFERROR(IF(0=LEN(ReferenceData!$W$30),"",ReferenceData!$W$30),"")</f>
        <v>54</v>
      </c>
      <c r="X30">
        <f ca="1">IFERROR(IF(0=LEN(ReferenceData!$X$30),"",ReferenceData!$X$30),"")</f>
        <v>66</v>
      </c>
      <c r="Y30">
        <f ca="1">IFERROR(IF(0=LEN(ReferenceData!$Y$30),"",ReferenceData!$Y$30),"")</f>
        <v>66</v>
      </c>
      <c r="Z30">
        <f ca="1">IFERROR(IF(0=LEN(ReferenceData!$Z$30),"",ReferenceData!$Z$30),"")</f>
        <v>51</v>
      </c>
      <c r="AA30">
        <f ca="1">IFERROR(IF(0=LEN(ReferenceData!$AA$30),"",ReferenceData!$AA$30),"")</f>
        <v>22</v>
      </c>
      <c r="AB30">
        <f ca="1">IFERROR(IF(0=LEN(ReferenceData!$AB$30),"",ReferenceData!$AB$30),"")</f>
        <v>20</v>
      </c>
      <c r="AC30">
        <f ca="1">IFERROR(IF(0=LEN(ReferenceData!$AC$30),"",ReferenceData!$AC$30),"")</f>
        <v>20</v>
      </c>
      <c r="AD30" t="str">
        <f ca="1">IFERROR(IF(0=LEN(ReferenceData!$AD$30),"",ReferenceData!$AD$30),"")</f>
        <v/>
      </c>
      <c r="AE30">
        <f ca="1">IFERROR(IF(0=LEN(ReferenceData!$AE$30),"",ReferenceData!$AE$30),"")</f>
        <v>27</v>
      </c>
      <c r="AF30">
        <f ca="1">IFERROR(IF(0=LEN(ReferenceData!$AF$30),"",ReferenceData!$AF$30),"")</f>
        <v>20</v>
      </c>
      <c r="AG30">
        <f ca="1">IFERROR(IF(0=LEN(ReferenceData!$AG$30),"",ReferenceData!$AG$30),"")</f>
        <v>6</v>
      </c>
      <c r="AH30" t="str">
        <f ca="1">IFERROR(IF(0=LEN(ReferenceData!$AH$30),"",ReferenceData!$AH$30),"")</f>
        <v/>
      </c>
      <c r="AI30" t="str">
        <f ca="1">IFERROR(IF(0=LEN(ReferenceData!$AI$30),"",ReferenceData!$AI$30),"")</f>
        <v/>
      </c>
      <c r="AJ30" t="str">
        <f ca="1">IFERROR(IF(0=LEN(ReferenceData!$AJ$30),"",ReferenceData!$AJ$30),"")</f>
        <v/>
      </c>
      <c r="AK30">
        <f ca="1">IFERROR(IF(0=LEN(ReferenceData!$AK$30),"",ReferenceData!$AK$30),"")</f>
        <v>-2</v>
      </c>
      <c r="AL30" t="str">
        <f ca="1">IFERROR(IF(0=LEN(ReferenceData!$AL$30),"",ReferenceData!$AL$30),"")</f>
        <v/>
      </c>
      <c r="AM30" t="str">
        <f ca="1">IFERROR(IF(0=LEN(ReferenceData!$AM$30),"",ReferenceData!$AM$30),"")</f>
        <v/>
      </c>
      <c r="AN30" t="str">
        <f ca="1">IFERROR(IF(0=LEN(ReferenceData!$AN$30),"",ReferenceData!$AN$30),"")</f>
        <v/>
      </c>
      <c r="AO30">
        <f ca="1">IFERROR(IF(0=LEN(ReferenceData!$AO$30),"",ReferenceData!$AO$30),"")</f>
        <v>-1</v>
      </c>
      <c r="AP30" t="str">
        <f ca="1">IFERROR(IF(0=LEN(ReferenceData!$AP$30),"",ReferenceData!$AP$30),"")</f>
        <v/>
      </c>
      <c r="AQ30" t="str">
        <f ca="1">IFERROR(IF(0=LEN(ReferenceData!$AQ$30),"",ReferenceData!$AQ$30),"")</f>
        <v/>
      </c>
      <c r="AR30" t="str">
        <f ca="1">IFERROR(IF(0=LEN(ReferenceData!$AR$30),"",ReferenceData!$AR$30),"")</f>
        <v/>
      </c>
      <c r="AS30" t="str">
        <f ca="1">IFERROR(IF(0=LEN(ReferenceData!$AS$30),"",ReferenceData!$AS$30),"")</f>
        <v/>
      </c>
      <c r="AT30" t="str">
        <f ca="1">IFERROR(IF(0=LEN(ReferenceData!$AT$30),"",ReferenceData!$AT$30),"")</f>
        <v/>
      </c>
      <c r="AU30" t="str">
        <f ca="1">IFERROR(IF(0=LEN(ReferenceData!$AU$30),"",ReferenceData!$AU$30),"")</f>
        <v/>
      </c>
      <c r="AV30" t="str">
        <f ca="1">IFERROR(IF(0=LEN(ReferenceData!$AV$30),"",ReferenceData!$AV$30),"")</f>
        <v/>
      </c>
      <c r="AW30" t="str">
        <f ca="1">IFERROR(IF(0=LEN(ReferenceData!$AW$30),"",ReferenceData!$AW$30),"")</f>
        <v/>
      </c>
      <c r="AX30" t="str">
        <f ca="1">IFERROR(IF(0=LEN(ReferenceData!$AX$30),"",ReferenceData!$AX$30),"")</f>
        <v/>
      </c>
      <c r="AY30" t="str">
        <f ca="1">IFERROR(IF(0=LEN(ReferenceData!$AY$30),"",ReferenceData!$AY$30),"")</f>
        <v/>
      </c>
      <c r="AZ30" t="str">
        <f ca="1">IFERROR(IF(0=LEN(ReferenceData!$AZ$30),"",ReferenceData!$AZ$30),"")</f>
        <v/>
      </c>
      <c r="BA30" t="str">
        <f ca="1">IFERROR(IF(0=LEN(ReferenceData!$BA$30),"",ReferenceData!$BA$30),"")</f>
        <v/>
      </c>
      <c r="BB30" t="str">
        <f ca="1">IFERROR(IF(0=LEN(ReferenceData!$BB$30),"",ReferenceData!$BB$30),"")</f>
        <v/>
      </c>
      <c r="BC30" t="str">
        <f ca="1">IFERROR(IF(0=LEN(ReferenceData!$BC$30),"",ReferenceData!$BC$30),"")</f>
        <v/>
      </c>
      <c r="BD30" t="str">
        <f ca="1">IFERROR(IF(0=LEN(ReferenceData!$BD$30),"",ReferenceData!$BD$30),"")</f>
        <v/>
      </c>
      <c r="BE30" t="str">
        <f ca="1">IFERROR(IF(0=LEN(ReferenceData!$BE$30),"",ReferenceData!$BE$30),"")</f>
        <v/>
      </c>
      <c r="BF30" t="str">
        <f ca="1">IFERROR(IF(0=LEN(ReferenceData!$BF$30),"",ReferenceData!$BF$30),"")</f>
        <v/>
      </c>
      <c r="BG30" t="str">
        <f ca="1">IFERROR(IF(0=LEN(ReferenceData!$BG$30),"",ReferenceData!$BG$30),"")</f>
        <v/>
      </c>
      <c r="BH30" t="str">
        <f ca="1">IFERROR(IF(0=LEN(ReferenceData!$BH$30),"",ReferenceData!$BH$30),"")</f>
        <v/>
      </c>
      <c r="BI30" t="str">
        <f ca="1">IFERROR(IF(0=LEN(ReferenceData!$BI$30),"",ReferenceData!$BI$30),"")</f>
        <v/>
      </c>
      <c r="BJ30" t="str">
        <f ca="1">IFERROR(IF(0=LEN(ReferenceData!$BJ$30),"",ReferenceData!$BJ$30),"")</f>
        <v/>
      </c>
      <c r="BK30" t="str">
        <f ca="1">IFERROR(IF(0=LEN(ReferenceData!$BK$30),"",ReferenceData!$BK$30),"")</f>
        <v/>
      </c>
      <c r="BL30" t="str">
        <f ca="1">IFERROR(IF(0=LEN(ReferenceData!$BL$30),"",ReferenceData!$BL$30),"")</f>
        <v/>
      </c>
      <c r="BM30" t="str">
        <f ca="1">IFERROR(IF(0=LEN(ReferenceData!$BM$30),"",ReferenceData!$BM$30),"")</f>
        <v/>
      </c>
    </row>
    <row r="31" spans="1:65" x14ac:dyDescent="0.25">
      <c r="A31" t="str">
        <f>IFERROR(IF(0=LEN(ReferenceData!$A$31),"",ReferenceData!$A$31),"")</f>
        <v xml:space="preserve">                        North America</v>
      </c>
      <c r="B31" t="str">
        <f>IFERROR(IF(0=LEN(ReferenceData!$B$31),"",ReferenceData!$B$31),"")</f>
        <v>KER FP Equity</v>
      </c>
      <c r="C31" t="str">
        <f>IFERROR(IF(0=LEN(ReferenceData!$C$31),"",ReferenceData!$C$31),"")</f>
        <v>BI047</v>
      </c>
      <c r="D31" t="str">
        <f>IFERROR(IF(0=LEN(ReferenceData!$D$31),"",ReferenceData!$D$31),"")</f>
        <v>BICS_SEGMENT_DATA</v>
      </c>
      <c r="E31" t="str">
        <f>IFERROR(IF(0=LEN(ReferenceData!$E$31),"",ReferenceData!$E$31),"")</f>
        <v>Dynamic</v>
      </c>
      <c r="F31" t="str">
        <f ca="1">IFERROR(IF(0=LEN(ReferenceData!$F$31),"",ReferenceData!$F$31),"")</f>
        <v/>
      </c>
      <c r="G31">
        <f ca="1">IFERROR(IF(0=LEN(ReferenceData!$G$31),"",ReferenceData!$G$31),"")</f>
        <v>24</v>
      </c>
      <c r="H31">
        <f ca="1">IFERROR(IF(0=LEN(ReferenceData!$H$31),"",ReferenceData!$H$31),"")</f>
        <v>225</v>
      </c>
      <c r="I31">
        <f ca="1">IFERROR(IF(0=LEN(ReferenceData!$I$31),"",ReferenceData!$I$31),"")</f>
        <v>51</v>
      </c>
      <c r="J31">
        <f ca="1">IFERROR(IF(0=LEN(ReferenceData!$J$31),"",ReferenceData!$J$31),"")</f>
        <v>13</v>
      </c>
      <c r="K31">
        <f ca="1">IFERROR(IF(0=LEN(ReferenceData!$K$31),"",ReferenceData!$K$31),"")</f>
        <v>44</v>
      </c>
      <c r="L31">
        <f ca="1">IFERROR(IF(0=LEN(ReferenceData!$L$31),"",ReferenceData!$L$31),"")</f>
        <v>-43</v>
      </c>
      <c r="M31">
        <f ca="1">IFERROR(IF(0=LEN(ReferenceData!$M$31),"",ReferenceData!$M$31),"")</f>
        <v>-11</v>
      </c>
      <c r="N31">
        <f ca="1">IFERROR(IF(0=LEN(ReferenceData!$N$31),"",ReferenceData!$N$31),"")</f>
        <v>6</v>
      </c>
      <c r="O31">
        <f ca="1">IFERROR(IF(0=LEN(ReferenceData!$O$31),"",ReferenceData!$O$31),"")</f>
        <v>-2</v>
      </c>
      <c r="P31">
        <f ca="1">IFERROR(IF(0=LEN(ReferenceData!$P$31),"",ReferenceData!$P$31),"")</f>
        <v>-2</v>
      </c>
      <c r="Q31">
        <f ca="1">IFERROR(IF(0=LEN(ReferenceData!$Q$31),"",ReferenceData!$Q$31),"")</f>
        <v>5</v>
      </c>
      <c r="R31">
        <f ca="1">IFERROR(IF(0=LEN(ReferenceData!$R$31),"",ReferenceData!$R$31),"")</f>
        <v>29</v>
      </c>
      <c r="S31">
        <f ca="1">IFERROR(IF(0=LEN(ReferenceData!$S$31),"",ReferenceData!$S$31),"")</f>
        <v>41</v>
      </c>
      <c r="T31">
        <f ca="1">IFERROR(IF(0=LEN(ReferenceData!$T$31),"",ReferenceData!$T$31),"")</f>
        <v>52</v>
      </c>
      <c r="U31">
        <f ca="1">IFERROR(IF(0=LEN(ReferenceData!$U$31),"",ReferenceData!$U$31),"")</f>
        <v>64</v>
      </c>
      <c r="V31">
        <f ca="1">IFERROR(IF(0=LEN(ReferenceData!$V$31),"",ReferenceData!$V$31),"")</f>
        <v>51</v>
      </c>
      <c r="W31">
        <f ca="1">IFERROR(IF(0=LEN(ReferenceData!$W$31),"",ReferenceData!$W$31),"")</f>
        <v>49</v>
      </c>
      <c r="X31">
        <f ca="1">IFERROR(IF(0=LEN(ReferenceData!$X$31),"",ReferenceData!$X$31),"")</f>
        <v>30</v>
      </c>
      <c r="Y31">
        <f ca="1">IFERROR(IF(0=LEN(ReferenceData!$Y$31),"",ReferenceData!$Y$31),"")</f>
        <v>46</v>
      </c>
      <c r="Z31">
        <f ca="1">IFERROR(IF(0=LEN(ReferenceData!$Z$31),"",ReferenceData!$Z$31),"")</f>
        <v>18</v>
      </c>
      <c r="AA31">
        <f ca="1">IFERROR(IF(0=LEN(ReferenceData!$AA$31),"",ReferenceData!$AA$31),"")</f>
        <v>22</v>
      </c>
      <c r="AB31">
        <f ca="1">IFERROR(IF(0=LEN(ReferenceData!$AB$31),"",ReferenceData!$AB$31),"")</f>
        <v>0</v>
      </c>
      <c r="AC31">
        <f ca="1">IFERROR(IF(0=LEN(ReferenceData!$AC$31),"",ReferenceData!$AC$31),"")</f>
        <v>-5</v>
      </c>
      <c r="AD31" t="str">
        <f ca="1">IFERROR(IF(0=LEN(ReferenceData!$AD$31),"",ReferenceData!$AD$31),"")</f>
        <v/>
      </c>
      <c r="AE31">
        <f ca="1">IFERROR(IF(0=LEN(ReferenceData!$AE$31),"",ReferenceData!$AE$31),"")</f>
        <v>-8</v>
      </c>
      <c r="AF31">
        <f ca="1">IFERROR(IF(0=LEN(ReferenceData!$AF$31),"",ReferenceData!$AF$31),"")</f>
        <v>11</v>
      </c>
      <c r="AG31">
        <f ca="1">IFERROR(IF(0=LEN(ReferenceData!$AG$31),"",ReferenceData!$AG$31),"")</f>
        <v>0</v>
      </c>
      <c r="AH31" t="str">
        <f ca="1">IFERROR(IF(0=LEN(ReferenceData!$AH$31),"",ReferenceData!$AH$31),"")</f>
        <v/>
      </c>
      <c r="AI31" t="str">
        <f ca="1">IFERROR(IF(0=LEN(ReferenceData!$AI$31),"",ReferenceData!$AI$31),"")</f>
        <v/>
      </c>
      <c r="AJ31" t="str">
        <f ca="1">IFERROR(IF(0=LEN(ReferenceData!$AJ$31),"",ReferenceData!$AJ$31),"")</f>
        <v/>
      </c>
      <c r="AK31">
        <f ca="1">IFERROR(IF(0=LEN(ReferenceData!$AK$31),"",ReferenceData!$AK$31),"")</f>
        <v>3</v>
      </c>
      <c r="AL31" t="str">
        <f ca="1">IFERROR(IF(0=LEN(ReferenceData!$AL$31),"",ReferenceData!$AL$31),"")</f>
        <v/>
      </c>
      <c r="AM31" t="str">
        <f ca="1">IFERROR(IF(0=LEN(ReferenceData!$AM$31),"",ReferenceData!$AM$31),"")</f>
        <v/>
      </c>
      <c r="AN31" t="str">
        <f ca="1">IFERROR(IF(0=LEN(ReferenceData!$AN$31),"",ReferenceData!$AN$31),"")</f>
        <v/>
      </c>
      <c r="AO31">
        <f ca="1">IFERROR(IF(0=LEN(ReferenceData!$AO$31),"",ReferenceData!$AO$31),"")</f>
        <v>9</v>
      </c>
      <c r="AP31" t="str">
        <f ca="1">IFERROR(IF(0=LEN(ReferenceData!$AP$31),"",ReferenceData!$AP$31),"")</f>
        <v/>
      </c>
      <c r="AQ31" t="str">
        <f ca="1">IFERROR(IF(0=LEN(ReferenceData!$AQ$31),"",ReferenceData!$AQ$31),"")</f>
        <v/>
      </c>
      <c r="AR31" t="str">
        <f ca="1">IFERROR(IF(0=LEN(ReferenceData!$AR$31),"",ReferenceData!$AR$31),"")</f>
        <v/>
      </c>
      <c r="AS31" t="str">
        <f ca="1">IFERROR(IF(0=LEN(ReferenceData!$AS$31),"",ReferenceData!$AS$31),"")</f>
        <v/>
      </c>
      <c r="AT31" t="str">
        <f ca="1">IFERROR(IF(0=LEN(ReferenceData!$AT$31),"",ReferenceData!$AT$31),"")</f>
        <v/>
      </c>
      <c r="AU31" t="str">
        <f ca="1">IFERROR(IF(0=LEN(ReferenceData!$AU$31),"",ReferenceData!$AU$31),"")</f>
        <v/>
      </c>
      <c r="AV31" t="str">
        <f ca="1">IFERROR(IF(0=LEN(ReferenceData!$AV$31),"",ReferenceData!$AV$31),"")</f>
        <v/>
      </c>
      <c r="AW31" t="str">
        <f ca="1">IFERROR(IF(0=LEN(ReferenceData!$AW$31),"",ReferenceData!$AW$31),"")</f>
        <v/>
      </c>
      <c r="AX31" t="str">
        <f ca="1">IFERROR(IF(0=LEN(ReferenceData!$AX$31),"",ReferenceData!$AX$31),"")</f>
        <v/>
      </c>
      <c r="AY31" t="str">
        <f ca="1">IFERROR(IF(0=LEN(ReferenceData!$AY$31),"",ReferenceData!$AY$31),"")</f>
        <v/>
      </c>
      <c r="AZ31" t="str">
        <f ca="1">IFERROR(IF(0=LEN(ReferenceData!$AZ$31),"",ReferenceData!$AZ$31),"")</f>
        <v/>
      </c>
      <c r="BA31" t="str">
        <f ca="1">IFERROR(IF(0=LEN(ReferenceData!$BA$31),"",ReferenceData!$BA$31),"")</f>
        <v/>
      </c>
      <c r="BB31" t="str">
        <f ca="1">IFERROR(IF(0=LEN(ReferenceData!$BB$31),"",ReferenceData!$BB$31),"")</f>
        <v/>
      </c>
      <c r="BC31" t="str">
        <f ca="1">IFERROR(IF(0=LEN(ReferenceData!$BC$31),"",ReferenceData!$BC$31),"")</f>
        <v/>
      </c>
      <c r="BD31" t="str">
        <f ca="1">IFERROR(IF(0=LEN(ReferenceData!$BD$31),"",ReferenceData!$BD$31),"")</f>
        <v/>
      </c>
      <c r="BE31" t="str">
        <f ca="1">IFERROR(IF(0=LEN(ReferenceData!$BE$31),"",ReferenceData!$BE$31),"")</f>
        <v/>
      </c>
      <c r="BF31" t="str">
        <f ca="1">IFERROR(IF(0=LEN(ReferenceData!$BF$31),"",ReferenceData!$BF$31),"")</f>
        <v/>
      </c>
      <c r="BG31" t="str">
        <f ca="1">IFERROR(IF(0=LEN(ReferenceData!$BG$31),"",ReferenceData!$BG$31),"")</f>
        <v/>
      </c>
      <c r="BH31" t="str">
        <f ca="1">IFERROR(IF(0=LEN(ReferenceData!$BH$31),"",ReferenceData!$BH$31),"")</f>
        <v/>
      </c>
      <c r="BI31" t="str">
        <f ca="1">IFERROR(IF(0=LEN(ReferenceData!$BI$31),"",ReferenceData!$BI$31),"")</f>
        <v/>
      </c>
      <c r="BJ31" t="str">
        <f ca="1">IFERROR(IF(0=LEN(ReferenceData!$BJ$31),"",ReferenceData!$BJ$31),"")</f>
        <v/>
      </c>
      <c r="BK31" t="str">
        <f ca="1">IFERROR(IF(0=LEN(ReferenceData!$BK$31),"",ReferenceData!$BK$31),"")</f>
        <v/>
      </c>
      <c r="BL31" t="str">
        <f ca="1">IFERROR(IF(0=LEN(ReferenceData!$BL$31),"",ReferenceData!$BL$31),"")</f>
        <v/>
      </c>
      <c r="BM31" t="str">
        <f ca="1">IFERROR(IF(0=LEN(ReferenceData!$BM$31),"",ReferenceData!$BM$31),"")</f>
        <v/>
      </c>
    </row>
    <row r="32" spans="1:65" x14ac:dyDescent="0.25">
      <c r="A32" t="str">
        <f>IFERROR(IF(0=LEN(ReferenceData!$A$32),"",ReferenceData!$A$32),"")</f>
        <v xml:space="preserve">                        Japan</v>
      </c>
      <c r="B32" t="str">
        <f>IFERROR(IF(0=LEN(ReferenceData!$B$32),"",ReferenceData!$B$32),"")</f>
        <v>KER FP Equity</v>
      </c>
      <c r="C32" t="str">
        <f>IFERROR(IF(0=LEN(ReferenceData!$C$32),"",ReferenceData!$C$32),"")</f>
        <v>BI047</v>
      </c>
      <c r="D32" t="str">
        <f>IFERROR(IF(0=LEN(ReferenceData!$D$32),"",ReferenceData!$D$32),"")</f>
        <v>BICS_SEGMENT_DATA</v>
      </c>
      <c r="E32" t="str">
        <f>IFERROR(IF(0=LEN(ReferenceData!$E$32),"",ReferenceData!$E$32),"")</f>
        <v>Dynamic</v>
      </c>
      <c r="F32" t="str">
        <f ca="1">IFERROR(IF(0=LEN(ReferenceData!$F$32),"",ReferenceData!$F$32),"")</f>
        <v/>
      </c>
      <c r="G32">
        <f ca="1">IFERROR(IF(0=LEN(ReferenceData!$G$32),"",ReferenceData!$G$32),"")</f>
        <v>-1</v>
      </c>
      <c r="H32">
        <f ca="1">IFERROR(IF(0=LEN(ReferenceData!$H$32),"",ReferenceData!$H$32),"")</f>
        <v>85</v>
      </c>
      <c r="I32">
        <f ca="1">IFERROR(IF(0=LEN(ReferenceData!$I$32),"",ReferenceData!$I$32),"")</f>
        <v>-9</v>
      </c>
      <c r="J32">
        <f ca="1">IFERROR(IF(0=LEN(ReferenceData!$J$32),"",ReferenceData!$J$32),"")</f>
        <v>-20</v>
      </c>
      <c r="K32">
        <f ca="1">IFERROR(IF(0=LEN(ReferenceData!$K$32),"",ReferenceData!$K$32),"")</f>
        <v>-26</v>
      </c>
      <c r="L32">
        <f ca="1">IFERROR(IF(0=LEN(ReferenceData!$L$32),"",ReferenceData!$L$32),"")</f>
        <v>-64</v>
      </c>
      <c r="M32">
        <f ca="1">IFERROR(IF(0=LEN(ReferenceData!$M$32),"",ReferenceData!$M$32),"")</f>
        <v>-19</v>
      </c>
      <c r="N32">
        <f ca="1">IFERROR(IF(0=LEN(ReferenceData!$N$32),"",ReferenceData!$N$32),"")</f>
        <v>-5</v>
      </c>
      <c r="O32">
        <f ca="1">IFERROR(IF(0=LEN(ReferenceData!$O$32),"",ReferenceData!$O$32),"")</f>
        <v>9</v>
      </c>
      <c r="P32">
        <f ca="1">IFERROR(IF(0=LEN(ReferenceData!$P$32),"",ReferenceData!$P$32),"")</f>
        <v>6</v>
      </c>
      <c r="Q32">
        <f ca="1">IFERROR(IF(0=LEN(ReferenceData!$Q$32),"",ReferenceData!$Q$32),"")</f>
        <v>16</v>
      </c>
      <c r="R32">
        <f ca="1">IFERROR(IF(0=LEN(ReferenceData!$R$32),"",ReferenceData!$R$32),"")</f>
        <v>26</v>
      </c>
      <c r="S32">
        <f ca="1">IFERROR(IF(0=LEN(ReferenceData!$S$32),"",ReferenceData!$S$32),"")</f>
        <v>33</v>
      </c>
      <c r="T32">
        <f ca="1">IFERROR(IF(0=LEN(ReferenceData!$T$32),"",ReferenceData!$T$32),"")</f>
        <v>46</v>
      </c>
      <c r="U32">
        <f ca="1">IFERROR(IF(0=LEN(ReferenceData!$U$32),"",ReferenceData!$U$32),"")</f>
        <v>43</v>
      </c>
      <c r="V32">
        <f ca="1">IFERROR(IF(0=LEN(ReferenceData!$V$32),"",ReferenceData!$V$32),"")</f>
        <v>29</v>
      </c>
      <c r="W32">
        <f ca="1">IFERROR(IF(0=LEN(ReferenceData!$W$32),"",ReferenceData!$W$32),"")</f>
        <v>24</v>
      </c>
      <c r="X32">
        <f ca="1">IFERROR(IF(0=LEN(ReferenceData!$X$32),"",ReferenceData!$X$32),"")</f>
        <v>22</v>
      </c>
      <c r="Y32">
        <f ca="1">IFERROR(IF(0=LEN(ReferenceData!$Y$32),"",ReferenceData!$Y$32),"")</f>
        <v>11</v>
      </c>
      <c r="Z32" t="str">
        <f ca="1">IFERROR(IF(0=LEN(ReferenceData!$Z$32),"",ReferenceData!$Z$32),"")</f>
        <v/>
      </c>
      <c r="AA32">
        <f ca="1">IFERROR(IF(0=LEN(ReferenceData!$AA$32),"",ReferenceData!$AA$32),"")</f>
        <v>-8</v>
      </c>
      <c r="AB32">
        <f ca="1">IFERROR(IF(0=LEN(ReferenceData!$AB$32),"",ReferenceData!$AB$32),"")</f>
        <v>5</v>
      </c>
      <c r="AC32">
        <f ca="1">IFERROR(IF(0=LEN(ReferenceData!$AC$32),"",ReferenceData!$AC$32),"")</f>
        <v>1</v>
      </c>
      <c r="AD32" t="str">
        <f ca="1">IFERROR(IF(0=LEN(ReferenceData!$AD$32),"",ReferenceData!$AD$32),"")</f>
        <v/>
      </c>
      <c r="AE32">
        <f ca="1">IFERROR(IF(0=LEN(ReferenceData!$AE$32),"",ReferenceData!$AE$32),"")</f>
        <v>24</v>
      </c>
      <c r="AF32">
        <f ca="1">IFERROR(IF(0=LEN(ReferenceData!$AF$32),"",ReferenceData!$AF$32),"")</f>
        <v>19</v>
      </c>
      <c r="AG32">
        <f ca="1">IFERROR(IF(0=LEN(ReferenceData!$AG$32),"",ReferenceData!$AG$32),"")</f>
        <v>-9</v>
      </c>
      <c r="AH32" t="str">
        <f ca="1">IFERROR(IF(0=LEN(ReferenceData!$AH$32),"",ReferenceData!$AH$32),"")</f>
        <v/>
      </c>
      <c r="AI32" t="str">
        <f ca="1">IFERROR(IF(0=LEN(ReferenceData!$AI$32),"",ReferenceData!$AI$32),"")</f>
        <v/>
      </c>
      <c r="AJ32" t="str">
        <f ca="1">IFERROR(IF(0=LEN(ReferenceData!$AJ$32),"",ReferenceData!$AJ$32),"")</f>
        <v/>
      </c>
      <c r="AK32">
        <f ca="1">IFERROR(IF(0=LEN(ReferenceData!$AK$32),"",ReferenceData!$AK$32),"")</f>
        <v>32</v>
      </c>
      <c r="AL32" t="str">
        <f ca="1">IFERROR(IF(0=LEN(ReferenceData!$AL$32),"",ReferenceData!$AL$32),"")</f>
        <v/>
      </c>
      <c r="AM32" t="str">
        <f ca="1">IFERROR(IF(0=LEN(ReferenceData!$AM$32),"",ReferenceData!$AM$32),"")</f>
        <v/>
      </c>
      <c r="AN32" t="str">
        <f ca="1">IFERROR(IF(0=LEN(ReferenceData!$AN$32),"",ReferenceData!$AN$32),"")</f>
        <v/>
      </c>
      <c r="AO32">
        <f ca="1">IFERROR(IF(0=LEN(ReferenceData!$AO$32),"",ReferenceData!$AO$32),"")</f>
        <v>5</v>
      </c>
      <c r="AP32" t="str">
        <f ca="1">IFERROR(IF(0=LEN(ReferenceData!$AP$32),"",ReferenceData!$AP$32),"")</f>
        <v/>
      </c>
      <c r="AQ32" t="str">
        <f ca="1">IFERROR(IF(0=LEN(ReferenceData!$AQ$32),"",ReferenceData!$AQ$32),"")</f>
        <v/>
      </c>
      <c r="AR32" t="str">
        <f ca="1">IFERROR(IF(0=LEN(ReferenceData!$AR$32),"",ReferenceData!$AR$32),"")</f>
        <v/>
      </c>
      <c r="AS32" t="str">
        <f ca="1">IFERROR(IF(0=LEN(ReferenceData!$AS$32),"",ReferenceData!$AS$32),"")</f>
        <v/>
      </c>
      <c r="AT32" t="str">
        <f ca="1">IFERROR(IF(0=LEN(ReferenceData!$AT$32),"",ReferenceData!$AT$32),"")</f>
        <v/>
      </c>
      <c r="AU32" t="str">
        <f ca="1">IFERROR(IF(0=LEN(ReferenceData!$AU$32),"",ReferenceData!$AU$32),"")</f>
        <v/>
      </c>
      <c r="AV32" t="str">
        <f ca="1">IFERROR(IF(0=LEN(ReferenceData!$AV$32),"",ReferenceData!$AV$32),"")</f>
        <v/>
      </c>
      <c r="AW32" t="str">
        <f ca="1">IFERROR(IF(0=LEN(ReferenceData!$AW$32),"",ReferenceData!$AW$32),"")</f>
        <v/>
      </c>
      <c r="AX32" t="str">
        <f ca="1">IFERROR(IF(0=LEN(ReferenceData!$AX$32),"",ReferenceData!$AX$32),"")</f>
        <v/>
      </c>
      <c r="AY32" t="str">
        <f ca="1">IFERROR(IF(0=LEN(ReferenceData!$AY$32),"",ReferenceData!$AY$32),"")</f>
        <v/>
      </c>
      <c r="AZ32" t="str">
        <f ca="1">IFERROR(IF(0=LEN(ReferenceData!$AZ$32),"",ReferenceData!$AZ$32),"")</f>
        <v/>
      </c>
      <c r="BA32" t="str">
        <f ca="1">IFERROR(IF(0=LEN(ReferenceData!$BA$32),"",ReferenceData!$BA$32),"")</f>
        <v/>
      </c>
      <c r="BB32" t="str">
        <f ca="1">IFERROR(IF(0=LEN(ReferenceData!$BB$32),"",ReferenceData!$BB$32),"")</f>
        <v/>
      </c>
      <c r="BC32" t="str">
        <f ca="1">IFERROR(IF(0=LEN(ReferenceData!$BC$32),"",ReferenceData!$BC$32),"")</f>
        <v/>
      </c>
      <c r="BD32" t="str">
        <f ca="1">IFERROR(IF(0=LEN(ReferenceData!$BD$32),"",ReferenceData!$BD$32),"")</f>
        <v/>
      </c>
      <c r="BE32" t="str">
        <f ca="1">IFERROR(IF(0=LEN(ReferenceData!$BE$32),"",ReferenceData!$BE$32),"")</f>
        <v/>
      </c>
      <c r="BF32" t="str">
        <f ca="1">IFERROR(IF(0=LEN(ReferenceData!$BF$32),"",ReferenceData!$BF$32),"")</f>
        <v/>
      </c>
      <c r="BG32" t="str">
        <f ca="1">IFERROR(IF(0=LEN(ReferenceData!$BG$32),"",ReferenceData!$BG$32),"")</f>
        <v/>
      </c>
      <c r="BH32" t="str">
        <f ca="1">IFERROR(IF(0=LEN(ReferenceData!$BH$32),"",ReferenceData!$BH$32),"")</f>
        <v/>
      </c>
      <c r="BI32" t="str">
        <f ca="1">IFERROR(IF(0=LEN(ReferenceData!$BI$32),"",ReferenceData!$BI$32),"")</f>
        <v/>
      </c>
      <c r="BJ32" t="str">
        <f ca="1">IFERROR(IF(0=LEN(ReferenceData!$BJ$32),"",ReferenceData!$BJ$32),"")</f>
        <v/>
      </c>
      <c r="BK32" t="str">
        <f ca="1">IFERROR(IF(0=LEN(ReferenceData!$BK$32),"",ReferenceData!$BK$32),"")</f>
        <v/>
      </c>
      <c r="BL32" t="str">
        <f ca="1">IFERROR(IF(0=LEN(ReferenceData!$BL$32),"",ReferenceData!$BL$32),"")</f>
        <v/>
      </c>
      <c r="BM32" t="str">
        <f ca="1">IFERROR(IF(0=LEN(ReferenceData!$BM$32),"",ReferenceData!$BM$32),"")</f>
        <v/>
      </c>
    </row>
    <row r="33" spans="1:65" x14ac:dyDescent="0.25">
      <c r="A33" t="str">
        <f>IFERROR(IF(0=LEN(ReferenceData!$A$33),"",ReferenceData!$A$33),"")</f>
        <v xml:space="preserve">                        Asia Pacific</v>
      </c>
      <c r="B33" t="str">
        <f>IFERROR(IF(0=LEN(ReferenceData!$B$33),"",ReferenceData!$B$33),"")</f>
        <v>KER FP Equity</v>
      </c>
      <c r="C33" t="str">
        <f>IFERROR(IF(0=LEN(ReferenceData!$C$33),"",ReferenceData!$C$33),"")</f>
        <v>BI047</v>
      </c>
      <c r="D33" t="str">
        <f>IFERROR(IF(0=LEN(ReferenceData!$D$33),"",ReferenceData!$D$33),"")</f>
        <v>BICS_SEGMENT_DATA</v>
      </c>
      <c r="E33" t="str">
        <f>IFERROR(IF(0=LEN(ReferenceData!$E$33),"",ReferenceData!$E$33),"")</f>
        <v>Dynamic</v>
      </c>
      <c r="F33" t="str">
        <f ca="1">IFERROR(IF(0=LEN(ReferenceData!$F$33),"",ReferenceData!$F$33),"")</f>
        <v/>
      </c>
      <c r="G33">
        <f ca="1">IFERROR(IF(0=LEN(ReferenceData!$G$33),"",ReferenceData!$G$33),"")</f>
        <v>-3</v>
      </c>
      <c r="H33">
        <f ca="1">IFERROR(IF(0=LEN(ReferenceData!$H$33),"",ReferenceData!$H$33),"")</f>
        <v>48</v>
      </c>
      <c r="I33">
        <f ca="1">IFERROR(IF(0=LEN(ReferenceData!$I$33),"",ReferenceData!$I$33),"")</f>
        <v>78</v>
      </c>
      <c r="J33">
        <f ca="1">IFERROR(IF(0=LEN(ReferenceData!$J$33),"",ReferenceData!$J$33),"")</f>
        <v>8</v>
      </c>
      <c r="K33">
        <f ca="1">IFERROR(IF(0=LEN(ReferenceData!$K$33),"",ReferenceData!$K$33),"")</f>
        <v>11</v>
      </c>
      <c r="L33">
        <f ca="1">IFERROR(IF(0=LEN(ReferenceData!$L$33),"",ReferenceData!$L$33),"")</f>
        <v>-16</v>
      </c>
      <c r="M33">
        <f ca="1">IFERROR(IF(0=LEN(ReferenceData!$M$33),"",ReferenceData!$M$33),"")</f>
        <v>-32</v>
      </c>
      <c r="N33">
        <f ca="1">IFERROR(IF(0=LEN(ReferenceData!$N$33),"",ReferenceData!$N$33),"")</f>
        <v>14</v>
      </c>
      <c r="O33">
        <f ca="1">IFERROR(IF(0=LEN(ReferenceData!$O$33),"",ReferenceData!$O$33),"")</f>
        <v>18</v>
      </c>
      <c r="P33">
        <f ca="1">IFERROR(IF(0=LEN(ReferenceData!$P$33),"",ReferenceData!$P$33),"")</f>
        <v>23</v>
      </c>
      <c r="Q33">
        <f ca="1">IFERROR(IF(0=LEN(ReferenceData!$Q$33),"",ReferenceData!$Q$33),"")</f>
        <v>35</v>
      </c>
      <c r="R33">
        <f ca="1">IFERROR(IF(0=LEN(ReferenceData!$R$33),"",ReferenceData!$R$33),"")</f>
        <v>42</v>
      </c>
      <c r="S33">
        <f ca="1">IFERROR(IF(0=LEN(ReferenceData!$S$33),"",ReferenceData!$S$33),"")</f>
        <v>42</v>
      </c>
      <c r="T33">
        <f ca="1">IFERROR(IF(0=LEN(ReferenceData!$T$33),"",ReferenceData!$T$33),"")</f>
        <v>47</v>
      </c>
      <c r="U33">
        <f ca="1">IFERROR(IF(0=LEN(ReferenceData!$U$33),"",ReferenceData!$U$33),"")</f>
        <v>49</v>
      </c>
      <c r="V33">
        <f ca="1">IFERROR(IF(0=LEN(ReferenceData!$V$33),"",ReferenceData!$V$33),"")</f>
        <v>40</v>
      </c>
      <c r="W33">
        <f ca="1">IFERROR(IF(0=LEN(ReferenceData!$W$33),"",ReferenceData!$W$33),"")</f>
        <v>55</v>
      </c>
      <c r="X33">
        <f ca="1">IFERROR(IF(0=LEN(ReferenceData!$X$33),"",ReferenceData!$X$33),"")</f>
        <v>40</v>
      </c>
      <c r="Y33">
        <f ca="1">IFERROR(IF(0=LEN(ReferenceData!$Y$33),"",ReferenceData!$Y$33),"")</f>
        <v>63</v>
      </c>
      <c r="Z33">
        <f ca="1">IFERROR(IF(0=LEN(ReferenceData!$Z$33),"",ReferenceData!$Z$33),"")</f>
        <v>32</v>
      </c>
      <c r="AA33">
        <f ca="1">IFERROR(IF(0=LEN(ReferenceData!$AA$33),"",ReferenceData!$AA$33),"")</f>
        <v>31</v>
      </c>
      <c r="AB33">
        <f ca="1">IFERROR(IF(0=LEN(ReferenceData!$AB$33),"",ReferenceData!$AB$33),"")</f>
        <v>3</v>
      </c>
      <c r="AC33">
        <f ca="1">IFERROR(IF(0=LEN(ReferenceData!$AC$33),"",ReferenceData!$AC$33),"")</f>
        <v>-2</v>
      </c>
      <c r="AD33" t="str">
        <f ca="1">IFERROR(IF(0=LEN(ReferenceData!$AD$33),"",ReferenceData!$AD$33),"")</f>
        <v/>
      </c>
      <c r="AE33">
        <f ca="1">IFERROR(IF(0=LEN(ReferenceData!$AE$33),"",ReferenceData!$AE$33),"")</f>
        <v>-17</v>
      </c>
      <c r="AF33">
        <f ca="1">IFERROR(IF(0=LEN(ReferenceData!$AF$33),"",ReferenceData!$AF$33),"")</f>
        <v>3</v>
      </c>
      <c r="AG33">
        <f ca="1">IFERROR(IF(0=LEN(ReferenceData!$AG$33),"",ReferenceData!$AG$33),"")</f>
        <v>-10</v>
      </c>
      <c r="AH33" t="str">
        <f ca="1">IFERROR(IF(0=LEN(ReferenceData!$AH$33),"",ReferenceData!$AH$33),"")</f>
        <v/>
      </c>
      <c r="AI33" t="str">
        <f ca="1">IFERROR(IF(0=LEN(ReferenceData!$AI$33),"",ReferenceData!$AI$33),"")</f>
        <v/>
      </c>
      <c r="AJ33" t="str">
        <f ca="1">IFERROR(IF(0=LEN(ReferenceData!$AJ$33),"",ReferenceData!$AJ$33),"")</f>
        <v/>
      </c>
      <c r="AK33">
        <f ca="1">IFERROR(IF(0=LEN(ReferenceData!$AK$33),"",ReferenceData!$AK$33),"")</f>
        <v>2</v>
      </c>
      <c r="AL33" t="str">
        <f ca="1">IFERROR(IF(0=LEN(ReferenceData!$AL$33),"",ReferenceData!$AL$33),"")</f>
        <v/>
      </c>
      <c r="AM33" t="str">
        <f ca="1">IFERROR(IF(0=LEN(ReferenceData!$AM$33),"",ReferenceData!$AM$33),"")</f>
        <v/>
      </c>
      <c r="AN33" t="str">
        <f ca="1">IFERROR(IF(0=LEN(ReferenceData!$AN$33),"",ReferenceData!$AN$33),"")</f>
        <v/>
      </c>
      <c r="AO33">
        <f ca="1">IFERROR(IF(0=LEN(ReferenceData!$AO$33),"",ReferenceData!$AO$33),"")</f>
        <v>3</v>
      </c>
      <c r="AP33" t="str">
        <f ca="1">IFERROR(IF(0=LEN(ReferenceData!$AP$33),"",ReferenceData!$AP$33),"")</f>
        <v/>
      </c>
      <c r="AQ33" t="str">
        <f ca="1">IFERROR(IF(0=LEN(ReferenceData!$AQ$33),"",ReferenceData!$AQ$33),"")</f>
        <v/>
      </c>
      <c r="AR33" t="str">
        <f ca="1">IFERROR(IF(0=LEN(ReferenceData!$AR$33),"",ReferenceData!$AR$33),"")</f>
        <v/>
      </c>
      <c r="AS33" t="str">
        <f ca="1">IFERROR(IF(0=LEN(ReferenceData!$AS$33),"",ReferenceData!$AS$33),"")</f>
        <v/>
      </c>
      <c r="AT33" t="str">
        <f ca="1">IFERROR(IF(0=LEN(ReferenceData!$AT$33),"",ReferenceData!$AT$33),"")</f>
        <v/>
      </c>
      <c r="AU33" t="str">
        <f ca="1">IFERROR(IF(0=LEN(ReferenceData!$AU$33),"",ReferenceData!$AU$33),"")</f>
        <v/>
      </c>
      <c r="AV33" t="str">
        <f ca="1">IFERROR(IF(0=LEN(ReferenceData!$AV$33),"",ReferenceData!$AV$33),"")</f>
        <v/>
      </c>
      <c r="AW33" t="str">
        <f ca="1">IFERROR(IF(0=LEN(ReferenceData!$AW$33),"",ReferenceData!$AW$33),"")</f>
        <v/>
      </c>
      <c r="AX33" t="str">
        <f ca="1">IFERROR(IF(0=LEN(ReferenceData!$AX$33),"",ReferenceData!$AX$33),"")</f>
        <v/>
      </c>
      <c r="AY33" t="str">
        <f ca="1">IFERROR(IF(0=LEN(ReferenceData!$AY$33),"",ReferenceData!$AY$33),"")</f>
        <v/>
      </c>
      <c r="AZ33" t="str">
        <f ca="1">IFERROR(IF(0=LEN(ReferenceData!$AZ$33),"",ReferenceData!$AZ$33),"")</f>
        <v/>
      </c>
      <c r="BA33" t="str">
        <f ca="1">IFERROR(IF(0=LEN(ReferenceData!$BA$33),"",ReferenceData!$BA$33),"")</f>
        <v/>
      </c>
      <c r="BB33" t="str">
        <f ca="1">IFERROR(IF(0=LEN(ReferenceData!$BB$33),"",ReferenceData!$BB$33),"")</f>
        <v/>
      </c>
      <c r="BC33" t="str">
        <f ca="1">IFERROR(IF(0=LEN(ReferenceData!$BC$33),"",ReferenceData!$BC$33),"")</f>
        <v/>
      </c>
      <c r="BD33" t="str">
        <f ca="1">IFERROR(IF(0=LEN(ReferenceData!$BD$33),"",ReferenceData!$BD$33),"")</f>
        <v/>
      </c>
      <c r="BE33" t="str">
        <f ca="1">IFERROR(IF(0=LEN(ReferenceData!$BE$33),"",ReferenceData!$BE$33),"")</f>
        <v/>
      </c>
      <c r="BF33" t="str">
        <f ca="1">IFERROR(IF(0=LEN(ReferenceData!$BF$33),"",ReferenceData!$BF$33),"")</f>
        <v/>
      </c>
      <c r="BG33" t="str">
        <f ca="1">IFERROR(IF(0=LEN(ReferenceData!$BG$33),"",ReferenceData!$BG$33),"")</f>
        <v/>
      </c>
      <c r="BH33" t="str">
        <f ca="1">IFERROR(IF(0=LEN(ReferenceData!$BH$33),"",ReferenceData!$BH$33),"")</f>
        <v/>
      </c>
      <c r="BI33" t="str">
        <f ca="1">IFERROR(IF(0=LEN(ReferenceData!$BI$33),"",ReferenceData!$BI$33),"")</f>
        <v/>
      </c>
      <c r="BJ33" t="str">
        <f ca="1">IFERROR(IF(0=LEN(ReferenceData!$BJ$33),"",ReferenceData!$BJ$33),"")</f>
        <v/>
      </c>
      <c r="BK33" t="str">
        <f ca="1">IFERROR(IF(0=LEN(ReferenceData!$BK$33),"",ReferenceData!$BK$33),"")</f>
        <v/>
      </c>
      <c r="BL33" t="str">
        <f ca="1">IFERROR(IF(0=LEN(ReferenceData!$BL$33),"",ReferenceData!$BL$33),"")</f>
        <v/>
      </c>
      <c r="BM33" t="str">
        <f ca="1">IFERROR(IF(0=LEN(ReferenceData!$BM$33),"",ReferenceData!$BM$33),"")</f>
        <v/>
      </c>
    </row>
    <row r="34" spans="1:65" x14ac:dyDescent="0.25">
      <c r="A34" t="str">
        <f>IFERROR(IF(0=LEN(ReferenceData!$A$34),"",ReferenceData!$A$34),"")</f>
        <v xml:space="preserve">                        RoW</v>
      </c>
      <c r="B34" t="str">
        <f>IFERROR(IF(0=LEN(ReferenceData!$B$34),"",ReferenceData!$B$34),"")</f>
        <v>KER FP Equity</v>
      </c>
      <c r="C34" t="str">
        <f>IFERROR(IF(0=LEN(ReferenceData!$C$34),"",ReferenceData!$C$34),"")</f>
        <v>BI047</v>
      </c>
      <c r="D34" t="str">
        <f>IFERROR(IF(0=LEN(ReferenceData!$D$34),"",ReferenceData!$D$34),"")</f>
        <v>BICS_SEGMENT_DATA</v>
      </c>
      <c r="E34" t="str">
        <f>IFERROR(IF(0=LEN(ReferenceData!$E$34),"",ReferenceData!$E$34),"")</f>
        <v>Dynamic</v>
      </c>
      <c r="F34" t="str">
        <f ca="1">IFERROR(IF(0=LEN(ReferenceData!$F$34),"",ReferenceData!$F$34),"")</f>
        <v/>
      </c>
      <c r="G34">
        <f ca="1">IFERROR(IF(0=LEN(ReferenceData!$G$34),"",ReferenceData!$G$34),"")</f>
        <v>29</v>
      </c>
      <c r="H34">
        <f ca="1">IFERROR(IF(0=LEN(ReferenceData!$H$34),"",ReferenceData!$H$34),"")</f>
        <v>345</v>
      </c>
      <c r="I34">
        <f ca="1">IFERROR(IF(0=LEN(ReferenceData!$I$34),"",ReferenceData!$I$34),"")</f>
        <v>20</v>
      </c>
      <c r="J34">
        <f ca="1">IFERROR(IF(0=LEN(ReferenceData!$J$34),"",ReferenceData!$J$34),"")</f>
        <v>-2</v>
      </c>
      <c r="K34">
        <f ca="1">IFERROR(IF(0=LEN(ReferenceData!$K$34),"",ReferenceData!$K$34),"")</f>
        <v>-2</v>
      </c>
      <c r="L34">
        <f ca="1">IFERROR(IF(0=LEN(ReferenceData!$L$34),"",ReferenceData!$L$34),"")</f>
        <v>-76</v>
      </c>
      <c r="M34">
        <f ca="1">IFERROR(IF(0=LEN(ReferenceData!$M$34),"",ReferenceData!$M$34),"")</f>
        <v>-21</v>
      </c>
      <c r="N34">
        <f ca="1">IFERROR(IF(0=LEN(ReferenceData!$N$34),"",ReferenceData!$N$34),"")</f>
        <v>11</v>
      </c>
      <c r="O34">
        <f ca="1">IFERROR(IF(0=LEN(ReferenceData!$O$34),"",ReferenceData!$O$34),"")</f>
        <v>4</v>
      </c>
      <c r="P34">
        <f ca="1">IFERROR(IF(0=LEN(ReferenceData!$P$34),"",ReferenceData!$P$34),"")</f>
        <v>3</v>
      </c>
      <c r="Q34">
        <f ca="1">IFERROR(IF(0=LEN(ReferenceData!$Q$34),"",ReferenceData!$Q$34),"")</f>
        <v>10</v>
      </c>
      <c r="R34">
        <f ca="1">IFERROR(IF(0=LEN(ReferenceData!$R$34),"",ReferenceData!$R$34),"")</f>
        <v>6</v>
      </c>
      <c r="S34">
        <f ca="1">IFERROR(IF(0=LEN(ReferenceData!$S$34),"",ReferenceData!$S$34),"")</f>
        <v>27</v>
      </c>
      <c r="T34">
        <f ca="1">IFERROR(IF(0=LEN(ReferenceData!$T$34),"",ReferenceData!$T$34),"")</f>
        <v>41</v>
      </c>
      <c r="U34">
        <f ca="1">IFERROR(IF(0=LEN(ReferenceData!$U$34),"",ReferenceData!$U$34),"")</f>
        <v>59</v>
      </c>
      <c r="V34">
        <f ca="1">IFERROR(IF(0=LEN(ReferenceData!$V$34),"",ReferenceData!$V$34),"")</f>
        <v>69</v>
      </c>
      <c r="W34">
        <f ca="1">IFERROR(IF(0=LEN(ReferenceData!$W$34),"",ReferenceData!$W$34),"")</f>
        <v>65</v>
      </c>
      <c r="X34">
        <f ca="1">IFERROR(IF(0=LEN(ReferenceData!$X$34),"",ReferenceData!$X$34),"")</f>
        <v>38</v>
      </c>
      <c r="Y34">
        <f ca="1">IFERROR(IF(0=LEN(ReferenceData!$Y$34),"",ReferenceData!$Y$34),"")</f>
        <v>34</v>
      </c>
      <c r="Z34" t="str">
        <f ca="1">IFERROR(IF(0=LEN(ReferenceData!$Z$34),"",ReferenceData!$Z$34),"")</f>
        <v/>
      </c>
      <c r="AA34">
        <f ca="1">IFERROR(IF(0=LEN(ReferenceData!$AA$34),"",ReferenceData!$AA$34),"")</f>
        <v>9</v>
      </c>
      <c r="AB34">
        <f ca="1">IFERROR(IF(0=LEN(ReferenceData!$AB$34),"",ReferenceData!$AB$34),"")</f>
        <v>14</v>
      </c>
      <c r="AC34">
        <f ca="1">IFERROR(IF(0=LEN(ReferenceData!$AC$34),"",ReferenceData!$AC$34),"")</f>
        <v>6</v>
      </c>
      <c r="AD34" t="str">
        <f ca="1">IFERROR(IF(0=LEN(ReferenceData!$AD$34),"",ReferenceData!$AD$34),"")</f>
        <v/>
      </c>
      <c r="AE34">
        <f ca="1">IFERROR(IF(0=LEN(ReferenceData!$AE$34),"",ReferenceData!$AE$34),"")</f>
        <v>22</v>
      </c>
      <c r="AF34">
        <f ca="1">IFERROR(IF(0=LEN(ReferenceData!$AF$34),"",ReferenceData!$AF$34),"")</f>
        <v>20</v>
      </c>
      <c r="AG34">
        <f ca="1">IFERROR(IF(0=LEN(ReferenceData!$AG$34),"",ReferenceData!$AG$34),"")</f>
        <v>1</v>
      </c>
      <c r="AH34" t="str">
        <f ca="1">IFERROR(IF(0=LEN(ReferenceData!$AH$34),"",ReferenceData!$AH$34),"")</f>
        <v/>
      </c>
      <c r="AI34" t="str">
        <f ca="1">IFERROR(IF(0=LEN(ReferenceData!$AI$34),"",ReferenceData!$AI$34),"")</f>
        <v/>
      </c>
      <c r="AJ34" t="str">
        <f ca="1">IFERROR(IF(0=LEN(ReferenceData!$AJ$34),"",ReferenceData!$AJ$34),"")</f>
        <v/>
      </c>
      <c r="AK34">
        <f ca="1">IFERROR(IF(0=LEN(ReferenceData!$AK$34),"",ReferenceData!$AK$34),"")</f>
        <v>23</v>
      </c>
      <c r="AL34" t="str">
        <f ca="1">IFERROR(IF(0=LEN(ReferenceData!$AL$34),"",ReferenceData!$AL$34),"")</f>
        <v/>
      </c>
      <c r="AM34" t="str">
        <f ca="1">IFERROR(IF(0=LEN(ReferenceData!$AM$34),"",ReferenceData!$AM$34),"")</f>
        <v/>
      </c>
      <c r="AN34" t="str">
        <f ca="1">IFERROR(IF(0=LEN(ReferenceData!$AN$34),"",ReferenceData!$AN$34),"")</f>
        <v/>
      </c>
      <c r="AO34">
        <f ca="1">IFERROR(IF(0=LEN(ReferenceData!$AO$34),"",ReferenceData!$AO$34),"")</f>
        <v>17</v>
      </c>
      <c r="AP34" t="str">
        <f ca="1">IFERROR(IF(0=LEN(ReferenceData!$AP$34),"",ReferenceData!$AP$34),"")</f>
        <v/>
      </c>
      <c r="AQ34" t="str">
        <f ca="1">IFERROR(IF(0=LEN(ReferenceData!$AQ$34),"",ReferenceData!$AQ$34),"")</f>
        <v/>
      </c>
      <c r="AR34" t="str">
        <f ca="1">IFERROR(IF(0=LEN(ReferenceData!$AR$34),"",ReferenceData!$AR$34),"")</f>
        <v/>
      </c>
      <c r="AS34" t="str">
        <f ca="1">IFERROR(IF(0=LEN(ReferenceData!$AS$34),"",ReferenceData!$AS$34),"")</f>
        <v/>
      </c>
      <c r="AT34" t="str">
        <f ca="1">IFERROR(IF(0=LEN(ReferenceData!$AT$34),"",ReferenceData!$AT$34),"")</f>
        <v/>
      </c>
      <c r="AU34" t="str">
        <f ca="1">IFERROR(IF(0=LEN(ReferenceData!$AU$34),"",ReferenceData!$AU$34),"")</f>
        <v/>
      </c>
      <c r="AV34" t="str">
        <f ca="1">IFERROR(IF(0=LEN(ReferenceData!$AV$34),"",ReferenceData!$AV$34),"")</f>
        <v/>
      </c>
      <c r="AW34" t="str">
        <f ca="1">IFERROR(IF(0=LEN(ReferenceData!$AW$34),"",ReferenceData!$AW$34),"")</f>
        <v/>
      </c>
      <c r="AX34" t="str">
        <f ca="1">IFERROR(IF(0=LEN(ReferenceData!$AX$34),"",ReferenceData!$AX$34),"")</f>
        <v/>
      </c>
      <c r="AY34" t="str">
        <f ca="1">IFERROR(IF(0=LEN(ReferenceData!$AY$34),"",ReferenceData!$AY$34),"")</f>
        <v/>
      </c>
      <c r="AZ34" t="str">
        <f ca="1">IFERROR(IF(0=LEN(ReferenceData!$AZ$34),"",ReferenceData!$AZ$34),"")</f>
        <v/>
      </c>
      <c r="BA34" t="str">
        <f ca="1">IFERROR(IF(0=LEN(ReferenceData!$BA$34),"",ReferenceData!$BA$34),"")</f>
        <v/>
      </c>
      <c r="BB34" t="str">
        <f ca="1">IFERROR(IF(0=LEN(ReferenceData!$BB$34),"",ReferenceData!$BB$34),"")</f>
        <v/>
      </c>
      <c r="BC34" t="str">
        <f ca="1">IFERROR(IF(0=LEN(ReferenceData!$BC$34),"",ReferenceData!$BC$34),"")</f>
        <v/>
      </c>
      <c r="BD34" t="str">
        <f ca="1">IFERROR(IF(0=LEN(ReferenceData!$BD$34),"",ReferenceData!$BD$34),"")</f>
        <v/>
      </c>
      <c r="BE34" t="str">
        <f ca="1">IFERROR(IF(0=LEN(ReferenceData!$BE$34),"",ReferenceData!$BE$34),"")</f>
        <v/>
      </c>
      <c r="BF34" t="str">
        <f ca="1">IFERROR(IF(0=LEN(ReferenceData!$BF$34),"",ReferenceData!$BF$34),"")</f>
        <v/>
      </c>
      <c r="BG34" t="str">
        <f ca="1">IFERROR(IF(0=LEN(ReferenceData!$BG$34),"",ReferenceData!$BG$34),"")</f>
        <v/>
      </c>
      <c r="BH34" t="str">
        <f ca="1">IFERROR(IF(0=LEN(ReferenceData!$BH$34),"",ReferenceData!$BH$34),"")</f>
        <v/>
      </c>
      <c r="BI34" t="str">
        <f ca="1">IFERROR(IF(0=LEN(ReferenceData!$BI$34),"",ReferenceData!$BI$34),"")</f>
        <v/>
      </c>
      <c r="BJ34" t="str">
        <f ca="1">IFERROR(IF(0=LEN(ReferenceData!$BJ$34),"",ReferenceData!$BJ$34),"")</f>
        <v/>
      </c>
      <c r="BK34" t="str">
        <f ca="1">IFERROR(IF(0=LEN(ReferenceData!$BK$34),"",ReferenceData!$BK$34),"")</f>
        <v/>
      </c>
      <c r="BL34" t="str">
        <f ca="1">IFERROR(IF(0=LEN(ReferenceData!$BL$34),"",ReferenceData!$BL$34),"")</f>
        <v/>
      </c>
      <c r="BM34" t="str">
        <f ca="1">IFERROR(IF(0=LEN(ReferenceData!$BM$34),"",ReferenceData!$BM$34),"")</f>
        <v/>
      </c>
    </row>
    <row r="35" spans="1:65" x14ac:dyDescent="0.25">
      <c r="A35" t="str">
        <f>IFERROR(IF(0=LEN(ReferenceData!$A$35),"",ReferenceData!$A$35),"")</f>
        <v xml:space="preserve">                    Wholesale</v>
      </c>
      <c r="B35" t="str">
        <f>IFERROR(IF(0=LEN(ReferenceData!$B$35),"",ReferenceData!$B$35),"")</f>
        <v>KER FP Equity</v>
      </c>
      <c r="C35" t="str">
        <f>IFERROR(IF(0=LEN(ReferenceData!$C$35),"",ReferenceData!$C$35),"")</f>
        <v>BI047</v>
      </c>
      <c r="D35" t="str">
        <f>IFERROR(IF(0=LEN(ReferenceData!$D$35),"",ReferenceData!$D$35),"")</f>
        <v>BICS_SEGMENT_DATA</v>
      </c>
      <c r="E35" t="str">
        <f>IFERROR(IF(0=LEN(ReferenceData!$E$35),"",ReferenceData!$E$35),"")</f>
        <v>Dynamic</v>
      </c>
      <c r="F35" t="str">
        <f ca="1">IFERROR(IF(0=LEN(ReferenceData!$F$35),"",ReferenceData!$F$35),"")</f>
        <v/>
      </c>
      <c r="G35">
        <f ca="1">IFERROR(IF(0=LEN(ReferenceData!$G$35),"",ReferenceData!$G$35),"")</f>
        <v>-19</v>
      </c>
      <c r="H35">
        <f ca="1">IFERROR(IF(0=LEN(ReferenceData!$H$35),"",ReferenceData!$H$35),"")</f>
        <v>22</v>
      </c>
      <c r="I35">
        <f ca="1">IFERROR(IF(0=LEN(ReferenceData!$I$35),"",ReferenceData!$I$35),"")</f>
        <v>-26</v>
      </c>
      <c r="J35">
        <f ca="1">IFERROR(IF(0=LEN(ReferenceData!$J$35),"",ReferenceData!$J$35),"")</f>
        <v>-31</v>
      </c>
      <c r="K35">
        <f ca="1">IFERROR(IF(0=LEN(ReferenceData!$K$35),"",ReferenceData!$K$35),"")</f>
        <v>-32</v>
      </c>
      <c r="L35">
        <f ca="1">IFERROR(IF(0=LEN(ReferenceData!$L$35),"",ReferenceData!$L$35),"")</f>
        <v>-54</v>
      </c>
      <c r="M35">
        <f ca="1">IFERROR(IF(0=LEN(ReferenceData!$M$35),"",ReferenceData!$M$35),"")</f>
        <v>-20</v>
      </c>
      <c r="N35">
        <f ca="1">IFERROR(IF(0=LEN(ReferenceData!$N$35),"",ReferenceData!$N$35),"")</f>
        <v>14</v>
      </c>
      <c r="O35">
        <f ca="1">IFERROR(IF(0=LEN(ReferenceData!$O$35),"",ReferenceData!$O$35),"")</f>
        <v>10</v>
      </c>
      <c r="P35">
        <f ca="1">IFERROR(IF(0=LEN(ReferenceData!$P$35),"",ReferenceData!$P$35),"")</f>
        <v>15</v>
      </c>
      <c r="Q35">
        <f ca="1">IFERROR(IF(0=LEN(ReferenceData!$Q$35),"",ReferenceData!$Q$35),"")</f>
        <v>16</v>
      </c>
      <c r="R35">
        <f ca="1">IFERROR(IF(0=LEN(ReferenceData!$R$35),"",ReferenceData!$R$35),"")</f>
        <v>21</v>
      </c>
      <c r="S35">
        <f ca="1">IFERROR(IF(0=LEN(ReferenceData!$S$35),"",ReferenceData!$S$35),"")</f>
        <v>36</v>
      </c>
      <c r="T35">
        <f ca="1">IFERROR(IF(0=LEN(ReferenceData!$T$35),"",ReferenceData!$T$35),"")</f>
        <v>23</v>
      </c>
      <c r="U35">
        <f ca="1">IFERROR(IF(0=LEN(ReferenceData!$U$35),"",ReferenceData!$U$35),"")</f>
        <v>44</v>
      </c>
      <c r="V35">
        <f ca="1">IFERROR(IF(0=LEN(ReferenceData!$V$35),"",ReferenceData!$V$35),"")</f>
        <v>29</v>
      </c>
      <c r="W35">
        <f ca="1">IFERROR(IF(0=LEN(ReferenceData!$W$35),"",ReferenceData!$W$35),"")</f>
        <v>44</v>
      </c>
      <c r="X35">
        <f ca="1">IFERROR(IF(0=LEN(ReferenceData!$X$35),"",ReferenceData!$X$35),"")</f>
        <v>28</v>
      </c>
      <c r="Y35">
        <f ca="1">IFERROR(IF(0=LEN(ReferenceData!$Y$35),"",ReferenceData!$Y$35),"")</f>
        <v>37</v>
      </c>
      <c r="Z35" t="str">
        <f ca="1">IFERROR(IF(0=LEN(ReferenceData!$Z$35),"",ReferenceData!$Z$35),"")</f>
        <v/>
      </c>
      <c r="AA35">
        <f ca="1">IFERROR(IF(0=LEN(ReferenceData!$AA$35),"",ReferenceData!$AA$35),"")</f>
        <v>9</v>
      </c>
      <c r="AB35">
        <f ca="1">IFERROR(IF(0=LEN(ReferenceData!$AB$35),"",ReferenceData!$AB$35),"")</f>
        <v>15</v>
      </c>
      <c r="AC35">
        <f ca="1">IFERROR(IF(0=LEN(ReferenceData!$AC$35),"",ReferenceData!$AC$35),"")</f>
        <v>10</v>
      </c>
      <c r="AD35">
        <f ca="1">IFERROR(IF(0=LEN(ReferenceData!$AD$35),"",ReferenceData!$AD$35),"")</f>
        <v>4</v>
      </c>
      <c r="AE35">
        <f ca="1">IFERROR(IF(0=LEN(ReferenceData!$AE$35),"",ReferenceData!$AE$35),"")</f>
        <v>-6</v>
      </c>
      <c r="AF35">
        <f ca="1">IFERROR(IF(0=LEN(ReferenceData!$AF$35),"",ReferenceData!$AF$35),"")</f>
        <v>-19</v>
      </c>
      <c r="AG35">
        <f ca="1">IFERROR(IF(0=LEN(ReferenceData!$AG$35),"",ReferenceData!$AG$35),"")</f>
        <v>-23</v>
      </c>
      <c r="AH35" t="str">
        <f ca="1">IFERROR(IF(0=LEN(ReferenceData!$AH$35),"",ReferenceData!$AH$35),"")</f>
        <v/>
      </c>
      <c r="AI35" t="str">
        <f ca="1">IFERROR(IF(0=LEN(ReferenceData!$AI$35),"",ReferenceData!$AI$35),"")</f>
        <v/>
      </c>
      <c r="AJ35" t="str">
        <f ca="1">IFERROR(IF(0=LEN(ReferenceData!$AJ$35),"",ReferenceData!$AJ$35),"")</f>
        <v/>
      </c>
      <c r="AK35">
        <f ca="1">IFERROR(IF(0=LEN(ReferenceData!$AK$35),"",ReferenceData!$AK$35),"")</f>
        <v>-19</v>
      </c>
      <c r="AL35" t="str">
        <f ca="1">IFERROR(IF(0=LEN(ReferenceData!$AL$35),"",ReferenceData!$AL$35),"")</f>
        <v/>
      </c>
      <c r="AM35" t="str">
        <f ca="1">IFERROR(IF(0=LEN(ReferenceData!$AM$35),"",ReferenceData!$AM$35),"")</f>
        <v/>
      </c>
      <c r="AN35" t="str">
        <f ca="1">IFERROR(IF(0=LEN(ReferenceData!$AN$35),"",ReferenceData!$AN$35),"")</f>
        <v/>
      </c>
      <c r="AO35" t="str">
        <f ca="1">IFERROR(IF(0=LEN(ReferenceData!$AO$35),"",ReferenceData!$AO$35),"")</f>
        <v/>
      </c>
      <c r="AP35" t="str">
        <f ca="1">IFERROR(IF(0=LEN(ReferenceData!$AP$35),"",ReferenceData!$AP$35),"")</f>
        <v/>
      </c>
      <c r="AQ35" t="str">
        <f ca="1">IFERROR(IF(0=LEN(ReferenceData!$AQ$35),"",ReferenceData!$AQ$35),"")</f>
        <v/>
      </c>
      <c r="AR35" t="str">
        <f ca="1">IFERROR(IF(0=LEN(ReferenceData!$AR$35),"",ReferenceData!$AR$35),"")</f>
        <v/>
      </c>
      <c r="AS35" t="str">
        <f ca="1">IFERROR(IF(0=LEN(ReferenceData!$AS$35),"",ReferenceData!$AS$35),"")</f>
        <v/>
      </c>
      <c r="AT35" t="str">
        <f ca="1">IFERROR(IF(0=LEN(ReferenceData!$AT$35),"",ReferenceData!$AT$35),"")</f>
        <v/>
      </c>
      <c r="AU35" t="str">
        <f ca="1">IFERROR(IF(0=LEN(ReferenceData!$AU$35),"",ReferenceData!$AU$35),"")</f>
        <v/>
      </c>
      <c r="AV35" t="str">
        <f ca="1">IFERROR(IF(0=LEN(ReferenceData!$AV$35),"",ReferenceData!$AV$35),"")</f>
        <v/>
      </c>
      <c r="AW35" t="str">
        <f ca="1">IFERROR(IF(0=LEN(ReferenceData!$AW$35),"",ReferenceData!$AW$35),"")</f>
        <v/>
      </c>
      <c r="AX35" t="str">
        <f ca="1">IFERROR(IF(0=LEN(ReferenceData!$AX$35),"",ReferenceData!$AX$35),"")</f>
        <v/>
      </c>
      <c r="AY35" t="str">
        <f ca="1">IFERROR(IF(0=LEN(ReferenceData!$AY$35),"",ReferenceData!$AY$35),"")</f>
        <v/>
      </c>
      <c r="AZ35" t="str">
        <f ca="1">IFERROR(IF(0=LEN(ReferenceData!$AZ$35),"",ReferenceData!$AZ$35),"")</f>
        <v/>
      </c>
      <c r="BA35" t="str">
        <f ca="1">IFERROR(IF(0=LEN(ReferenceData!$BA$35),"",ReferenceData!$BA$35),"")</f>
        <v/>
      </c>
      <c r="BB35" t="str">
        <f ca="1">IFERROR(IF(0=LEN(ReferenceData!$BB$35),"",ReferenceData!$BB$35),"")</f>
        <v/>
      </c>
      <c r="BC35" t="str">
        <f ca="1">IFERROR(IF(0=LEN(ReferenceData!$BC$35),"",ReferenceData!$BC$35),"")</f>
        <v/>
      </c>
      <c r="BD35" t="str">
        <f ca="1">IFERROR(IF(0=LEN(ReferenceData!$BD$35),"",ReferenceData!$BD$35),"")</f>
        <v/>
      </c>
      <c r="BE35" t="str">
        <f ca="1">IFERROR(IF(0=LEN(ReferenceData!$BE$35),"",ReferenceData!$BE$35),"")</f>
        <v/>
      </c>
      <c r="BF35" t="str">
        <f ca="1">IFERROR(IF(0=LEN(ReferenceData!$BF$35),"",ReferenceData!$BF$35),"")</f>
        <v/>
      </c>
      <c r="BG35" t="str">
        <f ca="1">IFERROR(IF(0=LEN(ReferenceData!$BG$35),"",ReferenceData!$BG$35),"")</f>
        <v/>
      </c>
      <c r="BH35" t="str">
        <f ca="1">IFERROR(IF(0=LEN(ReferenceData!$BH$35),"",ReferenceData!$BH$35),"")</f>
        <v/>
      </c>
      <c r="BI35" t="str">
        <f ca="1">IFERROR(IF(0=LEN(ReferenceData!$BI$35),"",ReferenceData!$BI$35),"")</f>
        <v/>
      </c>
      <c r="BJ35" t="str">
        <f ca="1">IFERROR(IF(0=LEN(ReferenceData!$BJ$35),"",ReferenceData!$BJ$35),"")</f>
        <v/>
      </c>
      <c r="BK35" t="str">
        <f ca="1">IFERROR(IF(0=LEN(ReferenceData!$BK$35),"",ReferenceData!$BK$35),"")</f>
        <v/>
      </c>
      <c r="BL35" t="str">
        <f ca="1">IFERROR(IF(0=LEN(ReferenceData!$BL$35),"",ReferenceData!$BL$35),"")</f>
        <v/>
      </c>
      <c r="BM35" t="str">
        <f ca="1">IFERROR(IF(0=LEN(ReferenceData!$BM$35),"",ReferenceData!$BM$35),"")</f>
        <v/>
      </c>
    </row>
    <row r="36" spans="1:65" x14ac:dyDescent="0.25">
      <c r="A36" t="str">
        <f>IFERROR(IF(0=LEN(ReferenceData!$A$36),"",ReferenceData!$A$36),"")</f>
        <v xml:space="preserve">                    Royalties and Others</v>
      </c>
      <c r="B36" t="str">
        <f>IFERROR(IF(0=LEN(ReferenceData!$B$36),"",ReferenceData!$B$36),"")</f>
        <v>KER FP Equity</v>
      </c>
      <c r="C36" t="str">
        <f>IFERROR(IF(0=LEN(ReferenceData!$C$36),"",ReferenceData!$C$36),"")</f>
        <v>BI047</v>
      </c>
      <c r="D36" t="str">
        <f>IFERROR(IF(0=LEN(ReferenceData!$D$36),"",ReferenceData!$D$36),"")</f>
        <v>BICS_SEGMENT_DATA</v>
      </c>
      <c r="E36" t="str">
        <f>IFERROR(IF(0=LEN(ReferenceData!$E$36),"",ReferenceData!$E$36),"")</f>
        <v>Dynamic</v>
      </c>
      <c r="F36" t="str">
        <f ca="1">IFERROR(IF(0=LEN(ReferenceData!$F$36),"",ReferenceData!$F$36),"")</f>
        <v/>
      </c>
      <c r="G36">
        <f ca="1">IFERROR(IF(0=LEN(ReferenceData!$G$36),"",ReferenceData!$G$36),"")</f>
        <v>28</v>
      </c>
      <c r="H36">
        <f ca="1">IFERROR(IF(0=LEN(ReferenceData!$H$36),"",ReferenceData!$H$36),"")</f>
        <v>118</v>
      </c>
      <c r="I36">
        <f ca="1">IFERROR(IF(0=LEN(ReferenceData!$I$36),"",ReferenceData!$I$36),"")</f>
        <v>6</v>
      </c>
      <c r="J36">
        <f ca="1">IFERROR(IF(0=LEN(ReferenceData!$J$36),"",ReferenceData!$J$36),"")</f>
        <v>-3</v>
      </c>
      <c r="K36">
        <f ca="1">IFERROR(IF(0=LEN(ReferenceData!$K$36),"",ReferenceData!$K$36),"")</f>
        <v>-34</v>
      </c>
      <c r="L36">
        <f ca="1">IFERROR(IF(0=LEN(ReferenceData!$L$36),"",ReferenceData!$L$36),"")</f>
        <v>-61</v>
      </c>
      <c r="M36">
        <f ca="1">IFERROR(IF(0=LEN(ReferenceData!$M$36),"",ReferenceData!$M$36),"")</f>
        <v>-17</v>
      </c>
      <c r="N36">
        <f ca="1">IFERROR(IF(0=LEN(ReferenceData!$N$36),"",ReferenceData!$N$36),"")</f>
        <v>-14</v>
      </c>
      <c r="O36">
        <f ca="1">IFERROR(IF(0=LEN(ReferenceData!$O$36),"",ReferenceData!$O$36),"")</f>
        <v>31</v>
      </c>
      <c r="P36">
        <f ca="1">IFERROR(IF(0=LEN(ReferenceData!$P$36),"",ReferenceData!$P$36),"")</f>
        <v>16</v>
      </c>
      <c r="Q36">
        <f ca="1">IFERROR(IF(0=LEN(ReferenceData!$Q$36),"",ReferenceData!$Q$36),"")</f>
        <v>59</v>
      </c>
      <c r="R36">
        <f ca="1">IFERROR(IF(0=LEN(ReferenceData!$R$36),"",ReferenceData!$R$36),"")</f>
        <v>37</v>
      </c>
      <c r="S36">
        <f ca="1">IFERROR(IF(0=LEN(ReferenceData!$S$36),"",ReferenceData!$S$36),"")</f>
        <v>17</v>
      </c>
      <c r="T36">
        <f ca="1">IFERROR(IF(0=LEN(ReferenceData!$T$36),"",ReferenceData!$T$36),"")</f>
        <v>5</v>
      </c>
      <c r="U36">
        <f ca="1">IFERROR(IF(0=LEN(ReferenceData!$U$36),"",ReferenceData!$U$36),"")</f>
        <v>-4</v>
      </c>
      <c r="V36">
        <f ca="1">IFERROR(IF(0=LEN(ReferenceData!$V$36),"",ReferenceData!$V$36),"")</f>
        <v>22</v>
      </c>
      <c r="W36">
        <f ca="1">IFERROR(IF(0=LEN(ReferenceData!$W$36),"",ReferenceData!$W$36),"")</f>
        <v>28</v>
      </c>
      <c r="X36">
        <f ca="1">IFERROR(IF(0=LEN(ReferenceData!$X$36),"",ReferenceData!$X$36),"")</f>
        <v>13</v>
      </c>
      <c r="Y36">
        <f ca="1">IFERROR(IF(0=LEN(ReferenceData!$Y$36),"",ReferenceData!$Y$36),"")</f>
        <v>-1</v>
      </c>
      <c r="Z36" t="str">
        <f ca="1">IFERROR(IF(0=LEN(ReferenceData!$Z$36),"",ReferenceData!$Z$36),"")</f>
        <v/>
      </c>
      <c r="AA36">
        <f ca="1">IFERROR(IF(0=LEN(ReferenceData!$AA$36),"",ReferenceData!$AA$36),"")</f>
        <v>-19</v>
      </c>
      <c r="AB36">
        <f ca="1">IFERROR(IF(0=LEN(ReferenceData!$AB$36),"",ReferenceData!$AB$36),"")</f>
        <v>-8</v>
      </c>
      <c r="AC36">
        <f ca="1">IFERROR(IF(0=LEN(ReferenceData!$AC$36),"",ReferenceData!$AC$36),"")</f>
        <v>-31</v>
      </c>
      <c r="AD36" t="str">
        <f ca="1">IFERROR(IF(0=LEN(ReferenceData!$AD$36),"",ReferenceData!$AD$36),"")</f>
        <v/>
      </c>
      <c r="AE36">
        <f ca="1">IFERROR(IF(0=LEN(ReferenceData!$AE$36),"",ReferenceData!$AE$36),"")</f>
        <v>-7</v>
      </c>
      <c r="AF36">
        <f ca="1">IFERROR(IF(0=LEN(ReferenceData!$AF$36),"",ReferenceData!$AF$36),"")</f>
        <v>-11</v>
      </c>
      <c r="AG36">
        <f ca="1">IFERROR(IF(0=LEN(ReferenceData!$AG$36),"",ReferenceData!$AG$36),"")</f>
        <v>-14</v>
      </c>
      <c r="AH36" t="str">
        <f ca="1">IFERROR(IF(0=LEN(ReferenceData!$AH$36),"",ReferenceData!$AH$36),"")</f>
        <v/>
      </c>
      <c r="AI36" t="str">
        <f ca="1">IFERROR(IF(0=LEN(ReferenceData!$AI$36),"",ReferenceData!$AI$36),"")</f>
        <v/>
      </c>
      <c r="AJ36" t="str">
        <f ca="1">IFERROR(IF(0=LEN(ReferenceData!$AJ$36),"",ReferenceData!$AJ$36),"")</f>
        <v/>
      </c>
      <c r="AK36" t="str">
        <f ca="1">IFERROR(IF(0=LEN(ReferenceData!$AK$36),"",ReferenceData!$AK$36),"")</f>
        <v/>
      </c>
      <c r="AL36" t="str">
        <f ca="1">IFERROR(IF(0=LEN(ReferenceData!$AL$36),"",ReferenceData!$AL$36),"")</f>
        <v/>
      </c>
      <c r="AM36" t="str">
        <f ca="1">IFERROR(IF(0=LEN(ReferenceData!$AM$36),"",ReferenceData!$AM$36),"")</f>
        <v/>
      </c>
      <c r="AN36" t="str">
        <f ca="1">IFERROR(IF(0=LEN(ReferenceData!$AN$36),"",ReferenceData!$AN$36),"")</f>
        <v/>
      </c>
      <c r="AO36" t="str">
        <f ca="1">IFERROR(IF(0=LEN(ReferenceData!$AO$36),"",ReferenceData!$AO$36),"")</f>
        <v/>
      </c>
      <c r="AP36" t="str">
        <f ca="1">IFERROR(IF(0=LEN(ReferenceData!$AP$36),"",ReferenceData!$AP$36),"")</f>
        <v/>
      </c>
      <c r="AQ36" t="str">
        <f ca="1">IFERROR(IF(0=LEN(ReferenceData!$AQ$36),"",ReferenceData!$AQ$36),"")</f>
        <v/>
      </c>
      <c r="AR36" t="str">
        <f ca="1">IFERROR(IF(0=LEN(ReferenceData!$AR$36),"",ReferenceData!$AR$36),"")</f>
        <v/>
      </c>
      <c r="AS36" t="str">
        <f ca="1">IFERROR(IF(0=LEN(ReferenceData!$AS$36),"",ReferenceData!$AS$36),"")</f>
        <v/>
      </c>
      <c r="AT36" t="str">
        <f ca="1">IFERROR(IF(0=LEN(ReferenceData!$AT$36),"",ReferenceData!$AT$36),"")</f>
        <v/>
      </c>
      <c r="AU36" t="str">
        <f ca="1">IFERROR(IF(0=LEN(ReferenceData!$AU$36),"",ReferenceData!$AU$36),"")</f>
        <v/>
      </c>
      <c r="AV36" t="str">
        <f ca="1">IFERROR(IF(0=LEN(ReferenceData!$AV$36),"",ReferenceData!$AV$36),"")</f>
        <v/>
      </c>
      <c r="AW36" t="str">
        <f ca="1">IFERROR(IF(0=LEN(ReferenceData!$AW$36),"",ReferenceData!$AW$36),"")</f>
        <v/>
      </c>
      <c r="AX36" t="str">
        <f ca="1">IFERROR(IF(0=LEN(ReferenceData!$AX$36),"",ReferenceData!$AX$36),"")</f>
        <v/>
      </c>
      <c r="AY36" t="str">
        <f ca="1">IFERROR(IF(0=LEN(ReferenceData!$AY$36),"",ReferenceData!$AY$36),"")</f>
        <v/>
      </c>
      <c r="AZ36" t="str">
        <f ca="1">IFERROR(IF(0=LEN(ReferenceData!$AZ$36),"",ReferenceData!$AZ$36),"")</f>
        <v/>
      </c>
      <c r="BA36" t="str">
        <f ca="1">IFERROR(IF(0=LEN(ReferenceData!$BA$36),"",ReferenceData!$BA$36),"")</f>
        <v/>
      </c>
      <c r="BB36" t="str">
        <f ca="1">IFERROR(IF(0=LEN(ReferenceData!$BB$36),"",ReferenceData!$BB$36),"")</f>
        <v/>
      </c>
      <c r="BC36" t="str">
        <f ca="1">IFERROR(IF(0=LEN(ReferenceData!$BC$36),"",ReferenceData!$BC$36),"")</f>
        <v/>
      </c>
      <c r="BD36" t="str">
        <f ca="1">IFERROR(IF(0=LEN(ReferenceData!$BD$36),"",ReferenceData!$BD$36),"")</f>
        <v/>
      </c>
      <c r="BE36" t="str">
        <f ca="1">IFERROR(IF(0=LEN(ReferenceData!$BE$36),"",ReferenceData!$BE$36),"")</f>
        <v/>
      </c>
      <c r="BF36" t="str">
        <f ca="1">IFERROR(IF(0=LEN(ReferenceData!$BF$36),"",ReferenceData!$BF$36),"")</f>
        <v/>
      </c>
      <c r="BG36" t="str">
        <f ca="1">IFERROR(IF(0=LEN(ReferenceData!$BG$36),"",ReferenceData!$BG$36),"")</f>
        <v/>
      </c>
      <c r="BH36" t="str">
        <f ca="1">IFERROR(IF(0=LEN(ReferenceData!$BH$36),"",ReferenceData!$BH$36),"")</f>
        <v/>
      </c>
      <c r="BI36" t="str">
        <f ca="1">IFERROR(IF(0=LEN(ReferenceData!$BI$36),"",ReferenceData!$BI$36),"")</f>
        <v/>
      </c>
      <c r="BJ36" t="str">
        <f ca="1">IFERROR(IF(0=LEN(ReferenceData!$BJ$36),"",ReferenceData!$BJ$36),"")</f>
        <v/>
      </c>
      <c r="BK36" t="str">
        <f ca="1">IFERROR(IF(0=LEN(ReferenceData!$BK$36),"",ReferenceData!$BK$36),"")</f>
        <v/>
      </c>
      <c r="BL36" t="str">
        <f ca="1">IFERROR(IF(0=LEN(ReferenceData!$BL$36),"",ReferenceData!$BL$36),"")</f>
        <v/>
      </c>
      <c r="BM36" t="str">
        <f ca="1">IFERROR(IF(0=LEN(ReferenceData!$BM$36),"",ReferenceData!$BM$36),"")</f>
        <v/>
      </c>
    </row>
    <row r="37" spans="1:65" x14ac:dyDescent="0.25">
      <c r="A37" t="str">
        <f>IFERROR(IF(0=LEN(ReferenceData!$A$37),"",ReferenceData!$A$37),"")</f>
        <v xml:space="preserve">                Saint Laurent</v>
      </c>
      <c r="B37" t="str">
        <f>IFERROR(IF(0=LEN(ReferenceData!$B$37),"",ReferenceData!$B$37),"")</f>
        <v>KER FP Equity</v>
      </c>
      <c r="C37" t="str">
        <f>IFERROR(IF(0=LEN(ReferenceData!$C$37),"",ReferenceData!$C$37),"")</f>
        <v>BI047</v>
      </c>
      <c r="D37" t="str">
        <f>IFERROR(IF(0=LEN(ReferenceData!$D$37),"",ReferenceData!$D$37),"")</f>
        <v>BICS_SEGMENT_DATA</v>
      </c>
      <c r="E37" t="str">
        <f>IFERROR(IF(0=LEN(ReferenceData!$E$37),"",ReferenceData!$E$37),"")</f>
        <v>Dynamic</v>
      </c>
      <c r="F37" t="str">
        <f ca="1">IFERROR(IF(0=LEN(ReferenceData!$F$37),"",ReferenceData!$F$37),"")</f>
        <v/>
      </c>
      <c r="G37">
        <f ca="1">IFERROR(IF(0=LEN(ReferenceData!$G$37),"",ReferenceData!$G$37),"")</f>
        <v>27.8</v>
      </c>
      <c r="H37">
        <f ca="1">IFERROR(IF(0=LEN(ReferenceData!$H$37),"",ReferenceData!$H$37),"")</f>
        <v>114.5</v>
      </c>
      <c r="I37">
        <f ca="1">IFERROR(IF(0=LEN(ReferenceData!$I$37),"",ReferenceData!$I$37),"")</f>
        <v>18.899999999999999</v>
      </c>
      <c r="J37">
        <f ca="1">IFERROR(IF(0=LEN(ReferenceData!$J$37),"",ReferenceData!$J$37),"")</f>
        <v>-3</v>
      </c>
      <c r="K37">
        <f ca="1">IFERROR(IF(0=LEN(ReferenceData!$K$37),"",ReferenceData!$K$37),"")</f>
        <v>0.8</v>
      </c>
      <c r="L37">
        <f ca="1">IFERROR(IF(0=LEN(ReferenceData!$L$37),"",ReferenceData!$L$37),"")</f>
        <v>-48.2</v>
      </c>
      <c r="M37">
        <f ca="1">IFERROR(IF(0=LEN(ReferenceData!$M$37),"",ReferenceData!$M$37),"")</f>
        <v>-12.6</v>
      </c>
      <c r="N37">
        <f ca="1">IFERROR(IF(0=LEN(ReferenceData!$N$37),"",ReferenceData!$N$37),"")</f>
        <v>16.600000000000001</v>
      </c>
      <c r="O37">
        <f ca="1">IFERROR(IF(0=LEN(ReferenceData!$O$37),"",ReferenceData!$O$37),"")</f>
        <v>13.3</v>
      </c>
      <c r="P37">
        <f ca="1">IFERROR(IF(0=LEN(ReferenceData!$P$37),"",ReferenceData!$P$37),"")</f>
        <v>18.899999999999999</v>
      </c>
      <c r="Q37">
        <f ca="1">IFERROR(IF(0=LEN(ReferenceData!$Q$37),"",ReferenceData!$Q$37),"")</f>
        <v>21.9</v>
      </c>
      <c r="R37">
        <f ca="1">IFERROR(IF(0=LEN(ReferenceData!$R$37),"",ReferenceData!$R$37),"")</f>
        <v>20</v>
      </c>
      <c r="S37">
        <f ca="1">IFERROR(IF(0=LEN(ReferenceData!$S$37),"",ReferenceData!$S$37),"")</f>
        <v>16.5</v>
      </c>
      <c r="T37">
        <f ca="1">IFERROR(IF(0=LEN(ReferenceData!$T$37),"",ReferenceData!$T$37),"")</f>
        <v>15.5</v>
      </c>
      <c r="U37">
        <f ca="1">IFERROR(IF(0=LEN(ReferenceData!$U$37),"",ReferenceData!$U$37),"")</f>
        <v>12</v>
      </c>
      <c r="V37">
        <f ca="1">IFERROR(IF(0=LEN(ReferenceData!$V$37),"",ReferenceData!$V$37),"")</f>
        <v>17.5</v>
      </c>
      <c r="W37">
        <f ca="1">IFERROR(IF(0=LEN(ReferenceData!$W$37),"",ReferenceData!$W$37),"")</f>
        <v>17.7</v>
      </c>
      <c r="X37">
        <f ca="1">IFERROR(IF(0=LEN(ReferenceData!$X$37),"",ReferenceData!$X$37),"")</f>
        <v>24.3</v>
      </c>
      <c r="Y37">
        <f ca="1">IFERROR(IF(0=LEN(ReferenceData!$Y$37),"",ReferenceData!$Y$37),"")</f>
        <v>35.4</v>
      </c>
      <c r="Z37">
        <f ca="1">IFERROR(IF(0=LEN(ReferenceData!$Z$37),"",ReferenceData!$Z$37),"")</f>
        <v>20.6</v>
      </c>
      <c r="AA37">
        <f ca="1">IFERROR(IF(0=LEN(ReferenceData!$AA$37),"",ReferenceData!$AA$37),"")</f>
        <v>34</v>
      </c>
      <c r="AB37">
        <f ca="1">IFERROR(IF(0=LEN(ReferenceData!$AB$37),"",ReferenceData!$AB$37),"")</f>
        <v>20.3</v>
      </c>
      <c r="AC37">
        <f ca="1">IFERROR(IF(0=LEN(ReferenceData!$AC$37),"",ReferenceData!$AC$37),"")</f>
        <v>27.3</v>
      </c>
      <c r="AD37" t="str">
        <f ca="1">IFERROR(IF(0=LEN(ReferenceData!$AD$37),"",ReferenceData!$AD$37),"")</f>
        <v/>
      </c>
      <c r="AE37">
        <f ca="1">IFERROR(IF(0=LEN(ReferenceData!$AE$37),"",ReferenceData!$AE$37),"")</f>
        <v>36.9</v>
      </c>
      <c r="AF37">
        <f ca="1">IFERROR(IF(0=LEN(ReferenceData!$AF$37),"",ReferenceData!$AF$37),"")</f>
        <v>42.5</v>
      </c>
      <c r="AG37">
        <f ca="1">IFERROR(IF(0=LEN(ReferenceData!$AG$37),"",ReferenceData!$AG$37),"")</f>
        <v>33.799999999999997</v>
      </c>
      <c r="AH37">
        <f ca="1">IFERROR(IF(0=LEN(ReferenceData!$AH$37),"",ReferenceData!$AH$37),"")</f>
        <v>28.7</v>
      </c>
      <c r="AI37">
        <f ca="1">IFERROR(IF(0=LEN(ReferenceData!$AI$37),"",ReferenceData!$AI$37),"")</f>
        <v>37.700000000000003</v>
      </c>
      <c r="AJ37">
        <f ca="1">IFERROR(IF(0=LEN(ReferenceData!$AJ$37),"",ReferenceData!$AJ$37),"")</f>
        <v>26.9</v>
      </c>
      <c r="AK37" t="str">
        <f ca="1">IFERROR(IF(0=LEN(ReferenceData!$AK$37),"",ReferenceData!$AK$37),"")</f>
        <v/>
      </c>
      <c r="AL37">
        <f ca="1">IFERROR(IF(0=LEN(ReferenceData!$AL$37),"",ReferenceData!$AL$37),"")</f>
        <v>36</v>
      </c>
      <c r="AM37">
        <f ca="1">IFERROR(IF(0=LEN(ReferenceData!$AM$37),"",ReferenceData!$AM$37),"")</f>
        <v>7.2</v>
      </c>
      <c r="AN37">
        <f ca="1">IFERROR(IF(0=LEN(ReferenceData!$AN$37),"",ReferenceData!$AN$37),"")</f>
        <v>11.7</v>
      </c>
      <c r="AO37" t="str">
        <f ca="1">IFERROR(IF(0=LEN(ReferenceData!$AO$37),"",ReferenceData!$AO$37),"")</f>
        <v/>
      </c>
      <c r="AP37" t="str">
        <f ca="1">IFERROR(IF(0=LEN(ReferenceData!$AP$37),"",ReferenceData!$AP$37),"")</f>
        <v/>
      </c>
      <c r="AQ37" t="str">
        <f ca="1">IFERROR(IF(0=LEN(ReferenceData!$AQ$37),"",ReferenceData!$AQ$37),"")</f>
        <v/>
      </c>
      <c r="AR37" t="str">
        <f ca="1">IFERROR(IF(0=LEN(ReferenceData!$AR$37),"",ReferenceData!$AR$37),"")</f>
        <v/>
      </c>
      <c r="AS37" t="str">
        <f ca="1">IFERROR(IF(0=LEN(ReferenceData!$AS$37),"",ReferenceData!$AS$37),"")</f>
        <v/>
      </c>
      <c r="AT37" t="str">
        <f ca="1">IFERROR(IF(0=LEN(ReferenceData!$AT$37),"",ReferenceData!$AT$37),"")</f>
        <v/>
      </c>
      <c r="AU37" t="str">
        <f ca="1">IFERROR(IF(0=LEN(ReferenceData!$AU$37),"",ReferenceData!$AU$37),"")</f>
        <v/>
      </c>
      <c r="AV37" t="str">
        <f ca="1">IFERROR(IF(0=LEN(ReferenceData!$AV$37),"",ReferenceData!$AV$37),"")</f>
        <v/>
      </c>
      <c r="AW37" t="str">
        <f ca="1">IFERROR(IF(0=LEN(ReferenceData!$AW$37),"",ReferenceData!$AW$37),"")</f>
        <v/>
      </c>
      <c r="AX37" t="str">
        <f ca="1">IFERROR(IF(0=LEN(ReferenceData!$AX$37),"",ReferenceData!$AX$37),"")</f>
        <v/>
      </c>
      <c r="AY37" t="str">
        <f ca="1">IFERROR(IF(0=LEN(ReferenceData!$AY$37),"",ReferenceData!$AY$37),"")</f>
        <v/>
      </c>
      <c r="AZ37" t="str">
        <f ca="1">IFERROR(IF(0=LEN(ReferenceData!$AZ$37),"",ReferenceData!$AZ$37),"")</f>
        <v/>
      </c>
      <c r="BA37" t="str">
        <f ca="1">IFERROR(IF(0=LEN(ReferenceData!$BA$37),"",ReferenceData!$BA$37),"")</f>
        <v/>
      </c>
      <c r="BB37" t="str">
        <f ca="1">IFERROR(IF(0=LEN(ReferenceData!$BB$37),"",ReferenceData!$BB$37),"")</f>
        <v/>
      </c>
      <c r="BC37" t="str">
        <f ca="1">IFERROR(IF(0=LEN(ReferenceData!$BC$37),"",ReferenceData!$BC$37),"")</f>
        <v/>
      </c>
      <c r="BD37" t="str">
        <f ca="1">IFERROR(IF(0=LEN(ReferenceData!$BD$37),"",ReferenceData!$BD$37),"")</f>
        <v/>
      </c>
      <c r="BE37" t="str">
        <f ca="1">IFERROR(IF(0=LEN(ReferenceData!$BE$37),"",ReferenceData!$BE$37),"")</f>
        <v/>
      </c>
      <c r="BF37" t="str">
        <f ca="1">IFERROR(IF(0=LEN(ReferenceData!$BF$37),"",ReferenceData!$BF$37),"")</f>
        <v/>
      </c>
      <c r="BG37" t="str">
        <f ca="1">IFERROR(IF(0=LEN(ReferenceData!$BG$37),"",ReferenceData!$BG$37),"")</f>
        <v/>
      </c>
      <c r="BH37" t="str">
        <f ca="1">IFERROR(IF(0=LEN(ReferenceData!$BH$37),"",ReferenceData!$BH$37),"")</f>
        <v/>
      </c>
      <c r="BI37" t="str">
        <f ca="1">IFERROR(IF(0=LEN(ReferenceData!$BI$37),"",ReferenceData!$BI$37),"")</f>
        <v/>
      </c>
      <c r="BJ37" t="str">
        <f ca="1">IFERROR(IF(0=LEN(ReferenceData!$BJ$37),"",ReferenceData!$BJ$37),"")</f>
        <v/>
      </c>
      <c r="BK37" t="str">
        <f ca="1">IFERROR(IF(0=LEN(ReferenceData!$BK$37),"",ReferenceData!$BK$37),"")</f>
        <v/>
      </c>
      <c r="BL37" t="str">
        <f ca="1">IFERROR(IF(0=LEN(ReferenceData!$BL$37),"",ReferenceData!$BL$37),"")</f>
        <v/>
      </c>
      <c r="BM37" t="str">
        <f ca="1">IFERROR(IF(0=LEN(ReferenceData!$BM$37),"",ReferenceData!$BM$37),"")</f>
        <v/>
      </c>
    </row>
    <row r="38" spans="1:65" x14ac:dyDescent="0.25">
      <c r="A38" t="str">
        <f>IFERROR(IF(0=LEN(ReferenceData!$A$38),"",ReferenceData!$A$38),"")</f>
        <v xml:space="preserve">                    Retail</v>
      </c>
      <c r="B38" t="str">
        <f>IFERROR(IF(0=LEN(ReferenceData!$B$38),"",ReferenceData!$B$38),"")</f>
        <v>KER FP Equity</v>
      </c>
      <c r="C38" t="str">
        <f>IFERROR(IF(0=LEN(ReferenceData!$C$38),"",ReferenceData!$C$38),"")</f>
        <v>BI047</v>
      </c>
      <c r="D38" t="str">
        <f>IFERROR(IF(0=LEN(ReferenceData!$D$38),"",ReferenceData!$D$38),"")</f>
        <v>BICS_SEGMENT_DATA</v>
      </c>
      <c r="E38" t="str">
        <f>IFERROR(IF(0=LEN(ReferenceData!$E$38),"",ReferenceData!$E$38),"")</f>
        <v>Dynamic</v>
      </c>
      <c r="F38" t="str">
        <f ca="1">IFERROR(IF(0=LEN(ReferenceData!$F$38),"",ReferenceData!$F$38),"")</f>
        <v/>
      </c>
      <c r="G38">
        <f ca="1">IFERROR(IF(0=LEN(ReferenceData!$G$38),"",ReferenceData!$G$38),"")</f>
        <v>31</v>
      </c>
      <c r="H38">
        <f ca="1">IFERROR(IF(0=LEN(ReferenceData!$H$38),"",ReferenceData!$H$38),"")</f>
        <v>140</v>
      </c>
      <c r="I38">
        <f ca="1">IFERROR(IF(0=LEN(ReferenceData!$I$38),"",ReferenceData!$I$38),"")</f>
        <v>31</v>
      </c>
      <c r="J38">
        <f ca="1">IFERROR(IF(0=LEN(ReferenceData!$J$38),"",ReferenceData!$J$38),"")</f>
        <v>5</v>
      </c>
      <c r="K38">
        <f ca="1">IFERROR(IF(0=LEN(ReferenceData!$K$38),"",ReferenceData!$K$38),"")</f>
        <v>6</v>
      </c>
      <c r="L38">
        <f ca="1">IFERROR(IF(0=LEN(ReferenceData!$L$38),"",ReferenceData!$L$38),"")</f>
        <v>-48</v>
      </c>
      <c r="M38">
        <f ca="1">IFERROR(IF(0=LEN(ReferenceData!$M$38),"",ReferenceData!$M$38),"")</f>
        <v>-18</v>
      </c>
      <c r="N38">
        <f ca="1">IFERROR(IF(0=LEN(ReferenceData!$N$38),"",ReferenceData!$N$38),"")</f>
        <v>16</v>
      </c>
      <c r="O38">
        <f ca="1">IFERROR(IF(0=LEN(ReferenceData!$O$38),"",ReferenceData!$O$38),"")</f>
        <v>11</v>
      </c>
      <c r="P38">
        <f ca="1">IFERROR(IF(0=LEN(ReferenceData!$P$38),"",ReferenceData!$P$38),"")</f>
        <v>17</v>
      </c>
      <c r="Q38">
        <f ca="1">IFERROR(IF(0=LEN(ReferenceData!$Q$38),"",ReferenceData!$Q$38),"")</f>
        <v>22</v>
      </c>
      <c r="R38">
        <f ca="1">IFERROR(IF(0=LEN(ReferenceData!$R$38),"",ReferenceData!$R$38),"")</f>
        <v>21</v>
      </c>
      <c r="S38">
        <f ca="1">IFERROR(IF(0=LEN(ReferenceData!$S$38),"",ReferenceData!$S$38),"")</f>
        <v>18</v>
      </c>
      <c r="T38">
        <f ca="1">IFERROR(IF(0=LEN(ReferenceData!$T$38),"",ReferenceData!$T$38),"")</f>
        <v>19</v>
      </c>
      <c r="U38">
        <f ca="1">IFERROR(IF(0=LEN(ReferenceData!$U$38),"",ReferenceData!$U$38),"")</f>
        <v>15</v>
      </c>
      <c r="V38">
        <f ca="1">IFERROR(IF(0=LEN(ReferenceData!$V$38),"",ReferenceData!$V$38),"")</f>
        <v>27</v>
      </c>
      <c r="W38">
        <f ca="1">IFERROR(IF(0=LEN(ReferenceData!$W$38),"",ReferenceData!$W$38),"")</f>
        <v>21</v>
      </c>
      <c r="X38">
        <f ca="1">IFERROR(IF(0=LEN(ReferenceData!$X$38),"",ReferenceData!$X$38),"")</f>
        <v>30</v>
      </c>
      <c r="Y38">
        <f ca="1">IFERROR(IF(0=LEN(ReferenceData!$Y$38),"",ReferenceData!$Y$38),"")</f>
        <v>31</v>
      </c>
      <c r="Z38" t="str">
        <f ca="1">IFERROR(IF(0=LEN(ReferenceData!$Z$38),"",ReferenceData!$Z$38),"")</f>
        <v/>
      </c>
      <c r="AA38">
        <f ca="1">IFERROR(IF(0=LEN(ReferenceData!$AA$38),"",ReferenceData!$AA$38),"")</f>
        <v>34</v>
      </c>
      <c r="AB38">
        <f ca="1">IFERROR(IF(0=LEN(ReferenceData!$AB$38),"",ReferenceData!$AB$38),"")</f>
        <v>31</v>
      </c>
      <c r="AC38">
        <f ca="1">IFERROR(IF(0=LEN(ReferenceData!$AC$38),"",ReferenceData!$AC$38),"")</f>
        <v>31</v>
      </c>
      <c r="AD38">
        <f ca="1">IFERROR(IF(0=LEN(ReferenceData!$AD$38),"",ReferenceData!$AD$38),"")</f>
        <v>30</v>
      </c>
      <c r="AE38">
        <f ca="1">IFERROR(IF(0=LEN(ReferenceData!$AE$38),"",ReferenceData!$AE$38),"")</f>
        <v>32</v>
      </c>
      <c r="AF38">
        <f ca="1">IFERROR(IF(0=LEN(ReferenceData!$AF$38),"",ReferenceData!$AF$38),"")</f>
        <v>29</v>
      </c>
      <c r="AG38">
        <f ca="1">IFERROR(IF(0=LEN(ReferenceData!$AG$38),"",ReferenceData!$AG$38),"")</f>
        <v>22</v>
      </c>
      <c r="AH38" t="str">
        <f ca="1">IFERROR(IF(0=LEN(ReferenceData!$AH$38),"",ReferenceData!$AH$38),"")</f>
        <v/>
      </c>
      <c r="AI38" t="str">
        <f ca="1">IFERROR(IF(0=LEN(ReferenceData!$AI$38),"",ReferenceData!$AI$38),"")</f>
        <v/>
      </c>
      <c r="AJ38" t="str">
        <f ca="1">IFERROR(IF(0=LEN(ReferenceData!$AJ$38),"",ReferenceData!$AJ$38),"")</f>
        <v/>
      </c>
      <c r="AK38">
        <f ca="1">IFERROR(IF(0=LEN(ReferenceData!$AK$38),"",ReferenceData!$AK$38),"")</f>
        <v>72</v>
      </c>
      <c r="AL38" t="str">
        <f ca="1">IFERROR(IF(0=LEN(ReferenceData!$AL$38),"",ReferenceData!$AL$38),"")</f>
        <v/>
      </c>
      <c r="AM38" t="str">
        <f ca="1">IFERROR(IF(0=LEN(ReferenceData!$AM$38),"",ReferenceData!$AM$38),"")</f>
        <v/>
      </c>
      <c r="AN38" t="str">
        <f ca="1">IFERROR(IF(0=LEN(ReferenceData!$AN$38),"",ReferenceData!$AN$38),"")</f>
        <v/>
      </c>
      <c r="AO38" t="str">
        <f ca="1">IFERROR(IF(0=LEN(ReferenceData!$AO$38),"",ReferenceData!$AO$38),"")</f>
        <v/>
      </c>
      <c r="AP38" t="str">
        <f ca="1">IFERROR(IF(0=LEN(ReferenceData!$AP$38),"",ReferenceData!$AP$38),"")</f>
        <v/>
      </c>
      <c r="AQ38" t="str">
        <f ca="1">IFERROR(IF(0=LEN(ReferenceData!$AQ$38),"",ReferenceData!$AQ$38),"")</f>
        <v/>
      </c>
      <c r="AR38" t="str">
        <f ca="1">IFERROR(IF(0=LEN(ReferenceData!$AR$38),"",ReferenceData!$AR$38),"")</f>
        <v/>
      </c>
      <c r="AS38" t="str">
        <f ca="1">IFERROR(IF(0=LEN(ReferenceData!$AS$38),"",ReferenceData!$AS$38),"")</f>
        <v/>
      </c>
      <c r="AT38" t="str">
        <f ca="1">IFERROR(IF(0=LEN(ReferenceData!$AT$38),"",ReferenceData!$AT$38),"")</f>
        <v/>
      </c>
      <c r="AU38" t="str">
        <f ca="1">IFERROR(IF(0=LEN(ReferenceData!$AU$38),"",ReferenceData!$AU$38),"")</f>
        <v/>
      </c>
      <c r="AV38" t="str">
        <f ca="1">IFERROR(IF(0=LEN(ReferenceData!$AV$38),"",ReferenceData!$AV$38),"")</f>
        <v/>
      </c>
      <c r="AW38" t="str">
        <f ca="1">IFERROR(IF(0=LEN(ReferenceData!$AW$38),"",ReferenceData!$AW$38),"")</f>
        <v/>
      </c>
      <c r="AX38" t="str">
        <f ca="1">IFERROR(IF(0=LEN(ReferenceData!$AX$38),"",ReferenceData!$AX$38),"")</f>
        <v/>
      </c>
      <c r="AY38" t="str">
        <f ca="1">IFERROR(IF(0=LEN(ReferenceData!$AY$38),"",ReferenceData!$AY$38),"")</f>
        <v/>
      </c>
      <c r="AZ38" t="str">
        <f ca="1">IFERROR(IF(0=LEN(ReferenceData!$AZ$38),"",ReferenceData!$AZ$38),"")</f>
        <v/>
      </c>
      <c r="BA38" t="str">
        <f ca="1">IFERROR(IF(0=LEN(ReferenceData!$BA$38),"",ReferenceData!$BA$38),"")</f>
        <v/>
      </c>
      <c r="BB38" t="str">
        <f ca="1">IFERROR(IF(0=LEN(ReferenceData!$BB$38),"",ReferenceData!$BB$38),"")</f>
        <v/>
      </c>
      <c r="BC38" t="str">
        <f ca="1">IFERROR(IF(0=LEN(ReferenceData!$BC$38),"",ReferenceData!$BC$38),"")</f>
        <v/>
      </c>
      <c r="BD38" t="str">
        <f ca="1">IFERROR(IF(0=LEN(ReferenceData!$BD$38),"",ReferenceData!$BD$38),"")</f>
        <v/>
      </c>
      <c r="BE38" t="str">
        <f ca="1">IFERROR(IF(0=LEN(ReferenceData!$BE$38),"",ReferenceData!$BE$38),"")</f>
        <v/>
      </c>
      <c r="BF38" t="str">
        <f ca="1">IFERROR(IF(0=LEN(ReferenceData!$BF$38),"",ReferenceData!$BF$38),"")</f>
        <v/>
      </c>
      <c r="BG38" t="str">
        <f ca="1">IFERROR(IF(0=LEN(ReferenceData!$BG$38),"",ReferenceData!$BG$38),"")</f>
        <v/>
      </c>
      <c r="BH38" t="str">
        <f ca="1">IFERROR(IF(0=LEN(ReferenceData!$BH$38),"",ReferenceData!$BH$38),"")</f>
        <v/>
      </c>
      <c r="BI38" t="str">
        <f ca="1">IFERROR(IF(0=LEN(ReferenceData!$BI$38),"",ReferenceData!$BI$38),"")</f>
        <v/>
      </c>
      <c r="BJ38" t="str">
        <f ca="1">IFERROR(IF(0=LEN(ReferenceData!$BJ$38),"",ReferenceData!$BJ$38),"")</f>
        <v/>
      </c>
      <c r="BK38" t="str">
        <f ca="1">IFERROR(IF(0=LEN(ReferenceData!$BK$38),"",ReferenceData!$BK$38),"")</f>
        <v/>
      </c>
      <c r="BL38" t="str">
        <f ca="1">IFERROR(IF(0=LEN(ReferenceData!$BL$38),"",ReferenceData!$BL$38),"")</f>
        <v/>
      </c>
      <c r="BM38" t="str">
        <f ca="1">IFERROR(IF(0=LEN(ReferenceData!$BM$38),"",ReferenceData!$BM$38),"")</f>
        <v/>
      </c>
    </row>
    <row r="39" spans="1:65" x14ac:dyDescent="0.25">
      <c r="A39" t="str">
        <f>IFERROR(IF(0=LEN(ReferenceData!$A$39),"",ReferenceData!$A$39),"")</f>
        <v xml:space="preserve">                        Western Europe</v>
      </c>
      <c r="B39" t="str">
        <f>IFERROR(IF(0=LEN(ReferenceData!$B$39),"",ReferenceData!$B$39),"")</f>
        <v>KER FP Equity</v>
      </c>
      <c r="C39" t="str">
        <f>IFERROR(IF(0=LEN(ReferenceData!$C$39),"",ReferenceData!$C$39),"")</f>
        <v>BI047</v>
      </c>
      <c r="D39" t="str">
        <f>IFERROR(IF(0=LEN(ReferenceData!$D$39),"",ReferenceData!$D$39),"")</f>
        <v>BICS_SEGMENT_DATA</v>
      </c>
      <c r="E39" t="str">
        <f>IFERROR(IF(0=LEN(ReferenceData!$E$39),"",ReferenceData!$E$39),"")</f>
        <v>Dynamic</v>
      </c>
      <c r="F39" t="str">
        <f ca="1">IFERROR(IF(0=LEN(ReferenceData!$F$39),"",ReferenceData!$F$39),"")</f>
        <v/>
      </c>
      <c r="G39">
        <f ca="1">IFERROR(IF(0=LEN(ReferenceData!$G$39),"",ReferenceData!$G$39),"")</f>
        <v>35</v>
      </c>
      <c r="H39">
        <f ca="1">IFERROR(IF(0=LEN(ReferenceData!$H$39),"",ReferenceData!$H$39),"")</f>
        <v>97</v>
      </c>
      <c r="I39">
        <f ca="1">IFERROR(IF(0=LEN(ReferenceData!$I$39),"",ReferenceData!$I$39),"")</f>
        <v>-27</v>
      </c>
      <c r="J39">
        <f ca="1">IFERROR(IF(0=LEN(ReferenceData!$J$39),"",ReferenceData!$J$39),"")</f>
        <v>-31</v>
      </c>
      <c r="K39">
        <f ca="1">IFERROR(IF(0=LEN(ReferenceData!$K$39),"",ReferenceData!$K$39),"")</f>
        <v>-30</v>
      </c>
      <c r="L39">
        <f ca="1">IFERROR(IF(0=LEN(ReferenceData!$L$39),"",ReferenceData!$L$39),"")</f>
        <v>-62</v>
      </c>
      <c r="M39">
        <f ca="1">IFERROR(IF(0=LEN(ReferenceData!$M$39),"",ReferenceData!$M$39),"")</f>
        <v>-11</v>
      </c>
      <c r="N39">
        <f ca="1">IFERROR(IF(0=LEN(ReferenceData!$N$39),"",ReferenceData!$N$39),"")</f>
        <v>14</v>
      </c>
      <c r="O39">
        <f ca="1">IFERROR(IF(0=LEN(ReferenceData!$O$39),"",ReferenceData!$O$39),"")</f>
        <v>9</v>
      </c>
      <c r="P39">
        <f ca="1">IFERROR(IF(0=LEN(ReferenceData!$P$39),"",ReferenceData!$P$39),"")</f>
        <v>15</v>
      </c>
      <c r="Q39">
        <f ca="1">IFERROR(IF(0=LEN(ReferenceData!$Q$39),"",ReferenceData!$Q$39),"")</f>
        <v>25</v>
      </c>
      <c r="R39">
        <f ca="1">IFERROR(IF(0=LEN(ReferenceData!$R$39),"",ReferenceData!$R$39),"")</f>
        <v>20</v>
      </c>
      <c r="S39">
        <f ca="1">IFERROR(IF(0=LEN(ReferenceData!$S$39),"",ReferenceData!$S$39),"")</f>
        <v>13</v>
      </c>
      <c r="T39">
        <f ca="1">IFERROR(IF(0=LEN(ReferenceData!$T$39),"",ReferenceData!$T$39),"")</f>
        <v>9</v>
      </c>
      <c r="U39">
        <f ca="1">IFERROR(IF(0=LEN(ReferenceData!$U$39),"",ReferenceData!$U$39),"")</f>
        <v>-1</v>
      </c>
      <c r="V39">
        <f ca="1">IFERROR(IF(0=LEN(ReferenceData!$V$39),"",ReferenceData!$V$39),"")</f>
        <v>18</v>
      </c>
      <c r="W39">
        <f ca="1">IFERROR(IF(0=LEN(ReferenceData!$W$39),"",ReferenceData!$W$39),"")</f>
        <v>19</v>
      </c>
      <c r="X39">
        <f ca="1">IFERROR(IF(0=LEN(ReferenceData!$X$39),"",ReferenceData!$X$39),"")</f>
        <v>33</v>
      </c>
      <c r="Y39">
        <f ca="1">IFERROR(IF(0=LEN(ReferenceData!$Y$39),"",ReferenceData!$Y$39),"")</f>
        <v>46</v>
      </c>
      <c r="Z39">
        <f ca="1">IFERROR(IF(0=LEN(ReferenceData!$Z$39),"",ReferenceData!$Z$39),"")</f>
        <v>43</v>
      </c>
      <c r="AA39">
        <f ca="1">IFERROR(IF(0=LEN(ReferenceData!$AA$39),"",ReferenceData!$AA$39),"")</f>
        <v>33</v>
      </c>
      <c r="AB39">
        <f ca="1">IFERROR(IF(0=LEN(ReferenceData!$AB$39),"",ReferenceData!$AB$39),"")</f>
        <v>21</v>
      </c>
      <c r="AC39">
        <f ca="1">IFERROR(IF(0=LEN(ReferenceData!$AC$39),"",ReferenceData!$AC$39),"")</f>
        <v>31</v>
      </c>
      <c r="AD39" t="str">
        <f ca="1">IFERROR(IF(0=LEN(ReferenceData!$AD$39),"",ReferenceData!$AD$39),"")</f>
        <v/>
      </c>
      <c r="AE39">
        <f ca="1">IFERROR(IF(0=LEN(ReferenceData!$AE$39),"",ReferenceData!$AE$39),"")</f>
        <v>40</v>
      </c>
      <c r="AF39">
        <f ca="1">IFERROR(IF(0=LEN(ReferenceData!$AF$39),"",ReferenceData!$AF$39),"")</f>
        <v>45</v>
      </c>
      <c r="AG39">
        <f ca="1">IFERROR(IF(0=LEN(ReferenceData!$AG$39),"",ReferenceData!$AG$39),"")</f>
        <v>29</v>
      </c>
      <c r="AH39" t="str">
        <f ca="1">IFERROR(IF(0=LEN(ReferenceData!$AH$39),"",ReferenceData!$AH$39),"")</f>
        <v/>
      </c>
      <c r="AI39" t="str">
        <f ca="1">IFERROR(IF(0=LEN(ReferenceData!$AI$39),"",ReferenceData!$AI$39),"")</f>
        <v/>
      </c>
      <c r="AJ39" t="str">
        <f ca="1">IFERROR(IF(0=LEN(ReferenceData!$AJ$39),"",ReferenceData!$AJ$39),"")</f>
        <v/>
      </c>
      <c r="AK39">
        <f ca="1">IFERROR(IF(0=LEN(ReferenceData!$AK$39),"",ReferenceData!$AK$39),"")</f>
        <v>53</v>
      </c>
      <c r="AL39" t="str">
        <f ca="1">IFERROR(IF(0=LEN(ReferenceData!$AL$39),"",ReferenceData!$AL$39),"")</f>
        <v/>
      </c>
      <c r="AM39" t="str">
        <f ca="1">IFERROR(IF(0=LEN(ReferenceData!$AM$39),"",ReferenceData!$AM$39),"")</f>
        <v/>
      </c>
      <c r="AN39" t="str">
        <f ca="1">IFERROR(IF(0=LEN(ReferenceData!$AN$39),"",ReferenceData!$AN$39),"")</f>
        <v/>
      </c>
      <c r="AO39">
        <f ca="1">IFERROR(IF(0=LEN(ReferenceData!$AO$39),"",ReferenceData!$AO$39),"")</f>
        <v>23</v>
      </c>
      <c r="AP39" t="str">
        <f ca="1">IFERROR(IF(0=LEN(ReferenceData!$AP$39),"",ReferenceData!$AP$39),"")</f>
        <v/>
      </c>
      <c r="AQ39" t="str">
        <f ca="1">IFERROR(IF(0=LEN(ReferenceData!$AQ$39),"",ReferenceData!$AQ$39),"")</f>
        <v/>
      </c>
      <c r="AR39" t="str">
        <f ca="1">IFERROR(IF(0=LEN(ReferenceData!$AR$39),"",ReferenceData!$AR$39),"")</f>
        <v/>
      </c>
      <c r="AS39" t="str">
        <f ca="1">IFERROR(IF(0=LEN(ReferenceData!$AS$39),"",ReferenceData!$AS$39),"")</f>
        <v/>
      </c>
      <c r="AT39" t="str">
        <f ca="1">IFERROR(IF(0=LEN(ReferenceData!$AT$39),"",ReferenceData!$AT$39),"")</f>
        <v/>
      </c>
      <c r="AU39" t="str">
        <f ca="1">IFERROR(IF(0=LEN(ReferenceData!$AU$39),"",ReferenceData!$AU$39),"")</f>
        <v/>
      </c>
      <c r="AV39" t="str">
        <f ca="1">IFERROR(IF(0=LEN(ReferenceData!$AV$39),"",ReferenceData!$AV$39),"")</f>
        <v/>
      </c>
      <c r="AW39" t="str">
        <f ca="1">IFERROR(IF(0=LEN(ReferenceData!$AW$39),"",ReferenceData!$AW$39),"")</f>
        <v/>
      </c>
      <c r="AX39" t="str">
        <f ca="1">IFERROR(IF(0=LEN(ReferenceData!$AX$39),"",ReferenceData!$AX$39),"")</f>
        <v/>
      </c>
      <c r="AY39" t="str">
        <f ca="1">IFERROR(IF(0=LEN(ReferenceData!$AY$39),"",ReferenceData!$AY$39),"")</f>
        <v/>
      </c>
      <c r="AZ39" t="str">
        <f ca="1">IFERROR(IF(0=LEN(ReferenceData!$AZ$39),"",ReferenceData!$AZ$39),"")</f>
        <v/>
      </c>
      <c r="BA39" t="str">
        <f ca="1">IFERROR(IF(0=LEN(ReferenceData!$BA$39),"",ReferenceData!$BA$39),"")</f>
        <v/>
      </c>
      <c r="BB39" t="str">
        <f ca="1">IFERROR(IF(0=LEN(ReferenceData!$BB$39),"",ReferenceData!$BB$39),"")</f>
        <v/>
      </c>
      <c r="BC39" t="str">
        <f ca="1">IFERROR(IF(0=LEN(ReferenceData!$BC$39),"",ReferenceData!$BC$39),"")</f>
        <v/>
      </c>
      <c r="BD39" t="str">
        <f ca="1">IFERROR(IF(0=LEN(ReferenceData!$BD$39),"",ReferenceData!$BD$39),"")</f>
        <v/>
      </c>
      <c r="BE39" t="str">
        <f ca="1">IFERROR(IF(0=LEN(ReferenceData!$BE$39),"",ReferenceData!$BE$39),"")</f>
        <v/>
      </c>
      <c r="BF39" t="str">
        <f ca="1">IFERROR(IF(0=LEN(ReferenceData!$BF$39),"",ReferenceData!$BF$39),"")</f>
        <v/>
      </c>
      <c r="BG39" t="str">
        <f ca="1">IFERROR(IF(0=LEN(ReferenceData!$BG$39),"",ReferenceData!$BG$39),"")</f>
        <v/>
      </c>
      <c r="BH39" t="str">
        <f ca="1">IFERROR(IF(0=LEN(ReferenceData!$BH$39),"",ReferenceData!$BH$39),"")</f>
        <v/>
      </c>
      <c r="BI39" t="str">
        <f ca="1">IFERROR(IF(0=LEN(ReferenceData!$BI$39),"",ReferenceData!$BI$39),"")</f>
        <v/>
      </c>
      <c r="BJ39" t="str">
        <f ca="1">IFERROR(IF(0=LEN(ReferenceData!$BJ$39),"",ReferenceData!$BJ$39),"")</f>
        <v/>
      </c>
      <c r="BK39" t="str">
        <f ca="1">IFERROR(IF(0=LEN(ReferenceData!$BK$39),"",ReferenceData!$BK$39),"")</f>
        <v/>
      </c>
      <c r="BL39" t="str">
        <f ca="1">IFERROR(IF(0=LEN(ReferenceData!$BL$39),"",ReferenceData!$BL$39),"")</f>
        <v/>
      </c>
      <c r="BM39" t="str">
        <f ca="1">IFERROR(IF(0=LEN(ReferenceData!$BM$39),"",ReferenceData!$BM$39),"")</f>
        <v/>
      </c>
    </row>
    <row r="40" spans="1:65" x14ac:dyDescent="0.25">
      <c r="A40" t="str">
        <f>IFERROR(IF(0=LEN(ReferenceData!$A$40),"",ReferenceData!$A$40),"")</f>
        <v xml:space="preserve">                        North America</v>
      </c>
      <c r="B40" t="str">
        <f>IFERROR(IF(0=LEN(ReferenceData!$B$40),"",ReferenceData!$B$40),"")</f>
        <v>KER FP Equity</v>
      </c>
      <c r="C40" t="str">
        <f>IFERROR(IF(0=LEN(ReferenceData!$C$40),"",ReferenceData!$C$40),"")</f>
        <v>BI047</v>
      </c>
      <c r="D40" t="str">
        <f>IFERROR(IF(0=LEN(ReferenceData!$D$40),"",ReferenceData!$D$40),"")</f>
        <v>BICS_SEGMENT_DATA</v>
      </c>
      <c r="E40" t="str">
        <f>IFERROR(IF(0=LEN(ReferenceData!$E$40),"",ReferenceData!$E$40),"")</f>
        <v>Dynamic</v>
      </c>
      <c r="F40" t="str">
        <f ca="1">IFERROR(IF(0=LEN(ReferenceData!$F$40),"",ReferenceData!$F$40),"")</f>
        <v/>
      </c>
      <c r="G40">
        <f ca="1">IFERROR(IF(0=LEN(ReferenceData!$G$40),"",ReferenceData!$G$40),"")</f>
        <v>75</v>
      </c>
      <c r="H40">
        <f ca="1">IFERROR(IF(0=LEN(ReferenceData!$H$40),"",ReferenceData!$H$40),"")</f>
        <v>399</v>
      </c>
      <c r="I40">
        <f ca="1">IFERROR(IF(0=LEN(ReferenceData!$I$40),"",ReferenceData!$I$40),"")</f>
        <v>46</v>
      </c>
      <c r="J40">
        <f ca="1">IFERROR(IF(0=LEN(ReferenceData!$J$40),"",ReferenceData!$J$40),"")</f>
        <v>19</v>
      </c>
      <c r="K40">
        <f ca="1">IFERROR(IF(0=LEN(ReferenceData!$K$40),"",ReferenceData!$K$40),"")</f>
        <v>32</v>
      </c>
      <c r="L40">
        <f ca="1">IFERROR(IF(0=LEN(ReferenceData!$L$40),"",ReferenceData!$L$40),"")</f>
        <v>-61</v>
      </c>
      <c r="M40">
        <f ca="1">IFERROR(IF(0=LEN(ReferenceData!$M$40),"",ReferenceData!$M$40),"")</f>
        <v>0</v>
      </c>
      <c r="N40">
        <f ca="1">IFERROR(IF(0=LEN(ReferenceData!$N$40),"",ReferenceData!$N$40),"")</f>
        <v>27</v>
      </c>
      <c r="O40">
        <f ca="1">IFERROR(IF(0=LEN(ReferenceData!$O$40),"",ReferenceData!$O$40),"")</f>
        <v>21</v>
      </c>
      <c r="P40">
        <f ca="1">IFERROR(IF(0=LEN(ReferenceData!$P$40),"",ReferenceData!$P$40),"")</f>
        <v>22</v>
      </c>
      <c r="Q40">
        <f ca="1">IFERROR(IF(0=LEN(ReferenceData!$Q$40),"",ReferenceData!$Q$40),"")</f>
        <v>21</v>
      </c>
      <c r="R40">
        <f ca="1">IFERROR(IF(0=LEN(ReferenceData!$R$40),"",ReferenceData!$R$40),"")</f>
        <v>22</v>
      </c>
      <c r="S40">
        <f ca="1">IFERROR(IF(0=LEN(ReferenceData!$S$40),"",ReferenceData!$S$40),"")</f>
        <v>27</v>
      </c>
      <c r="T40">
        <f ca="1">IFERROR(IF(0=LEN(ReferenceData!$T$40),"",ReferenceData!$T$40),"")</f>
        <v>33</v>
      </c>
      <c r="U40">
        <f ca="1">IFERROR(IF(0=LEN(ReferenceData!$U$40),"",ReferenceData!$U$40),"")</f>
        <v>27</v>
      </c>
      <c r="V40">
        <f ca="1">IFERROR(IF(0=LEN(ReferenceData!$V$40),"",ReferenceData!$V$40),"")</f>
        <v>31</v>
      </c>
      <c r="W40">
        <f ca="1">IFERROR(IF(0=LEN(ReferenceData!$W$40),"",ReferenceData!$W$40),"")</f>
        <v>8</v>
      </c>
      <c r="X40">
        <f ca="1">IFERROR(IF(0=LEN(ReferenceData!$X$40),"",ReferenceData!$X$40),"")</f>
        <v>16</v>
      </c>
      <c r="Y40">
        <f ca="1">IFERROR(IF(0=LEN(ReferenceData!$Y$40),"",ReferenceData!$Y$40),"")</f>
        <v>18</v>
      </c>
      <c r="Z40">
        <f ca="1">IFERROR(IF(0=LEN(ReferenceData!$Z$40),"",ReferenceData!$Z$40),"")</f>
        <v>30</v>
      </c>
      <c r="AA40">
        <f ca="1">IFERROR(IF(0=LEN(ReferenceData!$AA$40),"",ReferenceData!$AA$40),"")</f>
        <v>39</v>
      </c>
      <c r="AB40">
        <f ca="1">IFERROR(IF(0=LEN(ReferenceData!$AB$40),"",ReferenceData!$AB$40),"")</f>
        <v>28</v>
      </c>
      <c r="AC40">
        <f ca="1">IFERROR(IF(0=LEN(ReferenceData!$AC$40),"",ReferenceData!$AC$40),"")</f>
        <v>19</v>
      </c>
      <c r="AD40" t="str">
        <f ca="1">IFERROR(IF(0=LEN(ReferenceData!$AD$40),"",ReferenceData!$AD$40),"")</f>
        <v/>
      </c>
      <c r="AE40">
        <f ca="1">IFERROR(IF(0=LEN(ReferenceData!$AE$40),"",ReferenceData!$AE$40),"")</f>
        <v>16</v>
      </c>
      <c r="AF40">
        <f ca="1">IFERROR(IF(0=LEN(ReferenceData!$AF$40),"",ReferenceData!$AF$40),"")</f>
        <v>26</v>
      </c>
      <c r="AG40">
        <f ca="1">IFERROR(IF(0=LEN(ReferenceData!$AG$40),"",ReferenceData!$AG$40),"")</f>
        <v>39</v>
      </c>
      <c r="AH40" t="str">
        <f ca="1">IFERROR(IF(0=LEN(ReferenceData!$AH$40),"",ReferenceData!$AH$40),"")</f>
        <v/>
      </c>
      <c r="AI40" t="str">
        <f ca="1">IFERROR(IF(0=LEN(ReferenceData!$AI$40),"",ReferenceData!$AI$40),"")</f>
        <v/>
      </c>
      <c r="AJ40" t="str">
        <f ca="1">IFERROR(IF(0=LEN(ReferenceData!$AJ$40),"",ReferenceData!$AJ$40),"")</f>
        <v/>
      </c>
      <c r="AK40">
        <f ca="1">IFERROR(IF(0=LEN(ReferenceData!$AK$40),"",ReferenceData!$AK$40),"")</f>
        <v>62</v>
      </c>
      <c r="AL40" t="str">
        <f ca="1">IFERROR(IF(0=LEN(ReferenceData!$AL$40),"",ReferenceData!$AL$40),"")</f>
        <v/>
      </c>
      <c r="AM40" t="str">
        <f ca="1">IFERROR(IF(0=LEN(ReferenceData!$AM$40),"",ReferenceData!$AM$40),"")</f>
        <v/>
      </c>
      <c r="AN40" t="str">
        <f ca="1">IFERROR(IF(0=LEN(ReferenceData!$AN$40),"",ReferenceData!$AN$40),"")</f>
        <v/>
      </c>
      <c r="AO40">
        <f ca="1">IFERROR(IF(0=LEN(ReferenceData!$AO$40),"",ReferenceData!$AO$40),"")</f>
        <v>0</v>
      </c>
      <c r="AP40" t="str">
        <f ca="1">IFERROR(IF(0=LEN(ReferenceData!$AP$40),"",ReferenceData!$AP$40),"")</f>
        <v/>
      </c>
      <c r="AQ40" t="str">
        <f ca="1">IFERROR(IF(0=LEN(ReferenceData!$AQ$40),"",ReferenceData!$AQ$40),"")</f>
        <v/>
      </c>
      <c r="AR40" t="str">
        <f ca="1">IFERROR(IF(0=LEN(ReferenceData!$AR$40),"",ReferenceData!$AR$40),"")</f>
        <v/>
      </c>
      <c r="AS40" t="str">
        <f ca="1">IFERROR(IF(0=LEN(ReferenceData!$AS$40),"",ReferenceData!$AS$40),"")</f>
        <v/>
      </c>
      <c r="AT40" t="str">
        <f ca="1">IFERROR(IF(0=LEN(ReferenceData!$AT$40),"",ReferenceData!$AT$40),"")</f>
        <v/>
      </c>
      <c r="AU40" t="str">
        <f ca="1">IFERROR(IF(0=LEN(ReferenceData!$AU$40),"",ReferenceData!$AU$40),"")</f>
        <v/>
      </c>
      <c r="AV40" t="str">
        <f ca="1">IFERROR(IF(0=LEN(ReferenceData!$AV$40),"",ReferenceData!$AV$40),"")</f>
        <v/>
      </c>
      <c r="AW40" t="str">
        <f ca="1">IFERROR(IF(0=LEN(ReferenceData!$AW$40),"",ReferenceData!$AW$40),"")</f>
        <v/>
      </c>
      <c r="AX40" t="str">
        <f ca="1">IFERROR(IF(0=LEN(ReferenceData!$AX$40),"",ReferenceData!$AX$40),"")</f>
        <v/>
      </c>
      <c r="AY40" t="str">
        <f ca="1">IFERROR(IF(0=LEN(ReferenceData!$AY$40),"",ReferenceData!$AY$40),"")</f>
        <v/>
      </c>
      <c r="AZ40" t="str">
        <f ca="1">IFERROR(IF(0=LEN(ReferenceData!$AZ$40),"",ReferenceData!$AZ$40),"")</f>
        <v/>
      </c>
      <c r="BA40" t="str">
        <f ca="1">IFERROR(IF(0=LEN(ReferenceData!$BA$40),"",ReferenceData!$BA$40),"")</f>
        <v/>
      </c>
      <c r="BB40" t="str">
        <f ca="1">IFERROR(IF(0=LEN(ReferenceData!$BB$40),"",ReferenceData!$BB$40),"")</f>
        <v/>
      </c>
      <c r="BC40" t="str">
        <f ca="1">IFERROR(IF(0=LEN(ReferenceData!$BC$40),"",ReferenceData!$BC$40),"")</f>
        <v/>
      </c>
      <c r="BD40" t="str">
        <f ca="1">IFERROR(IF(0=LEN(ReferenceData!$BD$40),"",ReferenceData!$BD$40),"")</f>
        <v/>
      </c>
      <c r="BE40" t="str">
        <f ca="1">IFERROR(IF(0=LEN(ReferenceData!$BE$40),"",ReferenceData!$BE$40),"")</f>
        <v/>
      </c>
      <c r="BF40" t="str">
        <f ca="1">IFERROR(IF(0=LEN(ReferenceData!$BF$40),"",ReferenceData!$BF$40),"")</f>
        <v/>
      </c>
      <c r="BG40" t="str">
        <f ca="1">IFERROR(IF(0=LEN(ReferenceData!$BG$40),"",ReferenceData!$BG$40),"")</f>
        <v/>
      </c>
      <c r="BH40" t="str">
        <f ca="1">IFERROR(IF(0=LEN(ReferenceData!$BH$40),"",ReferenceData!$BH$40),"")</f>
        <v/>
      </c>
      <c r="BI40" t="str">
        <f ca="1">IFERROR(IF(0=LEN(ReferenceData!$BI$40),"",ReferenceData!$BI$40),"")</f>
        <v/>
      </c>
      <c r="BJ40" t="str">
        <f ca="1">IFERROR(IF(0=LEN(ReferenceData!$BJ$40),"",ReferenceData!$BJ$40),"")</f>
        <v/>
      </c>
      <c r="BK40" t="str">
        <f ca="1">IFERROR(IF(0=LEN(ReferenceData!$BK$40),"",ReferenceData!$BK$40),"")</f>
        <v/>
      </c>
      <c r="BL40" t="str">
        <f ca="1">IFERROR(IF(0=LEN(ReferenceData!$BL$40),"",ReferenceData!$BL$40),"")</f>
        <v/>
      </c>
      <c r="BM40" t="str">
        <f ca="1">IFERROR(IF(0=LEN(ReferenceData!$BM$40),"",ReferenceData!$BM$40),"")</f>
        <v/>
      </c>
    </row>
    <row r="41" spans="1:65" x14ac:dyDescent="0.25">
      <c r="A41" t="str">
        <f>IFERROR(IF(0=LEN(ReferenceData!$A$41),"",ReferenceData!$A$41),"")</f>
        <v xml:space="preserve">                        Japan</v>
      </c>
      <c r="B41" t="str">
        <f>IFERROR(IF(0=LEN(ReferenceData!$B$41),"",ReferenceData!$B$41),"")</f>
        <v>KER FP Equity</v>
      </c>
      <c r="C41" t="str">
        <f>IFERROR(IF(0=LEN(ReferenceData!$C$41),"",ReferenceData!$C$41),"")</f>
        <v>BI047</v>
      </c>
      <c r="D41" t="str">
        <f>IFERROR(IF(0=LEN(ReferenceData!$D$41),"",ReferenceData!$D$41),"")</f>
        <v>BICS_SEGMENT_DATA</v>
      </c>
      <c r="E41" t="str">
        <f>IFERROR(IF(0=LEN(ReferenceData!$E$41),"",ReferenceData!$E$41),"")</f>
        <v>Dynamic</v>
      </c>
      <c r="F41" t="str">
        <f ca="1">IFERROR(IF(0=LEN(ReferenceData!$F$41),"",ReferenceData!$F$41),"")</f>
        <v/>
      </c>
      <c r="G41">
        <f ca="1">IFERROR(IF(0=LEN(ReferenceData!$G$41),"",ReferenceData!$G$41),"")</f>
        <v>1</v>
      </c>
      <c r="H41">
        <f ca="1">IFERROR(IF(0=LEN(ReferenceData!$H$41),"",ReferenceData!$H$41),"")</f>
        <v>97</v>
      </c>
      <c r="I41">
        <f ca="1">IFERROR(IF(0=LEN(ReferenceData!$I$41),"",ReferenceData!$I$41),"")</f>
        <v>3</v>
      </c>
      <c r="J41">
        <f ca="1">IFERROR(IF(0=LEN(ReferenceData!$J$41),"",ReferenceData!$J$41),"")</f>
        <v>4</v>
      </c>
      <c r="K41">
        <f ca="1">IFERROR(IF(0=LEN(ReferenceData!$K$41),"",ReferenceData!$K$41),"")</f>
        <v>-18</v>
      </c>
      <c r="L41">
        <f ca="1">IFERROR(IF(0=LEN(ReferenceData!$L$41),"",ReferenceData!$L$41),"")</f>
        <v>-62</v>
      </c>
      <c r="M41">
        <f ca="1">IFERROR(IF(0=LEN(ReferenceData!$M$41),"",ReferenceData!$M$41),"")</f>
        <v>-17</v>
      </c>
      <c r="N41">
        <f ca="1">IFERROR(IF(0=LEN(ReferenceData!$N$41),"",ReferenceData!$N$41),"")</f>
        <v>-9</v>
      </c>
      <c r="O41">
        <f ca="1">IFERROR(IF(0=LEN(ReferenceData!$O$41),"",ReferenceData!$O$41),"")</f>
        <v>17</v>
      </c>
      <c r="P41">
        <f ca="1">IFERROR(IF(0=LEN(ReferenceData!$P$41),"",ReferenceData!$P$41),"")</f>
        <v>12</v>
      </c>
      <c r="Q41">
        <f ca="1">IFERROR(IF(0=LEN(ReferenceData!$Q$41),"",ReferenceData!$Q$41),"")</f>
        <v>15</v>
      </c>
      <c r="R41">
        <f ca="1">IFERROR(IF(0=LEN(ReferenceData!$R$41),"",ReferenceData!$R$41),"")</f>
        <v>18</v>
      </c>
      <c r="S41">
        <f ca="1">IFERROR(IF(0=LEN(ReferenceData!$S$41),"",ReferenceData!$S$41),"")</f>
        <v>15</v>
      </c>
      <c r="T41">
        <f ca="1">IFERROR(IF(0=LEN(ReferenceData!$T$41),"",ReferenceData!$T$41),"")</f>
        <v>27</v>
      </c>
      <c r="U41">
        <f ca="1">IFERROR(IF(0=LEN(ReferenceData!$U$41),"",ReferenceData!$U$41),"")</f>
        <v>23</v>
      </c>
      <c r="V41">
        <f ca="1">IFERROR(IF(0=LEN(ReferenceData!$V$41),"",ReferenceData!$V$41),"")</f>
        <v>30</v>
      </c>
      <c r="W41">
        <f ca="1">IFERROR(IF(0=LEN(ReferenceData!$W$41),"",ReferenceData!$W$41),"")</f>
        <v>24</v>
      </c>
      <c r="X41">
        <f ca="1">IFERROR(IF(0=LEN(ReferenceData!$X$41),"",ReferenceData!$X$41),"")</f>
        <v>18</v>
      </c>
      <c r="Y41">
        <f ca="1">IFERROR(IF(0=LEN(ReferenceData!$Y$41),"",ReferenceData!$Y$41),"")</f>
        <v>-4</v>
      </c>
      <c r="Z41" t="str">
        <f ca="1">IFERROR(IF(0=LEN(ReferenceData!$Z$41),"",ReferenceData!$Z$41),"")</f>
        <v/>
      </c>
      <c r="AA41">
        <f ca="1">IFERROR(IF(0=LEN(ReferenceData!$AA$41),"",ReferenceData!$AA$41),"")</f>
        <v>14</v>
      </c>
      <c r="AB41">
        <f ca="1">IFERROR(IF(0=LEN(ReferenceData!$AB$41),"",ReferenceData!$AB$41),"")</f>
        <v>39</v>
      </c>
      <c r="AC41">
        <f ca="1">IFERROR(IF(0=LEN(ReferenceData!$AC$41),"",ReferenceData!$AC$41),"")</f>
        <v>58</v>
      </c>
      <c r="AD41" t="str">
        <f ca="1">IFERROR(IF(0=LEN(ReferenceData!$AD$41),"",ReferenceData!$AD$41),"")</f>
        <v/>
      </c>
      <c r="AE41">
        <f ca="1">IFERROR(IF(0=LEN(ReferenceData!$AE$41),"",ReferenceData!$AE$41),"")</f>
        <v>77</v>
      </c>
      <c r="AF41">
        <f ca="1">IFERROR(IF(0=LEN(ReferenceData!$AF$41),"",ReferenceData!$AF$41),"")</f>
        <v>82</v>
      </c>
      <c r="AG41">
        <f ca="1">IFERROR(IF(0=LEN(ReferenceData!$AG$41),"",ReferenceData!$AG$41),"")</f>
        <v>22</v>
      </c>
      <c r="AH41" t="str">
        <f ca="1">IFERROR(IF(0=LEN(ReferenceData!$AH$41),"",ReferenceData!$AH$41),"")</f>
        <v/>
      </c>
      <c r="AI41" t="str">
        <f ca="1">IFERROR(IF(0=LEN(ReferenceData!$AI$41),"",ReferenceData!$AI$41),"")</f>
        <v/>
      </c>
      <c r="AJ41" t="str">
        <f ca="1">IFERROR(IF(0=LEN(ReferenceData!$AJ$41),"",ReferenceData!$AJ$41),"")</f>
        <v/>
      </c>
      <c r="AK41">
        <f ca="1">IFERROR(IF(0=LEN(ReferenceData!$AK$41),"",ReferenceData!$AK$41),"")</f>
        <v>74</v>
      </c>
      <c r="AL41" t="str">
        <f ca="1">IFERROR(IF(0=LEN(ReferenceData!$AL$41),"",ReferenceData!$AL$41),"")</f>
        <v/>
      </c>
      <c r="AM41" t="str">
        <f ca="1">IFERROR(IF(0=LEN(ReferenceData!$AM$41),"",ReferenceData!$AM$41),"")</f>
        <v/>
      </c>
      <c r="AN41" t="str">
        <f ca="1">IFERROR(IF(0=LEN(ReferenceData!$AN$41),"",ReferenceData!$AN$41),"")</f>
        <v/>
      </c>
      <c r="AO41">
        <f ca="1">IFERROR(IF(0=LEN(ReferenceData!$AO$41),"",ReferenceData!$AO$41),"")</f>
        <v>26</v>
      </c>
      <c r="AP41" t="str">
        <f ca="1">IFERROR(IF(0=LEN(ReferenceData!$AP$41),"",ReferenceData!$AP$41),"")</f>
        <v/>
      </c>
      <c r="AQ41" t="str">
        <f ca="1">IFERROR(IF(0=LEN(ReferenceData!$AQ$41),"",ReferenceData!$AQ$41),"")</f>
        <v/>
      </c>
      <c r="AR41" t="str">
        <f ca="1">IFERROR(IF(0=LEN(ReferenceData!$AR$41),"",ReferenceData!$AR$41),"")</f>
        <v/>
      </c>
      <c r="AS41" t="str">
        <f ca="1">IFERROR(IF(0=LEN(ReferenceData!$AS$41),"",ReferenceData!$AS$41),"")</f>
        <v/>
      </c>
      <c r="AT41" t="str">
        <f ca="1">IFERROR(IF(0=LEN(ReferenceData!$AT$41),"",ReferenceData!$AT$41),"")</f>
        <v/>
      </c>
      <c r="AU41" t="str">
        <f ca="1">IFERROR(IF(0=LEN(ReferenceData!$AU$41),"",ReferenceData!$AU$41),"")</f>
        <v/>
      </c>
      <c r="AV41" t="str">
        <f ca="1">IFERROR(IF(0=LEN(ReferenceData!$AV$41),"",ReferenceData!$AV$41),"")</f>
        <v/>
      </c>
      <c r="AW41" t="str">
        <f ca="1">IFERROR(IF(0=LEN(ReferenceData!$AW$41),"",ReferenceData!$AW$41),"")</f>
        <v/>
      </c>
      <c r="AX41" t="str">
        <f ca="1">IFERROR(IF(0=LEN(ReferenceData!$AX$41),"",ReferenceData!$AX$41),"")</f>
        <v/>
      </c>
      <c r="AY41" t="str">
        <f ca="1">IFERROR(IF(0=LEN(ReferenceData!$AY$41),"",ReferenceData!$AY$41),"")</f>
        <v/>
      </c>
      <c r="AZ41" t="str">
        <f ca="1">IFERROR(IF(0=LEN(ReferenceData!$AZ$41),"",ReferenceData!$AZ$41),"")</f>
        <v/>
      </c>
      <c r="BA41" t="str">
        <f ca="1">IFERROR(IF(0=LEN(ReferenceData!$BA$41),"",ReferenceData!$BA$41),"")</f>
        <v/>
      </c>
      <c r="BB41" t="str">
        <f ca="1">IFERROR(IF(0=LEN(ReferenceData!$BB$41),"",ReferenceData!$BB$41),"")</f>
        <v/>
      </c>
      <c r="BC41" t="str">
        <f ca="1">IFERROR(IF(0=LEN(ReferenceData!$BC$41),"",ReferenceData!$BC$41),"")</f>
        <v/>
      </c>
      <c r="BD41" t="str">
        <f ca="1">IFERROR(IF(0=LEN(ReferenceData!$BD$41),"",ReferenceData!$BD$41),"")</f>
        <v/>
      </c>
      <c r="BE41" t="str">
        <f ca="1">IFERROR(IF(0=LEN(ReferenceData!$BE$41),"",ReferenceData!$BE$41),"")</f>
        <v/>
      </c>
      <c r="BF41" t="str">
        <f ca="1">IFERROR(IF(0=LEN(ReferenceData!$BF$41),"",ReferenceData!$BF$41),"")</f>
        <v/>
      </c>
      <c r="BG41" t="str">
        <f ca="1">IFERROR(IF(0=LEN(ReferenceData!$BG$41),"",ReferenceData!$BG$41),"")</f>
        <v/>
      </c>
      <c r="BH41" t="str">
        <f ca="1">IFERROR(IF(0=LEN(ReferenceData!$BH$41),"",ReferenceData!$BH$41),"")</f>
        <v/>
      </c>
      <c r="BI41" t="str">
        <f ca="1">IFERROR(IF(0=LEN(ReferenceData!$BI$41),"",ReferenceData!$BI$41),"")</f>
        <v/>
      </c>
      <c r="BJ41" t="str">
        <f ca="1">IFERROR(IF(0=LEN(ReferenceData!$BJ$41),"",ReferenceData!$BJ$41),"")</f>
        <v/>
      </c>
      <c r="BK41" t="str">
        <f ca="1">IFERROR(IF(0=LEN(ReferenceData!$BK$41),"",ReferenceData!$BK$41),"")</f>
        <v/>
      </c>
      <c r="BL41" t="str">
        <f ca="1">IFERROR(IF(0=LEN(ReferenceData!$BL$41),"",ReferenceData!$BL$41),"")</f>
        <v/>
      </c>
      <c r="BM41" t="str">
        <f ca="1">IFERROR(IF(0=LEN(ReferenceData!$BM$41),"",ReferenceData!$BM$41),"")</f>
        <v/>
      </c>
    </row>
    <row r="42" spans="1:65" x14ac:dyDescent="0.25">
      <c r="A42" t="str">
        <f>IFERROR(IF(0=LEN(ReferenceData!$A$42),"",ReferenceData!$A$42),"")</f>
        <v xml:space="preserve">                        Asia Pacific</v>
      </c>
      <c r="B42" t="str">
        <f>IFERROR(IF(0=LEN(ReferenceData!$B$42),"",ReferenceData!$B$42),"")</f>
        <v>KER FP Equity</v>
      </c>
      <c r="C42" t="str">
        <f>IFERROR(IF(0=LEN(ReferenceData!$C$42),"",ReferenceData!$C$42),"")</f>
        <v>BI047</v>
      </c>
      <c r="D42" t="str">
        <f>IFERROR(IF(0=LEN(ReferenceData!$D$42),"",ReferenceData!$D$42),"")</f>
        <v>BICS_SEGMENT_DATA</v>
      </c>
      <c r="E42" t="str">
        <f>IFERROR(IF(0=LEN(ReferenceData!$E$42),"",ReferenceData!$E$42),"")</f>
        <v>Dynamic</v>
      </c>
      <c r="F42" t="str">
        <f ca="1">IFERROR(IF(0=LEN(ReferenceData!$F$42),"",ReferenceData!$F$42),"")</f>
        <v/>
      </c>
      <c r="G42">
        <f ca="1">IFERROR(IF(0=LEN(ReferenceData!$G$42),"",ReferenceData!$G$42),"")</f>
        <v>2</v>
      </c>
      <c r="H42">
        <f ca="1">IFERROR(IF(0=LEN(ReferenceData!$H$42),"",ReferenceData!$H$42),"")</f>
        <v>67</v>
      </c>
      <c r="I42">
        <f ca="1">IFERROR(IF(0=LEN(ReferenceData!$I$42),"",ReferenceData!$I$42),"")</f>
        <v>89</v>
      </c>
      <c r="J42">
        <f ca="1">IFERROR(IF(0=LEN(ReferenceData!$J$42),"",ReferenceData!$J$42),"")</f>
        <v>30</v>
      </c>
      <c r="K42">
        <f ca="1">IFERROR(IF(0=LEN(ReferenceData!$K$42),"",ReferenceData!$K$42),"")</f>
        <v>29</v>
      </c>
      <c r="L42">
        <f ca="1">IFERROR(IF(0=LEN(ReferenceData!$L$42),"",ReferenceData!$L$42),"")</f>
        <v>-17</v>
      </c>
      <c r="M42">
        <f ca="1">IFERROR(IF(0=LEN(ReferenceData!$M$42),"",ReferenceData!$M$42),"")</f>
        <v>-34</v>
      </c>
      <c r="N42">
        <f ca="1">IFERROR(IF(0=LEN(ReferenceData!$N$42),"",ReferenceData!$N$42),"")</f>
        <v>7</v>
      </c>
      <c r="O42">
        <f ca="1">IFERROR(IF(0=LEN(ReferenceData!$O$42),"",ReferenceData!$O$42),"")</f>
        <v>8</v>
      </c>
      <c r="P42">
        <f ca="1">IFERROR(IF(0=LEN(ReferenceData!$P$42),"",ReferenceData!$P$42),"")</f>
        <v>18</v>
      </c>
      <c r="Q42">
        <f ca="1">IFERROR(IF(0=LEN(ReferenceData!$Q$42),"",ReferenceData!$Q$42),"")</f>
        <v>21</v>
      </c>
      <c r="R42">
        <f ca="1">IFERROR(IF(0=LEN(ReferenceData!$R$42),"",ReferenceData!$R$42),"")</f>
        <v>22</v>
      </c>
      <c r="S42">
        <f ca="1">IFERROR(IF(0=LEN(ReferenceData!$S$42),"",ReferenceData!$S$42),"")</f>
        <v>18</v>
      </c>
      <c r="T42">
        <f ca="1">IFERROR(IF(0=LEN(ReferenceData!$T$42),"",ReferenceData!$T$42),"")</f>
        <v>21</v>
      </c>
      <c r="U42">
        <f ca="1">IFERROR(IF(0=LEN(ReferenceData!$U$42),"",ReferenceData!$U$42),"")</f>
        <v>24</v>
      </c>
      <c r="V42">
        <f ca="1">IFERROR(IF(0=LEN(ReferenceData!$V$42),"",ReferenceData!$V$42),"")</f>
        <v>33</v>
      </c>
      <c r="W42">
        <f ca="1">IFERROR(IF(0=LEN(ReferenceData!$W$42),"",ReferenceData!$W$42),"")</f>
        <v>37</v>
      </c>
      <c r="X42">
        <f ca="1">IFERROR(IF(0=LEN(ReferenceData!$X$42),"",ReferenceData!$X$42),"")</f>
        <v>41</v>
      </c>
      <c r="Y42">
        <f ca="1">IFERROR(IF(0=LEN(ReferenceData!$Y$42),"",ReferenceData!$Y$42),"")</f>
        <v>48</v>
      </c>
      <c r="Z42">
        <f ca="1">IFERROR(IF(0=LEN(ReferenceData!$Z$42),"",ReferenceData!$Z$42),"")</f>
        <v>38</v>
      </c>
      <c r="AA42">
        <f ca="1">IFERROR(IF(0=LEN(ReferenceData!$AA$42),"",ReferenceData!$AA$42),"")</f>
        <v>39</v>
      </c>
      <c r="AB42">
        <f ca="1">IFERROR(IF(0=LEN(ReferenceData!$AB$42),"",ReferenceData!$AB$42),"")</f>
        <v>38</v>
      </c>
      <c r="AC42">
        <f ca="1">IFERROR(IF(0=LEN(ReferenceData!$AC$42),"",ReferenceData!$AC$42),"")</f>
        <v>29</v>
      </c>
      <c r="AD42" t="str">
        <f ca="1">IFERROR(IF(0=LEN(ReferenceData!$AD$42),"",ReferenceData!$AD$42),"")</f>
        <v/>
      </c>
      <c r="AE42">
        <f ca="1">IFERROR(IF(0=LEN(ReferenceData!$AE$42),"",ReferenceData!$AE$42),"")</f>
        <v>27</v>
      </c>
      <c r="AF42">
        <f ca="1">IFERROR(IF(0=LEN(ReferenceData!$AF$42),"",ReferenceData!$AF$42),"")</f>
        <v>15</v>
      </c>
      <c r="AG42">
        <f ca="1">IFERROR(IF(0=LEN(ReferenceData!$AG$42),"",ReferenceData!$AG$42),"")</f>
        <v>14</v>
      </c>
      <c r="AH42" t="str">
        <f ca="1">IFERROR(IF(0=LEN(ReferenceData!$AH$42),"",ReferenceData!$AH$42),"")</f>
        <v/>
      </c>
      <c r="AI42" t="str">
        <f ca="1">IFERROR(IF(0=LEN(ReferenceData!$AI$42),"",ReferenceData!$AI$42),"")</f>
        <v/>
      </c>
      <c r="AJ42" t="str">
        <f ca="1">IFERROR(IF(0=LEN(ReferenceData!$AJ$42),"",ReferenceData!$AJ$42),"")</f>
        <v/>
      </c>
      <c r="AK42">
        <f ca="1">IFERROR(IF(0=LEN(ReferenceData!$AK$42),"",ReferenceData!$AK$42),"")</f>
        <v>69</v>
      </c>
      <c r="AL42" t="str">
        <f ca="1">IFERROR(IF(0=LEN(ReferenceData!$AL$42),"",ReferenceData!$AL$42),"")</f>
        <v/>
      </c>
      <c r="AM42" t="str">
        <f ca="1">IFERROR(IF(0=LEN(ReferenceData!$AM$42),"",ReferenceData!$AM$42),"")</f>
        <v/>
      </c>
      <c r="AN42" t="str">
        <f ca="1">IFERROR(IF(0=LEN(ReferenceData!$AN$42),"",ReferenceData!$AN$42),"")</f>
        <v/>
      </c>
      <c r="AO42">
        <f ca="1">IFERROR(IF(0=LEN(ReferenceData!$AO$42),"",ReferenceData!$AO$42),"")</f>
        <v>26</v>
      </c>
      <c r="AP42" t="str">
        <f ca="1">IFERROR(IF(0=LEN(ReferenceData!$AP$42),"",ReferenceData!$AP$42),"")</f>
        <v/>
      </c>
      <c r="AQ42" t="str">
        <f ca="1">IFERROR(IF(0=LEN(ReferenceData!$AQ$42),"",ReferenceData!$AQ$42),"")</f>
        <v/>
      </c>
      <c r="AR42" t="str">
        <f ca="1">IFERROR(IF(0=LEN(ReferenceData!$AR$42),"",ReferenceData!$AR$42),"")</f>
        <v/>
      </c>
      <c r="AS42" t="str">
        <f ca="1">IFERROR(IF(0=LEN(ReferenceData!$AS$42),"",ReferenceData!$AS$42),"")</f>
        <v/>
      </c>
      <c r="AT42" t="str">
        <f ca="1">IFERROR(IF(0=LEN(ReferenceData!$AT$42),"",ReferenceData!$AT$42),"")</f>
        <v/>
      </c>
      <c r="AU42" t="str">
        <f ca="1">IFERROR(IF(0=LEN(ReferenceData!$AU$42),"",ReferenceData!$AU$42),"")</f>
        <v/>
      </c>
      <c r="AV42" t="str">
        <f ca="1">IFERROR(IF(0=LEN(ReferenceData!$AV$42),"",ReferenceData!$AV$42),"")</f>
        <v/>
      </c>
      <c r="AW42" t="str">
        <f ca="1">IFERROR(IF(0=LEN(ReferenceData!$AW$42),"",ReferenceData!$AW$42),"")</f>
        <v/>
      </c>
      <c r="AX42" t="str">
        <f ca="1">IFERROR(IF(0=LEN(ReferenceData!$AX$42),"",ReferenceData!$AX$42),"")</f>
        <v/>
      </c>
      <c r="AY42" t="str">
        <f ca="1">IFERROR(IF(0=LEN(ReferenceData!$AY$42),"",ReferenceData!$AY$42),"")</f>
        <v/>
      </c>
      <c r="AZ42" t="str">
        <f ca="1">IFERROR(IF(0=LEN(ReferenceData!$AZ$42),"",ReferenceData!$AZ$42),"")</f>
        <v/>
      </c>
      <c r="BA42" t="str">
        <f ca="1">IFERROR(IF(0=LEN(ReferenceData!$BA$42),"",ReferenceData!$BA$42),"")</f>
        <v/>
      </c>
      <c r="BB42" t="str">
        <f ca="1">IFERROR(IF(0=LEN(ReferenceData!$BB$42),"",ReferenceData!$BB$42),"")</f>
        <v/>
      </c>
      <c r="BC42" t="str">
        <f ca="1">IFERROR(IF(0=LEN(ReferenceData!$BC$42),"",ReferenceData!$BC$42),"")</f>
        <v/>
      </c>
      <c r="BD42" t="str">
        <f ca="1">IFERROR(IF(0=LEN(ReferenceData!$BD$42),"",ReferenceData!$BD$42),"")</f>
        <v/>
      </c>
      <c r="BE42" t="str">
        <f ca="1">IFERROR(IF(0=LEN(ReferenceData!$BE$42),"",ReferenceData!$BE$42),"")</f>
        <v/>
      </c>
      <c r="BF42" t="str">
        <f ca="1">IFERROR(IF(0=LEN(ReferenceData!$BF$42),"",ReferenceData!$BF$42),"")</f>
        <v/>
      </c>
      <c r="BG42" t="str">
        <f ca="1">IFERROR(IF(0=LEN(ReferenceData!$BG$42),"",ReferenceData!$BG$42),"")</f>
        <v/>
      </c>
      <c r="BH42" t="str">
        <f ca="1">IFERROR(IF(0=LEN(ReferenceData!$BH$42),"",ReferenceData!$BH$42),"")</f>
        <v/>
      </c>
      <c r="BI42" t="str">
        <f ca="1">IFERROR(IF(0=LEN(ReferenceData!$BI$42),"",ReferenceData!$BI$42),"")</f>
        <v/>
      </c>
      <c r="BJ42" t="str">
        <f ca="1">IFERROR(IF(0=LEN(ReferenceData!$BJ$42),"",ReferenceData!$BJ$42),"")</f>
        <v/>
      </c>
      <c r="BK42" t="str">
        <f ca="1">IFERROR(IF(0=LEN(ReferenceData!$BK$42),"",ReferenceData!$BK$42),"")</f>
        <v/>
      </c>
      <c r="BL42" t="str">
        <f ca="1">IFERROR(IF(0=LEN(ReferenceData!$BL$42),"",ReferenceData!$BL$42),"")</f>
        <v/>
      </c>
      <c r="BM42" t="str">
        <f ca="1">IFERROR(IF(0=LEN(ReferenceData!$BM$42),"",ReferenceData!$BM$42),"")</f>
        <v/>
      </c>
    </row>
    <row r="43" spans="1:65" x14ac:dyDescent="0.25">
      <c r="A43" t="str">
        <f>IFERROR(IF(0=LEN(ReferenceData!$A$43),"",ReferenceData!$A$43),"")</f>
        <v xml:space="preserve">                        RoW</v>
      </c>
      <c r="B43" t="str">
        <f>IFERROR(IF(0=LEN(ReferenceData!$B$43),"",ReferenceData!$B$43),"")</f>
        <v>KER FP Equity</v>
      </c>
      <c r="C43" t="str">
        <f>IFERROR(IF(0=LEN(ReferenceData!$C$43),"",ReferenceData!$C$43),"")</f>
        <v>BI047</v>
      </c>
      <c r="D43" t="str">
        <f>IFERROR(IF(0=LEN(ReferenceData!$D$43),"",ReferenceData!$D$43),"")</f>
        <v>BICS_SEGMENT_DATA</v>
      </c>
      <c r="E43" t="str">
        <f>IFERROR(IF(0=LEN(ReferenceData!$E$43),"",ReferenceData!$E$43),"")</f>
        <v>Dynamic</v>
      </c>
      <c r="F43" t="str">
        <f ca="1">IFERROR(IF(0=LEN(ReferenceData!$F$43),"",ReferenceData!$F$43),"")</f>
        <v/>
      </c>
      <c r="G43">
        <f ca="1">IFERROR(IF(0=LEN(ReferenceData!$G$43),"",ReferenceData!$G$43),"")</f>
        <v>37</v>
      </c>
      <c r="H43">
        <f ca="1">IFERROR(IF(0=LEN(ReferenceData!$H$43),"",ReferenceData!$H$43),"")</f>
        <v>355</v>
      </c>
      <c r="I43">
        <f ca="1">IFERROR(IF(0=LEN(ReferenceData!$I$43),"",ReferenceData!$I$43),"")</f>
        <v>45</v>
      </c>
      <c r="J43">
        <f ca="1">IFERROR(IF(0=LEN(ReferenceData!$J$43),"",ReferenceData!$J$43),"")</f>
        <v>26</v>
      </c>
      <c r="K43">
        <f ca="1">IFERROR(IF(0=LEN(ReferenceData!$K$43),"",ReferenceData!$K$43),"")</f>
        <v>60</v>
      </c>
      <c r="L43">
        <f ca="1">IFERROR(IF(0=LEN(ReferenceData!$L$43),"",ReferenceData!$L$43),"")</f>
        <v>-69</v>
      </c>
      <c r="M43">
        <f ca="1">IFERROR(IF(0=LEN(ReferenceData!$M$43),"",ReferenceData!$M$43),"")</f>
        <v>-11</v>
      </c>
      <c r="N43">
        <f ca="1">IFERROR(IF(0=LEN(ReferenceData!$N$43),"",ReferenceData!$N$43),"")</f>
        <v>13</v>
      </c>
      <c r="O43">
        <f ca="1">IFERROR(IF(0=LEN(ReferenceData!$O$43),"",ReferenceData!$O$43),"")</f>
        <v>1</v>
      </c>
      <c r="P43">
        <f ca="1">IFERROR(IF(0=LEN(ReferenceData!$P$43),"",ReferenceData!$P$43),"")</f>
        <v>12</v>
      </c>
      <c r="Q43">
        <f ca="1">IFERROR(IF(0=LEN(ReferenceData!$Q$43),"",ReferenceData!$Q$43),"")</f>
        <v>24</v>
      </c>
      <c r="R43">
        <f ca="1">IFERROR(IF(0=LEN(ReferenceData!$R$43),"",ReferenceData!$R$43),"")</f>
        <v>30</v>
      </c>
      <c r="S43">
        <f ca="1">IFERROR(IF(0=LEN(ReferenceData!$S$43),"",ReferenceData!$S$43),"")</f>
        <v>21</v>
      </c>
      <c r="T43">
        <f ca="1">IFERROR(IF(0=LEN(ReferenceData!$T$43),"",ReferenceData!$T$43),"")</f>
        <v>7</v>
      </c>
      <c r="U43">
        <f ca="1">IFERROR(IF(0=LEN(ReferenceData!$U$43),"",ReferenceData!$U$43),"")</f>
        <v>17</v>
      </c>
      <c r="V43">
        <f ca="1">IFERROR(IF(0=LEN(ReferenceData!$V$43),"",ReferenceData!$V$43),"")</f>
        <v>27</v>
      </c>
      <c r="W43">
        <f ca="1">IFERROR(IF(0=LEN(ReferenceData!$W$43),"",ReferenceData!$W$43),"")</f>
        <v>7</v>
      </c>
      <c r="X43">
        <f ca="1">IFERROR(IF(0=LEN(ReferenceData!$X$43),"",ReferenceData!$X$43),"")</f>
        <v>33</v>
      </c>
      <c r="Y43">
        <f ca="1">IFERROR(IF(0=LEN(ReferenceData!$Y$43),"",ReferenceData!$Y$43),"")</f>
        <v>16</v>
      </c>
      <c r="Z43" t="str">
        <f ca="1">IFERROR(IF(0=LEN(ReferenceData!$Z$43),"",ReferenceData!$Z$43),"")</f>
        <v/>
      </c>
      <c r="AA43">
        <f ca="1">IFERROR(IF(0=LEN(ReferenceData!$AA$43),"",ReferenceData!$AA$43),"")</f>
        <v>52</v>
      </c>
      <c r="AB43">
        <f ca="1">IFERROR(IF(0=LEN(ReferenceData!$AB$43),"",ReferenceData!$AB$43),"")</f>
        <v>75</v>
      </c>
      <c r="AC43">
        <f ca="1">IFERROR(IF(0=LEN(ReferenceData!$AC$43),"",ReferenceData!$AC$43),"")</f>
        <v>34</v>
      </c>
      <c r="AD43" t="str">
        <f ca="1">IFERROR(IF(0=LEN(ReferenceData!$AD$43),"",ReferenceData!$AD$43),"")</f>
        <v/>
      </c>
      <c r="AE43">
        <f ca="1">IFERROR(IF(0=LEN(ReferenceData!$AE$43),"",ReferenceData!$AE$43),"")</f>
        <v>10</v>
      </c>
      <c r="AF43">
        <f ca="1">IFERROR(IF(0=LEN(ReferenceData!$AF$43),"",ReferenceData!$AF$43),"")</f>
        <v>-14</v>
      </c>
      <c r="AG43">
        <f ca="1">IFERROR(IF(0=LEN(ReferenceData!$AG$43),"",ReferenceData!$AG$43),"")</f>
        <v>-11</v>
      </c>
      <c r="AH43" t="str">
        <f ca="1">IFERROR(IF(0=LEN(ReferenceData!$AH$43),"",ReferenceData!$AH$43),"")</f>
        <v/>
      </c>
      <c r="AI43" t="str">
        <f ca="1">IFERROR(IF(0=LEN(ReferenceData!$AI$43),"",ReferenceData!$AI$43),"")</f>
        <v/>
      </c>
      <c r="AJ43" t="str">
        <f ca="1">IFERROR(IF(0=LEN(ReferenceData!$AJ$43),"",ReferenceData!$AJ$43),"")</f>
        <v/>
      </c>
      <c r="AK43">
        <f ca="1">IFERROR(IF(0=LEN(ReferenceData!$AK$43),"",ReferenceData!$AK$43),"")</f>
        <v>5</v>
      </c>
      <c r="AL43" t="str">
        <f ca="1">IFERROR(IF(0=LEN(ReferenceData!$AL$43),"",ReferenceData!$AL$43),"")</f>
        <v/>
      </c>
      <c r="AM43" t="str">
        <f ca="1">IFERROR(IF(0=LEN(ReferenceData!$AM$43),"",ReferenceData!$AM$43),"")</f>
        <v/>
      </c>
      <c r="AN43" t="str">
        <f ca="1">IFERROR(IF(0=LEN(ReferenceData!$AN$43),"",ReferenceData!$AN$43),"")</f>
        <v/>
      </c>
      <c r="AO43">
        <f ca="1">IFERROR(IF(0=LEN(ReferenceData!$AO$43),"",ReferenceData!$AO$43),"")</f>
        <v>29</v>
      </c>
      <c r="AP43" t="str">
        <f ca="1">IFERROR(IF(0=LEN(ReferenceData!$AP$43),"",ReferenceData!$AP$43),"")</f>
        <v/>
      </c>
      <c r="AQ43" t="str">
        <f ca="1">IFERROR(IF(0=LEN(ReferenceData!$AQ$43),"",ReferenceData!$AQ$43),"")</f>
        <v/>
      </c>
      <c r="AR43" t="str">
        <f ca="1">IFERROR(IF(0=LEN(ReferenceData!$AR$43),"",ReferenceData!$AR$43),"")</f>
        <v/>
      </c>
      <c r="AS43" t="str">
        <f ca="1">IFERROR(IF(0=LEN(ReferenceData!$AS$43),"",ReferenceData!$AS$43),"")</f>
        <v/>
      </c>
      <c r="AT43" t="str">
        <f ca="1">IFERROR(IF(0=LEN(ReferenceData!$AT$43),"",ReferenceData!$AT$43),"")</f>
        <v/>
      </c>
      <c r="AU43" t="str">
        <f ca="1">IFERROR(IF(0=LEN(ReferenceData!$AU$43),"",ReferenceData!$AU$43),"")</f>
        <v/>
      </c>
      <c r="AV43" t="str">
        <f ca="1">IFERROR(IF(0=LEN(ReferenceData!$AV$43),"",ReferenceData!$AV$43),"")</f>
        <v/>
      </c>
      <c r="AW43" t="str">
        <f ca="1">IFERROR(IF(0=LEN(ReferenceData!$AW$43),"",ReferenceData!$AW$43),"")</f>
        <v/>
      </c>
      <c r="AX43" t="str">
        <f ca="1">IFERROR(IF(0=LEN(ReferenceData!$AX$43),"",ReferenceData!$AX$43),"")</f>
        <v/>
      </c>
      <c r="AY43" t="str">
        <f ca="1">IFERROR(IF(0=LEN(ReferenceData!$AY$43),"",ReferenceData!$AY$43),"")</f>
        <v/>
      </c>
      <c r="AZ43" t="str">
        <f ca="1">IFERROR(IF(0=LEN(ReferenceData!$AZ$43),"",ReferenceData!$AZ$43),"")</f>
        <v/>
      </c>
      <c r="BA43" t="str">
        <f ca="1">IFERROR(IF(0=LEN(ReferenceData!$BA$43),"",ReferenceData!$BA$43),"")</f>
        <v/>
      </c>
      <c r="BB43" t="str">
        <f ca="1">IFERROR(IF(0=LEN(ReferenceData!$BB$43),"",ReferenceData!$BB$43),"")</f>
        <v/>
      </c>
      <c r="BC43" t="str">
        <f ca="1">IFERROR(IF(0=LEN(ReferenceData!$BC$43),"",ReferenceData!$BC$43),"")</f>
        <v/>
      </c>
      <c r="BD43" t="str">
        <f ca="1">IFERROR(IF(0=LEN(ReferenceData!$BD$43),"",ReferenceData!$BD$43),"")</f>
        <v/>
      </c>
      <c r="BE43" t="str">
        <f ca="1">IFERROR(IF(0=LEN(ReferenceData!$BE$43),"",ReferenceData!$BE$43),"")</f>
        <v/>
      </c>
      <c r="BF43" t="str">
        <f ca="1">IFERROR(IF(0=LEN(ReferenceData!$BF$43),"",ReferenceData!$BF$43),"")</f>
        <v/>
      </c>
      <c r="BG43" t="str">
        <f ca="1">IFERROR(IF(0=LEN(ReferenceData!$BG$43),"",ReferenceData!$BG$43),"")</f>
        <v/>
      </c>
      <c r="BH43" t="str">
        <f ca="1">IFERROR(IF(0=LEN(ReferenceData!$BH$43),"",ReferenceData!$BH$43),"")</f>
        <v/>
      </c>
      <c r="BI43" t="str">
        <f ca="1">IFERROR(IF(0=LEN(ReferenceData!$BI$43),"",ReferenceData!$BI$43),"")</f>
        <v/>
      </c>
      <c r="BJ43" t="str">
        <f ca="1">IFERROR(IF(0=LEN(ReferenceData!$BJ$43),"",ReferenceData!$BJ$43),"")</f>
        <v/>
      </c>
      <c r="BK43" t="str">
        <f ca="1">IFERROR(IF(0=LEN(ReferenceData!$BK$43),"",ReferenceData!$BK$43),"")</f>
        <v/>
      </c>
      <c r="BL43" t="str">
        <f ca="1">IFERROR(IF(0=LEN(ReferenceData!$BL$43),"",ReferenceData!$BL$43),"")</f>
        <v/>
      </c>
      <c r="BM43" t="str">
        <f ca="1">IFERROR(IF(0=LEN(ReferenceData!$BM$43),"",ReferenceData!$BM$43),"")</f>
        <v/>
      </c>
    </row>
    <row r="44" spans="1:65" x14ac:dyDescent="0.25">
      <c r="A44" t="str">
        <f>IFERROR(IF(0=LEN(ReferenceData!$A$44),"",ReferenceData!$A$44),"")</f>
        <v xml:space="preserve">                    Wholesale</v>
      </c>
      <c r="B44" t="str">
        <f>IFERROR(IF(0=LEN(ReferenceData!$B$44),"",ReferenceData!$B$44),"")</f>
        <v>KER FP Equity</v>
      </c>
      <c r="C44" t="str">
        <f>IFERROR(IF(0=LEN(ReferenceData!$C$44),"",ReferenceData!$C$44),"")</f>
        <v>BI047</v>
      </c>
      <c r="D44" t="str">
        <f>IFERROR(IF(0=LEN(ReferenceData!$D$44),"",ReferenceData!$D$44),"")</f>
        <v>BICS_SEGMENT_DATA</v>
      </c>
      <c r="E44" t="str">
        <f>IFERROR(IF(0=LEN(ReferenceData!$E$44),"",ReferenceData!$E$44),"")</f>
        <v>Dynamic</v>
      </c>
      <c r="F44" t="str">
        <f ca="1">IFERROR(IF(0=LEN(ReferenceData!$F$44),"",ReferenceData!$F$44),"")</f>
        <v/>
      </c>
      <c r="G44">
        <f ca="1">IFERROR(IF(0=LEN(ReferenceData!$G$44),"",ReferenceData!$G$44),"")</f>
        <v>22</v>
      </c>
      <c r="H44">
        <f ca="1">IFERROR(IF(0=LEN(ReferenceData!$H$44),"",ReferenceData!$H$44),"")</f>
        <v>56</v>
      </c>
      <c r="I44">
        <f ca="1">IFERROR(IF(0=LEN(ReferenceData!$I$44),"",ReferenceData!$I$44),"")</f>
        <v>13</v>
      </c>
      <c r="J44">
        <f ca="1">IFERROR(IF(0=LEN(ReferenceData!$J$44),"",ReferenceData!$J$44),"")</f>
        <v>-14</v>
      </c>
      <c r="K44">
        <f ca="1">IFERROR(IF(0=LEN(ReferenceData!$K$44),"",ReferenceData!$K$44),"")</f>
        <v>3</v>
      </c>
      <c r="L44">
        <f ca="1">IFERROR(IF(0=LEN(ReferenceData!$L$44),"",ReferenceData!$L$44),"")</f>
        <v>-49</v>
      </c>
      <c r="M44">
        <f ca="1">IFERROR(IF(0=LEN(ReferenceData!$M$44),"",ReferenceData!$M$44),"")</f>
        <v>-6</v>
      </c>
      <c r="N44">
        <f ca="1">IFERROR(IF(0=LEN(ReferenceData!$N$44),"",ReferenceData!$N$44),"")</f>
        <v>14</v>
      </c>
      <c r="O44">
        <f ca="1">IFERROR(IF(0=LEN(ReferenceData!$O$44),"",ReferenceData!$O$44),"")</f>
        <v>8</v>
      </c>
      <c r="P44">
        <f ca="1">IFERROR(IF(0=LEN(ReferenceData!$P$44),"",ReferenceData!$P$44),"")</f>
        <v>14</v>
      </c>
      <c r="Q44">
        <f ca="1">IFERROR(IF(0=LEN(ReferenceData!$Q$44),"",ReferenceData!$Q$44),"")</f>
        <v>8</v>
      </c>
      <c r="R44">
        <f ca="1">IFERROR(IF(0=LEN(ReferenceData!$R$44),"",ReferenceData!$R$44),"")</f>
        <v>14</v>
      </c>
      <c r="S44">
        <f ca="1">IFERROR(IF(0=LEN(ReferenceData!$S$44),"",ReferenceData!$S$44),"")</f>
        <v>14</v>
      </c>
      <c r="T44">
        <f ca="1">IFERROR(IF(0=LEN(ReferenceData!$T$44),"",ReferenceData!$T$44),"")</f>
        <v>25</v>
      </c>
      <c r="U44">
        <f ca="1">IFERROR(IF(0=LEN(ReferenceData!$U$44),"",ReferenceData!$U$44),"")</f>
        <v>32</v>
      </c>
      <c r="V44">
        <f ca="1">IFERROR(IF(0=LEN(ReferenceData!$V$44),"",ReferenceData!$V$44),"")</f>
        <v>14</v>
      </c>
      <c r="W44">
        <f ca="1">IFERROR(IF(0=LEN(ReferenceData!$W$44),"",ReferenceData!$W$44),"")</f>
        <v>23</v>
      </c>
      <c r="X44">
        <f ca="1">IFERROR(IF(0=LEN(ReferenceData!$X$44),"",ReferenceData!$X$44),"")</f>
        <v>5</v>
      </c>
      <c r="Y44">
        <f ca="1">IFERROR(IF(0=LEN(ReferenceData!$Y$44),"",ReferenceData!$Y$44),"")</f>
        <v>35</v>
      </c>
      <c r="Z44" t="str">
        <f ca="1">IFERROR(IF(0=LEN(ReferenceData!$Z$44),"",ReferenceData!$Z$44),"")</f>
        <v/>
      </c>
      <c r="AA44">
        <f ca="1">IFERROR(IF(0=LEN(ReferenceData!$AA$44),"",ReferenceData!$AA$44),"")</f>
        <v>36</v>
      </c>
      <c r="AB44">
        <f ca="1">IFERROR(IF(0=LEN(ReferenceData!$AB$44),"",ReferenceData!$AB$44),"")</f>
        <v>2</v>
      </c>
      <c r="AC44">
        <f ca="1">IFERROR(IF(0=LEN(ReferenceData!$AC$44),"",ReferenceData!$AC$44),"")</f>
        <v>18</v>
      </c>
      <c r="AD44">
        <f ca="1">IFERROR(IF(0=LEN(ReferenceData!$AD$44),"",ReferenceData!$AD$44),"")</f>
        <v>25</v>
      </c>
      <c r="AE44">
        <f ca="1">IFERROR(IF(0=LEN(ReferenceData!$AE$44),"",ReferenceData!$AE$44),"")</f>
        <v>17</v>
      </c>
      <c r="AF44">
        <f ca="1">IFERROR(IF(0=LEN(ReferenceData!$AF$44),"",ReferenceData!$AF$44),"")</f>
        <v>24</v>
      </c>
      <c r="AG44">
        <f ca="1">IFERROR(IF(0=LEN(ReferenceData!$AG$44),"",ReferenceData!$AG$44),"")</f>
        <v>20</v>
      </c>
      <c r="AH44" t="str">
        <f ca="1">IFERROR(IF(0=LEN(ReferenceData!$AH$44),"",ReferenceData!$AH$44),"")</f>
        <v/>
      </c>
      <c r="AI44" t="str">
        <f ca="1">IFERROR(IF(0=LEN(ReferenceData!$AI$44),"",ReferenceData!$AI$44),"")</f>
        <v/>
      </c>
      <c r="AJ44" t="str">
        <f ca="1">IFERROR(IF(0=LEN(ReferenceData!$AJ$44),"",ReferenceData!$AJ$44),"")</f>
        <v/>
      </c>
      <c r="AK44">
        <f ca="1">IFERROR(IF(0=LEN(ReferenceData!$AK$44),"",ReferenceData!$AK$44),"")</f>
        <v>-11</v>
      </c>
      <c r="AL44" t="str">
        <f ca="1">IFERROR(IF(0=LEN(ReferenceData!$AL$44),"",ReferenceData!$AL$44),"")</f>
        <v/>
      </c>
      <c r="AM44" t="str">
        <f ca="1">IFERROR(IF(0=LEN(ReferenceData!$AM$44),"",ReferenceData!$AM$44),"")</f>
        <v/>
      </c>
      <c r="AN44" t="str">
        <f ca="1">IFERROR(IF(0=LEN(ReferenceData!$AN$44),"",ReferenceData!$AN$44),"")</f>
        <v/>
      </c>
      <c r="AO44" t="str">
        <f ca="1">IFERROR(IF(0=LEN(ReferenceData!$AO$44),"",ReferenceData!$AO$44),"")</f>
        <v/>
      </c>
      <c r="AP44" t="str">
        <f ca="1">IFERROR(IF(0=LEN(ReferenceData!$AP$44),"",ReferenceData!$AP$44),"")</f>
        <v/>
      </c>
      <c r="AQ44" t="str">
        <f ca="1">IFERROR(IF(0=LEN(ReferenceData!$AQ$44),"",ReferenceData!$AQ$44),"")</f>
        <v/>
      </c>
      <c r="AR44" t="str">
        <f ca="1">IFERROR(IF(0=LEN(ReferenceData!$AR$44),"",ReferenceData!$AR$44),"")</f>
        <v/>
      </c>
      <c r="AS44" t="str">
        <f ca="1">IFERROR(IF(0=LEN(ReferenceData!$AS$44),"",ReferenceData!$AS$44),"")</f>
        <v/>
      </c>
      <c r="AT44" t="str">
        <f ca="1">IFERROR(IF(0=LEN(ReferenceData!$AT$44),"",ReferenceData!$AT$44),"")</f>
        <v/>
      </c>
      <c r="AU44" t="str">
        <f ca="1">IFERROR(IF(0=LEN(ReferenceData!$AU$44),"",ReferenceData!$AU$44),"")</f>
        <v/>
      </c>
      <c r="AV44" t="str">
        <f ca="1">IFERROR(IF(0=LEN(ReferenceData!$AV$44),"",ReferenceData!$AV$44),"")</f>
        <v/>
      </c>
      <c r="AW44" t="str">
        <f ca="1">IFERROR(IF(0=LEN(ReferenceData!$AW$44),"",ReferenceData!$AW$44),"")</f>
        <v/>
      </c>
      <c r="AX44" t="str">
        <f ca="1">IFERROR(IF(0=LEN(ReferenceData!$AX$44),"",ReferenceData!$AX$44),"")</f>
        <v/>
      </c>
      <c r="AY44" t="str">
        <f ca="1">IFERROR(IF(0=LEN(ReferenceData!$AY$44),"",ReferenceData!$AY$44),"")</f>
        <v/>
      </c>
      <c r="AZ44" t="str">
        <f ca="1">IFERROR(IF(0=LEN(ReferenceData!$AZ$44),"",ReferenceData!$AZ$44),"")</f>
        <v/>
      </c>
      <c r="BA44" t="str">
        <f ca="1">IFERROR(IF(0=LEN(ReferenceData!$BA$44),"",ReferenceData!$BA$44),"")</f>
        <v/>
      </c>
      <c r="BB44" t="str">
        <f ca="1">IFERROR(IF(0=LEN(ReferenceData!$BB$44),"",ReferenceData!$BB$44),"")</f>
        <v/>
      </c>
      <c r="BC44" t="str">
        <f ca="1">IFERROR(IF(0=LEN(ReferenceData!$BC$44),"",ReferenceData!$BC$44),"")</f>
        <v/>
      </c>
      <c r="BD44" t="str">
        <f ca="1">IFERROR(IF(0=LEN(ReferenceData!$BD$44),"",ReferenceData!$BD$44),"")</f>
        <v/>
      </c>
      <c r="BE44" t="str">
        <f ca="1">IFERROR(IF(0=LEN(ReferenceData!$BE$44),"",ReferenceData!$BE$44),"")</f>
        <v/>
      </c>
      <c r="BF44" t="str">
        <f ca="1">IFERROR(IF(0=LEN(ReferenceData!$BF$44),"",ReferenceData!$BF$44),"")</f>
        <v/>
      </c>
      <c r="BG44" t="str">
        <f ca="1">IFERROR(IF(0=LEN(ReferenceData!$BG$44),"",ReferenceData!$BG$44),"")</f>
        <v/>
      </c>
      <c r="BH44" t="str">
        <f ca="1">IFERROR(IF(0=LEN(ReferenceData!$BH$44),"",ReferenceData!$BH$44),"")</f>
        <v/>
      </c>
      <c r="BI44" t="str">
        <f ca="1">IFERROR(IF(0=LEN(ReferenceData!$BI$44),"",ReferenceData!$BI$44),"")</f>
        <v/>
      </c>
      <c r="BJ44" t="str">
        <f ca="1">IFERROR(IF(0=LEN(ReferenceData!$BJ$44),"",ReferenceData!$BJ$44),"")</f>
        <v/>
      </c>
      <c r="BK44" t="str">
        <f ca="1">IFERROR(IF(0=LEN(ReferenceData!$BK$44),"",ReferenceData!$BK$44),"")</f>
        <v/>
      </c>
      <c r="BL44" t="str">
        <f ca="1">IFERROR(IF(0=LEN(ReferenceData!$BL$44),"",ReferenceData!$BL$44),"")</f>
        <v/>
      </c>
      <c r="BM44" t="str">
        <f ca="1">IFERROR(IF(0=LEN(ReferenceData!$BM$44),"",ReferenceData!$BM$44),"")</f>
        <v/>
      </c>
    </row>
    <row r="45" spans="1:65" x14ac:dyDescent="0.25">
      <c r="A45" t="str">
        <f>IFERROR(IF(0=LEN(ReferenceData!$A$45),"",ReferenceData!$A$45),"")</f>
        <v xml:space="preserve">                    Royalties and Others</v>
      </c>
      <c r="B45" t="str">
        <f>IFERROR(IF(0=LEN(ReferenceData!$B$45),"",ReferenceData!$B$45),"")</f>
        <v>KER FP Equity</v>
      </c>
      <c r="C45" t="str">
        <f>IFERROR(IF(0=LEN(ReferenceData!$C$45),"",ReferenceData!$C$45),"")</f>
        <v>BI047</v>
      </c>
      <c r="D45" t="str">
        <f>IFERROR(IF(0=LEN(ReferenceData!$D$45),"",ReferenceData!$D$45),"")</f>
        <v>BICS_SEGMENT_DATA</v>
      </c>
      <c r="E45" t="str">
        <f>IFERROR(IF(0=LEN(ReferenceData!$E$45),"",ReferenceData!$E$45),"")</f>
        <v>Dynamic</v>
      </c>
      <c r="F45" t="str">
        <f ca="1">IFERROR(IF(0=LEN(ReferenceData!$F$45),"",ReferenceData!$F$45),"")</f>
        <v/>
      </c>
      <c r="G45">
        <f ca="1">IFERROR(IF(0=LEN(ReferenceData!$G$45),"",ReferenceData!$G$45),"")</f>
        <v>28</v>
      </c>
      <c r="H45">
        <f ca="1">IFERROR(IF(0=LEN(ReferenceData!$H$45),"",ReferenceData!$H$45),"")</f>
        <v>55</v>
      </c>
      <c r="I45">
        <f ca="1">IFERROR(IF(0=LEN(ReferenceData!$I$45),"",ReferenceData!$I$45),"")</f>
        <v>1</v>
      </c>
      <c r="J45">
        <f ca="1">IFERROR(IF(0=LEN(ReferenceData!$J$45),"",ReferenceData!$J$45),"")</f>
        <v>-8</v>
      </c>
      <c r="K45">
        <f ca="1">IFERROR(IF(0=LEN(ReferenceData!$K$45),"",ReferenceData!$K$45),"")</f>
        <v>-16</v>
      </c>
      <c r="L45">
        <f ca="1">IFERROR(IF(0=LEN(ReferenceData!$L$45),"",ReferenceData!$L$45),"")</f>
        <v>-48</v>
      </c>
      <c r="M45">
        <f ca="1">IFERROR(IF(0=LEN(ReferenceData!$M$45),"",ReferenceData!$M$45),"")</f>
        <v>-11</v>
      </c>
      <c r="N45">
        <f ca="1">IFERROR(IF(0=LEN(ReferenceData!$N$45),"",ReferenceData!$N$45),"")</f>
        <v>13</v>
      </c>
      <c r="O45">
        <f ca="1">IFERROR(IF(0=LEN(ReferenceData!$O$45),"",ReferenceData!$O$45),"")</f>
        <v>20</v>
      </c>
      <c r="P45">
        <f ca="1">IFERROR(IF(0=LEN(ReferenceData!$P$45),"",ReferenceData!$P$45),"")</f>
        <v>11</v>
      </c>
      <c r="Q45">
        <f ca="1">IFERROR(IF(0=LEN(ReferenceData!$Q$45),"",ReferenceData!$Q$45),"")</f>
        <v>24</v>
      </c>
      <c r="R45">
        <f ca="1">IFERROR(IF(0=LEN(ReferenceData!$R$45),"",ReferenceData!$R$45),"")</f>
        <v>14</v>
      </c>
      <c r="S45">
        <f ca="1">IFERROR(IF(0=LEN(ReferenceData!$S$45),"",ReferenceData!$S$45),"")</f>
        <v>10</v>
      </c>
      <c r="T45">
        <f ca="1">IFERROR(IF(0=LEN(ReferenceData!$T$45),"",ReferenceData!$T$45),"")</f>
        <v>12</v>
      </c>
      <c r="U45">
        <f ca="1">IFERROR(IF(0=LEN(ReferenceData!$U$45),"",ReferenceData!$U$45),"")</f>
        <v>3</v>
      </c>
      <c r="V45">
        <f ca="1">IFERROR(IF(0=LEN(ReferenceData!$V$45),"",ReferenceData!$V$45),"")</f>
        <v>13</v>
      </c>
      <c r="W45">
        <f ca="1">IFERROR(IF(0=LEN(ReferenceData!$W$45),"",ReferenceData!$W$45),"")</f>
        <v>29</v>
      </c>
      <c r="X45">
        <f ca="1">IFERROR(IF(0=LEN(ReferenceData!$X$45),"",ReferenceData!$X$45),"")</f>
        <v>24</v>
      </c>
      <c r="Y45">
        <f ca="1">IFERROR(IF(0=LEN(ReferenceData!$Y$45),"",ReferenceData!$Y$45),"")</f>
        <v>48</v>
      </c>
      <c r="Z45" t="str">
        <f ca="1">IFERROR(IF(0=LEN(ReferenceData!$Z$45),"",ReferenceData!$Z$45),"")</f>
        <v/>
      </c>
      <c r="AA45">
        <f ca="1">IFERROR(IF(0=LEN(ReferenceData!$AA$45),"",ReferenceData!$AA$45),"")</f>
        <v>18</v>
      </c>
      <c r="AB45">
        <f ca="1">IFERROR(IF(0=LEN(ReferenceData!$AB$45),"",ReferenceData!$AB$45),"")</f>
        <v>17</v>
      </c>
      <c r="AC45">
        <f ca="1">IFERROR(IF(0=LEN(ReferenceData!$AC$45),"",ReferenceData!$AC$45),"")</f>
        <v>20</v>
      </c>
      <c r="AD45" t="str">
        <f ca="1">IFERROR(IF(0=LEN(ReferenceData!$AD$45),"",ReferenceData!$AD$45),"")</f>
        <v/>
      </c>
      <c r="AE45">
        <f ca="1">IFERROR(IF(0=LEN(ReferenceData!$AE$45),"",ReferenceData!$AE$45),"")</f>
        <v>25</v>
      </c>
      <c r="AF45">
        <f ca="1">IFERROR(IF(0=LEN(ReferenceData!$AF$45),"",ReferenceData!$AF$45),"")</f>
        <v>24</v>
      </c>
      <c r="AG45">
        <f ca="1">IFERROR(IF(0=LEN(ReferenceData!$AG$45),"",ReferenceData!$AG$45),"")</f>
        <v>19</v>
      </c>
      <c r="AH45" t="str">
        <f ca="1">IFERROR(IF(0=LEN(ReferenceData!$AH$45),"",ReferenceData!$AH$45),"")</f>
        <v/>
      </c>
      <c r="AI45" t="str">
        <f ca="1">IFERROR(IF(0=LEN(ReferenceData!$AI$45),"",ReferenceData!$AI$45),"")</f>
        <v/>
      </c>
      <c r="AJ45" t="str">
        <f ca="1">IFERROR(IF(0=LEN(ReferenceData!$AJ$45),"",ReferenceData!$AJ$45),"")</f>
        <v/>
      </c>
      <c r="AK45" t="str">
        <f ca="1">IFERROR(IF(0=LEN(ReferenceData!$AK$45),"",ReferenceData!$AK$45),"")</f>
        <v/>
      </c>
      <c r="AL45" t="str">
        <f ca="1">IFERROR(IF(0=LEN(ReferenceData!$AL$45),"",ReferenceData!$AL$45),"")</f>
        <v/>
      </c>
      <c r="AM45" t="str">
        <f ca="1">IFERROR(IF(0=LEN(ReferenceData!$AM$45),"",ReferenceData!$AM$45),"")</f>
        <v/>
      </c>
      <c r="AN45" t="str">
        <f ca="1">IFERROR(IF(0=LEN(ReferenceData!$AN$45),"",ReferenceData!$AN$45),"")</f>
        <v/>
      </c>
      <c r="AO45" t="str">
        <f ca="1">IFERROR(IF(0=LEN(ReferenceData!$AO$45),"",ReferenceData!$AO$45),"")</f>
        <v/>
      </c>
      <c r="AP45" t="str">
        <f ca="1">IFERROR(IF(0=LEN(ReferenceData!$AP$45),"",ReferenceData!$AP$45),"")</f>
        <v/>
      </c>
      <c r="AQ45" t="str">
        <f ca="1">IFERROR(IF(0=LEN(ReferenceData!$AQ$45),"",ReferenceData!$AQ$45),"")</f>
        <v/>
      </c>
      <c r="AR45" t="str">
        <f ca="1">IFERROR(IF(0=LEN(ReferenceData!$AR$45),"",ReferenceData!$AR$45),"")</f>
        <v/>
      </c>
      <c r="AS45" t="str">
        <f ca="1">IFERROR(IF(0=LEN(ReferenceData!$AS$45),"",ReferenceData!$AS$45),"")</f>
        <v/>
      </c>
      <c r="AT45" t="str">
        <f ca="1">IFERROR(IF(0=LEN(ReferenceData!$AT$45),"",ReferenceData!$AT$45),"")</f>
        <v/>
      </c>
      <c r="AU45" t="str">
        <f ca="1">IFERROR(IF(0=LEN(ReferenceData!$AU$45),"",ReferenceData!$AU$45),"")</f>
        <v/>
      </c>
      <c r="AV45" t="str">
        <f ca="1">IFERROR(IF(0=LEN(ReferenceData!$AV$45),"",ReferenceData!$AV$45),"")</f>
        <v/>
      </c>
      <c r="AW45" t="str">
        <f ca="1">IFERROR(IF(0=LEN(ReferenceData!$AW$45),"",ReferenceData!$AW$45),"")</f>
        <v/>
      </c>
      <c r="AX45" t="str">
        <f ca="1">IFERROR(IF(0=LEN(ReferenceData!$AX$45),"",ReferenceData!$AX$45),"")</f>
        <v/>
      </c>
      <c r="AY45" t="str">
        <f ca="1">IFERROR(IF(0=LEN(ReferenceData!$AY$45),"",ReferenceData!$AY$45),"")</f>
        <v/>
      </c>
      <c r="AZ45" t="str">
        <f ca="1">IFERROR(IF(0=LEN(ReferenceData!$AZ$45),"",ReferenceData!$AZ$45),"")</f>
        <v/>
      </c>
      <c r="BA45" t="str">
        <f ca="1">IFERROR(IF(0=LEN(ReferenceData!$BA$45),"",ReferenceData!$BA$45),"")</f>
        <v/>
      </c>
      <c r="BB45" t="str">
        <f ca="1">IFERROR(IF(0=LEN(ReferenceData!$BB$45),"",ReferenceData!$BB$45),"")</f>
        <v/>
      </c>
      <c r="BC45" t="str">
        <f ca="1">IFERROR(IF(0=LEN(ReferenceData!$BC$45),"",ReferenceData!$BC$45),"")</f>
        <v/>
      </c>
      <c r="BD45" t="str">
        <f ca="1">IFERROR(IF(0=LEN(ReferenceData!$BD$45),"",ReferenceData!$BD$45),"")</f>
        <v/>
      </c>
      <c r="BE45" t="str">
        <f ca="1">IFERROR(IF(0=LEN(ReferenceData!$BE$45),"",ReferenceData!$BE$45),"")</f>
        <v/>
      </c>
      <c r="BF45" t="str">
        <f ca="1">IFERROR(IF(0=LEN(ReferenceData!$BF$45),"",ReferenceData!$BF$45),"")</f>
        <v/>
      </c>
      <c r="BG45" t="str">
        <f ca="1">IFERROR(IF(0=LEN(ReferenceData!$BG$45),"",ReferenceData!$BG$45),"")</f>
        <v/>
      </c>
      <c r="BH45" t="str">
        <f ca="1">IFERROR(IF(0=LEN(ReferenceData!$BH$45),"",ReferenceData!$BH$45),"")</f>
        <v/>
      </c>
      <c r="BI45" t="str">
        <f ca="1">IFERROR(IF(0=LEN(ReferenceData!$BI$45),"",ReferenceData!$BI$45),"")</f>
        <v/>
      </c>
      <c r="BJ45" t="str">
        <f ca="1">IFERROR(IF(0=LEN(ReferenceData!$BJ$45),"",ReferenceData!$BJ$45),"")</f>
        <v/>
      </c>
      <c r="BK45" t="str">
        <f ca="1">IFERROR(IF(0=LEN(ReferenceData!$BK$45),"",ReferenceData!$BK$45),"")</f>
        <v/>
      </c>
      <c r="BL45" t="str">
        <f ca="1">IFERROR(IF(0=LEN(ReferenceData!$BL$45),"",ReferenceData!$BL$45),"")</f>
        <v/>
      </c>
      <c r="BM45" t="str">
        <f ca="1">IFERROR(IF(0=LEN(ReferenceData!$BM$45),"",ReferenceData!$BM$45),"")</f>
        <v/>
      </c>
    </row>
    <row r="46" spans="1:65" x14ac:dyDescent="0.25">
      <c r="A46" t="str">
        <f>IFERROR(IF(0=LEN(ReferenceData!$A$46),"",ReferenceData!$A$46),"")</f>
        <v xml:space="preserve">                Bottega Veneta</v>
      </c>
      <c r="B46" t="str">
        <f>IFERROR(IF(0=LEN(ReferenceData!$B$46),"",ReferenceData!$B$46),"")</f>
        <v>KER FP Equity</v>
      </c>
      <c r="C46" t="str">
        <f>IFERROR(IF(0=LEN(ReferenceData!$C$46),"",ReferenceData!$C$46),"")</f>
        <v>BI047</v>
      </c>
      <c r="D46" t="str">
        <f>IFERROR(IF(0=LEN(ReferenceData!$D$46),"",ReferenceData!$D$46),"")</f>
        <v>BICS_SEGMENT_DATA</v>
      </c>
      <c r="E46" t="str">
        <f>IFERROR(IF(0=LEN(ReferenceData!$E$46),"",ReferenceData!$E$46),"")</f>
        <v>Dynamic</v>
      </c>
      <c r="F46" t="str">
        <f ca="1">IFERROR(IF(0=LEN(ReferenceData!$F$46),"",ReferenceData!$F$46),"")</f>
        <v/>
      </c>
      <c r="G46">
        <f ca="1">IFERROR(IF(0=LEN(ReferenceData!$G$46),"",ReferenceData!$G$46),"")</f>
        <v>9.3000000000000007</v>
      </c>
      <c r="H46">
        <f ca="1">IFERROR(IF(0=LEN(ReferenceData!$H$46),"",ReferenceData!$H$46),"")</f>
        <v>65.400000000000006</v>
      </c>
      <c r="I46">
        <f ca="1">IFERROR(IF(0=LEN(ReferenceData!$I$46),"",ReferenceData!$I$46),"")</f>
        <v>19.899999999999999</v>
      </c>
      <c r="J46">
        <f ca="1">IFERROR(IF(0=LEN(ReferenceData!$J$46),"",ReferenceData!$J$46),"")</f>
        <v>12.1</v>
      </c>
      <c r="K46">
        <f ca="1">IFERROR(IF(0=LEN(ReferenceData!$K$46),"",ReferenceData!$K$46),"")</f>
        <v>16.899999999999999</v>
      </c>
      <c r="L46">
        <f ca="1">IFERROR(IF(0=LEN(ReferenceData!$L$46),"",ReferenceData!$L$46),"")</f>
        <v>-24</v>
      </c>
      <c r="M46">
        <f ca="1">IFERROR(IF(0=LEN(ReferenceData!$M$46),"",ReferenceData!$M$46),"")</f>
        <v>10.3</v>
      </c>
      <c r="N46">
        <f ca="1">IFERROR(IF(0=LEN(ReferenceData!$N$46),"",ReferenceData!$N$46),"")</f>
        <v>12.2</v>
      </c>
      <c r="O46">
        <f ca="1">IFERROR(IF(0=LEN(ReferenceData!$O$46),"",ReferenceData!$O$46),"")</f>
        <v>9.8000000000000007</v>
      </c>
      <c r="P46">
        <f ca="1">IFERROR(IF(0=LEN(ReferenceData!$P$46),"",ReferenceData!$P$46),"")</f>
        <v>3.4</v>
      </c>
      <c r="Q46">
        <f ca="1">IFERROR(IF(0=LEN(ReferenceData!$Q$46),"",ReferenceData!$Q$46),"")</f>
        <v>-5</v>
      </c>
      <c r="R46">
        <f ca="1">IFERROR(IF(0=LEN(ReferenceData!$R$46),"",ReferenceData!$R$46),"")</f>
        <v>-2.4</v>
      </c>
      <c r="S46">
        <f ca="1">IFERROR(IF(0=LEN(ReferenceData!$S$46),"",ReferenceData!$S$46),"")</f>
        <v>-7.8</v>
      </c>
      <c r="T46">
        <f ca="1">IFERROR(IF(0=LEN(ReferenceData!$T$46),"",ReferenceData!$T$46),"")</f>
        <v>-6.1</v>
      </c>
      <c r="U46">
        <f ca="1">IFERROR(IF(0=LEN(ReferenceData!$U$46),"",ReferenceData!$U$46),"")</f>
        <v>-5</v>
      </c>
      <c r="V46">
        <f ca="1">IFERROR(IF(0=LEN(ReferenceData!$V$46),"",ReferenceData!$V$46),"")</f>
        <v>-1</v>
      </c>
      <c r="W46">
        <f ca="1">IFERROR(IF(0=LEN(ReferenceData!$W$46),"",ReferenceData!$W$46),"")</f>
        <v>-4.5</v>
      </c>
      <c r="X46">
        <f ca="1">IFERROR(IF(0=LEN(ReferenceData!$X$46),"",ReferenceData!$X$46),"")</f>
        <v>2.2000000000000002</v>
      </c>
      <c r="Y46">
        <f ca="1">IFERROR(IF(0=LEN(ReferenceData!$Y$46),"",ReferenceData!$Y$46),"")</f>
        <v>4.7</v>
      </c>
      <c r="Z46">
        <f ca="1">IFERROR(IF(0=LEN(ReferenceData!$Z$46),"",ReferenceData!$Z$46),"")</f>
        <v>-7.3</v>
      </c>
      <c r="AA46">
        <f ca="1">IFERROR(IF(0=LEN(ReferenceData!$AA$46),"",ReferenceData!$AA$46),"")</f>
        <v>-9.3000000000000007</v>
      </c>
      <c r="AB46">
        <f ca="1">IFERROR(IF(0=LEN(ReferenceData!$AB$46),"",ReferenceData!$AB$46),"")</f>
        <v>-10.6</v>
      </c>
      <c r="AC46">
        <f ca="1">IFERROR(IF(0=LEN(ReferenceData!$AC$46),"",ReferenceData!$AC$46),"")</f>
        <v>-7.6</v>
      </c>
      <c r="AD46">
        <f ca="1">IFERROR(IF(0=LEN(ReferenceData!$AD$46),"",ReferenceData!$AD$46),"")</f>
        <v>4.3</v>
      </c>
      <c r="AE46">
        <f ca="1">IFERROR(IF(0=LEN(ReferenceData!$AE$46),"",ReferenceData!$AE$46),"")</f>
        <v>13.2</v>
      </c>
      <c r="AF46">
        <f ca="1">IFERROR(IF(0=LEN(ReferenceData!$AF$46),"",ReferenceData!$AF$46),"")</f>
        <v>23.5</v>
      </c>
      <c r="AG46">
        <f ca="1">IFERROR(IF(0=LEN(ReferenceData!$AG$46),"",ReferenceData!$AG$46),"")</f>
        <v>15.6</v>
      </c>
      <c r="AH46">
        <f ca="1">IFERROR(IF(0=LEN(ReferenceData!$AH$46),"",ReferenceData!$AH$46),"")</f>
        <v>9.6</v>
      </c>
      <c r="AI46">
        <f ca="1">IFERROR(IF(0=LEN(ReferenceData!$AI$46),"",ReferenceData!$AI$46),"")</f>
        <v>17.399999999999999</v>
      </c>
      <c r="AJ46">
        <f ca="1">IFERROR(IF(0=LEN(ReferenceData!$AJ$46),"",ReferenceData!$AJ$46),"")</f>
        <v>16.100000000000001</v>
      </c>
      <c r="AK46">
        <f ca="1">IFERROR(IF(0=LEN(ReferenceData!$AK$46),"",ReferenceData!$AK$46),"")</f>
        <v>9.5</v>
      </c>
      <c r="AL46">
        <f ca="1">IFERROR(IF(0=LEN(ReferenceData!$AL$46),"",ReferenceData!$AL$46),"")</f>
        <v>6.2</v>
      </c>
      <c r="AM46">
        <f ca="1">IFERROR(IF(0=LEN(ReferenceData!$AM$46),"",ReferenceData!$AM$46),"")</f>
        <v>7.3</v>
      </c>
      <c r="AN46">
        <f ca="1">IFERROR(IF(0=LEN(ReferenceData!$AN$46),"",ReferenceData!$AN$46),"")</f>
        <v>11.9</v>
      </c>
      <c r="AO46">
        <f ca="1">IFERROR(IF(0=LEN(ReferenceData!$AO$46),"",ReferenceData!$AO$46),"")</f>
        <v>5</v>
      </c>
      <c r="AP46" t="str">
        <f ca="1">IFERROR(IF(0=LEN(ReferenceData!$AP$46),"",ReferenceData!$AP$46),"")</f>
        <v/>
      </c>
      <c r="AQ46" t="str">
        <f ca="1">IFERROR(IF(0=LEN(ReferenceData!$AQ$46),"",ReferenceData!$AQ$46),"")</f>
        <v/>
      </c>
      <c r="AR46" t="str">
        <f ca="1">IFERROR(IF(0=LEN(ReferenceData!$AR$46),"",ReferenceData!$AR$46),"")</f>
        <v/>
      </c>
      <c r="AS46" t="str">
        <f ca="1">IFERROR(IF(0=LEN(ReferenceData!$AS$46),"",ReferenceData!$AS$46),"")</f>
        <v/>
      </c>
      <c r="AT46" t="str">
        <f ca="1">IFERROR(IF(0=LEN(ReferenceData!$AT$46),"",ReferenceData!$AT$46),"")</f>
        <v/>
      </c>
      <c r="AU46" t="str">
        <f ca="1">IFERROR(IF(0=LEN(ReferenceData!$AU$46),"",ReferenceData!$AU$46),"")</f>
        <v/>
      </c>
      <c r="AV46" t="str">
        <f ca="1">IFERROR(IF(0=LEN(ReferenceData!$AV$46),"",ReferenceData!$AV$46),"")</f>
        <v/>
      </c>
      <c r="AW46" t="str">
        <f ca="1">IFERROR(IF(0=LEN(ReferenceData!$AW$46),"",ReferenceData!$AW$46),"")</f>
        <v/>
      </c>
      <c r="AX46" t="str">
        <f ca="1">IFERROR(IF(0=LEN(ReferenceData!$AX$46),"",ReferenceData!$AX$46),"")</f>
        <v/>
      </c>
      <c r="AY46" t="str">
        <f ca="1">IFERROR(IF(0=LEN(ReferenceData!$AY$46),"",ReferenceData!$AY$46),"")</f>
        <v/>
      </c>
      <c r="AZ46" t="str">
        <f ca="1">IFERROR(IF(0=LEN(ReferenceData!$AZ$46),"",ReferenceData!$AZ$46),"")</f>
        <v/>
      </c>
      <c r="BA46" t="str">
        <f ca="1">IFERROR(IF(0=LEN(ReferenceData!$BA$46),"",ReferenceData!$BA$46),"")</f>
        <v/>
      </c>
      <c r="BB46" t="str">
        <f ca="1">IFERROR(IF(0=LEN(ReferenceData!$BB$46),"",ReferenceData!$BB$46),"")</f>
        <v/>
      </c>
      <c r="BC46" t="str">
        <f ca="1">IFERROR(IF(0=LEN(ReferenceData!$BC$46),"",ReferenceData!$BC$46),"")</f>
        <v/>
      </c>
      <c r="BD46" t="str">
        <f ca="1">IFERROR(IF(0=LEN(ReferenceData!$BD$46),"",ReferenceData!$BD$46),"")</f>
        <v/>
      </c>
      <c r="BE46" t="str">
        <f ca="1">IFERROR(IF(0=LEN(ReferenceData!$BE$46),"",ReferenceData!$BE$46),"")</f>
        <v/>
      </c>
      <c r="BF46" t="str">
        <f ca="1">IFERROR(IF(0=LEN(ReferenceData!$BF$46),"",ReferenceData!$BF$46),"")</f>
        <v/>
      </c>
      <c r="BG46" t="str">
        <f ca="1">IFERROR(IF(0=LEN(ReferenceData!$BG$46),"",ReferenceData!$BG$46),"")</f>
        <v/>
      </c>
      <c r="BH46" t="str">
        <f ca="1">IFERROR(IF(0=LEN(ReferenceData!$BH$46),"",ReferenceData!$BH$46),"")</f>
        <v/>
      </c>
      <c r="BI46" t="str">
        <f ca="1">IFERROR(IF(0=LEN(ReferenceData!$BI$46),"",ReferenceData!$BI$46),"")</f>
        <v/>
      </c>
      <c r="BJ46" t="str">
        <f ca="1">IFERROR(IF(0=LEN(ReferenceData!$BJ$46),"",ReferenceData!$BJ$46),"")</f>
        <v/>
      </c>
      <c r="BK46" t="str">
        <f ca="1">IFERROR(IF(0=LEN(ReferenceData!$BK$46),"",ReferenceData!$BK$46),"")</f>
        <v/>
      </c>
      <c r="BL46" t="str">
        <f ca="1">IFERROR(IF(0=LEN(ReferenceData!$BL$46),"",ReferenceData!$BL$46),"")</f>
        <v/>
      </c>
      <c r="BM46" t="str">
        <f ca="1">IFERROR(IF(0=LEN(ReferenceData!$BM$46),"",ReferenceData!$BM$46),"")</f>
        <v/>
      </c>
    </row>
    <row r="47" spans="1:65" x14ac:dyDescent="0.25">
      <c r="A47" t="str">
        <f>IFERROR(IF(0=LEN(ReferenceData!$A$47),"",ReferenceData!$A$47),"")</f>
        <v xml:space="preserve">                    Retail</v>
      </c>
      <c r="B47" t="str">
        <f>IFERROR(IF(0=LEN(ReferenceData!$B$47),"",ReferenceData!$B$47),"")</f>
        <v>KER FP Equity</v>
      </c>
      <c r="C47" t="str">
        <f>IFERROR(IF(0=LEN(ReferenceData!$C$47),"",ReferenceData!$C$47),"")</f>
        <v>BI047</v>
      </c>
      <c r="D47" t="str">
        <f>IFERROR(IF(0=LEN(ReferenceData!$D$47),"",ReferenceData!$D$47),"")</f>
        <v>BICS_SEGMENT_DATA</v>
      </c>
      <c r="E47" t="str">
        <f>IFERROR(IF(0=LEN(ReferenceData!$E$47),"",ReferenceData!$E$47),"")</f>
        <v>Dynamic</v>
      </c>
      <c r="F47" t="str">
        <f ca="1">IFERROR(IF(0=LEN(ReferenceData!$F$47),"",ReferenceData!$F$47),"")</f>
        <v/>
      </c>
      <c r="G47">
        <f ca="1">IFERROR(IF(0=LEN(ReferenceData!$G$47),"",ReferenceData!$G$47),"")</f>
        <v>6</v>
      </c>
      <c r="H47">
        <f ca="1">IFERROR(IF(0=LEN(ReferenceData!$H$47),"",ReferenceData!$H$47),"")</f>
        <v>72</v>
      </c>
      <c r="I47">
        <f ca="1">IFERROR(IF(0=LEN(ReferenceData!$I$47),"",ReferenceData!$I$47),"")</f>
        <v>24</v>
      </c>
      <c r="J47">
        <f ca="1">IFERROR(IF(0=LEN(ReferenceData!$J$47),"",ReferenceData!$J$47),"")</f>
        <v>-5</v>
      </c>
      <c r="K47">
        <f ca="1">IFERROR(IF(0=LEN(ReferenceData!$K$47),"",ReferenceData!$K$47),"")</f>
        <v>12</v>
      </c>
      <c r="L47">
        <f ca="1">IFERROR(IF(0=LEN(ReferenceData!$L$47),"",ReferenceData!$L$47),"")</f>
        <v>-34</v>
      </c>
      <c r="M47">
        <f ca="1">IFERROR(IF(0=LEN(ReferenceData!$M$47),"",ReferenceData!$M$47),"")</f>
        <v>-1</v>
      </c>
      <c r="N47">
        <f ca="1">IFERROR(IF(0=LEN(ReferenceData!$N$47),"",ReferenceData!$N$47),"")</f>
        <v>7</v>
      </c>
      <c r="O47">
        <f ca="1">IFERROR(IF(0=LEN(ReferenceData!$O$47),"",ReferenceData!$O$47),"")</f>
        <v>8</v>
      </c>
      <c r="P47">
        <f ca="1">IFERROR(IF(0=LEN(ReferenceData!$P$47),"",ReferenceData!$P$47),"")</f>
        <v>0.5</v>
      </c>
      <c r="Q47">
        <f ca="1">IFERROR(IF(0=LEN(ReferenceData!$Q$47),"",ReferenceData!$Q$47),"")</f>
        <v>-10</v>
      </c>
      <c r="R47">
        <f ca="1">IFERROR(IF(0=LEN(ReferenceData!$R$47),"",ReferenceData!$R$47),"")</f>
        <v>4</v>
      </c>
      <c r="S47">
        <f ca="1">IFERROR(IF(0=LEN(ReferenceData!$S$47),"",ReferenceData!$S$47),"")</f>
        <v>-10</v>
      </c>
      <c r="T47">
        <f ca="1">IFERROR(IF(0=LEN(ReferenceData!$T$47),"",ReferenceData!$T$47),"")</f>
        <v>-5</v>
      </c>
      <c r="U47">
        <f ca="1">IFERROR(IF(0=LEN(ReferenceData!$U$47),"",ReferenceData!$U$47),"")</f>
        <v>2</v>
      </c>
      <c r="V47">
        <f ca="1">IFERROR(IF(0=LEN(ReferenceData!$V$47),"",ReferenceData!$V$47),"")</f>
        <v>6</v>
      </c>
      <c r="W47">
        <f ca="1">IFERROR(IF(0=LEN(ReferenceData!$W$47),"",ReferenceData!$W$47),"")</f>
        <v>3</v>
      </c>
      <c r="X47">
        <f ca="1">IFERROR(IF(0=LEN(ReferenceData!$X$47),"",ReferenceData!$X$47),"")</f>
        <v>4</v>
      </c>
      <c r="Y47">
        <f ca="1">IFERROR(IF(0=LEN(ReferenceData!$Y$47),"",ReferenceData!$Y$47),"")</f>
        <v>4</v>
      </c>
      <c r="Z47">
        <f ca="1">IFERROR(IF(0=LEN(ReferenceData!$Z$47),"",ReferenceData!$Z$47),"")</f>
        <v>-7</v>
      </c>
      <c r="AA47">
        <f ca="1">IFERROR(IF(0=LEN(ReferenceData!$AA$47),"",ReferenceData!$AA$47),"")</f>
        <v>-8</v>
      </c>
      <c r="AB47">
        <f ca="1">IFERROR(IF(0=LEN(ReferenceData!$AB$47),"",ReferenceData!$AB$47),"")</f>
        <v>-11</v>
      </c>
      <c r="AC47">
        <f ca="1">IFERROR(IF(0=LEN(ReferenceData!$AC$47),"",ReferenceData!$AC$47),"")</f>
        <v>-10</v>
      </c>
      <c r="AD47" t="str">
        <f ca="1">IFERROR(IF(0=LEN(ReferenceData!$AD$47),"",ReferenceData!$AD$47),"")</f>
        <v/>
      </c>
      <c r="AE47">
        <f ca="1">IFERROR(IF(0=LEN(ReferenceData!$AE$47),"",ReferenceData!$AE$47),"")</f>
        <v>4</v>
      </c>
      <c r="AF47">
        <f ca="1">IFERROR(IF(0=LEN(ReferenceData!$AF$47),"",ReferenceData!$AF$47),"")</f>
        <v>12</v>
      </c>
      <c r="AG47">
        <f ca="1">IFERROR(IF(0=LEN(ReferenceData!$AG$47),"",ReferenceData!$AG$47),"")</f>
        <v>2</v>
      </c>
      <c r="AH47" t="str">
        <f ca="1">IFERROR(IF(0=LEN(ReferenceData!$AH$47),"",ReferenceData!$AH$47),"")</f>
        <v/>
      </c>
      <c r="AI47" t="str">
        <f ca="1">IFERROR(IF(0=LEN(ReferenceData!$AI$47),"",ReferenceData!$AI$47),"")</f>
        <v/>
      </c>
      <c r="AJ47" t="str">
        <f ca="1">IFERROR(IF(0=LEN(ReferenceData!$AJ$47),"",ReferenceData!$AJ$47),"")</f>
        <v/>
      </c>
      <c r="AK47">
        <f ca="1">IFERROR(IF(0=LEN(ReferenceData!$AK$47),"",ReferenceData!$AK$47),"")</f>
        <v>18</v>
      </c>
      <c r="AL47" t="str">
        <f ca="1">IFERROR(IF(0=LEN(ReferenceData!$AL$47),"",ReferenceData!$AL$47),"")</f>
        <v/>
      </c>
      <c r="AM47" t="str">
        <f ca="1">IFERROR(IF(0=LEN(ReferenceData!$AM$47),"",ReferenceData!$AM$47),"")</f>
        <v/>
      </c>
      <c r="AN47" t="str">
        <f ca="1">IFERROR(IF(0=LEN(ReferenceData!$AN$47),"",ReferenceData!$AN$47),"")</f>
        <v/>
      </c>
      <c r="AO47" t="str">
        <f ca="1">IFERROR(IF(0=LEN(ReferenceData!$AO$47),"",ReferenceData!$AO$47),"")</f>
        <v/>
      </c>
      <c r="AP47" t="str">
        <f ca="1">IFERROR(IF(0=LEN(ReferenceData!$AP$47),"",ReferenceData!$AP$47),"")</f>
        <v/>
      </c>
      <c r="AQ47" t="str">
        <f ca="1">IFERROR(IF(0=LEN(ReferenceData!$AQ$47),"",ReferenceData!$AQ$47),"")</f>
        <v/>
      </c>
      <c r="AR47" t="str">
        <f ca="1">IFERROR(IF(0=LEN(ReferenceData!$AR$47),"",ReferenceData!$AR$47),"")</f>
        <v/>
      </c>
      <c r="AS47" t="str">
        <f ca="1">IFERROR(IF(0=LEN(ReferenceData!$AS$47),"",ReferenceData!$AS$47),"")</f>
        <v/>
      </c>
      <c r="AT47" t="str">
        <f ca="1">IFERROR(IF(0=LEN(ReferenceData!$AT$47),"",ReferenceData!$AT$47),"")</f>
        <v/>
      </c>
      <c r="AU47" t="str">
        <f ca="1">IFERROR(IF(0=LEN(ReferenceData!$AU$47),"",ReferenceData!$AU$47),"")</f>
        <v/>
      </c>
      <c r="AV47" t="str">
        <f ca="1">IFERROR(IF(0=LEN(ReferenceData!$AV$47),"",ReferenceData!$AV$47),"")</f>
        <v/>
      </c>
      <c r="AW47" t="str">
        <f ca="1">IFERROR(IF(0=LEN(ReferenceData!$AW$47),"",ReferenceData!$AW$47),"")</f>
        <v/>
      </c>
      <c r="AX47" t="str">
        <f ca="1">IFERROR(IF(0=LEN(ReferenceData!$AX$47),"",ReferenceData!$AX$47),"")</f>
        <v/>
      </c>
      <c r="AY47" t="str">
        <f ca="1">IFERROR(IF(0=LEN(ReferenceData!$AY$47),"",ReferenceData!$AY$47),"")</f>
        <v/>
      </c>
      <c r="AZ47" t="str">
        <f ca="1">IFERROR(IF(0=LEN(ReferenceData!$AZ$47),"",ReferenceData!$AZ$47),"")</f>
        <v/>
      </c>
      <c r="BA47" t="str">
        <f ca="1">IFERROR(IF(0=LEN(ReferenceData!$BA$47),"",ReferenceData!$BA$47),"")</f>
        <v/>
      </c>
      <c r="BB47" t="str">
        <f ca="1">IFERROR(IF(0=LEN(ReferenceData!$BB$47),"",ReferenceData!$BB$47),"")</f>
        <v/>
      </c>
      <c r="BC47" t="str">
        <f ca="1">IFERROR(IF(0=LEN(ReferenceData!$BC$47),"",ReferenceData!$BC$47),"")</f>
        <v/>
      </c>
      <c r="BD47" t="str">
        <f ca="1">IFERROR(IF(0=LEN(ReferenceData!$BD$47),"",ReferenceData!$BD$47),"")</f>
        <v/>
      </c>
      <c r="BE47" t="str">
        <f ca="1">IFERROR(IF(0=LEN(ReferenceData!$BE$47),"",ReferenceData!$BE$47),"")</f>
        <v/>
      </c>
      <c r="BF47" t="str">
        <f ca="1">IFERROR(IF(0=LEN(ReferenceData!$BF$47),"",ReferenceData!$BF$47),"")</f>
        <v/>
      </c>
      <c r="BG47" t="str">
        <f ca="1">IFERROR(IF(0=LEN(ReferenceData!$BG$47),"",ReferenceData!$BG$47),"")</f>
        <v/>
      </c>
      <c r="BH47" t="str">
        <f ca="1">IFERROR(IF(0=LEN(ReferenceData!$BH$47),"",ReferenceData!$BH$47),"")</f>
        <v/>
      </c>
      <c r="BI47" t="str">
        <f ca="1">IFERROR(IF(0=LEN(ReferenceData!$BI$47),"",ReferenceData!$BI$47),"")</f>
        <v/>
      </c>
      <c r="BJ47" t="str">
        <f ca="1">IFERROR(IF(0=LEN(ReferenceData!$BJ$47),"",ReferenceData!$BJ$47),"")</f>
        <v/>
      </c>
      <c r="BK47" t="str">
        <f ca="1">IFERROR(IF(0=LEN(ReferenceData!$BK$47),"",ReferenceData!$BK$47),"")</f>
        <v/>
      </c>
      <c r="BL47" t="str">
        <f ca="1">IFERROR(IF(0=LEN(ReferenceData!$BL$47),"",ReferenceData!$BL$47),"")</f>
        <v/>
      </c>
      <c r="BM47" t="str">
        <f ca="1">IFERROR(IF(0=LEN(ReferenceData!$BM$47),"",ReferenceData!$BM$47),"")</f>
        <v/>
      </c>
    </row>
    <row r="48" spans="1:65" x14ac:dyDescent="0.25">
      <c r="A48" t="str">
        <f>IFERROR(IF(0=LEN(ReferenceData!$A$48),"",ReferenceData!$A$48),"")</f>
        <v xml:space="preserve">                        Western Europe</v>
      </c>
      <c r="B48" t="str">
        <f>IFERROR(IF(0=LEN(ReferenceData!$B$48),"",ReferenceData!$B$48),"")</f>
        <v>KER FP Equity</v>
      </c>
      <c r="C48" t="str">
        <f>IFERROR(IF(0=LEN(ReferenceData!$C$48),"",ReferenceData!$C$48),"")</f>
        <v>BI047</v>
      </c>
      <c r="D48" t="str">
        <f>IFERROR(IF(0=LEN(ReferenceData!$D$48),"",ReferenceData!$D$48),"")</f>
        <v>BICS_SEGMENT_DATA</v>
      </c>
      <c r="E48" t="str">
        <f>IFERROR(IF(0=LEN(ReferenceData!$E$48),"",ReferenceData!$E$48),"")</f>
        <v>Dynamic</v>
      </c>
      <c r="F48" t="str">
        <f ca="1">IFERROR(IF(0=LEN(ReferenceData!$F$48),"",ReferenceData!$F$48),"")</f>
        <v/>
      </c>
      <c r="G48">
        <f ca="1">IFERROR(IF(0=LEN(ReferenceData!$G$48),"",ReferenceData!$G$48),"")</f>
        <v>7</v>
      </c>
      <c r="H48">
        <f ca="1">IFERROR(IF(0=LEN(ReferenceData!$H$48),"",ReferenceData!$H$48),"")</f>
        <v>46</v>
      </c>
      <c r="I48">
        <f ca="1">IFERROR(IF(0=LEN(ReferenceData!$I$48),"",ReferenceData!$I$48),"")</f>
        <v>-43</v>
      </c>
      <c r="J48">
        <f ca="1">IFERROR(IF(0=LEN(ReferenceData!$J$48),"",ReferenceData!$J$48),"")</f>
        <v>-39</v>
      </c>
      <c r="K48">
        <f ca="1">IFERROR(IF(0=LEN(ReferenceData!$K$48),"",ReferenceData!$K$48),"")</f>
        <v>-26</v>
      </c>
      <c r="L48">
        <f ca="1">IFERROR(IF(0=LEN(ReferenceData!$L$48),"",ReferenceData!$L$48),"")</f>
        <v>-58</v>
      </c>
      <c r="M48">
        <f ca="1">IFERROR(IF(0=LEN(ReferenceData!$M$48),"",ReferenceData!$M$48),"")</f>
        <v>25</v>
      </c>
      <c r="N48">
        <f ca="1">IFERROR(IF(0=LEN(ReferenceData!$N$48),"",ReferenceData!$N$48),"")</f>
        <v>20</v>
      </c>
      <c r="O48">
        <f ca="1">IFERROR(IF(0=LEN(ReferenceData!$O$48),"",ReferenceData!$O$48),"")</f>
        <v>10</v>
      </c>
      <c r="P48">
        <f ca="1">IFERROR(IF(0=LEN(ReferenceData!$P$48),"",ReferenceData!$P$48),"")</f>
        <v>3</v>
      </c>
      <c r="Q48">
        <f ca="1">IFERROR(IF(0=LEN(ReferenceData!$Q$48),"",ReferenceData!$Q$48),"")</f>
        <v>-5</v>
      </c>
      <c r="R48">
        <f ca="1">IFERROR(IF(0=LEN(ReferenceData!$R$48),"",ReferenceData!$R$48),"")</f>
        <v>-8</v>
      </c>
      <c r="S48">
        <f ca="1">IFERROR(IF(0=LEN(ReferenceData!$S$48),"",ReferenceData!$S$48),"")</f>
        <v>-13</v>
      </c>
      <c r="T48">
        <f ca="1">IFERROR(IF(0=LEN(ReferenceData!$T$48),"",ReferenceData!$T$48),"")</f>
        <v>-14</v>
      </c>
      <c r="U48">
        <f ca="1">IFERROR(IF(0=LEN(ReferenceData!$U$48),"",ReferenceData!$U$48),"")</f>
        <v>-13</v>
      </c>
      <c r="V48">
        <f ca="1">IFERROR(IF(0=LEN(ReferenceData!$V$48),"",ReferenceData!$V$48),"")</f>
        <v>1</v>
      </c>
      <c r="W48">
        <f ca="1">IFERROR(IF(0=LEN(ReferenceData!$W$48),"",ReferenceData!$W$48),"")</f>
        <v>3</v>
      </c>
      <c r="X48">
        <f ca="1">IFERROR(IF(0=LEN(ReferenceData!$X$48),"",ReferenceData!$X$48),"")</f>
        <v>14</v>
      </c>
      <c r="Y48">
        <f ca="1">IFERROR(IF(0=LEN(ReferenceData!$Y$48),"",ReferenceData!$Y$48),"")</f>
        <v>14</v>
      </c>
      <c r="Z48" t="str">
        <f ca="1">IFERROR(IF(0=LEN(ReferenceData!$Z$48),"",ReferenceData!$Z$48),"")</f>
        <v/>
      </c>
      <c r="AA48">
        <f ca="1">IFERROR(IF(0=LEN(ReferenceData!$AA$48),"",ReferenceData!$AA$48),"")</f>
        <v>-17</v>
      </c>
      <c r="AB48">
        <f ca="1">IFERROR(IF(0=LEN(ReferenceData!$AB$48),"",ReferenceData!$AB$48),"")</f>
        <v>-25</v>
      </c>
      <c r="AC48">
        <f ca="1">IFERROR(IF(0=LEN(ReferenceData!$AC$48),"",ReferenceData!$AC$48),"")</f>
        <v>-17</v>
      </c>
      <c r="AD48" t="str">
        <f ca="1">IFERROR(IF(0=LEN(ReferenceData!$AD$48),"",ReferenceData!$AD$48),"")</f>
        <v/>
      </c>
      <c r="AE48">
        <f ca="1">IFERROR(IF(0=LEN(ReferenceData!$AE$48),"",ReferenceData!$AE$48),"")</f>
        <v>33</v>
      </c>
      <c r="AF48">
        <f ca="1">IFERROR(IF(0=LEN(ReferenceData!$AF$48),"",ReferenceData!$AF$48),"")</f>
        <v>52</v>
      </c>
      <c r="AG48">
        <f ca="1">IFERROR(IF(0=LEN(ReferenceData!$AG$48),"",ReferenceData!$AG$48),"")</f>
        <v>34</v>
      </c>
      <c r="AH48" t="str">
        <f ca="1">IFERROR(IF(0=LEN(ReferenceData!$AH$48),"",ReferenceData!$AH$48),"")</f>
        <v/>
      </c>
      <c r="AI48" t="str">
        <f ca="1">IFERROR(IF(0=LEN(ReferenceData!$AI$48),"",ReferenceData!$AI$48),"")</f>
        <v/>
      </c>
      <c r="AJ48" t="str">
        <f ca="1">IFERROR(IF(0=LEN(ReferenceData!$AJ$48),"",ReferenceData!$AJ$48),"")</f>
        <v/>
      </c>
      <c r="AK48">
        <f ca="1">IFERROR(IF(0=LEN(ReferenceData!$AK$48),"",ReferenceData!$AK$48),"")</f>
        <v>10</v>
      </c>
      <c r="AL48" t="str">
        <f ca="1">IFERROR(IF(0=LEN(ReferenceData!$AL$48),"",ReferenceData!$AL$48),"")</f>
        <v/>
      </c>
      <c r="AM48" t="str">
        <f ca="1">IFERROR(IF(0=LEN(ReferenceData!$AM$48),"",ReferenceData!$AM$48),"")</f>
        <v/>
      </c>
      <c r="AN48" t="str">
        <f ca="1">IFERROR(IF(0=LEN(ReferenceData!$AN$48),"",ReferenceData!$AN$48),"")</f>
        <v/>
      </c>
      <c r="AO48">
        <f ca="1">IFERROR(IF(0=LEN(ReferenceData!$AO$48),"",ReferenceData!$AO$48),"")</f>
        <v>5</v>
      </c>
      <c r="AP48" t="str">
        <f ca="1">IFERROR(IF(0=LEN(ReferenceData!$AP$48),"",ReferenceData!$AP$48),"")</f>
        <v/>
      </c>
      <c r="AQ48" t="str">
        <f ca="1">IFERROR(IF(0=LEN(ReferenceData!$AQ$48),"",ReferenceData!$AQ$48),"")</f>
        <v/>
      </c>
      <c r="AR48" t="str">
        <f ca="1">IFERROR(IF(0=LEN(ReferenceData!$AR$48),"",ReferenceData!$AR$48),"")</f>
        <v/>
      </c>
      <c r="AS48" t="str">
        <f ca="1">IFERROR(IF(0=LEN(ReferenceData!$AS$48),"",ReferenceData!$AS$48),"")</f>
        <v/>
      </c>
      <c r="AT48" t="str">
        <f ca="1">IFERROR(IF(0=LEN(ReferenceData!$AT$48),"",ReferenceData!$AT$48),"")</f>
        <v/>
      </c>
      <c r="AU48" t="str">
        <f ca="1">IFERROR(IF(0=LEN(ReferenceData!$AU$48),"",ReferenceData!$AU$48),"")</f>
        <v/>
      </c>
      <c r="AV48" t="str">
        <f ca="1">IFERROR(IF(0=LEN(ReferenceData!$AV$48),"",ReferenceData!$AV$48),"")</f>
        <v/>
      </c>
      <c r="AW48" t="str">
        <f ca="1">IFERROR(IF(0=LEN(ReferenceData!$AW$48),"",ReferenceData!$AW$48),"")</f>
        <v/>
      </c>
      <c r="AX48" t="str">
        <f ca="1">IFERROR(IF(0=LEN(ReferenceData!$AX$48),"",ReferenceData!$AX$48),"")</f>
        <v/>
      </c>
      <c r="AY48" t="str">
        <f ca="1">IFERROR(IF(0=LEN(ReferenceData!$AY$48),"",ReferenceData!$AY$48),"")</f>
        <v/>
      </c>
      <c r="AZ48" t="str">
        <f ca="1">IFERROR(IF(0=LEN(ReferenceData!$AZ$48),"",ReferenceData!$AZ$48),"")</f>
        <v/>
      </c>
      <c r="BA48" t="str">
        <f ca="1">IFERROR(IF(0=LEN(ReferenceData!$BA$48),"",ReferenceData!$BA$48),"")</f>
        <v/>
      </c>
      <c r="BB48" t="str">
        <f ca="1">IFERROR(IF(0=LEN(ReferenceData!$BB$48),"",ReferenceData!$BB$48),"")</f>
        <v/>
      </c>
      <c r="BC48" t="str">
        <f ca="1">IFERROR(IF(0=LEN(ReferenceData!$BC$48),"",ReferenceData!$BC$48),"")</f>
        <v/>
      </c>
      <c r="BD48" t="str">
        <f ca="1">IFERROR(IF(0=LEN(ReferenceData!$BD$48),"",ReferenceData!$BD$48),"")</f>
        <v/>
      </c>
      <c r="BE48" t="str">
        <f ca="1">IFERROR(IF(0=LEN(ReferenceData!$BE$48),"",ReferenceData!$BE$48),"")</f>
        <v/>
      </c>
      <c r="BF48" t="str">
        <f ca="1">IFERROR(IF(0=LEN(ReferenceData!$BF$48),"",ReferenceData!$BF$48),"")</f>
        <v/>
      </c>
      <c r="BG48" t="str">
        <f ca="1">IFERROR(IF(0=LEN(ReferenceData!$BG$48),"",ReferenceData!$BG$48),"")</f>
        <v/>
      </c>
      <c r="BH48" t="str">
        <f ca="1">IFERROR(IF(0=LEN(ReferenceData!$BH$48),"",ReferenceData!$BH$48),"")</f>
        <v/>
      </c>
      <c r="BI48" t="str">
        <f ca="1">IFERROR(IF(0=LEN(ReferenceData!$BI$48),"",ReferenceData!$BI$48),"")</f>
        <v/>
      </c>
      <c r="BJ48" t="str">
        <f ca="1">IFERROR(IF(0=LEN(ReferenceData!$BJ$48),"",ReferenceData!$BJ$48),"")</f>
        <v/>
      </c>
      <c r="BK48" t="str">
        <f ca="1">IFERROR(IF(0=LEN(ReferenceData!$BK$48),"",ReferenceData!$BK$48),"")</f>
        <v/>
      </c>
      <c r="BL48" t="str">
        <f ca="1">IFERROR(IF(0=LEN(ReferenceData!$BL$48),"",ReferenceData!$BL$48),"")</f>
        <v/>
      </c>
      <c r="BM48" t="str">
        <f ca="1">IFERROR(IF(0=LEN(ReferenceData!$BM$48),"",ReferenceData!$BM$48),"")</f>
        <v/>
      </c>
    </row>
    <row r="49" spans="1:65" x14ac:dyDescent="0.25">
      <c r="A49" t="str">
        <f>IFERROR(IF(0=LEN(ReferenceData!$A$49),"",ReferenceData!$A$49),"")</f>
        <v xml:space="preserve">                        North America</v>
      </c>
      <c r="B49" t="str">
        <f>IFERROR(IF(0=LEN(ReferenceData!$B$49),"",ReferenceData!$B$49),"")</f>
        <v>KER FP Equity</v>
      </c>
      <c r="C49" t="str">
        <f>IFERROR(IF(0=LEN(ReferenceData!$C$49),"",ReferenceData!$C$49),"")</f>
        <v>BI047</v>
      </c>
      <c r="D49" t="str">
        <f>IFERROR(IF(0=LEN(ReferenceData!$D$49),"",ReferenceData!$D$49),"")</f>
        <v>BICS_SEGMENT_DATA</v>
      </c>
      <c r="E49" t="str">
        <f>IFERROR(IF(0=LEN(ReferenceData!$E$49),"",ReferenceData!$E$49),"")</f>
        <v>Dynamic</v>
      </c>
      <c r="F49" t="str">
        <f ca="1">IFERROR(IF(0=LEN(ReferenceData!$F$49),"",ReferenceData!$F$49),"")</f>
        <v/>
      </c>
      <c r="G49">
        <f ca="1">IFERROR(IF(0=LEN(ReferenceData!$G$49),"",ReferenceData!$G$49),"")</f>
        <v>52</v>
      </c>
      <c r="H49">
        <f ca="1">IFERROR(IF(0=LEN(ReferenceData!$H$49),"",ReferenceData!$H$49),"")</f>
        <v>472</v>
      </c>
      <c r="I49">
        <f ca="1">IFERROR(IF(0=LEN(ReferenceData!$I$49),"",ReferenceData!$I$49),"")</f>
        <v>14</v>
      </c>
      <c r="J49">
        <f ca="1">IFERROR(IF(0=LEN(ReferenceData!$J$49),"",ReferenceData!$J$49),"")</f>
        <v>-1</v>
      </c>
      <c r="K49">
        <f ca="1">IFERROR(IF(0=LEN(ReferenceData!$K$49),"",ReferenceData!$K$49),"")</f>
        <v>15</v>
      </c>
      <c r="L49">
        <f ca="1">IFERROR(IF(0=LEN(ReferenceData!$L$49),"",ReferenceData!$L$49),"")</f>
        <v>-70</v>
      </c>
      <c r="M49">
        <f ca="1">IFERROR(IF(0=LEN(ReferenceData!$M$49),"",ReferenceData!$M$49),"")</f>
        <v>31</v>
      </c>
      <c r="N49">
        <f ca="1">IFERROR(IF(0=LEN(ReferenceData!$N$49),"",ReferenceData!$N$49),"")</f>
        <v>19</v>
      </c>
      <c r="O49">
        <f ca="1">IFERROR(IF(0=LEN(ReferenceData!$O$49),"",ReferenceData!$O$49),"")</f>
        <v>17</v>
      </c>
      <c r="P49">
        <f ca="1">IFERROR(IF(0=LEN(ReferenceData!$P$49),"",ReferenceData!$P$49),"")</f>
        <v>0</v>
      </c>
      <c r="Q49">
        <f ca="1">IFERROR(IF(0=LEN(ReferenceData!$Q$49),"",ReferenceData!$Q$49),"")</f>
        <v>-14</v>
      </c>
      <c r="R49">
        <f ca="1">IFERROR(IF(0=LEN(ReferenceData!$R$49),"",ReferenceData!$R$49),"")</f>
        <v>-9</v>
      </c>
      <c r="S49">
        <f ca="1">IFERROR(IF(0=LEN(ReferenceData!$S$49),"",ReferenceData!$S$49),"")</f>
        <v>-5</v>
      </c>
      <c r="T49">
        <f ca="1">IFERROR(IF(0=LEN(ReferenceData!$T$49),"",ReferenceData!$T$49),"")</f>
        <v>4</v>
      </c>
      <c r="U49">
        <f ca="1">IFERROR(IF(0=LEN(ReferenceData!$U$49),"",ReferenceData!$U$49),"")</f>
        <v>11</v>
      </c>
      <c r="V49">
        <f ca="1">IFERROR(IF(0=LEN(ReferenceData!$V$49),"",ReferenceData!$V$49),"")</f>
        <v>14</v>
      </c>
      <c r="W49">
        <f ca="1">IFERROR(IF(0=LEN(ReferenceData!$W$49),"",ReferenceData!$W$49),"")</f>
        <v>-10</v>
      </c>
      <c r="X49">
        <f ca="1">IFERROR(IF(0=LEN(ReferenceData!$X$49),"",ReferenceData!$X$49),"")</f>
        <v>-5</v>
      </c>
      <c r="Y49">
        <f ca="1">IFERROR(IF(0=LEN(ReferenceData!$Y$49),"",ReferenceData!$Y$49),"")</f>
        <v>-8</v>
      </c>
      <c r="Z49" t="str">
        <f ca="1">IFERROR(IF(0=LEN(ReferenceData!$Z$49),"",ReferenceData!$Z$49),"")</f>
        <v/>
      </c>
      <c r="AA49">
        <f ca="1">IFERROR(IF(0=LEN(ReferenceData!$AA$49),"",ReferenceData!$AA$49),"")</f>
        <v>-12</v>
      </c>
      <c r="AB49">
        <f ca="1">IFERROR(IF(0=LEN(ReferenceData!$AB$49),"",ReferenceData!$AB$49),"")</f>
        <v>-18</v>
      </c>
      <c r="AC49">
        <f ca="1">IFERROR(IF(0=LEN(ReferenceData!$AC$49),"",ReferenceData!$AC$49),"")</f>
        <v>-22</v>
      </c>
      <c r="AD49" t="str">
        <f ca="1">IFERROR(IF(0=LEN(ReferenceData!$AD$49),"",ReferenceData!$AD$49),"")</f>
        <v/>
      </c>
      <c r="AE49">
        <f ca="1">IFERROR(IF(0=LEN(ReferenceData!$AE$49),"",ReferenceData!$AE$49),"")</f>
        <v>-13</v>
      </c>
      <c r="AF49">
        <f ca="1">IFERROR(IF(0=LEN(ReferenceData!$AF$49),"",ReferenceData!$AF$49),"")</f>
        <v>-2</v>
      </c>
      <c r="AG49">
        <f ca="1">IFERROR(IF(0=LEN(ReferenceData!$AG$49),"",ReferenceData!$AG$49),"")</f>
        <v>0</v>
      </c>
      <c r="AH49" t="str">
        <f ca="1">IFERROR(IF(0=LEN(ReferenceData!$AH$49),"",ReferenceData!$AH$49),"")</f>
        <v/>
      </c>
      <c r="AI49" t="str">
        <f ca="1">IFERROR(IF(0=LEN(ReferenceData!$AI$49),"",ReferenceData!$AI$49),"")</f>
        <v/>
      </c>
      <c r="AJ49" t="str">
        <f ca="1">IFERROR(IF(0=LEN(ReferenceData!$AJ$49),"",ReferenceData!$AJ$49),"")</f>
        <v/>
      </c>
      <c r="AK49">
        <f ca="1">IFERROR(IF(0=LEN(ReferenceData!$AK$49),"",ReferenceData!$AK$49),"")</f>
        <v>5</v>
      </c>
      <c r="AL49" t="str">
        <f ca="1">IFERROR(IF(0=LEN(ReferenceData!$AL$49),"",ReferenceData!$AL$49),"")</f>
        <v/>
      </c>
      <c r="AM49" t="str">
        <f ca="1">IFERROR(IF(0=LEN(ReferenceData!$AM$49),"",ReferenceData!$AM$49),"")</f>
        <v/>
      </c>
      <c r="AN49" t="str">
        <f ca="1">IFERROR(IF(0=LEN(ReferenceData!$AN$49),"",ReferenceData!$AN$49),"")</f>
        <v/>
      </c>
      <c r="AO49">
        <f ca="1">IFERROR(IF(0=LEN(ReferenceData!$AO$49),"",ReferenceData!$AO$49),"")</f>
        <v>2</v>
      </c>
      <c r="AP49" t="str">
        <f ca="1">IFERROR(IF(0=LEN(ReferenceData!$AP$49),"",ReferenceData!$AP$49),"")</f>
        <v/>
      </c>
      <c r="AQ49" t="str">
        <f ca="1">IFERROR(IF(0=LEN(ReferenceData!$AQ$49),"",ReferenceData!$AQ$49),"")</f>
        <v/>
      </c>
      <c r="AR49" t="str">
        <f ca="1">IFERROR(IF(0=LEN(ReferenceData!$AR$49),"",ReferenceData!$AR$49),"")</f>
        <v/>
      </c>
      <c r="AS49" t="str">
        <f ca="1">IFERROR(IF(0=LEN(ReferenceData!$AS$49),"",ReferenceData!$AS$49),"")</f>
        <v/>
      </c>
      <c r="AT49" t="str">
        <f ca="1">IFERROR(IF(0=LEN(ReferenceData!$AT$49),"",ReferenceData!$AT$49),"")</f>
        <v/>
      </c>
      <c r="AU49" t="str">
        <f ca="1">IFERROR(IF(0=LEN(ReferenceData!$AU$49),"",ReferenceData!$AU$49),"")</f>
        <v/>
      </c>
      <c r="AV49" t="str">
        <f ca="1">IFERROR(IF(0=LEN(ReferenceData!$AV$49),"",ReferenceData!$AV$49),"")</f>
        <v/>
      </c>
      <c r="AW49" t="str">
        <f ca="1">IFERROR(IF(0=LEN(ReferenceData!$AW$49),"",ReferenceData!$AW$49),"")</f>
        <v/>
      </c>
      <c r="AX49" t="str">
        <f ca="1">IFERROR(IF(0=LEN(ReferenceData!$AX$49),"",ReferenceData!$AX$49),"")</f>
        <v/>
      </c>
      <c r="AY49" t="str">
        <f ca="1">IFERROR(IF(0=LEN(ReferenceData!$AY$49),"",ReferenceData!$AY$49),"")</f>
        <v/>
      </c>
      <c r="AZ49" t="str">
        <f ca="1">IFERROR(IF(0=LEN(ReferenceData!$AZ$49),"",ReferenceData!$AZ$49),"")</f>
        <v/>
      </c>
      <c r="BA49" t="str">
        <f ca="1">IFERROR(IF(0=LEN(ReferenceData!$BA$49),"",ReferenceData!$BA$49),"")</f>
        <v/>
      </c>
      <c r="BB49" t="str">
        <f ca="1">IFERROR(IF(0=LEN(ReferenceData!$BB$49),"",ReferenceData!$BB$49),"")</f>
        <v/>
      </c>
      <c r="BC49" t="str">
        <f ca="1">IFERROR(IF(0=LEN(ReferenceData!$BC$49),"",ReferenceData!$BC$49),"")</f>
        <v/>
      </c>
      <c r="BD49" t="str">
        <f ca="1">IFERROR(IF(0=LEN(ReferenceData!$BD$49),"",ReferenceData!$BD$49),"")</f>
        <v/>
      </c>
      <c r="BE49" t="str">
        <f ca="1">IFERROR(IF(0=LEN(ReferenceData!$BE$49),"",ReferenceData!$BE$49),"")</f>
        <v/>
      </c>
      <c r="BF49" t="str">
        <f ca="1">IFERROR(IF(0=LEN(ReferenceData!$BF$49),"",ReferenceData!$BF$49),"")</f>
        <v/>
      </c>
      <c r="BG49" t="str">
        <f ca="1">IFERROR(IF(0=LEN(ReferenceData!$BG$49),"",ReferenceData!$BG$49),"")</f>
        <v/>
      </c>
      <c r="BH49" t="str">
        <f ca="1">IFERROR(IF(0=LEN(ReferenceData!$BH$49),"",ReferenceData!$BH$49),"")</f>
        <v/>
      </c>
      <c r="BI49" t="str">
        <f ca="1">IFERROR(IF(0=LEN(ReferenceData!$BI$49),"",ReferenceData!$BI$49),"")</f>
        <v/>
      </c>
      <c r="BJ49" t="str">
        <f ca="1">IFERROR(IF(0=LEN(ReferenceData!$BJ$49),"",ReferenceData!$BJ$49),"")</f>
        <v/>
      </c>
      <c r="BK49" t="str">
        <f ca="1">IFERROR(IF(0=LEN(ReferenceData!$BK$49),"",ReferenceData!$BK$49),"")</f>
        <v/>
      </c>
      <c r="BL49" t="str">
        <f ca="1">IFERROR(IF(0=LEN(ReferenceData!$BL$49),"",ReferenceData!$BL$49),"")</f>
        <v/>
      </c>
      <c r="BM49" t="str">
        <f ca="1">IFERROR(IF(0=LEN(ReferenceData!$BM$49),"",ReferenceData!$BM$49),"")</f>
        <v/>
      </c>
    </row>
    <row r="50" spans="1:65" x14ac:dyDescent="0.25">
      <c r="A50" t="str">
        <f>IFERROR(IF(0=LEN(ReferenceData!$A$50),"",ReferenceData!$A$50),"")</f>
        <v xml:space="preserve">                        Japan</v>
      </c>
      <c r="B50" t="str">
        <f>IFERROR(IF(0=LEN(ReferenceData!$B$50),"",ReferenceData!$B$50),"")</f>
        <v>KER FP Equity</v>
      </c>
      <c r="C50" t="str">
        <f>IFERROR(IF(0=LEN(ReferenceData!$C$50),"",ReferenceData!$C$50),"")</f>
        <v>BI047</v>
      </c>
      <c r="D50" t="str">
        <f>IFERROR(IF(0=LEN(ReferenceData!$D$50),"",ReferenceData!$D$50),"")</f>
        <v>BICS_SEGMENT_DATA</v>
      </c>
      <c r="E50" t="str">
        <f>IFERROR(IF(0=LEN(ReferenceData!$E$50),"",ReferenceData!$E$50),"")</f>
        <v>Dynamic</v>
      </c>
      <c r="F50" t="str">
        <f ca="1">IFERROR(IF(0=LEN(ReferenceData!$F$50),"",ReferenceData!$F$50),"")</f>
        <v/>
      </c>
      <c r="G50">
        <f ca="1">IFERROR(IF(0=LEN(ReferenceData!$G$50),"",ReferenceData!$G$50),"")</f>
        <v>10</v>
      </c>
      <c r="H50">
        <f ca="1">IFERROR(IF(0=LEN(ReferenceData!$H$50),"",ReferenceData!$H$50),"")</f>
        <v>108</v>
      </c>
      <c r="I50">
        <f ca="1">IFERROR(IF(0=LEN(ReferenceData!$I$50),"",ReferenceData!$I$50),"")</f>
        <v>15</v>
      </c>
      <c r="J50">
        <f ca="1">IFERROR(IF(0=LEN(ReferenceData!$J$50),"",ReferenceData!$J$50),"")</f>
        <v>3</v>
      </c>
      <c r="K50">
        <f ca="1">IFERROR(IF(0=LEN(ReferenceData!$K$50),"",ReferenceData!$K$50),"")</f>
        <v>-17</v>
      </c>
      <c r="L50">
        <f ca="1">IFERROR(IF(0=LEN(ReferenceData!$L$50),"",ReferenceData!$L$50),"")</f>
        <v>-61</v>
      </c>
      <c r="M50">
        <f ca="1">IFERROR(IF(0=LEN(ReferenceData!$M$50),"",ReferenceData!$M$50),"")</f>
        <v>-19</v>
      </c>
      <c r="N50">
        <f ca="1">IFERROR(IF(0=LEN(ReferenceData!$N$50),"",ReferenceData!$N$50),"")</f>
        <v>-15</v>
      </c>
      <c r="O50">
        <f ca="1">IFERROR(IF(0=LEN(ReferenceData!$O$50),"",ReferenceData!$O$50),"")</f>
        <v>4</v>
      </c>
      <c r="P50">
        <f ca="1">IFERROR(IF(0=LEN(ReferenceData!$P$50),"",ReferenceData!$P$50),"")</f>
        <v>2</v>
      </c>
      <c r="Q50">
        <f ca="1">IFERROR(IF(0=LEN(ReferenceData!$Q$50),"",ReferenceData!$Q$50),"")</f>
        <v>-9</v>
      </c>
      <c r="R50">
        <f ca="1">IFERROR(IF(0=LEN(ReferenceData!$R$50),"",ReferenceData!$R$50),"")</f>
        <v>0</v>
      </c>
      <c r="S50">
        <f ca="1">IFERROR(IF(0=LEN(ReferenceData!$S$50),"",ReferenceData!$S$50),"")</f>
        <v>-8</v>
      </c>
      <c r="T50">
        <f ca="1">IFERROR(IF(0=LEN(ReferenceData!$T$50),"",ReferenceData!$T$50),"")</f>
        <v>-2</v>
      </c>
      <c r="U50">
        <f ca="1">IFERROR(IF(0=LEN(ReferenceData!$U$50),"",ReferenceData!$U$50),"")</f>
        <v>6</v>
      </c>
      <c r="V50">
        <f ca="1">IFERROR(IF(0=LEN(ReferenceData!$V$50),"",ReferenceData!$V$50),"")</f>
        <v>10</v>
      </c>
      <c r="W50">
        <f ca="1">IFERROR(IF(0=LEN(ReferenceData!$W$50),"",ReferenceData!$W$50),"")</f>
        <v>10</v>
      </c>
      <c r="X50">
        <f ca="1">IFERROR(IF(0=LEN(ReferenceData!$X$50),"",ReferenceData!$X$50),"")</f>
        <v>3</v>
      </c>
      <c r="Y50">
        <f ca="1">IFERROR(IF(0=LEN(ReferenceData!$Y$50),"",ReferenceData!$Y$50),"")</f>
        <v>-6</v>
      </c>
      <c r="Z50" t="str">
        <f ca="1">IFERROR(IF(0=LEN(ReferenceData!$Z$50),"",ReferenceData!$Z$50),"")</f>
        <v/>
      </c>
      <c r="AA50">
        <f ca="1">IFERROR(IF(0=LEN(ReferenceData!$AA$50),"",ReferenceData!$AA$50),"")</f>
        <v>-17</v>
      </c>
      <c r="AB50">
        <f ca="1">IFERROR(IF(0=LEN(ReferenceData!$AB$50),"",ReferenceData!$AB$50),"")</f>
        <v>-19</v>
      </c>
      <c r="AC50">
        <f ca="1">IFERROR(IF(0=LEN(ReferenceData!$AC$50),"",ReferenceData!$AC$50),"")</f>
        <v>-8</v>
      </c>
      <c r="AD50" t="str">
        <f ca="1">IFERROR(IF(0=LEN(ReferenceData!$AD$50),"",ReferenceData!$AD$50),"")</f>
        <v/>
      </c>
      <c r="AE50">
        <f ca="1">IFERROR(IF(0=LEN(ReferenceData!$AE$50),"",ReferenceData!$AE$50),"")</f>
        <v>15</v>
      </c>
      <c r="AF50">
        <f ca="1">IFERROR(IF(0=LEN(ReferenceData!$AF$50),"",ReferenceData!$AF$50),"")</f>
        <v>27</v>
      </c>
      <c r="AG50">
        <f ca="1">IFERROR(IF(0=LEN(ReferenceData!$AG$50),"",ReferenceData!$AG$50),"")</f>
        <v>-2</v>
      </c>
      <c r="AH50" t="str">
        <f ca="1">IFERROR(IF(0=LEN(ReferenceData!$AH$50),"",ReferenceData!$AH$50),"")</f>
        <v/>
      </c>
      <c r="AI50" t="str">
        <f ca="1">IFERROR(IF(0=LEN(ReferenceData!$AI$50),"",ReferenceData!$AI$50),"")</f>
        <v/>
      </c>
      <c r="AJ50" t="str">
        <f ca="1">IFERROR(IF(0=LEN(ReferenceData!$AJ$50),"",ReferenceData!$AJ$50),"")</f>
        <v/>
      </c>
      <c r="AK50">
        <f ca="1">IFERROR(IF(0=LEN(ReferenceData!$AK$50),"",ReferenceData!$AK$50),"")</f>
        <v>42</v>
      </c>
      <c r="AL50" t="str">
        <f ca="1">IFERROR(IF(0=LEN(ReferenceData!$AL$50),"",ReferenceData!$AL$50),"")</f>
        <v/>
      </c>
      <c r="AM50" t="str">
        <f ca="1">IFERROR(IF(0=LEN(ReferenceData!$AM$50),"",ReferenceData!$AM$50),"")</f>
        <v/>
      </c>
      <c r="AN50" t="str">
        <f ca="1">IFERROR(IF(0=LEN(ReferenceData!$AN$50),"",ReferenceData!$AN$50),"")</f>
        <v/>
      </c>
      <c r="AO50">
        <f ca="1">IFERROR(IF(0=LEN(ReferenceData!$AO$50),"",ReferenceData!$AO$50),"")</f>
        <v>12</v>
      </c>
      <c r="AP50" t="str">
        <f ca="1">IFERROR(IF(0=LEN(ReferenceData!$AP$50),"",ReferenceData!$AP$50),"")</f>
        <v/>
      </c>
      <c r="AQ50" t="str">
        <f ca="1">IFERROR(IF(0=LEN(ReferenceData!$AQ$50),"",ReferenceData!$AQ$50),"")</f>
        <v/>
      </c>
      <c r="AR50" t="str">
        <f ca="1">IFERROR(IF(0=LEN(ReferenceData!$AR$50),"",ReferenceData!$AR$50),"")</f>
        <v/>
      </c>
      <c r="AS50" t="str">
        <f ca="1">IFERROR(IF(0=LEN(ReferenceData!$AS$50),"",ReferenceData!$AS$50),"")</f>
        <v/>
      </c>
      <c r="AT50" t="str">
        <f ca="1">IFERROR(IF(0=LEN(ReferenceData!$AT$50),"",ReferenceData!$AT$50),"")</f>
        <v/>
      </c>
      <c r="AU50" t="str">
        <f ca="1">IFERROR(IF(0=LEN(ReferenceData!$AU$50),"",ReferenceData!$AU$50),"")</f>
        <v/>
      </c>
      <c r="AV50" t="str">
        <f ca="1">IFERROR(IF(0=LEN(ReferenceData!$AV$50),"",ReferenceData!$AV$50),"")</f>
        <v/>
      </c>
      <c r="AW50" t="str">
        <f ca="1">IFERROR(IF(0=LEN(ReferenceData!$AW$50),"",ReferenceData!$AW$50),"")</f>
        <v/>
      </c>
      <c r="AX50" t="str">
        <f ca="1">IFERROR(IF(0=LEN(ReferenceData!$AX$50),"",ReferenceData!$AX$50),"")</f>
        <v/>
      </c>
      <c r="AY50" t="str">
        <f ca="1">IFERROR(IF(0=LEN(ReferenceData!$AY$50),"",ReferenceData!$AY$50),"")</f>
        <v/>
      </c>
      <c r="AZ50" t="str">
        <f ca="1">IFERROR(IF(0=LEN(ReferenceData!$AZ$50),"",ReferenceData!$AZ$50),"")</f>
        <v/>
      </c>
      <c r="BA50" t="str">
        <f ca="1">IFERROR(IF(0=LEN(ReferenceData!$BA$50),"",ReferenceData!$BA$50),"")</f>
        <v/>
      </c>
      <c r="BB50" t="str">
        <f ca="1">IFERROR(IF(0=LEN(ReferenceData!$BB$50),"",ReferenceData!$BB$50),"")</f>
        <v/>
      </c>
      <c r="BC50" t="str">
        <f ca="1">IFERROR(IF(0=LEN(ReferenceData!$BC$50),"",ReferenceData!$BC$50),"")</f>
        <v/>
      </c>
      <c r="BD50" t="str">
        <f ca="1">IFERROR(IF(0=LEN(ReferenceData!$BD$50),"",ReferenceData!$BD$50),"")</f>
        <v/>
      </c>
      <c r="BE50" t="str">
        <f ca="1">IFERROR(IF(0=LEN(ReferenceData!$BE$50),"",ReferenceData!$BE$50),"")</f>
        <v/>
      </c>
      <c r="BF50" t="str">
        <f ca="1">IFERROR(IF(0=LEN(ReferenceData!$BF$50),"",ReferenceData!$BF$50),"")</f>
        <v/>
      </c>
      <c r="BG50" t="str">
        <f ca="1">IFERROR(IF(0=LEN(ReferenceData!$BG$50),"",ReferenceData!$BG$50),"")</f>
        <v/>
      </c>
      <c r="BH50" t="str">
        <f ca="1">IFERROR(IF(0=LEN(ReferenceData!$BH$50),"",ReferenceData!$BH$50),"")</f>
        <v/>
      </c>
      <c r="BI50" t="str">
        <f ca="1">IFERROR(IF(0=LEN(ReferenceData!$BI$50),"",ReferenceData!$BI$50),"")</f>
        <v/>
      </c>
      <c r="BJ50" t="str">
        <f ca="1">IFERROR(IF(0=LEN(ReferenceData!$BJ$50),"",ReferenceData!$BJ$50),"")</f>
        <v/>
      </c>
      <c r="BK50" t="str">
        <f ca="1">IFERROR(IF(0=LEN(ReferenceData!$BK$50),"",ReferenceData!$BK$50),"")</f>
        <v/>
      </c>
      <c r="BL50" t="str">
        <f ca="1">IFERROR(IF(0=LEN(ReferenceData!$BL$50),"",ReferenceData!$BL$50),"")</f>
        <v/>
      </c>
      <c r="BM50" t="str">
        <f ca="1">IFERROR(IF(0=LEN(ReferenceData!$BM$50),"",ReferenceData!$BM$50),"")</f>
        <v/>
      </c>
    </row>
    <row r="51" spans="1:65" x14ac:dyDescent="0.25">
      <c r="A51" t="str">
        <f>IFERROR(IF(0=LEN(ReferenceData!$A$51),"",ReferenceData!$A$51),"")</f>
        <v xml:space="preserve">                        Asia Pacific</v>
      </c>
      <c r="B51" t="str">
        <f>IFERROR(IF(0=LEN(ReferenceData!$B$51),"",ReferenceData!$B$51),"")</f>
        <v>KER FP Equity</v>
      </c>
      <c r="C51" t="str">
        <f>IFERROR(IF(0=LEN(ReferenceData!$C$51),"",ReferenceData!$C$51),"")</f>
        <v>BI047</v>
      </c>
      <c r="D51" t="str">
        <f>IFERROR(IF(0=LEN(ReferenceData!$D$51),"",ReferenceData!$D$51),"")</f>
        <v>BICS_SEGMENT_DATA</v>
      </c>
      <c r="E51" t="str">
        <f>IFERROR(IF(0=LEN(ReferenceData!$E$51),"",ReferenceData!$E$51),"")</f>
        <v>Dynamic</v>
      </c>
      <c r="F51" t="str">
        <f ca="1">IFERROR(IF(0=LEN(ReferenceData!$F$51),"",ReferenceData!$F$51),"")</f>
        <v/>
      </c>
      <c r="G51">
        <f ca="1">IFERROR(IF(0=LEN(ReferenceData!$G$51),"",ReferenceData!$G$51),"")</f>
        <v>-4</v>
      </c>
      <c r="H51">
        <f ca="1">IFERROR(IF(0=LEN(ReferenceData!$H$51),"",ReferenceData!$H$51),"")</f>
        <v>32</v>
      </c>
      <c r="I51">
        <f ca="1">IFERROR(IF(0=LEN(ReferenceData!$I$51),"",ReferenceData!$I$51),"")</f>
        <v>83</v>
      </c>
      <c r="J51">
        <f ca="1">IFERROR(IF(0=LEN(ReferenceData!$J$51),"",ReferenceData!$J$51),"")</f>
        <v>29</v>
      </c>
      <c r="K51">
        <f ca="1">IFERROR(IF(0=LEN(ReferenceData!$K$51),"",ReferenceData!$K$51),"")</f>
        <v>49</v>
      </c>
      <c r="L51">
        <f ca="1">IFERROR(IF(0=LEN(ReferenceData!$L$51),"",ReferenceData!$L$51),"")</f>
        <v>4</v>
      </c>
      <c r="M51">
        <f ca="1">IFERROR(IF(0=LEN(ReferenceData!$M$51),"",ReferenceData!$M$51),"")</f>
        <v>-20</v>
      </c>
      <c r="N51">
        <f ca="1">IFERROR(IF(0=LEN(ReferenceData!$N$51),"",ReferenceData!$N$51),"")</f>
        <v>3</v>
      </c>
      <c r="O51">
        <f ca="1">IFERROR(IF(0=LEN(ReferenceData!$O$51),"",ReferenceData!$O$51),"")</f>
        <v>1</v>
      </c>
      <c r="P51">
        <f ca="1">IFERROR(IF(0=LEN(ReferenceData!$P$51),"",ReferenceData!$P$51),"")</f>
        <v>-1</v>
      </c>
      <c r="Q51">
        <f ca="1">IFERROR(IF(0=LEN(ReferenceData!$Q$51),"",ReferenceData!$Q$51),"")</f>
        <v>-11</v>
      </c>
      <c r="R51">
        <f ca="1">IFERROR(IF(0=LEN(ReferenceData!$R$51),"",ReferenceData!$R$51),"")</f>
        <v>-3</v>
      </c>
      <c r="S51">
        <f ca="1">IFERROR(IF(0=LEN(ReferenceData!$S$51),"",ReferenceData!$S$51),"")</f>
        <v>-11</v>
      </c>
      <c r="T51">
        <f ca="1">IFERROR(IF(0=LEN(ReferenceData!$T$51),"",ReferenceData!$T$51),"")</f>
        <v>-3</v>
      </c>
      <c r="U51">
        <f ca="1">IFERROR(IF(0=LEN(ReferenceData!$U$51),"",ReferenceData!$U$51),"")</f>
        <v>6</v>
      </c>
      <c r="V51">
        <f ca="1">IFERROR(IF(0=LEN(ReferenceData!$V$51),"",ReferenceData!$V$51),"")</f>
        <v>3</v>
      </c>
      <c r="W51">
        <f ca="1">IFERROR(IF(0=LEN(ReferenceData!$W$51),"",ReferenceData!$W$51),"")</f>
        <v>3</v>
      </c>
      <c r="X51">
        <f ca="1">IFERROR(IF(0=LEN(ReferenceData!$X$51),"",ReferenceData!$X$51),"")</f>
        <v>-1</v>
      </c>
      <c r="Y51">
        <f ca="1">IFERROR(IF(0=LEN(ReferenceData!$Y$51),"",ReferenceData!$Y$51),"")</f>
        <v>6</v>
      </c>
      <c r="Z51" t="str">
        <f ca="1">IFERROR(IF(0=LEN(ReferenceData!$Z$51),"",ReferenceData!$Z$51),"")</f>
        <v/>
      </c>
      <c r="AA51">
        <f ca="1">IFERROR(IF(0=LEN(ReferenceData!$AA$51),"",ReferenceData!$AA$51),"")</f>
        <v>1</v>
      </c>
      <c r="AB51">
        <f ca="1">IFERROR(IF(0=LEN(ReferenceData!$AB$51),"",ReferenceData!$AB$51),"")</f>
        <v>2</v>
      </c>
      <c r="AC51">
        <f ca="1">IFERROR(IF(0=LEN(ReferenceData!$AC$51),"",ReferenceData!$AC$51),"")</f>
        <v>-9</v>
      </c>
      <c r="AD51" t="str">
        <f ca="1">IFERROR(IF(0=LEN(ReferenceData!$AD$51),"",ReferenceData!$AD$51),"")</f>
        <v/>
      </c>
      <c r="AE51">
        <f ca="1">IFERROR(IF(0=LEN(ReferenceData!$AE$51),"",ReferenceData!$AE$51),"")</f>
        <v>-13</v>
      </c>
      <c r="AF51">
        <f ca="1">IFERROR(IF(0=LEN(ReferenceData!$AF$51),"",ReferenceData!$AF$51),"")</f>
        <v>-8</v>
      </c>
      <c r="AG51">
        <f ca="1">IFERROR(IF(0=LEN(ReferenceData!$AG$51),"",ReferenceData!$AG$51),"")</f>
        <v>-9</v>
      </c>
      <c r="AH51" t="str">
        <f ca="1">IFERROR(IF(0=LEN(ReferenceData!$AH$51),"",ReferenceData!$AH$51),"")</f>
        <v/>
      </c>
      <c r="AI51" t="str">
        <f ca="1">IFERROR(IF(0=LEN(ReferenceData!$AI$51),"",ReferenceData!$AI$51),"")</f>
        <v/>
      </c>
      <c r="AJ51" t="str">
        <f ca="1">IFERROR(IF(0=LEN(ReferenceData!$AJ$51),"",ReferenceData!$AJ$51),"")</f>
        <v/>
      </c>
      <c r="AK51">
        <f ca="1">IFERROR(IF(0=LEN(ReferenceData!$AK$51),"",ReferenceData!$AK$51),"")</f>
        <v>17</v>
      </c>
      <c r="AL51" t="str">
        <f ca="1">IFERROR(IF(0=LEN(ReferenceData!$AL$51),"",ReferenceData!$AL$51),"")</f>
        <v/>
      </c>
      <c r="AM51" t="str">
        <f ca="1">IFERROR(IF(0=LEN(ReferenceData!$AM$51),"",ReferenceData!$AM$51),"")</f>
        <v/>
      </c>
      <c r="AN51" t="str">
        <f ca="1">IFERROR(IF(0=LEN(ReferenceData!$AN$51),"",ReferenceData!$AN$51),"")</f>
        <v/>
      </c>
      <c r="AO51">
        <f ca="1">IFERROR(IF(0=LEN(ReferenceData!$AO$51),"",ReferenceData!$AO$51),"")</f>
        <v>14</v>
      </c>
      <c r="AP51" t="str">
        <f ca="1">IFERROR(IF(0=LEN(ReferenceData!$AP$51),"",ReferenceData!$AP$51),"")</f>
        <v/>
      </c>
      <c r="AQ51" t="str">
        <f ca="1">IFERROR(IF(0=LEN(ReferenceData!$AQ$51),"",ReferenceData!$AQ$51),"")</f>
        <v/>
      </c>
      <c r="AR51" t="str">
        <f ca="1">IFERROR(IF(0=LEN(ReferenceData!$AR$51),"",ReferenceData!$AR$51),"")</f>
        <v/>
      </c>
      <c r="AS51" t="str">
        <f ca="1">IFERROR(IF(0=LEN(ReferenceData!$AS$51),"",ReferenceData!$AS$51),"")</f>
        <v/>
      </c>
      <c r="AT51" t="str">
        <f ca="1">IFERROR(IF(0=LEN(ReferenceData!$AT$51),"",ReferenceData!$AT$51),"")</f>
        <v/>
      </c>
      <c r="AU51" t="str">
        <f ca="1">IFERROR(IF(0=LEN(ReferenceData!$AU$51),"",ReferenceData!$AU$51),"")</f>
        <v/>
      </c>
      <c r="AV51" t="str">
        <f ca="1">IFERROR(IF(0=LEN(ReferenceData!$AV$51),"",ReferenceData!$AV$51),"")</f>
        <v/>
      </c>
      <c r="AW51" t="str">
        <f ca="1">IFERROR(IF(0=LEN(ReferenceData!$AW$51),"",ReferenceData!$AW$51),"")</f>
        <v/>
      </c>
      <c r="AX51" t="str">
        <f ca="1">IFERROR(IF(0=LEN(ReferenceData!$AX$51),"",ReferenceData!$AX$51),"")</f>
        <v/>
      </c>
      <c r="AY51" t="str">
        <f ca="1">IFERROR(IF(0=LEN(ReferenceData!$AY$51),"",ReferenceData!$AY$51),"")</f>
        <v/>
      </c>
      <c r="AZ51" t="str">
        <f ca="1">IFERROR(IF(0=LEN(ReferenceData!$AZ$51),"",ReferenceData!$AZ$51),"")</f>
        <v/>
      </c>
      <c r="BA51" t="str">
        <f ca="1">IFERROR(IF(0=LEN(ReferenceData!$BA$51),"",ReferenceData!$BA$51),"")</f>
        <v/>
      </c>
      <c r="BB51" t="str">
        <f ca="1">IFERROR(IF(0=LEN(ReferenceData!$BB$51),"",ReferenceData!$BB$51),"")</f>
        <v/>
      </c>
      <c r="BC51" t="str">
        <f ca="1">IFERROR(IF(0=LEN(ReferenceData!$BC$51),"",ReferenceData!$BC$51),"")</f>
        <v/>
      </c>
      <c r="BD51" t="str">
        <f ca="1">IFERROR(IF(0=LEN(ReferenceData!$BD$51),"",ReferenceData!$BD$51),"")</f>
        <v/>
      </c>
      <c r="BE51" t="str">
        <f ca="1">IFERROR(IF(0=LEN(ReferenceData!$BE$51),"",ReferenceData!$BE$51),"")</f>
        <v/>
      </c>
      <c r="BF51" t="str">
        <f ca="1">IFERROR(IF(0=LEN(ReferenceData!$BF$51),"",ReferenceData!$BF$51),"")</f>
        <v/>
      </c>
      <c r="BG51" t="str">
        <f ca="1">IFERROR(IF(0=LEN(ReferenceData!$BG$51),"",ReferenceData!$BG$51),"")</f>
        <v/>
      </c>
      <c r="BH51" t="str">
        <f ca="1">IFERROR(IF(0=LEN(ReferenceData!$BH$51),"",ReferenceData!$BH$51),"")</f>
        <v/>
      </c>
      <c r="BI51" t="str">
        <f ca="1">IFERROR(IF(0=LEN(ReferenceData!$BI$51),"",ReferenceData!$BI$51),"")</f>
        <v/>
      </c>
      <c r="BJ51" t="str">
        <f ca="1">IFERROR(IF(0=LEN(ReferenceData!$BJ$51),"",ReferenceData!$BJ$51),"")</f>
        <v/>
      </c>
      <c r="BK51" t="str">
        <f ca="1">IFERROR(IF(0=LEN(ReferenceData!$BK$51),"",ReferenceData!$BK$51),"")</f>
        <v/>
      </c>
      <c r="BL51" t="str">
        <f ca="1">IFERROR(IF(0=LEN(ReferenceData!$BL$51),"",ReferenceData!$BL$51),"")</f>
        <v/>
      </c>
      <c r="BM51" t="str">
        <f ca="1">IFERROR(IF(0=LEN(ReferenceData!$BM$51),"",ReferenceData!$BM$51),"")</f>
        <v/>
      </c>
    </row>
    <row r="52" spans="1:65" x14ac:dyDescent="0.25">
      <c r="A52" t="str">
        <f>IFERROR(IF(0=LEN(ReferenceData!$A$52),"",ReferenceData!$A$52),"")</f>
        <v xml:space="preserve">                        RoW</v>
      </c>
      <c r="B52" t="str">
        <f>IFERROR(IF(0=LEN(ReferenceData!$B$52),"",ReferenceData!$B$52),"")</f>
        <v>KER FP Equity</v>
      </c>
      <c r="C52" t="str">
        <f>IFERROR(IF(0=LEN(ReferenceData!$C$52),"",ReferenceData!$C$52),"")</f>
        <v>BI047</v>
      </c>
      <c r="D52" t="str">
        <f>IFERROR(IF(0=LEN(ReferenceData!$D$52),"",ReferenceData!$D$52),"")</f>
        <v>BICS_SEGMENT_DATA</v>
      </c>
      <c r="E52" t="str">
        <f>IFERROR(IF(0=LEN(ReferenceData!$E$52),"",ReferenceData!$E$52),"")</f>
        <v>Dynamic</v>
      </c>
      <c r="F52" t="str">
        <f ca="1">IFERROR(IF(0=LEN(ReferenceData!$F$52),"",ReferenceData!$F$52),"")</f>
        <v/>
      </c>
      <c r="G52">
        <f ca="1">IFERROR(IF(0=LEN(ReferenceData!$G$52),"",ReferenceData!$G$52),"")</f>
        <v>-17</v>
      </c>
      <c r="H52">
        <f ca="1">IFERROR(IF(0=LEN(ReferenceData!$H$52),"",ReferenceData!$H$52),"")</f>
        <v>170</v>
      </c>
      <c r="I52">
        <f ca="1">IFERROR(IF(0=LEN(ReferenceData!$I$52),"",ReferenceData!$I$52),"")</f>
        <v>23</v>
      </c>
      <c r="J52">
        <f ca="1">IFERROR(IF(0=LEN(ReferenceData!$J$52),"",ReferenceData!$J$52),"")</f>
        <v>30</v>
      </c>
      <c r="K52">
        <f ca="1">IFERROR(IF(0=LEN(ReferenceData!$K$52),"",ReferenceData!$K$52),"")</f>
        <v>99</v>
      </c>
      <c r="L52">
        <f ca="1">IFERROR(IF(0=LEN(ReferenceData!$L$52),"",ReferenceData!$L$52),"")</f>
        <v>-18</v>
      </c>
      <c r="M52">
        <f ca="1">IFERROR(IF(0=LEN(ReferenceData!$M$52),"",ReferenceData!$M$52),"")</f>
        <v>74</v>
      </c>
      <c r="N52">
        <f ca="1">IFERROR(IF(0=LEN(ReferenceData!$N$52),"",ReferenceData!$N$52),"")</f>
        <v>43</v>
      </c>
      <c r="O52">
        <f ca="1">IFERROR(IF(0=LEN(ReferenceData!$O$52),"",ReferenceData!$O$52),"")</f>
        <v>54</v>
      </c>
      <c r="P52">
        <f ca="1">IFERROR(IF(0=LEN(ReferenceData!$P$52),"",ReferenceData!$P$52),"")</f>
        <v>-1</v>
      </c>
      <c r="Q52">
        <f ca="1">IFERROR(IF(0=LEN(ReferenceData!$Q$52),"",ReferenceData!$Q$52),"")</f>
        <v>-17</v>
      </c>
      <c r="R52">
        <f ca="1">IFERROR(IF(0=LEN(ReferenceData!$R$52),"",ReferenceData!$R$52),"")</f>
        <v>1</v>
      </c>
      <c r="S52">
        <f ca="1">IFERROR(IF(0=LEN(ReferenceData!$S$52),"",ReferenceData!$S$52),"")</f>
        <v>-10</v>
      </c>
      <c r="T52">
        <f ca="1">IFERROR(IF(0=LEN(ReferenceData!$T$52),"",ReferenceData!$T$52),"")</f>
        <v>4</v>
      </c>
      <c r="U52">
        <f ca="1">IFERROR(IF(0=LEN(ReferenceData!$U$52),"",ReferenceData!$U$52),"")</f>
        <v>11</v>
      </c>
      <c r="V52">
        <f ca="1">IFERROR(IF(0=LEN(ReferenceData!$V$52),"",ReferenceData!$V$52),"")</f>
        <v>24</v>
      </c>
      <c r="W52">
        <f ca="1">IFERROR(IF(0=LEN(ReferenceData!$W$52),"",ReferenceData!$W$52),"")</f>
        <v>15</v>
      </c>
      <c r="X52">
        <f ca="1">IFERROR(IF(0=LEN(ReferenceData!$X$52),"",ReferenceData!$X$52),"")</f>
        <v>26</v>
      </c>
      <c r="Y52">
        <f ca="1">IFERROR(IF(0=LEN(ReferenceData!$Y$52),"",ReferenceData!$Y$52),"")</f>
        <v>11</v>
      </c>
      <c r="Z52" t="str">
        <f ca="1">IFERROR(IF(0=LEN(ReferenceData!$Z$52),"",ReferenceData!$Z$52),"")</f>
        <v/>
      </c>
      <c r="AA52">
        <f ca="1">IFERROR(IF(0=LEN(ReferenceData!$AA$52),"",ReferenceData!$AA$52),"")</f>
        <v>0</v>
      </c>
      <c r="AB52">
        <f ca="1">IFERROR(IF(0=LEN(ReferenceData!$AB$52),"",ReferenceData!$AB$52),"")</f>
        <v>0</v>
      </c>
      <c r="AC52">
        <f ca="1">IFERROR(IF(0=LEN(ReferenceData!$AC$52),"",ReferenceData!$AC$52),"")</f>
        <v>0</v>
      </c>
      <c r="AD52" t="str">
        <f ca="1">IFERROR(IF(0=LEN(ReferenceData!$AD$52),"",ReferenceData!$AD$52),"")</f>
        <v/>
      </c>
      <c r="AE52">
        <f ca="1">IFERROR(IF(0=LEN(ReferenceData!$AE$52),"",ReferenceData!$AE$52),"")</f>
        <v>78</v>
      </c>
      <c r="AF52">
        <f ca="1">IFERROR(IF(0=LEN(ReferenceData!$AF$52),"",ReferenceData!$AF$52),"")</f>
        <v>65</v>
      </c>
      <c r="AG52">
        <f ca="1">IFERROR(IF(0=LEN(ReferenceData!$AG$52),"",ReferenceData!$AG$52),"")</f>
        <v>8</v>
      </c>
      <c r="AH52" t="str">
        <f ca="1">IFERROR(IF(0=LEN(ReferenceData!$AH$52),"",ReferenceData!$AH$52),"")</f>
        <v/>
      </c>
      <c r="AI52" t="str">
        <f ca="1">IFERROR(IF(0=LEN(ReferenceData!$AI$52),"",ReferenceData!$AI$52),"")</f>
        <v/>
      </c>
      <c r="AJ52" t="str">
        <f ca="1">IFERROR(IF(0=LEN(ReferenceData!$AJ$52),"",ReferenceData!$AJ$52),"")</f>
        <v/>
      </c>
      <c r="AK52">
        <f ca="1">IFERROR(IF(0=LEN(ReferenceData!$AK$52),"",ReferenceData!$AK$52),"")</f>
        <v>13</v>
      </c>
      <c r="AL52" t="str">
        <f ca="1">IFERROR(IF(0=LEN(ReferenceData!$AL$52),"",ReferenceData!$AL$52),"")</f>
        <v/>
      </c>
      <c r="AM52" t="str">
        <f ca="1">IFERROR(IF(0=LEN(ReferenceData!$AM$52),"",ReferenceData!$AM$52),"")</f>
        <v/>
      </c>
      <c r="AN52" t="str">
        <f ca="1">IFERROR(IF(0=LEN(ReferenceData!$AN$52),"",ReferenceData!$AN$52),"")</f>
        <v/>
      </c>
      <c r="AO52">
        <f ca="1">IFERROR(IF(0=LEN(ReferenceData!$AO$52),"",ReferenceData!$AO$52),"")</f>
        <v>-2</v>
      </c>
      <c r="AP52" t="str">
        <f ca="1">IFERROR(IF(0=LEN(ReferenceData!$AP$52),"",ReferenceData!$AP$52),"")</f>
        <v/>
      </c>
      <c r="AQ52" t="str">
        <f ca="1">IFERROR(IF(0=LEN(ReferenceData!$AQ$52),"",ReferenceData!$AQ$52),"")</f>
        <v/>
      </c>
      <c r="AR52" t="str">
        <f ca="1">IFERROR(IF(0=LEN(ReferenceData!$AR$52),"",ReferenceData!$AR$52),"")</f>
        <v/>
      </c>
      <c r="AS52" t="str">
        <f ca="1">IFERROR(IF(0=LEN(ReferenceData!$AS$52),"",ReferenceData!$AS$52),"")</f>
        <v/>
      </c>
      <c r="AT52" t="str">
        <f ca="1">IFERROR(IF(0=LEN(ReferenceData!$AT$52),"",ReferenceData!$AT$52),"")</f>
        <v/>
      </c>
      <c r="AU52" t="str">
        <f ca="1">IFERROR(IF(0=LEN(ReferenceData!$AU$52),"",ReferenceData!$AU$52),"")</f>
        <v/>
      </c>
      <c r="AV52" t="str">
        <f ca="1">IFERROR(IF(0=LEN(ReferenceData!$AV$52),"",ReferenceData!$AV$52),"")</f>
        <v/>
      </c>
      <c r="AW52" t="str">
        <f ca="1">IFERROR(IF(0=LEN(ReferenceData!$AW$52),"",ReferenceData!$AW$52),"")</f>
        <v/>
      </c>
      <c r="AX52" t="str">
        <f ca="1">IFERROR(IF(0=LEN(ReferenceData!$AX$52),"",ReferenceData!$AX$52),"")</f>
        <v/>
      </c>
      <c r="AY52" t="str">
        <f ca="1">IFERROR(IF(0=LEN(ReferenceData!$AY$52),"",ReferenceData!$AY$52),"")</f>
        <v/>
      </c>
      <c r="AZ52" t="str">
        <f ca="1">IFERROR(IF(0=LEN(ReferenceData!$AZ$52),"",ReferenceData!$AZ$52),"")</f>
        <v/>
      </c>
      <c r="BA52" t="str">
        <f ca="1">IFERROR(IF(0=LEN(ReferenceData!$BA$52),"",ReferenceData!$BA$52),"")</f>
        <v/>
      </c>
      <c r="BB52" t="str">
        <f ca="1">IFERROR(IF(0=LEN(ReferenceData!$BB$52),"",ReferenceData!$BB$52),"")</f>
        <v/>
      </c>
      <c r="BC52" t="str">
        <f ca="1">IFERROR(IF(0=LEN(ReferenceData!$BC$52),"",ReferenceData!$BC$52),"")</f>
        <v/>
      </c>
      <c r="BD52" t="str">
        <f ca="1">IFERROR(IF(0=LEN(ReferenceData!$BD$52),"",ReferenceData!$BD$52),"")</f>
        <v/>
      </c>
      <c r="BE52" t="str">
        <f ca="1">IFERROR(IF(0=LEN(ReferenceData!$BE$52),"",ReferenceData!$BE$52),"")</f>
        <v/>
      </c>
      <c r="BF52" t="str">
        <f ca="1">IFERROR(IF(0=LEN(ReferenceData!$BF$52),"",ReferenceData!$BF$52),"")</f>
        <v/>
      </c>
      <c r="BG52" t="str">
        <f ca="1">IFERROR(IF(0=LEN(ReferenceData!$BG$52),"",ReferenceData!$BG$52),"")</f>
        <v/>
      </c>
      <c r="BH52" t="str">
        <f ca="1">IFERROR(IF(0=LEN(ReferenceData!$BH$52),"",ReferenceData!$BH$52),"")</f>
        <v/>
      </c>
      <c r="BI52" t="str">
        <f ca="1">IFERROR(IF(0=LEN(ReferenceData!$BI$52),"",ReferenceData!$BI$52),"")</f>
        <v/>
      </c>
      <c r="BJ52" t="str">
        <f ca="1">IFERROR(IF(0=LEN(ReferenceData!$BJ$52),"",ReferenceData!$BJ$52),"")</f>
        <v/>
      </c>
      <c r="BK52" t="str">
        <f ca="1">IFERROR(IF(0=LEN(ReferenceData!$BK$52),"",ReferenceData!$BK$52),"")</f>
        <v/>
      </c>
      <c r="BL52" t="str">
        <f ca="1">IFERROR(IF(0=LEN(ReferenceData!$BL$52),"",ReferenceData!$BL$52),"")</f>
        <v/>
      </c>
      <c r="BM52" t="str">
        <f ca="1">IFERROR(IF(0=LEN(ReferenceData!$BM$52),"",ReferenceData!$BM$52),"")</f>
        <v/>
      </c>
    </row>
    <row r="53" spans="1:65" x14ac:dyDescent="0.25">
      <c r="A53" t="str">
        <f>IFERROR(IF(0=LEN(ReferenceData!$A$53),"",ReferenceData!$A$53),"")</f>
        <v xml:space="preserve">                    Wholesale</v>
      </c>
      <c r="B53" t="str">
        <f>IFERROR(IF(0=LEN(ReferenceData!$B$53),"",ReferenceData!$B$53),"")</f>
        <v>KER FP Equity</v>
      </c>
      <c r="C53" t="str">
        <f>IFERROR(IF(0=LEN(ReferenceData!$C$53),"",ReferenceData!$C$53),"")</f>
        <v>BI047</v>
      </c>
      <c r="D53" t="str">
        <f>IFERROR(IF(0=LEN(ReferenceData!$D$53),"",ReferenceData!$D$53),"")</f>
        <v>BICS_SEGMENT_DATA</v>
      </c>
      <c r="E53" t="str">
        <f>IFERROR(IF(0=LEN(ReferenceData!$E$53),"",ReferenceData!$E$53),"")</f>
        <v>Dynamic</v>
      </c>
      <c r="F53" t="str">
        <f ca="1">IFERROR(IF(0=LEN(ReferenceData!$F$53),"",ReferenceData!$F$53),"")</f>
        <v/>
      </c>
      <c r="G53">
        <f ca="1">IFERROR(IF(0=LEN(ReferenceData!$G$53),"",ReferenceData!$G$53),"")</f>
        <v>18</v>
      </c>
      <c r="H53">
        <f ca="1">IFERROR(IF(0=LEN(ReferenceData!$H$53),"",ReferenceData!$H$53),"")</f>
        <v>63</v>
      </c>
      <c r="I53">
        <f ca="1">IFERROR(IF(0=LEN(ReferenceData!$I$53),"",ReferenceData!$I$53),"")</f>
        <v>27</v>
      </c>
      <c r="J53">
        <f ca="1">IFERROR(IF(0=LEN(ReferenceData!$J$53),"",ReferenceData!$J$53),"")</f>
        <v>62</v>
      </c>
      <c r="K53">
        <f ca="1">IFERROR(IF(0=LEN(ReferenceData!$K$53),"",ReferenceData!$K$53),"")</f>
        <v>63</v>
      </c>
      <c r="L53">
        <f ca="1">IFERROR(IF(0=LEN(ReferenceData!$L$53),"",ReferenceData!$L$53),"")</f>
        <v>15</v>
      </c>
      <c r="M53">
        <f ca="1">IFERROR(IF(0=LEN(ReferenceData!$M$53),"",ReferenceData!$M$53),"")</f>
        <v>55</v>
      </c>
      <c r="N53">
        <f ca="1">IFERROR(IF(0=LEN(ReferenceData!$N$53),"",ReferenceData!$N$53),"")</f>
        <v>20</v>
      </c>
      <c r="O53">
        <f ca="1">IFERROR(IF(0=LEN(ReferenceData!$O$53),"",ReferenceData!$O$53),"")</f>
        <v>4</v>
      </c>
      <c r="P53">
        <f ca="1">IFERROR(IF(0=LEN(ReferenceData!$P$53),"",ReferenceData!$P$53),"")</f>
        <v>3</v>
      </c>
      <c r="Q53">
        <f ca="1">IFERROR(IF(0=LEN(ReferenceData!$Q$53),"",ReferenceData!$Q$53),"")</f>
        <v>-3</v>
      </c>
      <c r="R53">
        <f ca="1">IFERROR(IF(0=LEN(ReferenceData!$R$53),"",ReferenceData!$R$53),"")</f>
        <v>2</v>
      </c>
      <c r="S53">
        <f ca="1">IFERROR(IF(0=LEN(ReferenceData!$S$53),"",ReferenceData!$S$53),"")</f>
        <v>2</v>
      </c>
      <c r="T53">
        <f ca="1">IFERROR(IF(0=LEN(ReferenceData!$T$53),"",ReferenceData!$T$53),"")</f>
        <v>10</v>
      </c>
      <c r="U53">
        <f ca="1">IFERROR(IF(0=LEN(ReferenceData!$U$53),"",ReferenceData!$U$53),"")</f>
        <v>-4</v>
      </c>
      <c r="V53">
        <f ca="1">IFERROR(IF(0=LEN(ReferenceData!$V$53),"",ReferenceData!$V$53),"")</f>
        <v>-1</v>
      </c>
      <c r="W53">
        <f ca="1">IFERROR(IF(0=LEN(ReferenceData!$W$53),"",ReferenceData!$W$53),"")</f>
        <v>-8</v>
      </c>
      <c r="X53">
        <f ca="1">IFERROR(IF(0=LEN(ReferenceData!$X$53),"",ReferenceData!$X$53),"")</f>
        <v>-7</v>
      </c>
      <c r="Y53">
        <f ca="1">IFERROR(IF(0=LEN(ReferenceData!$Y$53),"",ReferenceData!$Y$53),"")</f>
        <v>-3</v>
      </c>
      <c r="Z53">
        <f ca="1">IFERROR(IF(0=LEN(ReferenceData!$Z$53),"",ReferenceData!$Z$53),"")</f>
        <v>-16</v>
      </c>
      <c r="AA53">
        <f ca="1">IFERROR(IF(0=LEN(ReferenceData!$AA$53),"",ReferenceData!$AA$53),"")</f>
        <v>-23</v>
      </c>
      <c r="AB53">
        <f ca="1">IFERROR(IF(0=LEN(ReferenceData!$AB$53),"",ReferenceData!$AB$53),"")</f>
        <v>-6</v>
      </c>
      <c r="AC53">
        <f ca="1">IFERROR(IF(0=LEN(ReferenceData!$AC$53),"",ReferenceData!$AC$53),"")</f>
        <v>-3</v>
      </c>
      <c r="AD53" t="str">
        <f ca="1">IFERROR(IF(0=LEN(ReferenceData!$AD$53),"",ReferenceData!$AD$53),"")</f>
        <v/>
      </c>
      <c r="AE53">
        <f ca="1">IFERROR(IF(0=LEN(ReferenceData!$AE$53),"",ReferenceData!$AE$53),"")</f>
        <v>6</v>
      </c>
      <c r="AF53">
        <f ca="1">IFERROR(IF(0=LEN(ReferenceData!$AF$53),"",ReferenceData!$AF$53),"")</f>
        <v>-3</v>
      </c>
      <c r="AG53">
        <f ca="1">IFERROR(IF(0=LEN(ReferenceData!$AG$53),"",ReferenceData!$AG$53),"")</f>
        <v>9</v>
      </c>
      <c r="AH53" t="str">
        <f ca="1">IFERROR(IF(0=LEN(ReferenceData!$AH$53),"",ReferenceData!$AH$53),"")</f>
        <v/>
      </c>
      <c r="AI53" t="str">
        <f ca="1">IFERROR(IF(0=LEN(ReferenceData!$AI$53),"",ReferenceData!$AI$53),"")</f>
        <v/>
      </c>
      <c r="AJ53" t="str">
        <f ca="1">IFERROR(IF(0=LEN(ReferenceData!$AJ$53),"",ReferenceData!$AJ$53),"")</f>
        <v/>
      </c>
      <c r="AK53">
        <f ca="1">IFERROR(IF(0=LEN(ReferenceData!$AK$53),"",ReferenceData!$AK$53),"")</f>
        <v>-1</v>
      </c>
      <c r="AL53" t="str">
        <f ca="1">IFERROR(IF(0=LEN(ReferenceData!$AL$53),"",ReferenceData!$AL$53),"")</f>
        <v/>
      </c>
      <c r="AM53" t="str">
        <f ca="1">IFERROR(IF(0=LEN(ReferenceData!$AM$53),"",ReferenceData!$AM$53),"")</f>
        <v/>
      </c>
      <c r="AN53" t="str">
        <f ca="1">IFERROR(IF(0=LEN(ReferenceData!$AN$53),"",ReferenceData!$AN$53),"")</f>
        <v/>
      </c>
      <c r="AO53" t="str">
        <f ca="1">IFERROR(IF(0=LEN(ReferenceData!$AO$53),"",ReferenceData!$AO$53),"")</f>
        <v/>
      </c>
      <c r="AP53" t="str">
        <f ca="1">IFERROR(IF(0=LEN(ReferenceData!$AP$53),"",ReferenceData!$AP$53),"")</f>
        <v/>
      </c>
      <c r="AQ53" t="str">
        <f ca="1">IFERROR(IF(0=LEN(ReferenceData!$AQ$53),"",ReferenceData!$AQ$53),"")</f>
        <v/>
      </c>
      <c r="AR53" t="str">
        <f ca="1">IFERROR(IF(0=LEN(ReferenceData!$AR$53),"",ReferenceData!$AR$53),"")</f>
        <v/>
      </c>
      <c r="AS53" t="str">
        <f ca="1">IFERROR(IF(0=LEN(ReferenceData!$AS$53),"",ReferenceData!$AS$53),"")</f>
        <v/>
      </c>
      <c r="AT53" t="str">
        <f ca="1">IFERROR(IF(0=LEN(ReferenceData!$AT$53),"",ReferenceData!$AT$53),"")</f>
        <v/>
      </c>
      <c r="AU53" t="str">
        <f ca="1">IFERROR(IF(0=LEN(ReferenceData!$AU$53),"",ReferenceData!$AU$53),"")</f>
        <v/>
      </c>
      <c r="AV53" t="str">
        <f ca="1">IFERROR(IF(0=LEN(ReferenceData!$AV$53),"",ReferenceData!$AV$53),"")</f>
        <v/>
      </c>
      <c r="AW53" t="str">
        <f ca="1">IFERROR(IF(0=LEN(ReferenceData!$AW$53),"",ReferenceData!$AW$53),"")</f>
        <v/>
      </c>
      <c r="AX53" t="str">
        <f ca="1">IFERROR(IF(0=LEN(ReferenceData!$AX$53),"",ReferenceData!$AX$53),"")</f>
        <v/>
      </c>
      <c r="AY53" t="str">
        <f ca="1">IFERROR(IF(0=LEN(ReferenceData!$AY$53),"",ReferenceData!$AY$53),"")</f>
        <v/>
      </c>
      <c r="AZ53" t="str">
        <f ca="1">IFERROR(IF(0=LEN(ReferenceData!$AZ$53),"",ReferenceData!$AZ$53),"")</f>
        <v/>
      </c>
      <c r="BA53" t="str">
        <f ca="1">IFERROR(IF(0=LEN(ReferenceData!$BA$53),"",ReferenceData!$BA$53),"")</f>
        <v/>
      </c>
      <c r="BB53" t="str">
        <f ca="1">IFERROR(IF(0=LEN(ReferenceData!$BB$53),"",ReferenceData!$BB$53),"")</f>
        <v/>
      </c>
      <c r="BC53" t="str">
        <f ca="1">IFERROR(IF(0=LEN(ReferenceData!$BC$53),"",ReferenceData!$BC$53),"")</f>
        <v/>
      </c>
      <c r="BD53" t="str">
        <f ca="1">IFERROR(IF(0=LEN(ReferenceData!$BD$53),"",ReferenceData!$BD$53),"")</f>
        <v/>
      </c>
      <c r="BE53" t="str">
        <f ca="1">IFERROR(IF(0=LEN(ReferenceData!$BE$53),"",ReferenceData!$BE$53),"")</f>
        <v/>
      </c>
      <c r="BF53" t="str">
        <f ca="1">IFERROR(IF(0=LEN(ReferenceData!$BF$53),"",ReferenceData!$BF$53),"")</f>
        <v/>
      </c>
      <c r="BG53" t="str">
        <f ca="1">IFERROR(IF(0=LEN(ReferenceData!$BG$53),"",ReferenceData!$BG$53),"")</f>
        <v/>
      </c>
      <c r="BH53" t="str">
        <f ca="1">IFERROR(IF(0=LEN(ReferenceData!$BH$53),"",ReferenceData!$BH$53),"")</f>
        <v/>
      </c>
      <c r="BI53" t="str">
        <f ca="1">IFERROR(IF(0=LEN(ReferenceData!$BI$53),"",ReferenceData!$BI$53),"")</f>
        <v/>
      </c>
      <c r="BJ53" t="str">
        <f ca="1">IFERROR(IF(0=LEN(ReferenceData!$BJ$53),"",ReferenceData!$BJ$53),"")</f>
        <v/>
      </c>
      <c r="BK53" t="str">
        <f ca="1">IFERROR(IF(0=LEN(ReferenceData!$BK$53),"",ReferenceData!$BK$53),"")</f>
        <v/>
      </c>
      <c r="BL53" t="str">
        <f ca="1">IFERROR(IF(0=LEN(ReferenceData!$BL$53),"",ReferenceData!$BL$53),"")</f>
        <v/>
      </c>
      <c r="BM53" t="str">
        <f ca="1">IFERROR(IF(0=LEN(ReferenceData!$BM$53),"",ReferenceData!$BM$53),"")</f>
        <v/>
      </c>
    </row>
    <row r="54" spans="1:65" x14ac:dyDescent="0.25">
      <c r="A54" t="str">
        <f>IFERROR(IF(0=LEN(ReferenceData!$A$54),"",ReferenceData!$A$54),"")</f>
        <v xml:space="preserve">                    Royalties and Others</v>
      </c>
      <c r="B54" t="str">
        <f>IFERROR(IF(0=LEN(ReferenceData!$B$54),"",ReferenceData!$B$54),"")</f>
        <v>KER FP Equity</v>
      </c>
      <c r="C54" t="str">
        <f>IFERROR(IF(0=LEN(ReferenceData!$C$54),"",ReferenceData!$C$54),"")</f>
        <v>BI047</v>
      </c>
      <c r="D54" t="str">
        <f>IFERROR(IF(0=LEN(ReferenceData!$D$54),"",ReferenceData!$D$54),"")</f>
        <v>BICS_SEGMENT_DATA</v>
      </c>
      <c r="E54" t="str">
        <f>IFERROR(IF(0=LEN(ReferenceData!$E$54),"",ReferenceData!$E$54),"")</f>
        <v>Dynamic</v>
      </c>
      <c r="F54" t="str">
        <f ca="1">IFERROR(IF(0=LEN(ReferenceData!$F$54),"",ReferenceData!$F$54),"")</f>
        <v/>
      </c>
      <c r="G54">
        <f ca="1">IFERROR(IF(0=LEN(ReferenceData!$G$54),"",ReferenceData!$G$54),"")</f>
        <v>17</v>
      </c>
      <c r="H54">
        <f ca="1">IFERROR(IF(0=LEN(ReferenceData!$H$54),"",ReferenceData!$H$54),"")</f>
        <v>48</v>
      </c>
      <c r="I54">
        <f ca="1">IFERROR(IF(0=LEN(ReferenceData!$I$54),"",ReferenceData!$I$54),"")</f>
        <v>28</v>
      </c>
      <c r="J54">
        <f ca="1">IFERROR(IF(0=LEN(ReferenceData!$J$54),"",ReferenceData!$J$54),"")</f>
        <v>29</v>
      </c>
      <c r="K54">
        <f ca="1">IFERROR(IF(0=LEN(ReferenceData!$K$54),"",ReferenceData!$K$54),"")</f>
        <v>34</v>
      </c>
      <c r="L54">
        <f ca="1">IFERROR(IF(0=LEN(ReferenceData!$L$54),"",ReferenceData!$L$54),"")</f>
        <v>-8</v>
      </c>
      <c r="M54">
        <f ca="1">IFERROR(IF(0=LEN(ReferenceData!$M$54),"",ReferenceData!$M$54),"")</f>
        <v>9</v>
      </c>
      <c r="N54">
        <f ca="1">IFERROR(IF(0=LEN(ReferenceData!$N$54),"",ReferenceData!$N$54),"")</f>
        <v>-16</v>
      </c>
      <c r="O54">
        <f ca="1">IFERROR(IF(0=LEN(ReferenceData!$O$54),"",ReferenceData!$O$54),"")</f>
        <v>2</v>
      </c>
      <c r="P54">
        <f ca="1">IFERROR(IF(0=LEN(ReferenceData!$P$54),"",ReferenceData!$P$54),"")</f>
        <v>-9</v>
      </c>
      <c r="Q54">
        <f ca="1">IFERROR(IF(0=LEN(ReferenceData!$Q$54),"",ReferenceData!$Q$54),"")</f>
        <v>1</v>
      </c>
      <c r="R54">
        <f ca="1">IFERROR(IF(0=LEN(ReferenceData!$R$54),"",ReferenceData!$R$54),"")</f>
        <v>8</v>
      </c>
      <c r="S54">
        <f ca="1">IFERROR(IF(0=LEN(ReferenceData!$S$54),"",ReferenceData!$S$54),"")</f>
        <v>3</v>
      </c>
      <c r="T54">
        <f ca="1">IFERROR(IF(0=LEN(ReferenceData!$T$54),"",ReferenceData!$T$54),"")</f>
        <v>7</v>
      </c>
      <c r="U54">
        <f ca="1">IFERROR(IF(0=LEN(ReferenceData!$U$54),"",ReferenceData!$U$54),"")</f>
        <v>-11</v>
      </c>
      <c r="V54">
        <f ca="1">IFERROR(IF(0=LEN(ReferenceData!$V$54),"",ReferenceData!$V$54),"")</f>
        <v>2</v>
      </c>
      <c r="W54">
        <f ca="1">IFERROR(IF(0=LEN(ReferenceData!$W$54),"",ReferenceData!$W$54),"")</f>
        <v>-14</v>
      </c>
      <c r="X54">
        <f ca="1">IFERROR(IF(0=LEN(ReferenceData!$X$54),"",ReferenceData!$X$54),"")</f>
        <v>6</v>
      </c>
      <c r="Y54">
        <f ca="1">IFERROR(IF(0=LEN(ReferenceData!$Y$54),"",ReferenceData!$Y$54),"")</f>
        <v>-22</v>
      </c>
      <c r="Z54" t="str">
        <f ca="1">IFERROR(IF(0=LEN(ReferenceData!$Z$54),"",ReferenceData!$Z$54),"")</f>
        <v/>
      </c>
      <c r="AA54">
        <f ca="1">IFERROR(IF(0=LEN(ReferenceData!$AA$54),"",ReferenceData!$AA$54),"")</f>
        <v>0</v>
      </c>
      <c r="AB54">
        <f ca="1">IFERROR(IF(0=LEN(ReferenceData!$AB$54),"",ReferenceData!$AB$54),"")</f>
        <v>0</v>
      </c>
      <c r="AC54">
        <f ca="1">IFERROR(IF(0=LEN(ReferenceData!$AC$54),"",ReferenceData!$AC$54),"")</f>
        <v>0</v>
      </c>
      <c r="AD54" t="str">
        <f ca="1">IFERROR(IF(0=LEN(ReferenceData!$AD$54),"",ReferenceData!$AD$54),"")</f>
        <v/>
      </c>
      <c r="AE54">
        <f ca="1">IFERROR(IF(0=LEN(ReferenceData!$AE$54),"",ReferenceData!$AE$54),"")</f>
        <v>14</v>
      </c>
      <c r="AF54">
        <f ca="1">IFERROR(IF(0=LEN(ReferenceData!$AF$54),"",ReferenceData!$AF$54),"")</f>
        <v>13</v>
      </c>
      <c r="AG54">
        <f ca="1">IFERROR(IF(0=LEN(ReferenceData!$AG$54),"",ReferenceData!$AG$54),"")</f>
        <v>20</v>
      </c>
      <c r="AH54" t="str">
        <f ca="1">IFERROR(IF(0=LEN(ReferenceData!$AH$54),"",ReferenceData!$AH$54),"")</f>
        <v/>
      </c>
      <c r="AI54" t="str">
        <f ca="1">IFERROR(IF(0=LEN(ReferenceData!$AI$54),"",ReferenceData!$AI$54),"")</f>
        <v/>
      </c>
      <c r="AJ54" t="str">
        <f ca="1">IFERROR(IF(0=LEN(ReferenceData!$AJ$54),"",ReferenceData!$AJ$54),"")</f>
        <v/>
      </c>
      <c r="AK54" t="str">
        <f ca="1">IFERROR(IF(0=LEN(ReferenceData!$AK$54),"",ReferenceData!$AK$54),"")</f>
        <v/>
      </c>
      <c r="AL54" t="str">
        <f ca="1">IFERROR(IF(0=LEN(ReferenceData!$AL$54),"",ReferenceData!$AL$54),"")</f>
        <v/>
      </c>
      <c r="AM54" t="str">
        <f ca="1">IFERROR(IF(0=LEN(ReferenceData!$AM$54),"",ReferenceData!$AM$54),"")</f>
        <v/>
      </c>
      <c r="AN54" t="str">
        <f ca="1">IFERROR(IF(0=LEN(ReferenceData!$AN$54),"",ReferenceData!$AN$54),"")</f>
        <v/>
      </c>
      <c r="AO54" t="str">
        <f ca="1">IFERROR(IF(0=LEN(ReferenceData!$AO$54),"",ReferenceData!$AO$54),"")</f>
        <v/>
      </c>
      <c r="AP54" t="str">
        <f ca="1">IFERROR(IF(0=LEN(ReferenceData!$AP$54),"",ReferenceData!$AP$54),"")</f>
        <v/>
      </c>
      <c r="AQ54" t="str">
        <f ca="1">IFERROR(IF(0=LEN(ReferenceData!$AQ$54),"",ReferenceData!$AQ$54),"")</f>
        <v/>
      </c>
      <c r="AR54" t="str">
        <f ca="1">IFERROR(IF(0=LEN(ReferenceData!$AR$54),"",ReferenceData!$AR$54),"")</f>
        <v/>
      </c>
      <c r="AS54" t="str">
        <f ca="1">IFERROR(IF(0=LEN(ReferenceData!$AS$54),"",ReferenceData!$AS$54),"")</f>
        <v/>
      </c>
      <c r="AT54" t="str">
        <f ca="1">IFERROR(IF(0=LEN(ReferenceData!$AT$54),"",ReferenceData!$AT$54),"")</f>
        <v/>
      </c>
      <c r="AU54" t="str">
        <f ca="1">IFERROR(IF(0=LEN(ReferenceData!$AU$54),"",ReferenceData!$AU$54),"")</f>
        <v/>
      </c>
      <c r="AV54" t="str">
        <f ca="1">IFERROR(IF(0=LEN(ReferenceData!$AV$54),"",ReferenceData!$AV$54),"")</f>
        <v/>
      </c>
      <c r="AW54" t="str">
        <f ca="1">IFERROR(IF(0=LEN(ReferenceData!$AW$54),"",ReferenceData!$AW$54),"")</f>
        <v/>
      </c>
      <c r="AX54" t="str">
        <f ca="1">IFERROR(IF(0=LEN(ReferenceData!$AX$54),"",ReferenceData!$AX$54),"")</f>
        <v/>
      </c>
      <c r="AY54" t="str">
        <f ca="1">IFERROR(IF(0=LEN(ReferenceData!$AY$54),"",ReferenceData!$AY$54),"")</f>
        <v/>
      </c>
      <c r="AZ54" t="str">
        <f ca="1">IFERROR(IF(0=LEN(ReferenceData!$AZ$54),"",ReferenceData!$AZ$54),"")</f>
        <v/>
      </c>
      <c r="BA54" t="str">
        <f ca="1">IFERROR(IF(0=LEN(ReferenceData!$BA$54),"",ReferenceData!$BA$54),"")</f>
        <v/>
      </c>
      <c r="BB54" t="str">
        <f ca="1">IFERROR(IF(0=LEN(ReferenceData!$BB$54),"",ReferenceData!$BB$54),"")</f>
        <v/>
      </c>
      <c r="BC54" t="str">
        <f ca="1">IFERROR(IF(0=LEN(ReferenceData!$BC$54),"",ReferenceData!$BC$54),"")</f>
        <v/>
      </c>
      <c r="BD54" t="str">
        <f ca="1">IFERROR(IF(0=LEN(ReferenceData!$BD$54),"",ReferenceData!$BD$54),"")</f>
        <v/>
      </c>
      <c r="BE54" t="str">
        <f ca="1">IFERROR(IF(0=LEN(ReferenceData!$BE$54),"",ReferenceData!$BE$54),"")</f>
        <v/>
      </c>
      <c r="BF54" t="str">
        <f ca="1">IFERROR(IF(0=LEN(ReferenceData!$BF$54),"",ReferenceData!$BF$54),"")</f>
        <v/>
      </c>
      <c r="BG54" t="str">
        <f ca="1">IFERROR(IF(0=LEN(ReferenceData!$BG$54),"",ReferenceData!$BG$54),"")</f>
        <v/>
      </c>
      <c r="BH54" t="str">
        <f ca="1">IFERROR(IF(0=LEN(ReferenceData!$BH$54),"",ReferenceData!$BH$54),"")</f>
        <v/>
      </c>
      <c r="BI54" t="str">
        <f ca="1">IFERROR(IF(0=LEN(ReferenceData!$BI$54),"",ReferenceData!$BI$54),"")</f>
        <v/>
      </c>
      <c r="BJ54" t="str">
        <f ca="1">IFERROR(IF(0=LEN(ReferenceData!$BJ$54),"",ReferenceData!$BJ$54),"")</f>
        <v/>
      </c>
      <c r="BK54" t="str">
        <f ca="1">IFERROR(IF(0=LEN(ReferenceData!$BK$54),"",ReferenceData!$BK$54),"")</f>
        <v/>
      </c>
      <c r="BL54" t="str">
        <f ca="1">IFERROR(IF(0=LEN(ReferenceData!$BL$54),"",ReferenceData!$BL$54),"")</f>
        <v/>
      </c>
      <c r="BM54" t="str">
        <f ca="1">IFERROR(IF(0=LEN(ReferenceData!$BM$54),"",ReferenceData!$BM$54),"")</f>
        <v/>
      </c>
    </row>
    <row r="55" spans="1:65" x14ac:dyDescent="0.25">
      <c r="A55" t="str">
        <f>IFERROR(IF(0=LEN(ReferenceData!$A$55),"",ReferenceData!$A$55),"")</f>
        <v xml:space="preserve">                Other Luxury Brands</v>
      </c>
      <c r="B55" t="str">
        <f>IFERROR(IF(0=LEN(ReferenceData!$B$55),"",ReferenceData!$B$55),"")</f>
        <v>KER FP Equity</v>
      </c>
      <c r="C55" t="str">
        <f>IFERROR(IF(0=LEN(ReferenceData!$C$55),"",ReferenceData!$C$55),"")</f>
        <v>BI047</v>
      </c>
      <c r="D55" t="str">
        <f>IFERROR(IF(0=LEN(ReferenceData!$D$55),"",ReferenceData!$D$55),"")</f>
        <v>BICS_SEGMENT_DATA</v>
      </c>
      <c r="E55" t="str">
        <f>IFERROR(IF(0=LEN(ReferenceData!$E$55),"",ReferenceData!$E$55),"")</f>
        <v>Dynamic</v>
      </c>
      <c r="F55" t="str">
        <f ca="1">IFERROR(IF(0=LEN(ReferenceData!$F$55),"",ReferenceData!$F$55),"")</f>
        <v/>
      </c>
      <c r="G55">
        <f ca="1">IFERROR(IF(0=LEN(ReferenceData!$G$55),"",ReferenceData!$G$55),"")</f>
        <v>26.1</v>
      </c>
      <c r="H55">
        <f ca="1">IFERROR(IF(0=LEN(ReferenceData!$H$55),"",ReferenceData!$H$55),"")</f>
        <v>108.1</v>
      </c>
      <c r="I55">
        <f ca="1">IFERROR(IF(0=LEN(ReferenceData!$I$55),"",ReferenceData!$I$55),"")</f>
        <v>29.1</v>
      </c>
      <c r="J55">
        <f ca="1">IFERROR(IF(0=LEN(ReferenceData!$J$55),"",ReferenceData!$J$55),"")</f>
        <v>-1</v>
      </c>
      <c r="K55">
        <f ca="1">IFERROR(IF(0=LEN(ReferenceData!$K$55),"",ReferenceData!$K$55),"")</f>
        <v>9.3000000000000007</v>
      </c>
      <c r="L55">
        <f ca="1">IFERROR(IF(0=LEN(ReferenceData!$L$55),"",ReferenceData!$L$55),"")</f>
        <v>-43.6</v>
      </c>
      <c r="M55">
        <f ca="1">IFERROR(IF(0=LEN(ReferenceData!$M$55),"",ReferenceData!$M$55),"")</f>
        <v>-4.0999999999999996</v>
      </c>
      <c r="N55">
        <f ca="1">IFERROR(IF(0=LEN(ReferenceData!$N$55),"",ReferenceData!$N$55),"")</f>
        <v>17.2</v>
      </c>
      <c r="O55">
        <f ca="1">IFERROR(IF(0=LEN(ReferenceData!$O$55),"",ReferenceData!$O$55),"")</f>
        <v>18.600000000000001</v>
      </c>
      <c r="P55">
        <f ca="1">IFERROR(IF(0=LEN(ReferenceData!$P$55),"",ReferenceData!$P$55),"")</f>
        <v>21.5</v>
      </c>
      <c r="Q55">
        <f ca="1">IFERROR(IF(0=LEN(ReferenceData!$Q$55),"",ReferenceData!$Q$55),"")</f>
        <v>25</v>
      </c>
      <c r="R55">
        <f ca="1">IFERROR(IF(0=LEN(ReferenceData!$R$55),"",ReferenceData!$R$55),"")</f>
        <v>26</v>
      </c>
      <c r="S55">
        <f ca="1">IFERROR(IF(0=LEN(ReferenceData!$S$55),"",ReferenceData!$S$55),"")</f>
        <v>32.200000000000003</v>
      </c>
      <c r="T55">
        <f ca="1">IFERROR(IF(0=LEN(ReferenceData!$T$55),"",ReferenceData!$T$55),"")</f>
        <v>30.6</v>
      </c>
      <c r="U55">
        <f ca="1">IFERROR(IF(0=LEN(ReferenceData!$U$55),"",ReferenceData!$U$55),"")</f>
        <v>31</v>
      </c>
      <c r="V55">
        <f ca="1">IFERROR(IF(0=LEN(ReferenceData!$V$55),"",ReferenceData!$V$55),"")</f>
        <v>14.7</v>
      </c>
      <c r="W55">
        <f ca="1">IFERROR(IF(0=LEN(ReferenceData!$W$55),"",ReferenceData!$W$55),"")</f>
        <v>13</v>
      </c>
      <c r="X55">
        <f ca="1">IFERROR(IF(0=LEN(ReferenceData!$X$55),"",ReferenceData!$X$55),"")</f>
        <v>9.1999999999999993</v>
      </c>
      <c r="Y55" t="str">
        <f ca="1">IFERROR(IF(0=LEN(ReferenceData!$Y$55),"",ReferenceData!$Y$55),"")</f>
        <v/>
      </c>
      <c r="Z55" t="str">
        <f ca="1">IFERROR(IF(0=LEN(ReferenceData!$Z$55),"",ReferenceData!$Z$55),"")</f>
        <v/>
      </c>
      <c r="AA55" t="str">
        <f ca="1">IFERROR(IF(0=LEN(ReferenceData!$AA$55),"",ReferenceData!$AA$55),"")</f>
        <v/>
      </c>
      <c r="AB55" t="str">
        <f ca="1">IFERROR(IF(0=LEN(ReferenceData!$AB$55),"",ReferenceData!$AB$55),"")</f>
        <v/>
      </c>
      <c r="AC55">
        <f ca="1">IFERROR(IF(0=LEN(ReferenceData!$AC$55),"",ReferenceData!$AC$55),"")</f>
        <v>-2.9</v>
      </c>
      <c r="AD55" t="str">
        <f ca="1">IFERROR(IF(0=LEN(ReferenceData!$AD$55),"",ReferenceData!$AD$55),"")</f>
        <v/>
      </c>
      <c r="AE55" t="str">
        <f ca="1">IFERROR(IF(0=LEN(ReferenceData!$AE$55),"",ReferenceData!$AE$55),"")</f>
        <v/>
      </c>
      <c r="AF55" t="str">
        <f ca="1">IFERROR(IF(0=LEN(ReferenceData!$AF$55),"",ReferenceData!$AF$55),"")</f>
        <v/>
      </c>
      <c r="AG55" t="str">
        <f ca="1">IFERROR(IF(0=LEN(ReferenceData!$AG$55),"",ReferenceData!$AG$55),"")</f>
        <v/>
      </c>
      <c r="AH55" t="str">
        <f ca="1">IFERROR(IF(0=LEN(ReferenceData!$AH$55),"",ReferenceData!$AH$55),"")</f>
        <v/>
      </c>
      <c r="AI55" t="str">
        <f ca="1">IFERROR(IF(0=LEN(ReferenceData!$AI$55),"",ReferenceData!$AI$55),"")</f>
        <v/>
      </c>
      <c r="AJ55" t="str">
        <f ca="1">IFERROR(IF(0=LEN(ReferenceData!$AJ$55),"",ReferenceData!$AJ$55),"")</f>
        <v/>
      </c>
      <c r="AK55" t="str">
        <f ca="1">IFERROR(IF(0=LEN(ReferenceData!$AK$55),"",ReferenceData!$AK$55),"")</f>
        <v/>
      </c>
      <c r="AL55" t="str">
        <f ca="1">IFERROR(IF(0=LEN(ReferenceData!$AL$55),"",ReferenceData!$AL$55),"")</f>
        <v/>
      </c>
      <c r="AM55" t="str">
        <f ca="1">IFERROR(IF(0=LEN(ReferenceData!$AM$55),"",ReferenceData!$AM$55),"")</f>
        <v/>
      </c>
      <c r="AN55" t="str">
        <f ca="1">IFERROR(IF(0=LEN(ReferenceData!$AN$55),"",ReferenceData!$AN$55),"")</f>
        <v/>
      </c>
      <c r="AO55" t="str">
        <f ca="1">IFERROR(IF(0=LEN(ReferenceData!$AO$55),"",ReferenceData!$AO$55),"")</f>
        <v/>
      </c>
      <c r="AP55" t="str">
        <f ca="1">IFERROR(IF(0=LEN(ReferenceData!$AP$55),"",ReferenceData!$AP$55),"")</f>
        <v/>
      </c>
      <c r="AQ55" t="str">
        <f ca="1">IFERROR(IF(0=LEN(ReferenceData!$AQ$55),"",ReferenceData!$AQ$55),"")</f>
        <v/>
      </c>
      <c r="AR55" t="str">
        <f ca="1">IFERROR(IF(0=LEN(ReferenceData!$AR$55),"",ReferenceData!$AR$55),"")</f>
        <v/>
      </c>
      <c r="AS55" t="str">
        <f ca="1">IFERROR(IF(0=LEN(ReferenceData!$AS$55),"",ReferenceData!$AS$55),"")</f>
        <v/>
      </c>
      <c r="AT55" t="str">
        <f ca="1">IFERROR(IF(0=LEN(ReferenceData!$AT$55),"",ReferenceData!$AT$55),"")</f>
        <v/>
      </c>
      <c r="AU55" t="str">
        <f ca="1">IFERROR(IF(0=LEN(ReferenceData!$AU$55),"",ReferenceData!$AU$55),"")</f>
        <v/>
      </c>
      <c r="AV55" t="str">
        <f ca="1">IFERROR(IF(0=LEN(ReferenceData!$AV$55),"",ReferenceData!$AV$55),"")</f>
        <v/>
      </c>
      <c r="AW55" t="str">
        <f ca="1">IFERROR(IF(0=LEN(ReferenceData!$AW$55),"",ReferenceData!$AW$55),"")</f>
        <v/>
      </c>
      <c r="AX55" t="str">
        <f ca="1">IFERROR(IF(0=LEN(ReferenceData!$AX$55),"",ReferenceData!$AX$55),"")</f>
        <v/>
      </c>
      <c r="AY55" t="str">
        <f ca="1">IFERROR(IF(0=LEN(ReferenceData!$AY$55),"",ReferenceData!$AY$55),"")</f>
        <v/>
      </c>
      <c r="AZ55" t="str">
        <f ca="1">IFERROR(IF(0=LEN(ReferenceData!$AZ$55),"",ReferenceData!$AZ$55),"")</f>
        <v/>
      </c>
      <c r="BA55" t="str">
        <f ca="1">IFERROR(IF(0=LEN(ReferenceData!$BA$55),"",ReferenceData!$BA$55),"")</f>
        <v/>
      </c>
      <c r="BB55" t="str">
        <f ca="1">IFERROR(IF(0=LEN(ReferenceData!$BB$55),"",ReferenceData!$BB$55),"")</f>
        <v/>
      </c>
      <c r="BC55" t="str">
        <f ca="1">IFERROR(IF(0=LEN(ReferenceData!$BC$55),"",ReferenceData!$BC$55),"")</f>
        <v/>
      </c>
      <c r="BD55" t="str">
        <f ca="1">IFERROR(IF(0=LEN(ReferenceData!$BD$55),"",ReferenceData!$BD$55),"")</f>
        <v/>
      </c>
      <c r="BE55" t="str">
        <f ca="1">IFERROR(IF(0=LEN(ReferenceData!$BE$55),"",ReferenceData!$BE$55),"")</f>
        <v/>
      </c>
      <c r="BF55" t="str">
        <f ca="1">IFERROR(IF(0=LEN(ReferenceData!$BF$55),"",ReferenceData!$BF$55),"")</f>
        <v/>
      </c>
      <c r="BG55" t="str">
        <f ca="1">IFERROR(IF(0=LEN(ReferenceData!$BG$55),"",ReferenceData!$BG$55),"")</f>
        <v/>
      </c>
      <c r="BH55" t="str">
        <f ca="1">IFERROR(IF(0=LEN(ReferenceData!$BH$55),"",ReferenceData!$BH$55),"")</f>
        <v/>
      </c>
      <c r="BI55" t="str">
        <f ca="1">IFERROR(IF(0=LEN(ReferenceData!$BI$55),"",ReferenceData!$BI$55),"")</f>
        <v/>
      </c>
      <c r="BJ55" t="str">
        <f ca="1">IFERROR(IF(0=LEN(ReferenceData!$BJ$55),"",ReferenceData!$BJ$55),"")</f>
        <v/>
      </c>
      <c r="BK55" t="str">
        <f ca="1">IFERROR(IF(0=LEN(ReferenceData!$BK$55),"",ReferenceData!$BK$55),"")</f>
        <v/>
      </c>
      <c r="BL55" t="str">
        <f ca="1">IFERROR(IF(0=LEN(ReferenceData!$BL$55),"",ReferenceData!$BL$55),"")</f>
        <v/>
      </c>
      <c r="BM55" t="str">
        <f ca="1">IFERROR(IF(0=LEN(ReferenceData!$BM$55),"",ReferenceData!$BM$55),"")</f>
        <v/>
      </c>
    </row>
    <row r="56" spans="1:65" x14ac:dyDescent="0.25">
      <c r="A56" t="str">
        <f>IFERROR(IF(0=LEN(ReferenceData!$A$56),"",ReferenceData!$A$56),"")</f>
        <v xml:space="preserve">                    Retail</v>
      </c>
      <c r="B56" t="str">
        <f>IFERROR(IF(0=LEN(ReferenceData!$B$56),"",ReferenceData!$B$56),"")</f>
        <v>KER FP Equity</v>
      </c>
      <c r="C56" t="str">
        <f>IFERROR(IF(0=LEN(ReferenceData!$C$56),"",ReferenceData!$C$56),"")</f>
        <v>BI047</v>
      </c>
      <c r="D56" t="str">
        <f>IFERROR(IF(0=LEN(ReferenceData!$D$56),"",ReferenceData!$D$56),"")</f>
        <v>BICS_SEGMENT_DATA</v>
      </c>
      <c r="E56" t="str">
        <f>IFERROR(IF(0=LEN(ReferenceData!$E$56),"",ReferenceData!$E$56),"")</f>
        <v>Dynamic</v>
      </c>
      <c r="F56" t="str">
        <f ca="1">IFERROR(IF(0=LEN(ReferenceData!$F$56),"",ReferenceData!$F$56),"")</f>
        <v/>
      </c>
      <c r="G56">
        <f ca="1">IFERROR(IF(0=LEN(ReferenceData!$G$56),"",ReferenceData!$G$56),"")</f>
        <v>24</v>
      </c>
      <c r="H56">
        <f ca="1">IFERROR(IF(0=LEN(ReferenceData!$H$56),"",ReferenceData!$H$56),"")</f>
        <v>108</v>
      </c>
      <c r="I56">
        <f ca="1">IFERROR(IF(0=LEN(ReferenceData!$I$56),"",ReferenceData!$I$56),"")</f>
        <v>29</v>
      </c>
      <c r="J56">
        <f ca="1">IFERROR(IF(0=LEN(ReferenceData!$J$56),"",ReferenceData!$J$56),"")</f>
        <v>-5</v>
      </c>
      <c r="K56">
        <f ca="1">IFERROR(IF(0=LEN(ReferenceData!$K$56),"",ReferenceData!$K$56),"")</f>
        <v>10</v>
      </c>
      <c r="L56">
        <f ca="1">IFERROR(IF(0=LEN(ReferenceData!$L$56),"",ReferenceData!$L$56),"")</f>
        <v>-35</v>
      </c>
      <c r="M56">
        <f ca="1">IFERROR(IF(0=LEN(ReferenceData!$M$56),"",ReferenceData!$M$56),"")</f>
        <v>-7</v>
      </c>
      <c r="N56" t="str">
        <f ca="1">IFERROR(IF(0=LEN(ReferenceData!$N$56),"",ReferenceData!$N$56),"")</f>
        <v/>
      </c>
      <c r="O56">
        <f ca="1">IFERROR(IF(0=LEN(ReferenceData!$O$56),"",ReferenceData!$O$56),"")</f>
        <v>24</v>
      </c>
      <c r="P56">
        <f ca="1">IFERROR(IF(0=LEN(ReferenceData!$P$56),"",ReferenceData!$P$56),"")</f>
        <v>34</v>
      </c>
      <c r="Q56">
        <f ca="1">IFERROR(IF(0=LEN(ReferenceData!$Q$56),"",ReferenceData!$Q$56),"")</f>
        <v>31</v>
      </c>
      <c r="R56" t="str">
        <f ca="1">IFERROR(IF(0=LEN(ReferenceData!$R$56),"",ReferenceData!$R$56),"")</f>
        <v/>
      </c>
      <c r="S56">
        <f ca="1">IFERROR(IF(0=LEN(ReferenceData!$S$56),"",ReferenceData!$S$56),"")</f>
        <v>38</v>
      </c>
      <c r="T56" t="str">
        <f ca="1">IFERROR(IF(0=LEN(ReferenceData!$T$56),"",ReferenceData!$T$56),"")</f>
        <v/>
      </c>
      <c r="U56">
        <f ca="1">IFERROR(IF(0=LEN(ReferenceData!$U$56),"",ReferenceData!$U$56),"")</f>
        <v>57</v>
      </c>
      <c r="V56">
        <f ca="1">IFERROR(IF(0=LEN(ReferenceData!$V$56),"",ReferenceData!$V$56),"")</f>
        <v>19</v>
      </c>
      <c r="W56">
        <f ca="1">IFERROR(IF(0=LEN(ReferenceData!$W$56),"",ReferenceData!$W$56),"")</f>
        <v>31</v>
      </c>
      <c r="X56">
        <f ca="1">IFERROR(IF(0=LEN(ReferenceData!$X$56),"",ReferenceData!$X$56),"")</f>
        <v>13</v>
      </c>
      <c r="Y56">
        <f ca="1">IFERROR(IF(0=LEN(ReferenceData!$Y$56),"",ReferenceData!$Y$56),"")</f>
        <v>18</v>
      </c>
      <c r="Z56" t="str">
        <f ca="1">IFERROR(IF(0=LEN(ReferenceData!$Z$56),"",ReferenceData!$Z$56),"")</f>
        <v/>
      </c>
      <c r="AA56">
        <f ca="1">IFERROR(IF(0=LEN(ReferenceData!$AA$56),"",ReferenceData!$AA$56),"")</f>
        <v>7</v>
      </c>
      <c r="AB56" t="str">
        <f ca="1">IFERROR(IF(0=LEN(ReferenceData!$AB$56),"",ReferenceData!$AB$56),"")</f>
        <v/>
      </c>
      <c r="AC56">
        <f ca="1">IFERROR(IF(0=LEN(ReferenceData!$AC$56),"",ReferenceData!$AC$56),"")</f>
        <v>0</v>
      </c>
      <c r="AD56" t="str">
        <f ca="1">IFERROR(IF(0=LEN(ReferenceData!$AD$56),"",ReferenceData!$AD$56),"")</f>
        <v/>
      </c>
      <c r="AE56">
        <f ca="1">IFERROR(IF(0=LEN(ReferenceData!$AE$56),"",ReferenceData!$AE$56),"")</f>
        <v>11</v>
      </c>
      <c r="AF56" t="str">
        <f ca="1">IFERROR(IF(0=LEN(ReferenceData!$AF$56),"",ReferenceData!$AF$56),"")</f>
        <v/>
      </c>
      <c r="AG56">
        <f ca="1">IFERROR(IF(0=LEN(ReferenceData!$AG$56),"",ReferenceData!$AG$56),"")</f>
        <v>8</v>
      </c>
      <c r="AH56" t="str">
        <f ca="1">IFERROR(IF(0=LEN(ReferenceData!$AH$56),"",ReferenceData!$AH$56),"")</f>
        <v/>
      </c>
      <c r="AI56" t="str">
        <f ca="1">IFERROR(IF(0=LEN(ReferenceData!$AI$56),"",ReferenceData!$AI$56),"")</f>
        <v/>
      </c>
      <c r="AJ56" t="str">
        <f ca="1">IFERROR(IF(0=LEN(ReferenceData!$AJ$56),"",ReferenceData!$AJ$56),"")</f>
        <v/>
      </c>
      <c r="AK56">
        <f ca="1">IFERROR(IF(0=LEN(ReferenceData!$AK$56),"",ReferenceData!$AK$56),"")</f>
        <v>17</v>
      </c>
      <c r="AL56" t="str">
        <f ca="1">IFERROR(IF(0=LEN(ReferenceData!$AL$56),"",ReferenceData!$AL$56),"")</f>
        <v/>
      </c>
      <c r="AM56" t="str">
        <f ca="1">IFERROR(IF(0=LEN(ReferenceData!$AM$56),"",ReferenceData!$AM$56),"")</f>
        <v/>
      </c>
      <c r="AN56" t="str">
        <f ca="1">IFERROR(IF(0=LEN(ReferenceData!$AN$56),"",ReferenceData!$AN$56),"")</f>
        <v/>
      </c>
      <c r="AO56" t="str">
        <f ca="1">IFERROR(IF(0=LEN(ReferenceData!$AO$56),"",ReferenceData!$AO$56),"")</f>
        <v/>
      </c>
      <c r="AP56" t="str">
        <f ca="1">IFERROR(IF(0=LEN(ReferenceData!$AP$56),"",ReferenceData!$AP$56),"")</f>
        <v/>
      </c>
      <c r="AQ56" t="str">
        <f ca="1">IFERROR(IF(0=LEN(ReferenceData!$AQ$56),"",ReferenceData!$AQ$56),"")</f>
        <v/>
      </c>
      <c r="AR56" t="str">
        <f ca="1">IFERROR(IF(0=LEN(ReferenceData!$AR$56),"",ReferenceData!$AR$56),"")</f>
        <v/>
      </c>
      <c r="AS56" t="str">
        <f ca="1">IFERROR(IF(0=LEN(ReferenceData!$AS$56),"",ReferenceData!$AS$56),"")</f>
        <v/>
      </c>
      <c r="AT56" t="str">
        <f ca="1">IFERROR(IF(0=LEN(ReferenceData!$AT$56),"",ReferenceData!$AT$56),"")</f>
        <v/>
      </c>
      <c r="AU56" t="str">
        <f ca="1">IFERROR(IF(0=LEN(ReferenceData!$AU$56),"",ReferenceData!$AU$56),"")</f>
        <v/>
      </c>
      <c r="AV56" t="str">
        <f ca="1">IFERROR(IF(0=LEN(ReferenceData!$AV$56),"",ReferenceData!$AV$56),"")</f>
        <v/>
      </c>
      <c r="AW56" t="str">
        <f ca="1">IFERROR(IF(0=LEN(ReferenceData!$AW$56),"",ReferenceData!$AW$56),"")</f>
        <v/>
      </c>
      <c r="AX56" t="str">
        <f ca="1">IFERROR(IF(0=LEN(ReferenceData!$AX$56),"",ReferenceData!$AX$56),"")</f>
        <v/>
      </c>
      <c r="AY56" t="str">
        <f ca="1">IFERROR(IF(0=LEN(ReferenceData!$AY$56),"",ReferenceData!$AY$56),"")</f>
        <v/>
      </c>
      <c r="AZ56" t="str">
        <f ca="1">IFERROR(IF(0=LEN(ReferenceData!$AZ$56),"",ReferenceData!$AZ$56),"")</f>
        <v/>
      </c>
      <c r="BA56" t="str">
        <f ca="1">IFERROR(IF(0=LEN(ReferenceData!$BA$56),"",ReferenceData!$BA$56),"")</f>
        <v/>
      </c>
      <c r="BB56" t="str">
        <f ca="1">IFERROR(IF(0=LEN(ReferenceData!$BB$56),"",ReferenceData!$BB$56),"")</f>
        <v/>
      </c>
      <c r="BC56" t="str">
        <f ca="1">IFERROR(IF(0=LEN(ReferenceData!$BC$56),"",ReferenceData!$BC$56),"")</f>
        <v/>
      </c>
      <c r="BD56" t="str">
        <f ca="1">IFERROR(IF(0=LEN(ReferenceData!$BD$56),"",ReferenceData!$BD$56),"")</f>
        <v/>
      </c>
      <c r="BE56" t="str">
        <f ca="1">IFERROR(IF(0=LEN(ReferenceData!$BE$56),"",ReferenceData!$BE$56),"")</f>
        <v/>
      </c>
      <c r="BF56" t="str">
        <f ca="1">IFERROR(IF(0=LEN(ReferenceData!$BF$56),"",ReferenceData!$BF$56),"")</f>
        <v/>
      </c>
      <c r="BG56" t="str">
        <f ca="1">IFERROR(IF(0=LEN(ReferenceData!$BG$56),"",ReferenceData!$BG$56),"")</f>
        <v/>
      </c>
      <c r="BH56" t="str">
        <f ca="1">IFERROR(IF(0=LEN(ReferenceData!$BH$56),"",ReferenceData!$BH$56),"")</f>
        <v/>
      </c>
      <c r="BI56" t="str">
        <f ca="1">IFERROR(IF(0=LEN(ReferenceData!$BI$56),"",ReferenceData!$BI$56),"")</f>
        <v/>
      </c>
      <c r="BJ56" t="str">
        <f ca="1">IFERROR(IF(0=LEN(ReferenceData!$BJ$56),"",ReferenceData!$BJ$56),"")</f>
        <v/>
      </c>
      <c r="BK56" t="str">
        <f ca="1">IFERROR(IF(0=LEN(ReferenceData!$BK$56),"",ReferenceData!$BK$56),"")</f>
        <v/>
      </c>
      <c r="BL56" t="str">
        <f ca="1">IFERROR(IF(0=LEN(ReferenceData!$BL$56),"",ReferenceData!$BL$56),"")</f>
        <v/>
      </c>
      <c r="BM56" t="str">
        <f ca="1">IFERROR(IF(0=LEN(ReferenceData!$BM$56),"",ReferenceData!$BM$56),"")</f>
        <v/>
      </c>
    </row>
    <row r="57" spans="1:65" x14ac:dyDescent="0.25">
      <c r="A57" t="str">
        <f>IFERROR(IF(0=LEN(ReferenceData!$A$57),"",ReferenceData!$A$57),"")</f>
        <v xml:space="preserve">                    Wholesale</v>
      </c>
      <c r="B57" t="str">
        <f>IFERROR(IF(0=LEN(ReferenceData!$B$57),"",ReferenceData!$B$57),"")</f>
        <v>KER FP Equity</v>
      </c>
      <c r="C57" t="str">
        <f>IFERROR(IF(0=LEN(ReferenceData!$C$57),"",ReferenceData!$C$57),"")</f>
        <v>BI047</v>
      </c>
      <c r="D57" t="str">
        <f>IFERROR(IF(0=LEN(ReferenceData!$D$57),"",ReferenceData!$D$57),"")</f>
        <v>BICS_SEGMENT_DATA</v>
      </c>
      <c r="E57" t="str">
        <f>IFERROR(IF(0=LEN(ReferenceData!$E$57),"",ReferenceData!$E$57),"")</f>
        <v>Dynamic</v>
      </c>
      <c r="F57" t="str">
        <f ca="1">IFERROR(IF(0=LEN(ReferenceData!$F$57),"",ReferenceData!$F$57),"")</f>
        <v/>
      </c>
      <c r="G57">
        <f ca="1">IFERROR(IF(0=LEN(ReferenceData!$G$57),"",ReferenceData!$G$57),"")</f>
        <v>27</v>
      </c>
      <c r="H57">
        <f ca="1">IFERROR(IF(0=LEN(ReferenceData!$H$57),"",ReferenceData!$H$57),"")</f>
        <v>98</v>
      </c>
      <c r="I57">
        <f ca="1">IFERROR(IF(0=LEN(ReferenceData!$I$57),"",ReferenceData!$I$57),"")</f>
        <v>38</v>
      </c>
      <c r="J57">
        <f ca="1">IFERROR(IF(0=LEN(ReferenceData!$J$57),"",ReferenceData!$J$57),"")</f>
        <v>-13</v>
      </c>
      <c r="K57">
        <f ca="1">IFERROR(IF(0=LEN(ReferenceData!$K$57),"",ReferenceData!$K$57),"")</f>
        <v>17</v>
      </c>
      <c r="L57">
        <f ca="1">IFERROR(IF(0=LEN(ReferenceData!$L$57),"",ReferenceData!$L$57),"")</f>
        <v>-53</v>
      </c>
      <c r="M57">
        <f ca="1">IFERROR(IF(0=LEN(ReferenceData!$M$57),"",ReferenceData!$M$57),"")</f>
        <v>-1</v>
      </c>
      <c r="N57" t="str">
        <f ca="1">IFERROR(IF(0=LEN(ReferenceData!$N$57),"",ReferenceData!$N$57),"")</f>
        <v/>
      </c>
      <c r="O57">
        <f ca="1">IFERROR(IF(0=LEN(ReferenceData!$O$57),"",ReferenceData!$O$57),"")</f>
        <v>8</v>
      </c>
      <c r="P57" t="str">
        <f ca="1">IFERROR(IF(0=LEN(ReferenceData!$P$57),"",ReferenceData!$P$57),"")</f>
        <v/>
      </c>
      <c r="Q57">
        <f ca="1">IFERROR(IF(0=LEN(ReferenceData!$Q$57),"",ReferenceData!$Q$57),"")</f>
        <v>13</v>
      </c>
      <c r="R57" t="str">
        <f ca="1">IFERROR(IF(0=LEN(ReferenceData!$R$57),"",ReferenceData!$R$57),"")</f>
        <v/>
      </c>
      <c r="S57">
        <f ca="1">IFERROR(IF(0=LEN(ReferenceData!$S$57),"",ReferenceData!$S$57),"")</f>
        <v>29</v>
      </c>
      <c r="T57" t="str">
        <f ca="1">IFERROR(IF(0=LEN(ReferenceData!$T$57),"",ReferenceData!$T$57),"")</f>
        <v/>
      </c>
      <c r="U57">
        <f ca="1">IFERROR(IF(0=LEN(ReferenceData!$U$57),"",ReferenceData!$U$57),"")</f>
        <v>24</v>
      </c>
      <c r="V57" t="str">
        <f ca="1">IFERROR(IF(0=LEN(ReferenceData!$V$57),"",ReferenceData!$V$57),"")</f>
        <v/>
      </c>
      <c r="W57">
        <f ca="1">IFERROR(IF(0=LEN(ReferenceData!$W$57),"",ReferenceData!$W$57),"")</f>
        <v>9</v>
      </c>
      <c r="X57" t="str">
        <f ca="1">IFERROR(IF(0=LEN(ReferenceData!$X$57),"",ReferenceData!$X$57),"")</f>
        <v/>
      </c>
      <c r="Y57">
        <f ca="1">IFERROR(IF(0=LEN(ReferenceData!$Y$57),"",ReferenceData!$Y$57),"")</f>
        <v>8</v>
      </c>
      <c r="Z57" t="str">
        <f ca="1">IFERROR(IF(0=LEN(ReferenceData!$Z$57),"",ReferenceData!$Z$57),"")</f>
        <v/>
      </c>
      <c r="AA57">
        <f ca="1">IFERROR(IF(0=LEN(ReferenceData!$AA$57),"",ReferenceData!$AA$57),"")</f>
        <v>0</v>
      </c>
      <c r="AB57" t="str">
        <f ca="1">IFERROR(IF(0=LEN(ReferenceData!$AB$57),"",ReferenceData!$AB$57),"")</f>
        <v/>
      </c>
      <c r="AC57">
        <f ca="1">IFERROR(IF(0=LEN(ReferenceData!$AC$57),"",ReferenceData!$AC$57),"")</f>
        <v>-4</v>
      </c>
      <c r="AD57" t="str">
        <f ca="1">IFERROR(IF(0=LEN(ReferenceData!$AD$57),"",ReferenceData!$AD$57),"")</f>
        <v/>
      </c>
      <c r="AE57">
        <f ca="1">IFERROR(IF(0=LEN(ReferenceData!$AE$57),"",ReferenceData!$AE$57),"")</f>
        <v>-9</v>
      </c>
      <c r="AF57" t="str">
        <f ca="1">IFERROR(IF(0=LEN(ReferenceData!$AF$57),"",ReferenceData!$AF$57),"")</f>
        <v/>
      </c>
      <c r="AG57">
        <f ca="1">IFERROR(IF(0=LEN(ReferenceData!$AG$57),"",ReferenceData!$AG$57),"")</f>
        <v>-13</v>
      </c>
      <c r="AH57" t="str">
        <f ca="1">IFERROR(IF(0=LEN(ReferenceData!$AH$57),"",ReferenceData!$AH$57),"")</f>
        <v/>
      </c>
      <c r="AI57" t="str">
        <f ca="1">IFERROR(IF(0=LEN(ReferenceData!$AI$57),"",ReferenceData!$AI$57),"")</f>
        <v/>
      </c>
      <c r="AJ57" t="str">
        <f ca="1">IFERROR(IF(0=LEN(ReferenceData!$AJ$57),"",ReferenceData!$AJ$57),"")</f>
        <v/>
      </c>
      <c r="AK57">
        <f ca="1">IFERROR(IF(0=LEN(ReferenceData!$AK$57),"",ReferenceData!$AK$57),"")</f>
        <v>2</v>
      </c>
      <c r="AL57" t="str">
        <f ca="1">IFERROR(IF(0=LEN(ReferenceData!$AL$57),"",ReferenceData!$AL$57),"")</f>
        <v/>
      </c>
      <c r="AM57" t="str">
        <f ca="1">IFERROR(IF(0=LEN(ReferenceData!$AM$57),"",ReferenceData!$AM$57),"")</f>
        <v/>
      </c>
      <c r="AN57" t="str">
        <f ca="1">IFERROR(IF(0=LEN(ReferenceData!$AN$57),"",ReferenceData!$AN$57),"")</f>
        <v/>
      </c>
      <c r="AO57" t="str">
        <f ca="1">IFERROR(IF(0=LEN(ReferenceData!$AO$57),"",ReferenceData!$AO$57),"")</f>
        <v/>
      </c>
      <c r="AP57" t="str">
        <f ca="1">IFERROR(IF(0=LEN(ReferenceData!$AP$57),"",ReferenceData!$AP$57),"")</f>
        <v/>
      </c>
      <c r="AQ57" t="str">
        <f ca="1">IFERROR(IF(0=LEN(ReferenceData!$AQ$57),"",ReferenceData!$AQ$57),"")</f>
        <v/>
      </c>
      <c r="AR57" t="str">
        <f ca="1">IFERROR(IF(0=LEN(ReferenceData!$AR$57),"",ReferenceData!$AR$57),"")</f>
        <v/>
      </c>
      <c r="AS57" t="str">
        <f ca="1">IFERROR(IF(0=LEN(ReferenceData!$AS$57),"",ReferenceData!$AS$57),"")</f>
        <v/>
      </c>
      <c r="AT57" t="str">
        <f ca="1">IFERROR(IF(0=LEN(ReferenceData!$AT$57),"",ReferenceData!$AT$57),"")</f>
        <v/>
      </c>
      <c r="AU57" t="str">
        <f ca="1">IFERROR(IF(0=LEN(ReferenceData!$AU$57),"",ReferenceData!$AU$57),"")</f>
        <v/>
      </c>
      <c r="AV57" t="str">
        <f ca="1">IFERROR(IF(0=LEN(ReferenceData!$AV$57),"",ReferenceData!$AV$57),"")</f>
        <v/>
      </c>
      <c r="AW57" t="str">
        <f ca="1">IFERROR(IF(0=LEN(ReferenceData!$AW$57),"",ReferenceData!$AW$57),"")</f>
        <v/>
      </c>
      <c r="AX57" t="str">
        <f ca="1">IFERROR(IF(0=LEN(ReferenceData!$AX$57),"",ReferenceData!$AX$57),"")</f>
        <v/>
      </c>
      <c r="AY57" t="str">
        <f ca="1">IFERROR(IF(0=LEN(ReferenceData!$AY$57),"",ReferenceData!$AY$57),"")</f>
        <v/>
      </c>
      <c r="AZ57" t="str">
        <f ca="1">IFERROR(IF(0=LEN(ReferenceData!$AZ$57),"",ReferenceData!$AZ$57),"")</f>
        <v/>
      </c>
      <c r="BA57" t="str">
        <f ca="1">IFERROR(IF(0=LEN(ReferenceData!$BA$57),"",ReferenceData!$BA$57),"")</f>
        <v/>
      </c>
      <c r="BB57" t="str">
        <f ca="1">IFERROR(IF(0=LEN(ReferenceData!$BB$57),"",ReferenceData!$BB$57),"")</f>
        <v/>
      </c>
      <c r="BC57" t="str">
        <f ca="1">IFERROR(IF(0=LEN(ReferenceData!$BC$57),"",ReferenceData!$BC$57),"")</f>
        <v/>
      </c>
      <c r="BD57" t="str">
        <f ca="1">IFERROR(IF(0=LEN(ReferenceData!$BD$57),"",ReferenceData!$BD$57),"")</f>
        <v/>
      </c>
      <c r="BE57" t="str">
        <f ca="1">IFERROR(IF(0=LEN(ReferenceData!$BE$57),"",ReferenceData!$BE$57),"")</f>
        <v/>
      </c>
      <c r="BF57" t="str">
        <f ca="1">IFERROR(IF(0=LEN(ReferenceData!$BF$57),"",ReferenceData!$BF$57),"")</f>
        <v/>
      </c>
      <c r="BG57" t="str">
        <f ca="1">IFERROR(IF(0=LEN(ReferenceData!$BG$57),"",ReferenceData!$BG$57),"")</f>
        <v/>
      </c>
      <c r="BH57" t="str">
        <f ca="1">IFERROR(IF(0=LEN(ReferenceData!$BH$57),"",ReferenceData!$BH$57),"")</f>
        <v/>
      </c>
      <c r="BI57" t="str">
        <f ca="1">IFERROR(IF(0=LEN(ReferenceData!$BI$57),"",ReferenceData!$BI$57),"")</f>
        <v/>
      </c>
      <c r="BJ57" t="str">
        <f ca="1">IFERROR(IF(0=LEN(ReferenceData!$BJ$57),"",ReferenceData!$BJ$57),"")</f>
        <v/>
      </c>
      <c r="BK57" t="str">
        <f ca="1">IFERROR(IF(0=LEN(ReferenceData!$BK$57),"",ReferenceData!$BK$57),"")</f>
        <v/>
      </c>
      <c r="BL57" t="str">
        <f ca="1">IFERROR(IF(0=LEN(ReferenceData!$BL$57),"",ReferenceData!$BL$57),"")</f>
        <v/>
      </c>
      <c r="BM57" t="str">
        <f ca="1">IFERROR(IF(0=LEN(ReferenceData!$BM$57),"",ReferenceData!$BM$57),"")</f>
        <v/>
      </c>
    </row>
    <row r="58" spans="1:65" x14ac:dyDescent="0.25">
      <c r="A58" t="str">
        <f>IFERROR(IF(0=LEN(ReferenceData!$A$58),"",ReferenceData!$A$58),"")</f>
        <v xml:space="preserve">                    Royalties and Others</v>
      </c>
      <c r="B58" t="str">
        <f>IFERROR(IF(0=LEN(ReferenceData!$B$58),"",ReferenceData!$B$58),"")</f>
        <v>KER FP Equity</v>
      </c>
      <c r="C58" t="str">
        <f>IFERROR(IF(0=LEN(ReferenceData!$C$58),"",ReferenceData!$C$58),"")</f>
        <v>BI047</v>
      </c>
      <c r="D58" t="str">
        <f>IFERROR(IF(0=LEN(ReferenceData!$D$58),"",ReferenceData!$D$58),"")</f>
        <v>BICS_SEGMENT_DATA</v>
      </c>
      <c r="E58" t="str">
        <f>IFERROR(IF(0=LEN(ReferenceData!$E$58),"",ReferenceData!$E$58),"")</f>
        <v>Dynamic</v>
      </c>
      <c r="F58" t="str">
        <f ca="1">IFERROR(IF(0=LEN(ReferenceData!$F$58),"",ReferenceData!$F$58),"")</f>
        <v/>
      </c>
      <c r="G58">
        <f ca="1">IFERROR(IF(0=LEN(ReferenceData!$G$58),"",ReferenceData!$G$58),"")</f>
        <v>84</v>
      </c>
      <c r="H58">
        <f ca="1">IFERROR(IF(0=LEN(ReferenceData!$H$58),"",ReferenceData!$H$58),"")</f>
        <v>89</v>
      </c>
      <c r="I58">
        <f ca="1">IFERROR(IF(0=LEN(ReferenceData!$I$58),"",ReferenceData!$I$58),"")</f>
        <v>13</v>
      </c>
      <c r="J58">
        <f ca="1">IFERROR(IF(0=LEN(ReferenceData!$J$58),"",ReferenceData!$J$58),"")</f>
        <v>-49</v>
      </c>
      <c r="K58">
        <f ca="1">IFERROR(IF(0=LEN(ReferenceData!$K$58),"",ReferenceData!$K$58),"")</f>
        <v>-41</v>
      </c>
      <c r="L58" t="str">
        <f ca="1">IFERROR(IF(0=LEN(ReferenceData!$L$58),"",ReferenceData!$L$58),"")</f>
        <v/>
      </c>
      <c r="M58">
        <f ca="1">IFERROR(IF(0=LEN(ReferenceData!$M$58),"",ReferenceData!$M$58),"")</f>
        <v>-49</v>
      </c>
      <c r="N58" t="str">
        <f ca="1">IFERROR(IF(0=LEN(ReferenceData!$N$58),"",ReferenceData!$N$58),"")</f>
        <v/>
      </c>
      <c r="O58">
        <f ca="1">IFERROR(IF(0=LEN(ReferenceData!$O$58),"",ReferenceData!$O$58),"")</f>
        <v>-3</v>
      </c>
      <c r="P58" t="str">
        <f ca="1">IFERROR(IF(0=LEN(ReferenceData!$P$58),"",ReferenceData!$P$58),"")</f>
        <v/>
      </c>
      <c r="Q58">
        <f ca="1">IFERROR(IF(0=LEN(ReferenceData!$Q$58),"",ReferenceData!$Q$58),"")</f>
        <v>8</v>
      </c>
      <c r="R58" t="str">
        <f ca="1">IFERROR(IF(0=LEN(ReferenceData!$R$58),"",ReferenceData!$R$58),"")</f>
        <v/>
      </c>
      <c r="S58">
        <f ca="1">IFERROR(IF(0=LEN(ReferenceData!$S$58),"",ReferenceData!$S$58),"")</f>
        <v>4</v>
      </c>
      <c r="T58" t="str">
        <f ca="1">IFERROR(IF(0=LEN(ReferenceData!$T$58),"",ReferenceData!$T$58),"")</f>
        <v/>
      </c>
      <c r="U58">
        <f ca="1">IFERROR(IF(0=LEN(ReferenceData!$U$58),"",ReferenceData!$U$58),"")</f>
        <v>7</v>
      </c>
      <c r="V58" t="str">
        <f ca="1">IFERROR(IF(0=LEN(ReferenceData!$V$58),"",ReferenceData!$V$58),"")</f>
        <v/>
      </c>
      <c r="W58">
        <f ca="1">IFERROR(IF(0=LEN(ReferenceData!$W$58),"",ReferenceData!$W$58),"")</f>
        <v>-11</v>
      </c>
      <c r="X58" t="str">
        <f ca="1">IFERROR(IF(0=LEN(ReferenceData!$X$58),"",ReferenceData!$X$58),"")</f>
        <v/>
      </c>
      <c r="Y58">
        <f ca="1">IFERROR(IF(0=LEN(ReferenceData!$Y$58),"",ReferenceData!$Y$58),"")</f>
        <v>-7</v>
      </c>
      <c r="Z58" t="str">
        <f ca="1">IFERROR(IF(0=LEN(ReferenceData!$Z$58),"",ReferenceData!$Z$58),"")</f>
        <v/>
      </c>
      <c r="AA58">
        <f ca="1">IFERROR(IF(0=LEN(ReferenceData!$AA$58),"",ReferenceData!$AA$58),"")</f>
        <v>-3</v>
      </c>
      <c r="AB58" t="str">
        <f ca="1">IFERROR(IF(0=LEN(ReferenceData!$AB$58),"",ReferenceData!$AB$58),"")</f>
        <v/>
      </c>
      <c r="AC58">
        <f ca="1">IFERROR(IF(0=LEN(ReferenceData!$AC$58),"",ReferenceData!$AC$58),"")</f>
        <v>-20</v>
      </c>
      <c r="AD58" t="str">
        <f ca="1">IFERROR(IF(0=LEN(ReferenceData!$AD$58),"",ReferenceData!$AD$58),"")</f>
        <v/>
      </c>
      <c r="AE58">
        <f ca="1">IFERROR(IF(0=LEN(ReferenceData!$AE$58),"",ReferenceData!$AE$58),"")</f>
        <v>18</v>
      </c>
      <c r="AF58" t="str">
        <f ca="1">IFERROR(IF(0=LEN(ReferenceData!$AF$58),"",ReferenceData!$AF$58),"")</f>
        <v/>
      </c>
      <c r="AG58">
        <f ca="1">IFERROR(IF(0=LEN(ReferenceData!$AG$58),"",ReferenceData!$AG$58),"")</f>
        <v>7</v>
      </c>
      <c r="AH58" t="str">
        <f ca="1">IFERROR(IF(0=LEN(ReferenceData!$AH$58),"",ReferenceData!$AH$58),"")</f>
        <v/>
      </c>
      <c r="AI58" t="str">
        <f ca="1">IFERROR(IF(0=LEN(ReferenceData!$AI$58),"",ReferenceData!$AI$58),"")</f>
        <v/>
      </c>
      <c r="AJ58" t="str">
        <f ca="1">IFERROR(IF(0=LEN(ReferenceData!$AJ$58),"",ReferenceData!$AJ$58),"")</f>
        <v/>
      </c>
      <c r="AK58" t="str">
        <f ca="1">IFERROR(IF(0=LEN(ReferenceData!$AK$58),"",ReferenceData!$AK$58),"")</f>
        <v/>
      </c>
      <c r="AL58" t="str">
        <f ca="1">IFERROR(IF(0=LEN(ReferenceData!$AL$58),"",ReferenceData!$AL$58),"")</f>
        <v/>
      </c>
      <c r="AM58" t="str">
        <f ca="1">IFERROR(IF(0=LEN(ReferenceData!$AM$58),"",ReferenceData!$AM$58),"")</f>
        <v/>
      </c>
      <c r="AN58" t="str">
        <f ca="1">IFERROR(IF(0=LEN(ReferenceData!$AN$58),"",ReferenceData!$AN$58),"")</f>
        <v/>
      </c>
      <c r="AO58" t="str">
        <f ca="1">IFERROR(IF(0=LEN(ReferenceData!$AO$58),"",ReferenceData!$AO$58),"")</f>
        <v/>
      </c>
      <c r="AP58" t="str">
        <f ca="1">IFERROR(IF(0=LEN(ReferenceData!$AP$58),"",ReferenceData!$AP$58),"")</f>
        <v/>
      </c>
      <c r="AQ58" t="str">
        <f ca="1">IFERROR(IF(0=LEN(ReferenceData!$AQ$58),"",ReferenceData!$AQ$58),"")</f>
        <v/>
      </c>
      <c r="AR58" t="str">
        <f ca="1">IFERROR(IF(0=LEN(ReferenceData!$AR$58),"",ReferenceData!$AR$58),"")</f>
        <v/>
      </c>
      <c r="AS58" t="str">
        <f ca="1">IFERROR(IF(0=LEN(ReferenceData!$AS$58),"",ReferenceData!$AS$58),"")</f>
        <v/>
      </c>
      <c r="AT58" t="str">
        <f ca="1">IFERROR(IF(0=LEN(ReferenceData!$AT$58),"",ReferenceData!$AT$58),"")</f>
        <v/>
      </c>
      <c r="AU58" t="str">
        <f ca="1">IFERROR(IF(0=LEN(ReferenceData!$AU$58),"",ReferenceData!$AU$58),"")</f>
        <v/>
      </c>
      <c r="AV58" t="str">
        <f ca="1">IFERROR(IF(0=LEN(ReferenceData!$AV$58),"",ReferenceData!$AV$58),"")</f>
        <v/>
      </c>
      <c r="AW58" t="str">
        <f ca="1">IFERROR(IF(0=LEN(ReferenceData!$AW$58),"",ReferenceData!$AW$58),"")</f>
        <v/>
      </c>
      <c r="AX58" t="str">
        <f ca="1">IFERROR(IF(0=LEN(ReferenceData!$AX$58),"",ReferenceData!$AX$58),"")</f>
        <v/>
      </c>
      <c r="AY58" t="str">
        <f ca="1">IFERROR(IF(0=LEN(ReferenceData!$AY$58),"",ReferenceData!$AY$58),"")</f>
        <v/>
      </c>
      <c r="AZ58" t="str">
        <f ca="1">IFERROR(IF(0=LEN(ReferenceData!$AZ$58),"",ReferenceData!$AZ$58),"")</f>
        <v/>
      </c>
      <c r="BA58" t="str">
        <f ca="1">IFERROR(IF(0=LEN(ReferenceData!$BA$58),"",ReferenceData!$BA$58),"")</f>
        <v/>
      </c>
      <c r="BB58" t="str">
        <f ca="1">IFERROR(IF(0=LEN(ReferenceData!$BB$58),"",ReferenceData!$BB$58),"")</f>
        <v/>
      </c>
      <c r="BC58" t="str">
        <f ca="1">IFERROR(IF(0=LEN(ReferenceData!$BC$58),"",ReferenceData!$BC$58),"")</f>
        <v/>
      </c>
      <c r="BD58" t="str">
        <f ca="1">IFERROR(IF(0=LEN(ReferenceData!$BD$58),"",ReferenceData!$BD$58),"")</f>
        <v/>
      </c>
      <c r="BE58" t="str">
        <f ca="1">IFERROR(IF(0=LEN(ReferenceData!$BE$58),"",ReferenceData!$BE$58),"")</f>
        <v/>
      </c>
      <c r="BF58" t="str">
        <f ca="1">IFERROR(IF(0=LEN(ReferenceData!$BF$58),"",ReferenceData!$BF$58),"")</f>
        <v/>
      </c>
      <c r="BG58" t="str">
        <f ca="1">IFERROR(IF(0=LEN(ReferenceData!$BG$58),"",ReferenceData!$BG$58),"")</f>
        <v/>
      </c>
      <c r="BH58" t="str">
        <f ca="1">IFERROR(IF(0=LEN(ReferenceData!$BH$58),"",ReferenceData!$BH$58),"")</f>
        <v/>
      </c>
      <c r="BI58" t="str">
        <f ca="1">IFERROR(IF(0=LEN(ReferenceData!$BI$58),"",ReferenceData!$BI$58),"")</f>
        <v/>
      </c>
      <c r="BJ58" t="str">
        <f ca="1">IFERROR(IF(0=LEN(ReferenceData!$BJ$58),"",ReferenceData!$BJ$58),"")</f>
        <v/>
      </c>
      <c r="BK58" t="str">
        <f ca="1">IFERROR(IF(0=LEN(ReferenceData!$BK$58),"",ReferenceData!$BK$58),"")</f>
        <v/>
      </c>
      <c r="BL58" t="str">
        <f ca="1">IFERROR(IF(0=LEN(ReferenceData!$BL$58),"",ReferenceData!$BL$58),"")</f>
        <v/>
      </c>
      <c r="BM58" t="str">
        <f ca="1">IFERROR(IF(0=LEN(ReferenceData!$BM$58),"",ReferenceData!$BM$58),"")</f>
        <v/>
      </c>
    </row>
    <row r="59" spans="1:65" x14ac:dyDescent="0.25">
      <c r="A59" t="str">
        <f>IFERROR(IF(0=LEN(ReferenceData!$A$59),"",ReferenceData!$A$59),"")</f>
        <v xml:space="preserve">        </v>
      </c>
      <c r="B59" t="str">
        <f>IFERROR(IF(0=LEN(ReferenceData!$B$59),"",ReferenceData!$B$59),"")</f>
        <v/>
      </c>
      <c r="C59" t="str">
        <f>IFERROR(IF(0=LEN(ReferenceData!$C$59),"",ReferenceData!$C$59),"")</f>
        <v/>
      </c>
      <c r="D59" t="str">
        <f>IFERROR(IF(0=LEN(ReferenceData!$D$59),"",ReferenceData!$D$59),"")</f>
        <v/>
      </c>
      <c r="E59" t="str">
        <f>IFERROR(IF(0=LEN(ReferenceData!$E$59),"",ReferenceData!$E$59),"")</f>
        <v>Static</v>
      </c>
      <c r="F59" t="str">
        <f ca="1">IFERROR(IF(0=LEN(ReferenceData!$F$59),"",ReferenceData!$F$59),"")</f>
        <v/>
      </c>
      <c r="G59" t="str">
        <f ca="1">IFERROR(IF(0=LEN(ReferenceData!$G$59),"",ReferenceData!$G$59),"")</f>
        <v/>
      </c>
      <c r="H59" t="str">
        <f ca="1">IFERROR(IF(0=LEN(ReferenceData!$H$59),"",ReferenceData!$H$59),"")</f>
        <v/>
      </c>
      <c r="I59" t="str">
        <f ca="1">IFERROR(IF(0=LEN(ReferenceData!$I$59),"",ReferenceData!$I$59),"")</f>
        <v/>
      </c>
      <c r="J59" t="str">
        <f ca="1">IFERROR(IF(0=LEN(ReferenceData!$J$59),"",ReferenceData!$J$59),"")</f>
        <v/>
      </c>
      <c r="K59" t="str">
        <f ca="1">IFERROR(IF(0=LEN(ReferenceData!$K$59),"",ReferenceData!$K$59),"")</f>
        <v/>
      </c>
      <c r="L59" t="str">
        <f ca="1">IFERROR(IF(0=LEN(ReferenceData!$L$59),"",ReferenceData!$L$59),"")</f>
        <v/>
      </c>
      <c r="M59" t="str">
        <f ca="1">IFERROR(IF(0=LEN(ReferenceData!$M$59),"",ReferenceData!$M$59),"")</f>
        <v/>
      </c>
      <c r="N59" t="str">
        <f ca="1">IFERROR(IF(0=LEN(ReferenceData!$N$59),"",ReferenceData!$N$59),"")</f>
        <v/>
      </c>
      <c r="O59" t="str">
        <f ca="1">IFERROR(IF(0=LEN(ReferenceData!$O$59),"",ReferenceData!$O$59),"")</f>
        <v/>
      </c>
      <c r="P59" t="str">
        <f ca="1">IFERROR(IF(0=LEN(ReferenceData!$P$59),"",ReferenceData!$P$59),"")</f>
        <v/>
      </c>
      <c r="Q59" t="str">
        <f ca="1">IFERROR(IF(0=LEN(ReferenceData!$Q$59),"",ReferenceData!$Q$59),"")</f>
        <v/>
      </c>
      <c r="R59" t="str">
        <f ca="1">IFERROR(IF(0=LEN(ReferenceData!$R$59),"",ReferenceData!$R$59),"")</f>
        <v/>
      </c>
      <c r="S59" t="str">
        <f ca="1">IFERROR(IF(0=LEN(ReferenceData!$S$59),"",ReferenceData!$S$59),"")</f>
        <v/>
      </c>
      <c r="T59" t="str">
        <f ca="1">IFERROR(IF(0=LEN(ReferenceData!$T$59),"",ReferenceData!$T$59),"")</f>
        <v/>
      </c>
      <c r="U59" t="str">
        <f ca="1">IFERROR(IF(0=LEN(ReferenceData!$U$59),"",ReferenceData!$U$59),"")</f>
        <v/>
      </c>
      <c r="V59" t="str">
        <f ca="1">IFERROR(IF(0=LEN(ReferenceData!$V$59),"",ReferenceData!$V$59),"")</f>
        <v/>
      </c>
      <c r="W59" t="str">
        <f ca="1">IFERROR(IF(0=LEN(ReferenceData!$W$59),"",ReferenceData!$W$59),"")</f>
        <v/>
      </c>
      <c r="X59" t="str">
        <f ca="1">IFERROR(IF(0=LEN(ReferenceData!$X$59),"",ReferenceData!$X$59),"")</f>
        <v/>
      </c>
      <c r="Y59" t="str">
        <f ca="1">IFERROR(IF(0=LEN(ReferenceData!$Y$59),"",ReferenceData!$Y$59),"")</f>
        <v/>
      </c>
      <c r="Z59" t="str">
        <f ca="1">IFERROR(IF(0=LEN(ReferenceData!$Z$59),"",ReferenceData!$Z$59),"")</f>
        <v/>
      </c>
      <c r="AA59" t="str">
        <f ca="1">IFERROR(IF(0=LEN(ReferenceData!$AA$59),"",ReferenceData!$AA$59),"")</f>
        <v/>
      </c>
      <c r="AB59" t="str">
        <f ca="1">IFERROR(IF(0=LEN(ReferenceData!$AB$59),"",ReferenceData!$AB$59),"")</f>
        <v/>
      </c>
      <c r="AC59" t="str">
        <f ca="1">IFERROR(IF(0=LEN(ReferenceData!$AC$59),"",ReferenceData!$AC$59),"")</f>
        <v/>
      </c>
      <c r="AD59" t="str">
        <f ca="1">IFERROR(IF(0=LEN(ReferenceData!$AD$59),"",ReferenceData!$AD$59),"")</f>
        <v/>
      </c>
      <c r="AE59" t="str">
        <f ca="1">IFERROR(IF(0=LEN(ReferenceData!$AE$59),"",ReferenceData!$AE$59),"")</f>
        <v/>
      </c>
      <c r="AF59" t="str">
        <f ca="1">IFERROR(IF(0=LEN(ReferenceData!$AF$59),"",ReferenceData!$AF$59),"")</f>
        <v/>
      </c>
      <c r="AG59" t="str">
        <f ca="1">IFERROR(IF(0=LEN(ReferenceData!$AG$59),"",ReferenceData!$AG$59),"")</f>
        <v/>
      </c>
      <c r="AH59" t="str">
        <f ca="1">IFERROR(IF(0=LEN(ReferenceData!$AH$59),"",ReferenceData!$AH$59),"")</f>
        <v/>
      </c>
      <c r="AI59" t="str">
        <f ca="1">IFERROR(IF(0=LEN(ReferenceData!$AI$59),"",ReferenceData!$AI$59),"")</f>
        <v/>
      </c>
      <c r="AJ59" t="str">
        <f ca="1">IFERROR(IF(0=LEN(ReferenceData!$AJ$59),"",ReferenceData!$AJ$59),"")</f>
        <v/>
      </c>
      <c r="AK59" t="str">
        <f ca="1">IFERROR(IF(0=LEN(ReferenceData!$AK$59),"",ReferenceData!$AK$59),"")</f>
        <v/>
      </c>
      <c r="AL59" t="str">
        <f ca="1">IFERROR(IF(0=LEN(ReferenceData!$AL$59),"",ReferenceData!$AL$59),"")</f>
        <v/>
      </c>
      <c r="AM59" t="str">
        <f ca="1">IFERROR(IF(0=LEN(ReferenceData!$AM$59),"",ReferenceData!$AM$59),"")</f>
        <v/>
      </c>
      <c r="AN59" t="str">
        <f ca="1">IFERROR(IF(0=LEN(ReferenceData!$AN$59),"",ReferenceData!$AN$59),"")</f>
        <v/>
      </c>
      <c r="AO59" t="str">
        <f ca="1">IFERROR(IF(0=LEN(ReferenceData!$AO$59),"",ReferenceData!$AO$59),"")</f>
        <v/>
      </c>
      <c r="AP59" t="str">
        <f ca="1">IFERROR(IF(0=LEN(ReferenceData!$AP$59),"",ReferenceData!$AP$59),"")</f>
        <v/>
      </c>
      <c r="AQ59" t="str">
        <f ca="1">IFERROR(IF(0=LEN(ReferenceData!$AQ$59),"",ReferenceData!$AQ$59),"")</f>
        <v/>
      </c>
      <c r="AR59" t="str">
        <f ca="1">IFERROR(IF(0=LEN(ReferenceData!$AR$59),"",ReferenceData!$AR$59),"")</f>
        <v/>
      </c>
      <c r="AS59" t="str">
        <f ca="1">IFERROR(IF(0=LEN(ReferenceData!$AS$59),"",ReferenceData!$AS$59),"")</f>
        <v/>
      </c>
      <c r="AT59" t="str">
        <f ca="1">IFERROR(IF(0=LEN(ReferenceData!$AT$59),"",ReferenceData!$AT$59),"")</f>
        <v/>
      </c>
      <c r="AU59" t="str">
        <f ca="1">IFERROR(IF(0=LEN(ReferenceData!$AU$59),"",ReferenceData!$AU$59),"")</f>
        <v/>
      </c>
      <c r="AV59" t="str">
        <f ca="1">IFERROR(IF(0=LEN(ReferenceData!$AV$59),"",ReferenceData!$AV$59),"")</f>
        <v/>
      </c>
      <c r="AW59" t="str">
        <f ca="1">IFERROR(IF(0=LEN(ReferenceData!$AW$59),"",ReferenceData!$AW$59),"")</f>
        <v/>
      </c>
      <c r="AX59" t="str">
        <f ca="1">IFERROR(IF(0=LEN(ReferenceData!$AX$59),"",ReferenceData!$AX$59),"")</f>
        <v/>
      </c>
      <c r="AY59" t="str">
        <f ca="1">IFERROR(IF(0=LEN(ReferenceData!$AY$59),"",ReferenceData!$AY$59),"")</f>
        <v/>
      </c>
      <c r="AZ59" t="str">
        <f ca="1">IFERROR(IF(0=LEN(ReferenceData!$AZ$59),"",ReferenceData!$AZ$59),"")</f>
        <v/>
      </c>
      <c r="BA59" t="str">
        <f ca="1">IFERROR(IF(0=LEN(ReferenceData!$BA$59),"",ReferenceData!$BA$59),"")</f>
        <v/>
      </c>
      <c r="BB59" t="str">
        <f ca="1">IFERROR(IF(0=LEN(ReferenceData!$BB$59),"",ReferenceData!$BB$59),"")</f>
        <v/>
      </c>
      <c r="BC59" t="str">
        <f ca="1">IFERROR(IF(0=LEN(ReferenceData!$BC$59),"",ReferenceData!$BC$59),"")</f>
        <v/>
      </c>
      <c r="BD59" t="str">
        <f ca="1">IFERROR(IF(0=LEN(ReferenceData!$BD$59),"",ReferenceData!$BD$59),"")</f>
        <v/>
      </c>
      <c r="BE59" t="str">
        <f ca="1">IFERROR(IF(0=LEN(ReferenceData!$BE$59),"",ReferenceData!$BE$59),"")</f>
        <v/>
      </c>
      <c r="BF59" t="str">
        <f ca="1">IFERROR(IF(0=LEN(ReferenceData!$BF$59),"",ReferenceData!$BF$59),"")</f>
        <v/>
      </c>
      <c r="BG59" t="str">
        <f ca="1">IFERROR(IF(0=LEN(ReferenceData!$BG$59),"",ReferenceData!$BG$59),"")</f>
        <v/>
      </c>
      <c r="BH59" t="str">
        <f ca="1">IFERROR(IF(0=LEN(ReferenceData!$BH$59),"",ReferenceData!$BH$59),"")</f>
        <v/>
      </c>
      <c r="BI59" t="str">
        <f ca="1">IFERROR(IF(0=LEN(ReferenceData!$BI$59),"",ReferenceData!$BI$59),"")</f>
        <v/>
      </c>
      <c r="BJ59" t="str">
        <f ca="1">IFERROR(IF(0=LEN(ReferenceData!$BJ$59),"",ReferenceData!$BJ$59),"")</f>
        <v/>
      </c>
      <c r="BK59" t="str">
        <f ca="1">IFERROR(IF(0=LEN(ReferenceData!$BK$59),"",ReferenceData!$BK$59),"")</f>
        <v/>
      </c>
      <c r="BL59" t="str">
        <f ca="1">IFERROR(IF(0=LEN(ReferenceData!$BL$59),"",ReferenceData!$BL$59),"")</f>
        <v/>
      </c>
      <c r="BM59" t="str">
        <f ca="1">IFERROR(IF(0=LEN(ReferenceData!$BM$59),"",ReferenceData!$BM$59),"")</f>
        <v/>
      </c>
    </row>
    <row r="60" spans="1:65" x14ac:dyDescent="0.25">
      <c r="A60" t="str">
        <f>IFERROR(IF(0=LEN(ReferenceData!$A$60),"",ReferenceData!$A$60),"")</f>
        <v xml:space="preserve">        Organic Growth (%)</v>
      </c>
      <c r="B60" t="str">
        <f>IFERROR(IF(0=LEN(ReferenceData!$B$60),"",ReferenceData!$B$60),"")</f>
        <v>KER FP Equity</v>
      </c>
      <c r="C60" t="str">
        <f>IFERROR(IF(0=LEN(ReferenceData!$C$60),"",ReferenceData!$C$60),"")</f>
        <v>IS950</v>
      </c>
      <c r="D60" t="str">
        <f>IFERROR(IF(0=LEN(ReferenceData!$D$60),"",ReferenceData!$D$60),"")</f>
        <v>IS_ORGANIC_GROWTH_RATE</v>
      </c>
      <c r="E60" t="str">
        <f>IFERROR(IF(0=LEN(ReferenceData!$E$60),"",ReferenceData!$E$60),"")</f>
        <v>Dynamic</v>
      </c>
      <c r="F60" t="str">
        <f ca="1">IFERROR(IF(0=LEN(ReferenceData!$F$60),"",ReferenceData!$F$60),"")</f>
        <v/>
      </c>
      <c r="G60">
        <f ca="1">IFERROR(IF(0=LEN(ReferenceData!$G$60),"",ReferenceData!$G$60),"")</f>
        <v>12.2</v>
      </c>
      <c r="H60">
        <f ca="1">IFERROR(IF(0=LEN(ReferenceData!$H$60),"",ReferenceData!$H$60),"")</f>
        <v>95</v>
      </c>
      <c r="I60">
        <f ca="1">IFERROR(IF(0=LEN(ReferenceData!$I$60),"",ReferenceData!$I$60),"")</f>
        <v>25.8</v>
      </c>
      <c r="J60" t="str">
        <f ca="1">IFERROR(IF(0=LEN(ReferenceData!$J$60),"",ReferenceData!$J$60),"")</f>
        <v/>
      </c>
      <c r="K60">
        <f ca="1">IFERROR(IF(0=LEN(ReferenceData!$K$60),"",ReferenceData!$K$60),"")</f>
        <v>-1.2</v>
      </c>
      <c r="L60">
        <f ca="1">IFERROR(IF(0=LEN(ReferenceData!$L$60),"",ReferenceData!$L$60),"")</f>
        <v>-43.7</v>
      </c>
      <c r="M60">
        <f ca="1">IFERROR(IF(0=LEN(ReferenceData!$M$60),"",ReferenceData!$M$60),"")</f>
        <v>-16.399999999999999</v>
      </c>
      <c r="N60">
        <f ca="1">IFERROR(IF(0=LEN(ReferenceData!$N$60),"",ReferenceData!$N$60),"")</f>
        <v>33.1</v>
      </c>
      <c r="O60">
        <f ca="1">IFERROR(IF(0=LEN(ReferenceData!$O$60),"",ReferenceData!$O$60),"")</f>
        <v>11.6</v>
      </c>
      <c r="P60">
        <f ca="1">IFERROR(IF(0=LEN(ReferenceData!$P$60),"",ReferenceData!$P$60),"")</f>
        <v>13.1</v>
      </c>
      <c r="Q60">
        <f ca="1">IFERROR(IF(0=LEN(ReferenceData!$Q$60),"",ReferenceData!$Q$60),"")</f>
        <v>17.5</v>
      </c>
      <c r="R60">
        <f ca="1">IFERROR(IF(0=LEN(ReferenceData!$R$60),"",ReferenceData!$R$60),"")</f>
        <v>24.2</v>
      </c>
      <c r="S60">
        <f ca="1">IFERROR(IF(0=LEN(ReferenceData!$S$60),"",ReferenceData!$S$60),"")</f>
        <v>27.5</v>
      </c>
      <c r="T60">
        <f ca="1">IFERROR(IF(0=LEN(ReferenceData!$T$60),"",ReferenceData!$T$60),"")</f>
        <v>31.5</v>
      </c>
      <c r="U60">
        <f ca="1">IFERROR(IF(0=LEN(ReferenceData!$U$60),"",ReferenceData!$U$60),"")</f>
        <v>36.5</v>
      </c>
      <c r="V60">
        <f ca="1">IFERROR(IF(0=LEN(ReferenceData!$V$60),"",ReferenceData!$V$60),"")</f>
        <v>27.4</v>
      </c>
      <c r="W60">
        <f ca="1">IFERROR(IF(0=LEN(ReferenceData!$W$60),"",ReferenceData!$W$60),"")</f>
        <v>28.4</v>
      </c>
      <c r="X60">
        <f ca="1">IFERROR(IF(0=LEN(ReferenceData!$X$60),"",ReferenceData!$X$60),"")</f>
        <v>24.6</v>
      </c>
      <c r="Y60">
        <f ca="1">IFERROR(IF(0=LEN(ReferenceData!$Y$60),"",ReferenceData!$Y$60),"")</f>
        <v>28.6</v>
      </c>
      <c r="Z60">
        <f ca="1">IFERROR(IF(0=LEN(ReferenceData!$Z$60),"",ReferenceData!$Z$60),"")</f>
        <v>10.4</v>
      </c>
      <c r="AA60">
        <f ca="1">IFERROR(IF(0=LEN(ReferenceData!$AA$60),"",ReferenceData!$AA$60),"")</f>
        <v>10.5</v>
      </c>
      <c r="AB60">
        <f ca="1">IFERROR(IF(0=LEN(ReferenceData!$AB$60),"",ReferenceData!$AB$60),"")</f>
        <v>6.9</v>
      </c>
      <c r="AC60">
        <f ca="1">IFERROR(IF(0=LEN(ReferenceData!$AC$60),"",ReferenceData!$AC$60),"")</f>
        <v>4</v>
      </c>
      <c r="AD60" t="str">
        <f ca="1">IFERROR(IF(0=LEN(ReferenceData!$AD$60),"",ReferenceData!$AD$60),"")</f>
        <v/>
      </c>
      <c r="AE60">
        <f ca="1">IFERROR(IF(0=LEN(ReferenceData!$AE$60),"",ReferenceData!$AE$60),"")</f>
        <v>3.1</v>
      </c>
      <c r="AF60">
        <f ca="1">IFERROR(IF(0=LEN(ReferenceData!$AF$60),"",ReferenceData!$AF$60),"")</f>
        <v>7.7</v>
      </c>
      <c r="AG60">
        <f ca="1">IFERROR(IF(0=LEN(ReferenceData!$AG$60),"",ReferenceData!$AG$60),"")</f>
        <v>-0.6</v>
      </c>
      <c r="AH60">
        <f ca="1">IFERROR(IF(0=LEN(ReferenceData!$AH$60),"",ReferenceData!$AH$60),"")</f>
        <v>4.9000000000000004</v>
      </c>
      <c r="AI60">
        <f ca="1">IFERROR(IF(0=LEN(ReferenceData!$AI$60),"",ReferenceData!$AI$60),"")</f>
        <v>4.4000000000000004</v>
      </c>
      <c r="AJ60">
        <f ca="1">IFERROR(IF(0=LEN(ReferenceData!$AJ$60),"",ReferenceData!$AJ$60),"")</f>
        <v>4</v>
      </c>
      <c r="AK60">
        <f ca="1">IFERROR(IF(0=LEN(ReferenceData!$AK$60),"",ReferenceData!$AK$60),"")</f>
        <v>4.0999999999999996</v>
      </c>
      <c r="AL60">
        <f ca="1">IFERROR(IF(0=LEN(ReferenceData!$AL$60),"",ReferenceData!$AL$60),"")</f>
        <v>4</v>
      </c>
      <c r="AM60">
        <f ca="1">IFERROR(IF(0=LEN(ReferenceData!$AM$60),"",ReferenceData!$AM$60),"")</f>
        <v>3.4</v>
      </c>
      <c r="AN60">
        <f ca="1">IFERROR(IF(0=LEN(ReferenceData!$AN$60),"",ReferenceData!$AN$60),"")</f>
        <v>5.2</v>
      </c>
      <c r="AO60">
        <f ca="1">IFERROR(IF(0=LEN(ReferenceData!$AO$60),"",ReferenceData!$AO$60),"")</f>
        <v>3.3</v>
      </c>
      <c r="AP60" t="str">
        <f ca="1">IFERROR(IF(0=LEN(ReferenceData!$AP$60),"",ReferenceData!$AP$60),"")</f>
        <v/>
      </c>
      <c r="AQ60" t="str">
        <f ca="1">IFERROR(IF(0=LEN(ReferenceData!$AQ$60),"",ReferenceData!$AQ$60),"")</f>
        <v/>
      </c>
      <c r="AR60" t="str">
        <f ca="1">IFERROR(IF(0=LEN(ReferenceData!$AR$60),"",ReferenceData!$AR$60),"")</f>
        <v/>
      </c>
      <c r="AS60" t="str">
        <f ca="1">IFERROR(IF(0=LEN(ReferenceData!$AS$60),"",ReferenceData!$AS$60),"")</f>
        <v/>
      </c>
      <c r="AT60" t="str">
        <f ca="1">IFERROR(IF(0=LEN(ReferenceData!$AT$60),"",ReferenceData!$AT$60),"")</f>
        <v/>
      </c>
      <c r="AU60" t="str">
        <f ca="1">IFERROR(IF(0=LEN(ReferenceData!$AU$60),"",ReferenceData!$AU$60),"")</f>
        <v/>
      </c>
      <c r="AV60" t="str">
        <f ca="1">IFERROR(IF(0=LEN(ReferenceData!$AV$60),"",ReferenceData!$AV$60),"")</f>
        <v/>
      </c>
      <c r="AW60" t="str">
        <f ca="1">IFERROR(IF(0=LEN(ReferenceData!$AW$60),"",ReferenceData!$AW$60),"")</f>
        <v/>
      </c>
      <c r="AX60" t="str">
        <f ca="1">IFERROR(IF(0=LEN(ReferenceData!$AX$60),"",ReferenceData!$AX$60),"")</f>
        <v/>
      </c>
      <c r="AY60" t="str">
        <f ca="1">IFERROR(IF(0=LEN(ReferenceData!$AY$60),"",ReferenceData!$AY$60),"")</f>
        <v/>
      </c>
      <c r="AZ60" t="str">
        <f ca="1">IFERROR(IF(0=LEN(ReferenceData!$AZ$60),"",ReferenceData!$AZ$60),"")</f>
        <v/>
      </c>
      <c r="BA60" t="str">
        <f ca="1">IFERROR(IF(0=LEN(ReferenceData!$BA$60),"",ReferenceData!$BA$60),"")</f>
        <v/>
      </c>
      <c r="BB60" t="str">
        <f ca="1">IFERROR(IF(0=LEN(ReferenceData!$BB$60),"",ReferenceData!$BB$60),"")</f>
        <v/>
      </c>
      <c r="BC60" t="str">
        <f ca="1">IFERROR(IF(0=LEN(ReferenceData!$BC$60),"",ReferenceData!$BC$60),"")</f>
        <v/>
      </c>
      <c r="BD60" t="str">
        <f ca="1">IFERROR(IF(0=LEN(ReferenceData!$BD$60),"",ReferenceData!$BD$60),"")</f>
        <v/>
      </c>
      <c r="BE60" t="str">
        <f ca="1">IFERROR(IF(0=LEN(ReferenceData!$BE$60),"",ReferenceData!$BE$60),"")</f>
        <v/>
      </c>
      <c r="BF60" t="str">
        <f ca="1">IFERROR(IF(0=LEN(ReferenceData!$BF$60),"",ReferenceData!$BF$60),"")</f>
        <v/>
      </c>
      <c r="BG60" t="str">
        <f ca="1">IFERROR(IF(0=LEN(ReferenceData!$BG$60),"",ReferenceData!$BG$60),"")</f>
        <v/>
      </c>
      <c r="BH60" t="str">
        <f ca="1">IFERROR(IF(0=LEN(ReferenceData!$BH$60),"",ReferenceData!$BH$60),"")</f>
        <v/>
      </c>
      <c r="BI60" t="str">
        <f ca="1">IFERROR(IF(0=LEN(ReferenceData!$BI$60),"",ReferenceData!$BI$60),"")</f>
        <v/>
      </c>
      <c r="BJ60" t="str">
        <f ca="1">IFERROR(IF(0=LEN(ReferenceData!$BJ$60),"",ReferenceData!$BJ$60),"")</f>
        <v/>
      </c>
      <c r="BK60" t="str">
        <f ca="1">IFERROR(IF(0=LEN(ReferenceData!$BK$60),"",ReferenceData!$BK$60),"")</f>
        <v/>
      </c>
      <c r="BL60" t="str">
        <f ca="1">IFERROR(IF(0=LEN(ReferenceData!$BL$60),"",ReferenceData!$BL$60),"")</f>
        <v/>
      </c>
      <c r="BM60" t="str">
        <f ca="1">IFERROR(IF(0=LEN(ReferenceData!$BM$60),"",ReferenceData!$BM$60),"")</f>
        <v/>
      </c>
    </row>
    <row r="61" spans="1:65" x14ac:dyDescent="0.25">
      <c r="A61" t="str">
        <f>IFERROR(IF(0=LEN(ReferenceData!$A$61),"",ReferenceData!$A$61),"")</f>
        <v xml:space="preserve">            Luxury Division</v>
      </c>
      <c r="B61" t="str">
        <f>IFERROR(IF(0=LEN(ReferenceData!$B$61),"",ReferenceData!$B$61),"")</f>
        <v>KER FP Equity</v>
      </c>
      <c r="C61" t="str">
        <f>IFERROR(IF(0=LEN(ReferenceData!$C$61),"",ReferenceData!$C$61),"")</f>
        <v>BI047</v>
      </c>
      <c r="D61" t="str">
        <f>IFERROR(IF(0=LEN(ReferenceData!$D$61),"",ReferenceData!$D$61),"")</f>
        <v>BICS_SEGMENT_DATA</v>
      </c>
      <c r="E61" t="str">
        <f>IFERROR(IF(0=LEN(ReferenceData!$E$61),"",ReferenceData!$E$61),"")</f>
        <v>Dynamic</v>
      </c>
      <c r="F61" t="str">
        <f ca="1">IFERROR(IF(0=LEN(ReferenceData!$F$61),"",ReferenceData!$F$61),"")</f>
        <v/>
      </c>
      <c r="G61">
        <f ca="1">IFERROR(IF(0=LEN(ReferenceData!$G$61),"",ReferenceData!$G$61),"")</f>
        <v>11.8</v>
      </c>
      <c r="H61">
        <f ca="1">IFERROR(IF(0=LEN(ReferenceData!$H$61),"",ReferenceData!$H$61),"")</f>
        <v>92.5</v>
      </c>
      <c r="I61">
        <f ca="1">IFERROR(IF(0=LEN(ReferenceData!$I$61),"",ReferenceData!$I$61),"")</f>
        <v>26</v>
      </c>
      <c r="J61">
        <f ca="1">IFERROR(IF(0=LEN(ReferenceData!$J$61),"",ReferenceData!$J$61),"")</f>
        <v>-4.8</v>
      </c>
      <c r="K61">
        <f ca="1">IFERROR(IF(0=LEN(ReferenceData!$K$61),"",ReferenceData!$K$61),"")</f>
        <v>-1.6</v>
      </c>
      <c r="L61">
        <f ca="1">IFERROR(IF(0=LEN(ReferenceData!$L$61),"",ReferenceData!$L$61),"")</f>
        <v>-43.4</v>
      </c>
      <c r="M61">
        <f ca="1">IFERROR(IF(0=LEN(ReferenceData!$M$61),"",ReferenceData!$M$61),"")</f>
        <v>-16.899999999999999</v>
      </c>
      <c r="N61">
        <f ca="1">IFERROR(IF(0=LEN(ReferenceData!$N$61),"",ReferenceData!$N$61),"")</f>
        <v>11.6</v>
      </c>
      <c r="O61">
        <f ca="1">IFERROR(IF(0=LEN(ReferenceData!$O$61),"",ReferenceData!$O$61),"")</f>
        <v>11.3</v>
      </c>
      <c r="P61">
        <f ca="1">IFERROR(IF(0=LEN(ReferenceData!$P$61),"",ReferenceData!$P$61),"")</f>
        <v>13.1</v>
      </c>
      <c r="Q61">
        <f ca="1">IFERROR(IF(0=LEN(ReferenceData!$Q$61),"",ReferenceData!$Q$61),"")</f>
        <v>17.399999999999999</v>
      </c>
      <c r="R61">
        <f ca="1">IFERROR(IF(0=LEN(ReferenceData!$R$61),"",ReferenceData!$R$61),"")</f>
        <v>23.3</v>
      </c>
      <c r="S61">
        <f ca="1">IFERROR(IF(0=LEN(ReferenceData!$S$61),"",ReferenceData!$S$61),"")</f>
        <v>27.1</v>
      </c>
      <c r="T61">
        <f ca="1">IFERROR(IF(0=LEN(ReferenceData!$T$61),"",ReferenceData!$T$61),"")</f>
        <v>31.3</v>
      </c>
      <c r="U61">
        <f ca="1">IFERROR(IF(0=LEN(ReferenceData!$U$61),"",ReferenceData!$U$61),"")</f>
        <v>36.799999999999997</v>
      </c>
      <c r="V61">
        <f ca="1">IFERROR(IF(0=LEN(ReferenceData!$V$61),"",ReferenceData!$V$61),"")</f>
        <v>30.5</v>
      </c>
      <c r="W61">
        <f ca="1">IFERROR(IF(0=LEN(ReferenceData!$W$61),"",ReferenceData!$W$61),"")</f>
        <v>32.299999999999997</v>
      </c>
      <c r="X61">
        <f ca="1">IFERROR(IF(0=LEN(ReferenceData!$X$61),"",ReferenceData!$X$61),"")</f>
        <v>25.3</v>
      </c>
      <c r="Y61">
        <f ca="1">IFERROR(IF(0=LEN(ReferenceData!$Y$61),"",ReferenceData!$Y$61),"")</f>
        <v>31.6</v>
      </c>
      <c r="Z61">
        <f ca="1">IFERROR(IF(0=LEN(ReferenceData!$Z$61),"",ReferenceData!$Z$61),"")</f>
        <v>11.3</v>
      </c>
      <c r="AA61">
        <f ca="1">IFERROR(IF(0=LEN(ReferenceData!$AA$61),"",ReferenceData!$AA$61),"")</f>
        <v>11.3</v>
      </c>
      <c r="AB61">
        <f ca="1">IFERROR(IF(0=LEN(ReferenceData!$AB$61),"",ReferenceData!$AB$61),"")</f>
        <v>5.2</v>
      </c>
      <c r="AC61">
        <f ca="1">IFERROR(IF(0=LEN(ReferenceData!$AC$61),"",ReferenceData!$AC$61),"")</f>
        <v>2.6</v>
      </c>
      <c r="AD61">
        <f ca="1">IFERROR(IF(0=LEN(ReferenceData!$AD$61),"",ReferenceData!$AD$61),"")</f>
        <v>7.2</v>
      </c>
      <c r="AE61">
        <f ca="1">IFERROR(IF(0=LEN(ReferenceData!$AE$61),"",ReferenceData!$AE$61),"")</f>
        <v>3.1</v>
      </c>
      <c r="AF61">
        <f ca="1">IFERROR(IF(0=LEN(ReferenceData!$AF$61),"",ReferenceData!$AF$61),"")</f>
        <v>8</v>
      </c>
      <c r="AG61">
        <f ca="1">IFERROR(IF(0=LEN(ReferenceData!$AG$61),"",ReferenceData!$AG$61),"")</f>
        <v>-2.6</v>
      </c>
      <c r="AH61">
        <f ca="1">IFERROR(IF(0=LEN(ReferenceData!$AH$61),"",ReferenceData!$AH$61),"")</f>
        <v>4.3</v>
      </c>
      <c r="AI61">
        <f ca="1">IFERROR(IF(0=LEN(ReferenceData!$AI$61),"",ReferenceData!$AI$61),"")</f>
        <v>3.5</v>
      </c>
      <c r="AJ61">
        <f ca="1">IFERROR(IF(0=LEN(ReferenceData!$AJ$61),"",ReferenceData!$AJ$61),"")</f>
        <v>5.2</v>
      </c>
      <c r="AK61">
        <f ca="1">IFERROR(IF(0=LEN(ReferenceData!$AK$61),"",ReferenceData!$AK$61),"")</f>
        <v>6.3</v>
      </c>
      <c r="AL61">
        <f ca="1">IFERROR(IF(0=LEN(ReferenceData!$AL$61),"",ReferenceData!$AL$61),"")</f>
        <v>7.4</v>
      </c>
      <c r="AM61">
        <f ca="1">IFERROR(IF(0=LEN(ReferenceData!$AM$61),"",ReferenceData!$AM$61),"")</f>
        <v>5.6</v>
      </c>
      <c r="AN61">
        <f ca="1">IFERROR(IF(0=LEN(ReferenceData!$AN$61),"",ReferenceData!$AN$61),"")</f>
        <v>9.4</v>
      </c>
      <c r="AO61">
        <f ca="1">IFERROR(IF(0=LEN(ReferenceData!$AO$61),"",ReferenceData!$AO$61),"")</f>
        <v>6.4</v>
      </c>
      <c r="AP61" t="str">
        <f ca="1">IFERROR(IF(0=LEN(ReferenceData!$AP$61),"",ReferenceData!$AP$61),"")</f>
        <v/>
      </c>
      <c r="AQ61" t="str">
        <f ca="1">IFERROR(IF(0=LEN(ReferenceData!$AQ$61),"",ReferenceData!$AQ$61),"")</f>
        <v/>
      </c>
      <c r="AR61" t="str">
        <f ca="1">IFERROR(IF(0=LEN(ReferenceData!$AR$61),"",ReferenceData!$AR$61),"")</f>
        <v/>
      </c>
      <c r="AS61" t="str">
        <f ca="1">IFERROR(IF(0=LEN(ReferenceData!$AS$61),"",ReferenceData!$AS$61),"")</f>
        <v/>
      </c>
      <c r="AT61" t="str">
        <f ca="1">IFERROR(IF(0=LEN(ReferenceData!$AT$61),"",ReferenceData!$AT$61),"")</f>
        <v/>
      </c>
      <c r="AU61" t="str">
        <f ca="1">IFERROR(IF(0=LEN(ReferenceData!$AU$61),"",ReferenceData!$AU$61),"")</f>
        <v/>
      </c>
      <c r="AV61" t="str">
        <f ca="1">IFERROR(IF(0=LEN(ReferenceData!$AV$61),"",ReferenceData!$AV$61),"")</f>
        <v/>
      </c>
      <c r="AW61" t="str">
        <f ca="1">IFERROR(IF(0=LEN(ReferenceData!$AW$61),"",ReferenceData!$AW$61),"")</f>
        <v/>
      </c>
      <c r="AX61" t="str">
        <f ca="1">IFERROR(IF(0=LEN(ReferenceData!$AX$61),"",ReferenceData!$AX$61),"")</f>
        <v/>
      </c>
      <c r="AY61" t="str">
        <f ca="1">IFERROR(IF(0=LEN(ReferenceData!$AY$61),"",ReferenceData!$AY$61),"")</f>
        <v/>
      </c>
      <c r="AZ61" t="str">
        <f ca="1">IFERROR(IF(0=LEN(ReferenceData!$AZ$61),"",ReferenceData!$AZ$61),"")</f>
        <v/>
      </c>
      <c r="BA61" t="str">
        <f ca="1">IFERROR(IF(0=LEN(ReferenceData!$BA$61),"",ReferenceData!$BA$61),"")</f>
        <v/>
      </c>
      <c r="BB61" t="str">
        <f ca="1">IFERROR(IF(0=LEN(ReferenceData!$BB$61),"",ReferenceData!$BB$61),"")</f>
        <v/>
      </c>
      <c r="BC61" t="str">
        <f ca="1">IFERROR(IF(0=LEN(ReferenceData!$BC$61),"",ReferenceData!$BC$61),"")</f>
        <v/>
      </c>
      <c r="BD61" t="str">
        <f ca="1">IFERROR(IF(0=LEN(ReferenceData!$BD$61),"",ReferenceData!$BD$61),"")</f>
        <v/>
      </c>
      <c r="BE61" t="str">
        <f ca="1">IFERROR(IF(0=LEN(ReferenceData!$BE$61),"",ReferenceData!$BE$61),"")</f>
        <v/>
      </c>
      <c r="BF61" t="str">
        <f ca="1">IFERROR(IF(0=LEN(ReferenceData!$BF$61),"",ReferenceData!$BF$61),"")</f>
        <v/>
      </c>
      <c r="BG61" t="str">
        <f ca="1">IFERROR(IF(0=LEN(ReferenceData!$BG$61),"",ReferenceData!$BG$61),"")</f>
        <v/>
      </c>
      <c r="BH61" t="str">
        <f ca="1">IFERROR(IF(0=LEN(ReferenceData!$BH$61),"",ReferenceData!$BH$61),"")</f>
        <v/>
      </c>
      <c r="BI61" t="str">
        <f ca="1">IFERROR(IF(0=LEN(ReferenceData!$BI$61),"",ReferenceData!$BI$61),"")</f>
        <v/>
      </c>
      <c r="BJ61" t="str">
        <f ca="1">IFERROR(IF(0=LEN(ReferenceData!$BJ$61),"",ReferenceData!$BJ$61),"")</f>
        <v/>
      </c>
      <c r="BK61" t="str">
        <f ca="1">IFERROR(IF(0=LEN(ReferenceData!$BK$61),"",ReferenceData!$BK$61),"")</f>
        <v/>
      </c>
      <c r="BL61" t="str">
        <f ca="1">IFERROR(IF(0=LEN(ReferenceData!$BL$61),"",ReferenceData!$BL$61),"")</f>
        <v/>
      </c>
      <c r="BM61" t="str">
        <f ca="1">IFERROR(IF(0=LEN(ReferenceData!$BM$61),"",ReferenceData!$BM$61),"")</f>
        <v/>
      </c>
    </row>
    <row r="62" spans="1:65" x14ac:dyDescent="0.25">
      <c r="A62" t="str">
        <f>IFERROR(IF(0=LEN(ReferenceData!$A$62),"",ReferenceData!$A$62),"")</f>
        <v xml:space="preserve">                Retail - Regional Breakdown</v>
      </c>
      <c r="B62" t="str">
        <f>IFERROR(IF(0=LEN(ReferenceData!$B$62),"",ReferenceData!$B$62),"")</f>
        <v>KER FP Equity</v>
      </c>
      <c r="C62" t="str">
        <f>IFERROR(IF(0=LEN(ReferenceData!$C$62),"",ReferenceData!$C$62),"")</f>
        <v>BI047</v>
      </c>
      <c r="D62" t="str">
        <f>IFERROR(IF(0=LEN(ReferenceData!$D$62),"",ReferenceData!$D$62),"")</f>
        <v>BICS_SEGMENT_DATA</v>
      </c>
      <c r="E62" t="str">
        <f>IFERROR(IF(0=LEN(ReferenceData!$E$62),"",ReferenceData!$E$62),"")</f>
        <v>Dynamic</v>
      </c>
      <c r="F62" t="str">
        <f ca="1">IFERROR(IF(0=LEN(ReferenceData!$F$62),"",ReferenceData!$F$62),"")</f>
        <v/>
      </c>
      <c r="G62" t="str">
        <f ca="1">IFERROR(IF(0=LEN(ReferenceData!$G$62),"",ReferenceData!$G$62),"")</f>
        <v/>
      </c>
      <c r="H62" t="str">
        <f ca="1">IFERROR(IF(0=LEN(ReferenceData!$H$62),"",ReferenceData!$H$62),"")</f>
        <v/>
      </c>
      <c r="I62" t="str">
        <f ca="1">IFERROR(IF(0=LEN(ReferenceData!$I$62),"",ReferenceData!$I$62),"")</f>
        <v/>
      </c>
      <c r="J62" t="str">
        <f ca="1">IFERROR(IF(0=LEN(ReferenceData!$J$62),"",ReferenceData!$J$62),"")</f>
        <v/>
      </c>
      <c r="K62" t="str">
        <f ca="1">IFERROR(IF(0=LEN(ReferenceData!$K$62),"",ReferenceData!$K$62),"")</f>
        <v/>
      </c>
      <c r="L62" t="str">
        <f ca="1">IFERROR(IF(0=LEN(ReferenceData!$L$62),"",ReferenceData!$L$62),"")</f>
        <v/>
      </c>
      <c r="M62" t="str">
        <f ca="1">IFERROR(IF(0=LEN(ReferenceData!$M$62),"",ReferenceData!$M$62),"")</f>
        <v/>
      </c>
      <c r="N62" t="str">
        <f ca="1">IFERROR(IF(0=LEN(ReferenceData!$N$62),"",ReferenceData!$N$62),"")</f>
        <v/>
      </c>
      <c r="O62" t="str">
        <f ca="1">IFERROR(IF(0=LEN(ReferenceData!$O$62),"",ReferenceData!$O$62),"")</f>
        <v/>
      </c>
      <c r="P62" t="str">
        <f ca="1">IFERROR(IF(0=LEN(ReferenceData!$P$62),"",ReferenceData!$P$62),"")</f>
        <v/>
      </c>
      <c r="Q62" t="str">
        <f ca="1">IFERROR(IF(0=LEN(ReferenceData!$Q$62),"",ReferenceData!$Q$62),"")</f>
        <v/>
      </c>
      <c r="R62" t="str">
        <f ca="1">IFERROR(IF(0=LEN(ReferenceData!$R$62),"",ReferenceData!$R$62),"")</f>
        <v/>
      </c>
      <c r="S62" t="str">
        <f ca="1">IFERROR(IF(0=LEN(ReferenceData!$S$62),"",ReferenceData!$S$62),"")</f>
        <v/>
      </c>
      <c r="T62" t="str">
        <f ca="1">IFERROR(IF(0=LEN(ReferenceData!$T$62),"",ReferenceData!$T$62),"")</f>
        <v/>
      </c>
      <c r="U62" t="str">
        <f ca="1">IFERROR(IF(0=LEN(ReferenceData!$U$62),"",ReferenceData!$U$62),"")</f>
        <v/>
      </c>
      <c r="V62" t="str">
        <f ca="1">IFERROR(IF(0=LEN(ReferenceData!$V$62),"",ReferenceData!$V$62),"")</f>
        <v/>
      </c>
      <c r="W62" t="str">
        <f ca="1">IFERROR(IF(0=LEN(ReferenceData!$W$62),"",ReferenceData!$W$62),"")</f>
        <v/>
      </c>
      <c r="X62" t="str">
        <f ca="1">IFERROR(IF(0=LEN(ReferenceData!$X$62),"",ReferenceData!$X$62),"")</f>
        <v/>
      </c>
      <c r="Y62" t="str">
        <f ca="1">IFERROR(IF(0=LEN(ReferenceData!$Y$62),"",ReferenceData!$Y$62),"")</f>
        <v/>
      </c>
      <c r="Z62" t="str">
        <f ca="1">IFERROR(IF(0=LEN(ReferenceData!$Z$62),"",ReferenceData!$Z$62),"")</f>
        <v/>
      </c>
      <c r="AA62" t="str">
        <f ca="1">IFERROR(IF(0=LEN(ReferenceData!$AA$62),"",ReferenceData!$AA$62),"")</f>
        <v/>
      </c>
      <c r="AB62" t="str">
        <f ca="1">IFERROR(IF(0=LEN(ReferenceData!$AB$62),"",ReferenceData!$AB$62),"")</f>
        <v/>
      </c>
      <c r="AC62" t="str">
        <f ca="1">IFERROR(IF(0=LEN(ReferenceData!$AC$62),"",ReferenceData!$AC$62),"")</f>
        <v/>
      </c>
      <c r="AD62" t="str">
        <f ca="1">IFERROR(IF(0=LEN(ReferenceData!$AD$62),"",ReferenceData!$AD$62),"")</f>
        <v/>
      </c>
      <c r="AE62" t="str">
        <f ca="1">IFERROR(IF(0=LEN(ReferenceData!$AE$62),"",ReferenceData!$AE$62),"")</f>
        <v/>
      </c>
      <c r="AF62" t="str">
        <f ca="1">IFERROR(IF(0=LEN(ReferenceData!$AF$62),"",ReferenceData!$AF$62),"")</f>
        <v/>
      </c>
      <c r="AG62" t="str">
        <f ca="1">IFERROR(IF(0=LEN(ReferenceData!$AG$62),"",ReferenceData!$AG$62),"")</f>
        <v/>
      </c>
      <c r="AH62" t="str">
        <f ca="1">IFERROR(IF(0=LEN(ReferenceData!$AH$62),"",ReferenceData!$AH$62),"")</f>
        <v/>
      </c>
      <c r="AI62" t="str">
        <f ca="1">IFERROR(IF(0=LEN(ReferenceData!$AI$62),"",ReferenceData!$AI$62),"")</f>
        <v/>
      </c>
      <c r="AJ62" t="str">
        <f ca="1">IFERROR(IF(0=LEN(ReferenceData!$AJ$62),"",ReferenceData!$AJ$62),"")</f>
        <v/>
      </c>
      <c r="AK62" t="str">
        <f ca="1">IFERROR(IF(0=LEN(ReferenceData!$AK$62),"",ReferenceData!$AK$62),"")</f>
        <v/>
      </c>
      <c r="AL62" t="str">
        <f ca="1">IFERROR(IF(0=LEN(ReferenceData!$AL$62),"",ReferenceData!$AL$62),"")</f>
        <v/>
      </c>
      <c r="AM62" t="str">
        <f ca="1">IFERROR(IF(0=LEN(ReferenceData!$AM$62),"",ReferenceData!$AM$62),"")</f>
        <v/>
      </c>
      <c r="AN62" t="str">
        <f ca="1">IFERROR(IF(0=LEN(ReferenceData!$AN$62),"",ReferenceData!$AN$62),"")</f>
        <v/>
      </c>
      <c r="AO62" t="str">
        <f ca="1">IFERROR(IF(0=LEN(ReferenceData!$AO$62),"",ReferenceData!$AO$62),"")</f>
        <v/>
      </c>
      <c r="AP62" t="str">
        <f ca="1">IFERROR(IF(0=LEN(ReferenceData!$AP$62),"",ReferenceData!$AP$62),"")</f>
        <v/>
      </c>
      <c r="AQ62" t="str">
        <f ca="1">IFERROR(IF(0=LEN(ReferenceData!$AQ$62),"",ReferenceData!$AQ$62),"")</f>
        <v/>
      </c>
      <c r="AR62" t="str">
        <f ca="1">IFERROR(IF(0=LEN(ReferenceData!$AR$62),"",ReferenceData!$AR$62),"")</f>
        <v/>
      </c>
      <c r="AS62" t="str">
        <f ca="1">IFERROR(IF(0=LEN(ReferenceData!$AS$62),"",ReferenceData!$AS$62),"")</f>
        <v/>
      </c>
      <c r="AT62" t="str">
        <f ca="1">IFERROR(IF(0=LEN(ReferenceData!$AT$62),"",ReferenceData!$AT$62),"")</f>
        <v/>
      </c>
      <c r="AU62" t="str">
        <f ca="1">IFERROR(IF(0=LEN(ReferenceData!$AU$62),"",ReferenceData!$AU$62),"")</f>
        <v/>
      </c>
      <c r="AV62" t="str">
        <f ca="1">IFERROR(IF(0=LEN(ReferenceData!$AV$62),"",ReferenceData!$AV$62),"")</f>
        <v/>
      </c>
      <c r="AW62" t="str">
        <f ca="1">IFERROR(IF(0=LEN(ReferenceData!$AW$62),"",ReferenceData!$AW$62),"")</f>
        <v/>
      </c>
      <c r="AX62" t="str">
        <f ca="1">IFERROR(IF(0=LEN(ReferenceData!$AX$62),"",ReferenceData!$AX$62),"")</f>
        <v/>
      </c>
      <c r="AY62" t="str">
        <f ca="1">IFERROR(IF(0=LEN(ReferenceData!$AY$62),"",ReferenceData!$AY$62),"")</f>
        <v/>
      </c>
      <c r="AZ62" t="str">
        <f ca="1">IFERROR(IF(0=LEN(ReferenceData!$AZ$62),"",ReferenceData!$AZ$62),"")</f>
        <v/>
      </c>
      <c r="BA62" t="str">
        <f ca="1">IFERROR(IF(0=LEN(ReferenceData!$BA$62),"",ReferenceData!$BA$62),"")</f>
        <v/>
      </c>
      <c r="BB62" t="str">
        <f ca="1">IFERROR(IF(0=LEN(ReferenceData!$BB$62),"",ReferenceData!$BB$62),"")</f>
        <v/>
      </c>
      <c r="BC62" t="str">
        <f ca="1">IFERROR(IF(0=LEN(ReferenceData!$BC$62),"",ReferenceData!$BC$62),"")</f>
        <v/>
      </c>
      <c r="BD62" t="str">
        <f ca="1">IFERROR(IF(0=LEN(ReferenceData!$BD$62),"",ReferenceData!$BD$62),"")</f>
        <v/>
      </c>
      <c r="BE62" t="str">
        <f ca="1">IFERROR(IF(0=LEN(ReferenceData!$BE$62),"",ReferenceData!$BE$62),"")</f>
        <v/>
      </c>
      <c r="BF62" t="str">
        <f ca="1">IFERROR(IF(0=LEN(ReferenceData!$BF$62),"",ReferenceData!$BF$62),"")</f>
        <v/>
      </c>
      <c r="BG62" t="str">
        <f ca="1">IFERROR(IF(0=LEN(ReferenceData!$BG$62),"",ReferenceData!$BG$62),"")</f>
        <v/>
      </c>
      <c r="BH62" t="str">
        <f ca="1">IFERROR(IF(0=LEN(ReferenceData!$BH$62),"",ReferenceData!$BH$62),"")</f>
        <v/>
      </c>
      <c r="BI62" t="str">
        <f ca="1">IFERROR(IF(0=LEN(ReferenceData!$BI$62),"",ReferenceData!$BI$62),"")</f>
        <v/>
      </c>
      <c r="BJ62" t="str">
        <f ca="1">IFERROR(IF(0=LEN(ReferenceData!$BJ$62),"",ReferenceData!$BJ$62),"")</f>
        <v/>
      </c>
      <c r="BK62" t="str">
        <f ca="1">IFERROR(IF(0=LEN(ReferenceData!$BK$62),"",ReferenceData!$BK$62),"")</f>
        <v/>
      </c>
      <c r="BL62" t="str">
        <f ca="1">IFERROR(IF(0=LEN(ReferenceData!$BL$62),"",ReferenceData!$BL$62),"")</f>
        <v/>
      </c>
      <c r="BM62" t="str">
        <f ca="1">IFERROR(IF(0=LEN(ReferenceData!$BM$62),"",ReferenceData!$BM$62),"")</f>
        <v/>
      </c>
    </row>
    <row r="63" spans="1:65" x14ac:dyDescent="0.25">
      <c r="A63" t="str">
        <f>IFERROR(IF(0=LEN(ReferenceData!$A$63),"",ReferenceData!$A$63),"")</f>
        <v xml:space="preserve">                    Asia Pacific (excl. Japan)</v>
      </c>
      <c r="B63" t="str">
        <f>IFERROR(IF(0=LEN(ReferenceData!$B$63),"",ReferenceData!$B$63),"")</f>
        <v>KER FP Equity</v>
      </c>
      <c r="C63" t="str">
        <f>IFERROR(IF(0=LEN(ReferenceData!$C$63),"",ReferenceData!$C$63),"")</f>
        <v>BI047</v>
      </c>
      <c r="D63" t="str">
        <f>IFERROR(IF(0=LEN(ReferenceData!$D$63),"",ReferenceData!$D$63),"")</f>
        <v>BICS_SEGMENT_DATA</v>
      </c>
      <c r="E63" t="str">
        <f>IFERROR(IF(0=LEN(ReferenceData!$E$63),"",ReferenceData!$E$63),"")</f>
        <v>Dynamic</v>
      </c>
      <c r="F63" t="str">
        <f ca="1">IFERROR(IF(0=LEN(ReferenceData!$F$63),"",ReferenceData!$F$63),"")</f>
        <v/>
      </c>
      <c r="G63">
        <f ca="1">IFERROR(IF(0=LEN(ReferenceData!$G$63),"",ReferenceData!$G$63),"")</f>
        <v>1</v>
      </c>
      <c r="H63">
        <f ca="1">IFERROR(IF(0=LEN(ReferenceData!$H$63),"",ReferenceData!$H$63),"")</f>
        <v>53</v>
      </c>
      <c r="I63">
        <f ca="1">IFERROR(IF(0=LEN(ReferenceData!$I$63),"",ReferenceData!$I$63),"")</f>
        <v>83</v>
      </c>
      <c r="J63">
        <f ca="1">IFERROR(IF(0=LEN(ReferenceData!$J$63),"",ReferenceData!$J$63),"")</f>
        <v>-2</v>
      </c>
      <c r="K63">
        <f ca="1">IFERROR(IF(0=LEN(ReferenceData!$K$63),"",ReferenceData!$K$63),"")</f>
        <v>18</v>
      </c>
      <c r="L63">
        <f ca="1">IFERROR(IF(0=LEN(ReferenceData!$L$63),"",ReferenceData!$L$63),"")</f>
        <v>-12</v>
      </c>
      <c r="M63">
        <f ca="1">IFERROR(IF(0=LEN(ReferenceData!$M$63),"",ReferenceData!$M$63),"")</f>
        <v>30</v>
      </c>
      <c r="N63">
        <f ca="1">IFERROR(IF(0=LEN(ReferenceData!$N$63),"",ReferenceData!$N$63),"")</f>
        <v>14</v>
      </c>
      <c r="O63">
        <f ca="1">IFERROR(IF(0=LEN(ReferenceData!$O$63),"",ReferenceData!$O$63),"")</f>
        <v>17</v>
      </c>
      <c r="P63">
        <f ca="1">IFERROR(IF(0=LEN(ReferenceData!$P$63),"",ReferenceData!$P$63),"")</f>
        <v>22</v>
      </c>
      <c r="Q63">
        <f ca="1">IFERROR(IF(0=LEN(ReferenceData!$Q$63),"",ReferenceData!$Q$63),"")</f>
        <v>30</v>
      </c>
      <c r="R63">
        <f ca="1">IFERROR(IF(0=LEN(ReferenceData!$R$63),"",ReferenceData!$R$63),"")</f>
        <v>35</v>
      </c>
      <c r="S63">
        <f ca="1">IFERROR(IF(0=LEN(ReferenceData!$S$63),"",ReferenceData!$S$63),"")</f>
        <v>33</v>
      </c>
      <c r="T63">
        <f ca="1">IFERROR(IF(0=LEN(ReferenceData!$T$63),"",ReferenceData!$T$63),"")</f>
        <v>38</v>
      </c>
      <c r="U63">
        <f ca="1">IFERROR(IF(0=LEN(ReferenceData!$U$63),"",ReferenceData!$U$63),"")</f>
        <v>42</v>
      </c>
      <c r="V63">
        <f ca="1">IFERROR(IF(0=LEN(ReferenceData!$V$63),"",ReferenceData!$V$63),"")</f>
        <v>33</v>
      </c>
      <c r="W63">
        <f ca="1">IFERROR(IF(0=LEN(ReferenceData!$W$63),"",ReferenceData!$W$63),"")</f>
        <v>42</v>
      </c>
      <c r="X63" t="str">
        <f ca="1">IFERROR(IF(0=LEN(ReferenceData!$X$63),"",ReferenceData!$X$63),"")</f>
        <v/>
      </c>
      <c r="Y63">
        <f ca="1">IFERROR(IF(0=LEN(ReferenceData!$Y$63),"",ReferenceData!$Y$63),"")</f>
        <v>47</v>
      </c>
      <c r="Z63">
        <f ca="1">IFERROR(IF(0=LEN(ReferenceData!$Z$63),"",ReferenceData!$Z$63),"")</f>
        <v>14</v>
      </c>
      <c r="AA63">
        <f ca="1">IFERROR(IF(0=LEN(ReferenceData!$AA$63),"",ReferenceData!$AA$63),"")</f>
        <v>24</v>
      </c>
      <c r="AB63">
        <f ca="1">IFERROR(IF(0=LEN(ReferenceData!$AB$63),"",ReferenceData!$AB$63),"")</f>
        <v>6</v>
      </c>
      <c r="AC63">
        <f ca="1">IFERROR(IF(0=LEN(ReferenceData!$AC$63),"",ReferenceData!$AC$63),"")</f>
        <v>0</v>
      </c>
      <c r="AD63" t="str">
        <f ca="1">IFERROR(IF(0=LEN(ReferenceData!$AD$63),"",ReferenceData!$AD$63),"")</f>
        <v/>
      </c>
      <c r="AE63" t="str">
        <f ca="1">IFERROR(IF(0=LEN(ReferenceData!$AE$63),"",ReferenceData!$AE$63),"")</f>
        <v/>
      </c>
      <c r="AF63" t="str">
        <f ca="1">IFERROR(IF(0=LEN(ReferenceData!$AF$63),"",ReferenceData!$AF$63),"")</f>
        <v/>
      </c>
      <c r="AG63" t="str">
        <f ca="1">IFERROR(IF(0=LEN(ReferenceData!$AG$63),"",ReferenceData!$AG$63),"")</f>
        <v/>
      </c>
      <c r="AH63" t="str">
        <f ca="1">IFERROR(IF(0=LEN(ReferenceData!$AH$63),"",ReferenceData!$AH$63),"")</f>
        <v/>
      </c>
      <c r="AI63" t="str">
        <f ca="1">IFERROR(IF(0=LEN(ReferenceData!$AI$63),"",ReferenceData!$AI$63),"")</f>
        <v/>
      </c>
      <c r="AJ63" t="str">
        <f ca="1">IFERROR(IF(0=LEN(ReferenceData!$AJ$63),"",ReferenceData!$AJ$63),"")</f>
        <v/>
      </c>
      <c r="AK63" t="str">
        <f ca="1">IFERROR(IF(0=LEN(ReferenceData!$AK$63),"",ReferenceData!$AK$63),"")</f>
        <v/>
      </c>
      <c r="AL63" t="str">
        <f ca="1">IFERROR(IF(0=LEN(ReferenceData!$AL$63),"",ReferenceData!$AL$63),"")</f>
        <v/>
      </c>
      <c r="AM63" t="str">
        <f ca="1">IFERROR(IF(0=LEN(ReferenceData!$AM$63),"",ReferenceData!$AM$63),"")</f>
        <v/>
      </c>
      <c r="AN63" t="str">
        <f ca="1">IFERROR(IF(0=LEN(ReferenceData!$AN$63),"",ReferenceData!$AN$63),"")</f>
        <v/>
      </c>
      <c r="AO63" t="str">
        <f ca="1">IFERROR(IF(0=LEN(ReferenceData!$AO$63),"",ReferenceData!$AO$63),"")</f>
        <v/>
      </c>
      <c r="AP63" t="str">
        <f ca="1">IFERROR(IF(0=LEN(ReferenceData!$AP$63),"",ReferenceData!$AP$63),"")</f>
        <v/>
      </c>
      <c r="AQ63" t="str">
        <f ca="1">IFERROR(IF(0=LEN(ReferenceData!$AQ$63),"",ReferenceData!$AQ$63),"")</f>
        <v/>
      </c>
      <c r="AR63" t="str">
        <f ca="1">IFERROR(IF(0=LEN(ReferenceData!$AR$63),"",ReferenceData!$AR$63),"")</f>
        <v/>
      </c>
      <c r="AS63" t="str">
        <f ca="1">IFERROR(IF(0=LEN(ReferenceData!$AS$63),"",ReferenceData!$AS$63),"")</f>
        <v/>
      </c>
      <c r="AT63" t="str">
        <f ca="1">IFERROR(IF(0=LEN(ReferenceData!$AT$63),"",ReferenceData!$AT$63),"")</f>
        <v/>
      </c>
      <c r="AU63" t="str">
        <f ca="1">IFERROR(IF(0=LEN(ReferenceData!$AU$63),"",ReferenceData!$AU$63),"")</f>
        <v/>
      </c>
      <c r="AV63" t="str">
        <f ca="1">IFERROR(IF(0=LEN(ReferenceData!$AV$63),"",ReferenceData!$AV$63),"")</f>
        <v/>
      </c>
      <c r="AW63" t="str">
        <f ca="1">IFERROR(IF(0=LEN(ReferenceData!$AW$63),"",ReferenceData!$AW$63),"")</f>
        <v/>
      </c>
      <c r="AX63" t="str">
        <f ca="1">IFERROR(IF(0=LEN(ReferenceData!$AX$63),"",ReferenceData!$AX$63),"")</f>
        <v/>
      </c>
      <c r="AY63" t="str">
        <f ca="1">IFERROR(IF(0=LEN(ReferenceData!$AY$63),"",ReferenceData!$AY$63),"")</f>
        <v/>
      </c>
      <c r="AZ63" t="str">
        <f ca="1">IFERROR(IF(0=LEN(ReferenceData!$AZ$63),"",ReferenceData!$AZ$63),"")</f>
        <v/>
      </c>
      <c r="BA63" t="str">
        <f ca="1">IFERROR(IF(0=LEN(ReferenceData!$BA$63),"",ReferenceData!$BA$63),"")</f>
        <v/>
      </c>
      <c r="BB63" t="str">
        <f ca="1">IFERROR(IF(0=LEN(ReferenceData!$BB$63),"",ReferenceData!$BB$63),"")</f>
        <v/>
      </c>
      <c r="BC63" t="str">
        <f ca="1">IFERROR(IF(0=LEN(ReferenceData!$BC$63),"",ReferenceData!$BC$63),"")</f>
        <v/>
      </c>
      <c r="BD63" t="str">
        <f ca="1">IFERROR(IF(0=LEN(ReferenceData!$BD$63),"",ReferenceData!$BD$63),"")</f>
        <v/>
      </c>
      <c r="BE63" t="str">
        <f ca="1">IFERROR(IF(0=LEN(ReferenceData!$BE$63),"",ReferenceData!$BE$63),"")</f>
        <v/>
      </c>
      <c r="BF63" t="str">
        <f ca="1">IFERROR(IF(0=LEN(ReferenceData!$BF$63),"",ReferenceData!$BF$63),"")</f>
        <v/>
      </c>
      <c r="BG63" t="str">
        <f ca="1">IFERROR(IF(0=LEN(ReferenceData!$BG$63),"",ReferenceData!$BG$63),"")</f>
        <v/>
      </c>
      <c r="BH63" t="str">
        <f ca="1">IFERROR(IF(0=LEN(ReferenceData!$BH$63),"",ReferenceData!$BH$63),"")</f>
        <v/>
      </c>
      <c r="BI63" t="str">
        <f ca="1">IFERROR(IF(0=LEN(ReferenceData!$BI$63),"",ReferenceData!$BI$63),"")</f>
        <v/>
      </c>
      <c r="BJ63" t="str">
        <f ca="1">IFERROR(IF(0=LEN(ReferenceData!$BJ$63),"",ReferenceData!$BJ$63),"")</f>
        <v/>
      </c>
      <c r="BK63" t="str">
        <f ca="1">IFERROR(IF(0=LEN(ReferenceData!$BK$63),"",ReferenceData!$BK$63),"")</f>
        <v/>
      </c>
      <c r="BL63" t="str">
        <f ca="1">IFERROR(IF(0=LEN(ReferenceData!$BL$63),"",ReferenceData!$BL$63),"")</f>
        <v/>
      </c>
      <c r="BM63" t="str">
        <f ca="1">IFERROR(IF(0=LEN(ReferenceData!$BM$63),"",ReferenceData!$BM$63),"")</f>
        <v/>
      </c>
    </row>
    <row r="64" spans="1:65" x14ac:dyDescent="0.25">
      <c r="A64" t="str">
        <f>IFERROR(IF(0=LEN(ReferenceData!$A$64),"",ReferenceData!$A$64),"")</f>
        <v xml:space="preserve">                    Japan</v>
      </c>
      <c r="B64" t="str">
        <f>IFERROR(IF(0=LEN(ReferenceData!$B$64),"",ReferenceData!$B$64),"")</f>
        <v>KER FP Equity</v>
      </c>
      <c r="C64" t="str">
        <f>IFERROR(IF(0=LEN(ReferenceData!$C$64),"",ReferenceData!$C$64),"")</f>
        <v>BI047</v>
      </c>
      <c r="D64" t="str">
        <f>IFERROR(IF(0=LEN(ReferenceData!$D$64),"",ReferenceData!$D$64),"")</f>
        <v>BICS_SEGMENT_DATA</v>
      </c>
      <c r="E64" t="str">
        <f>IFERROR(IF(0=LEN(ReferenceData!$E$64),"",ReferenceData!$E$64),"")</f>
        <v>Dynamic</v>
      </c>
      <c r="F64" t="str">
        <f ca="1">IFERROR(IF(0=LEN(ReferenceData!$F$64),"",ReferenceData!$F$64),"")</f>
        <v/>
      </c>
      <c r="G64">
        <f ca="1">IFERROR(IF(0=LEN(ReferenceData!$G$64),"",ReferenceData!$G$64),"")</f>
        <v>3</v>
      </c>
      <c r="H64">
        <f ca="1">IFERROR(IF(0=LEN(ReferenceData!$H$64),"",ReferenceData!$H$64),"")</f>
        <v>53</v>
      </c>
      <c r="I64">
        <f ca="1">IFERROR(IF(0=LEN(ReferenceData!$I$64),"",ReferenceData!$I$64),"")</f>
        <v>-3</v>
      </c>
      <c r="J64">
        <f ca="1">IFERROR(IF(0=LEN(ReferenceData!$J$64),"",ReferenceData!$J$64),"")</f>
        <v>-28</v>
      </c>
      <c r="K64">
        <f ca="1">IFERROR(IF(0=LEN(ReferenceData!$K$64),"",ReferenceData!$K$64),"")</f>
        <v>-23</v>
      </c>
      <c r="L64">
        <f ca="1">IFERROR(IF(0=LEN(ReferenceData!$L$64),"",ReferenceData!$L$64),"")</f>
        <v>-62</v>
      </c>
      <c r="M64">
        <f ca="1">IFERROR(IF(0=LEN(ReferenceData!$M$64),"",ReferenceData!$M$64),"")</f>
        <v>17</v>
      </c>
      <c r="N64">
        <f ca="1">IFERROR(IF(0=LEN(ReferenceData!$N$64),"",ReferenceData!$N$64),"")</f>
        <v>-6</v>
      </c>
      <c r="O64">
        <f ca="1">IFERROR(IF(0=LEN(ReferenceData!$O$64),"",ReferenceData!$O$64),"")</f>
        <v>12</v>
      </c>
      <c r="P64">
        <f ca="1">IFERROR(IF(0=LEN(ReferenceData!$P$64),"",ReferenceData!$P$64),"")</f>
        <v>9</v>
      </c>
      <c r="Q64">
        <f ca="1">IFERROR(IF(0=LEN(ReferenceData!$Q$64),"",ReferenceData!$Q$64),"")</f>
        <v>12</v>
      </c>
      <c r="R64">
        <f ca="1">IFERROR(IF(0=LEN(ReferenceData!$R$64),"",ReferenceData!$R$64),"")</f>
        <v>21</v>
      </c>
      <c r="S64">
        <f ca="1">IFERROR(IF(0=LEN(ReferenceData!$S$64),"",ReferenceData!$S$64),"")</f>
        <v>22</v>
      </c>
      <c r="T64">
        <f ca="1">IFERROR(IF(0=LEN(ReferenceData!$T$64),"",ReferenceData!$T$64),"")</f>
        <v>33</v>
      </c>
      <c r="U64">
        <f ca="1">IFERROR(IF(0=LEN(ReferenceData!$U$64),"",ReferenceData!$U$64),"")</f>
        <v>33</v>
      </c>
      <c r="V64">
        <f ca="1">IFERROR(IF(0=LEN(ReferenceData!$V$64),"",ReferenceData!$V$64),"")</f>
        <v>27</v>
      </c>
      <c r="W64">
        <f ca="1">IFERROR(IF(0=LEN(ReferenceData!$W$64),"",ReferenceData!$W$64),"")</f>
        <v>24</v>
      </c>
      <c r="X64" t="str">
        <f ca="1">IFERROR(IF(0=LEN(ReferenceData!$X$64),"",ReferenceData!$X$64),"")</f>
        <v/>
      </c>
      <c r="Y64">
        <f ca="1">IFERROR(IF(0=LEN(ReferenceData!$Y$64),"",ReferenceData!$Y$64),"")</f>
        <v>4</v>
      </c>
      <c r="Z64">
        <f ca="1">IFERROR(IF(0=LEN(ReferenceData!$Z$64),"",ReferenceData!$Z$64),"")</f>
        <v>-1</v>
      </c>
      <c r="AA64">
        <f ca="1">IFERROR(IF(0=LEN(ReferenceData!$AA$64),"",ReferenceData!$AA$64),"")</f>
        <v>7</v>
      </c>
      <c r="AB64">
        <f ca="1">IFERROR(IF(0=LEN(ReferenceData!$AB$64),"",ReferenceData!$AB$64),"")</f>
        <v>2</v>
      </c>
      <c r="AC64">
        <f ca="1">IFERROR(IF(0=LEN(ReferenceData!$AC$64),"",ReferenceData!$AC$64),"")</f>
        <v>5</v>
      </c>
      <c r="AD64" t="str">
        <f ca="1">IFERROR(IF(0=LEN(ReferenceData!$AD$64),"",ReferenceData!$AD$64),"")</f>
        <v/>
      </c>
      <c r="AE64" t="str">
        <f ca="1">IFERROR(IF(0=LEN(ReferenceData!$AE$64),"",ReferenceData!$AE$64),"")</f>
        <v/>
      </c>
      <c r="AF64" t="str">
        <f ca="1">IFERROR(IF(0=LEN(ReferenceData!$AF$64),"",ReferenceData!$AF$64),"")</f>
        <v/>
      </c>
      <c r="AG64" t="str">
        <f ca="1">IFERROR(IF(0=LEN(ReferenceData!$AG$64),"",ReferenceData!$AG$64),"")</f>
        <v/>
      </c>
      <c r="AH64" t="str">
        <f ca="1">IFERROR(IF(0=LEN(ReferenceData!$AH$64),"",ReferenceData!$AH$64),"")</f>
        <v/>
      </c>
      <c r="AI64" t="str">
        <f ca="1">IFERROR(IF(0=LEN(ReferenceData!$AI$64),"",ReferenceData!$AI$64),"")</f>
        <v/>
      </c>
      <c r="AJ64" t="str">
        <f ca="1">IFERROR(IF(0=LEN(ReferenceData!$AJ$64),"",ReferenceData!$AJ$64),"")</f>
        <v/>
      </c>
      <c r="AK64" t="str">
        <f ca="1">IFERROR(IF(0=LEN(ReferenceData!$AK$64),"",ReferenceData!$AK$64),"")</f>
        <v/>
      </c>
      <c r="AL64" t="str">
        <f ca="1">IFERROR(IF(0=LEN(ReferenceData!$AL$64),"",ReferenceData!$AL$64),"")</f>
        <v/>
      </c>
      <c r="AM64" t="str">
        <f ca="1">IFERROR(IF(0=LEN(ReferenceData!$AM$64),"",ReferenceData!$AM$64),"")</f>
        <v/>
      </c>
      <c r="AN64" t="str">
        <f ca="1">IFERROR(IF(0=LEN(ReferenceData!$AN$64),"",ReferenceData!$AN$64),"")</f>
        <v/>
      </c>
      <c r="AO64" t="str">
        <f ca="1">IFERROR(IF(0=LEN(ReferenceData!$AO$64),"",ReferenceData!$AO$64),"")</f>
        <v/>
      </c>
      <c r="AP64" t="str">
        <f ca="1">IFERROR(IF(0=LEN(ReferenceData!$AP$64),"",ReferenceData!$AP$64),"")</f>
        <v/>
      </c>
      <c r="AQ64" t="str">
        <f ca="1">IFERROR(IF(0=LEN(ReferenceData!$AQ$64),"",ReferenceData!$AQ$64),"")</f>
        <v/>
      </c>
      <c r="AR64" t="str">
        <f ca="1">IFERROR(IF(0=LEN(ReferenceData!$AR$64),"",ReferenceData!$AR$64),"")</f>
        <v/>
      </c>
      <c r="AS64" t="str">
        <f ca="1">IFERROR(IF(0=LEN(ReferenceData!$AS$64),"",ReferenceData!$AS$64),"")</f>
        <v/>
      </c>
      <c r="AT64" t="str">
        <f ca="1">IFERROR(IF(0=LEN(ReferenceData!$AT$64),"",ReferenceData!$AT$64),"")</f>
        <v/>
      </c>
      <c r="AU64" t="str">
        <f ca="1">IFERROR(IF(0=LEN(ReferenceData!$AU$64),"",ReferenceData!$AU$64),"")</f>
        <v/>
      </c>
      <c r="AV64" t="str">
        <f ca="1">IFERROR(IF(0=LEN(ReferenceData!$AV$64),"",ReferenceData!$AV$64),"")</f>
        <v/>
      </c>
      <c r="AW64" t="str">
        <f ca="1">IFERROR(IF(0=LEN(ReferenceData!$AW$64),"",ReferenceData!$AW$64),"")</f>
        <v/>
      </c>
      <c r="AX64" t="str">
        <f ca="1">IFERROR(IF(0=LEN(ReferenceData!$AX$64),"",ReferenceData!$AX$64),"")</f>
        <v/>
      </c>
      <c r="AY64" t="str">
        <f ca="1">IFERROR(IF(0=LEN(ReferenceData!$AY$64),"",ReferenceData!$AY$64),"")</f>
        <v/>
      </c>
      <c r="AZ64" t="str">
        <f ca="1">IFERROR(IF(0=LEN(ReferenceData!$AZ$64),"",ReferenceData!$AZ$64),"")</f>
        <v/>
      </c>
      <c r="BA64" t="str">
        <f ca="1">IFERROR(IF(0=LEN(ReferenceData!$BA$64),"",ReferenceData!$BA$64),"")</f>
        <v/>
      </c>
      <c r="BB64" t="str">
        <f ca="1">IFERROR(IF(0=LEN(ReferenceData!$BB$64),"",ReferenceData!$BB$64),"")</f>
        <v/>
      </c>
      <c r="BC64" t="str">
        <f ca="1">IFERROR(IF(0=LEN(ReferenceData!$BC$64),"",ReferenceData!$BC$64),"")</f>
        <v/>
      </c>
      <c r="BD64" t="str">
        <f ca="1">IFERROR(IF(0=LEN(ReferenceData!$BD$64),"",ReferenceData!$BD$64),"")</f>
        <v/>
      </c>
      <c r="BE64" t="str">
        <f ca="1">IFERROR(IF(0=LEN(ReferenceData!$BE$64),"",ReferenceData!$BE$64),"")</f>
        <v/>
      </c>
      <c r="BF64" t="str">
        <f ca="1">IFERROR(IF(0=LEN(ReferenceData!$BF$64),"",ReferenceData!$BF$64),"")</f>
        <v/>
      </c>
      <c r="BG64" t="str">
        <f ca="1">IFERROR(IF(0=LEN(ReferenceData!$BG$64),"",ReferenceData!$BG$64),"")</f>
        <v/>
      </c>
      <c r="BH64" t="str">
        <f ca="1">IFERROR(IF(0=LEN(ReferenceData!$BH$64),"",ReferenceData!$BH$64),"")</f>
        <v/>
      </c>
      <c r="BI64" t="str">
        <f ca="1">IFERROR(IF(0=LEN(ReferenceData!$BI$64),"",ReferenceData!$BI$64),"")</f>
        <v/>
      </c>
      <c r="BJ64" t="str">
        <f ca="1">IFERROR(IF(0=LEN(ReferenceData!$BJ$64),"",ReferenceData!$BJ$64),"")</f>
        <v/>
      </c>
      <c r="BK64" t="str">
        <f ca="1">IFERROR(IF(0=LEN(ReferenceData!$BK$64),"",ReferenceData!$BK$64),"")</f>
        <v/>
      </c>
      <c r="BL64" t="str">
        <f ca="1">IFERROR(IF(0=LEN(ReferenceData!$BL$64),"",ReferenceData!$BL$64),"")</f>
        <v/>
      </c>
      <c r="BM64" t="str">
        <f ca="1">IFERROR(IF(0=LEN(ReferenceData!$BM$64),"",ReferenceData!$BM$64),"")</f>
        <v/>
      </c>
    </row>
    <row r="65" spans="1:65" x14ac:dyDescent="0.25">
      <c r="A65" t="str">
        <f>IFERROR(IF(0=LEN(ReferenceData!$A$65),"",ReferenceData!$A$65),"")</f>
        <v xml:space="preserve">                    Western Europe</v>
      </c>
      <c r="B65" t="str">
        <f>IFERROR(IF(0=LEN(ReferenceData!$B$65),"",ReferenceData!$B$65),"")</f>
        <v>KER FP Equity</v>
      </c>
      <c r="C65" t="str">
        <f>IFERROR(IF(0=LEN(ReferenceData!$C$65),"",ReferenceData!$C$65),"")</f>
        <v>BI047</v>
      </c>
      <c r="D65" t="str">
        <f>IFERROR(IF(0=LEN(ReferenceData!$D$65),"",ReferenceData!$D$65),"")</f>
        <v>BICS_SEGMENT_DATA</v>
      </c>
      <c r="E65" t="str">
        <f>IFERROR(IF(0=LEN(ReferenceData!$E$65),"",ReferenceData!$E$65),"")</f>
        <v>Dynamic</v>
      </c>
      <c r="F65" t="str">
        <f ca="1">IFERROR(IF(0=LEN(ReferenceData!$F$65),"",ReferenceData!$F$65),"")</f>
        <v/>
      </c>
      <c r="G65">
        <f ca="1">IFERROR(IF(0=LEN(ReferenceData!$G$65),"",ReferenceData!$G$65),"")</f>
        <v>15</v>
      </c>
      <c r="H65">
        <f ca="1">IFERROR(IF(0=LEN(ReferenceData!$H$65),"",ReferenceData!$H$65),"")</f>
        <v>38</v>
      </c>
      <c r="I65">
        <f ca="1">IFERROR(IF(0=LEN(ReferenceData!$I$65),"",ReferenceData!$I$65),"")</f>
        <v>-34</v>
      </c>
      <c r="J65">
        <f ca="1">IFERROR(IF(0=LEN(ReferenceData!$J$65),"",ReferenceData!$J$65),"")</f>
        <v>-41</v>
      </c>
      <c r="K65">
        <f ca="1">IFERROR(IF(0=LEN(ReferenceData!$K$65),"",ReferenceData!$K$65),"")</f>
        <v>-41</v>
      </c>
      <c r="L65">
        <f ca="1">IFERROR(IF(0=LEN(ReferenceData!$L$65),"",ReferenceData!$L$65),"")</f>
        <v>-66</v>
      </c>
      <c r="M65">
        <f ca="1">IFERROR(IF(0=LEN(ReferenceData!$M$65),"",ReferenceData!$M$65),"")</f>
        <v>14</v>
      </c>
      <c r="N65">
        <f ca="1">IFERROR(IF(0=LEN(ReferenceData!$N$65),"",ReferenceData!$N$65),"")</f>
        <v>17</v>
      </c>
      <c r="O65">
        <f ca="1">IFERROR(IF(0=LEN(ReferenceData!$O$65),"",ReferenceData!$O$65),"")</f>
        <v>12</v>
      </c>
      <c r="P65">
        <f ca="1">IFERROR(IF(0=LEN(ReferenceData!$P$65),"",ReferenceData!$P$65),"")</f>
        <v>15</v>
      </c>
      <c r="Q65">
        <f ca="1">IFERROR(IF(0=LEN(ReferenceData!$Q$65),"",ReferenceData!$Q$65),"")</f>
        <v>14</v>
      </c>
      <c r="R65">
        <f ca="1">IFERROR(IF(0=LEN(ReferenceData!$R$65),"",ReferenceData!$R$65),"")</f>
        <v>18</v>
      </c>
      <c r="S65">
        <f ca="1">IFERROR(IF(0=LEN(ReferenceData!$S$65),"",ReferenceData!$S$65),"")</f>
        <v>19</v>
      </c>
      <c r="T65">
        <f ca="1">IFERROR(IF(0=LEN(ReferenceData!$T$65),"",ReferenceData!$T$65),"")</f>
        <v>23</v>
      </c>
      <c r="U65">
        <f ca="1">IFERROR(IF(0=LEN(ReferenceData!$U$65),"",ReferenceData!$U$65),"")</f>
        <v>30</v>
      </c>
      <c r="V65">
        <f ca="1">IFERROR(IF(0=LEN(ReferenceData!$V$65),"",ReferenceData!$V$65),"")</f>
        <v>35</v>
      </c>
      <c r="W65">
        <f ca="1">IFERROR(IF(0=LEN(ReferenceData!$W$65),"",ReferenceData!$W$65),"")</f>
        <v>36</v>
      </c>
      <c r="X65" t="str">
        <f ca="1">IFERROR(IF(0=LEN(ReferenceData!$X$65),"",ReferenceData!$X$65),"")</f>
        <v/>
      </c>
      <c r="Y65">
        <f ca="1">IFERROR(IF(0=LEN(ReferenceData!$Y$65),"",ReferenceData!$Y$65),"")</f>
        <v>50</v>
      </c>
      <c r="Z65">
        <f ca="1">IFERROR(IF(0=LEN(ReferenceData!$Z$65),"",ReferenceData!$Z$65),"")</f>
        <v>13</v>
      </c>
      <c r="AA65">
        <f ca="1">IFERROR(IF(0=LEN(ReferenceData!$AA$65),"",ReferenceData!$AA$65),"")</f>
        <v>12</v>
      </c>
      <c r="AB65">
        <f ca="1">IFERROR(IF(0=LEN(ReferenceData!$AB$65),"",ReferenceData!$AB$65),"")</f>
        <v>5</v>
      </c>
      <c r="AC65">
        <f ca="1">IFERROR(IF(0=LEN(ReferenceData!$AC$65),"",ReferenceData!$AC$65),"")</f>
        <v>10</v>
      </c>
      <c r="AD65" t="str">
        <f ca="1">IFERROR(IF(0=LEN(ReferenceData!$AD$65),"",ReferenceData!$AD$65),"")</f>
        <v/>
      </c>
      <c r="AE65" t="str">
        <f ca="1">IFERROR(IF(0=LEN(ReferenceData!$AE$65),"",ReferenceData!$AE$65),"")</f>
        <v/>
      </c>
      <c r="AF65" t="str">
        <f ca="1">IFERROR(IF(0=LEN(ReferenceData!$AF$65),"",ReferenceData!$AF$65),"")</f>
        <v/>
      </c>
      <c r="AG65" t="str">
        <f ca="1">IFERROR(IF(0=LEN(ReferenceData!$AG$65),"",ReferenceData!$AG$65),"")</f>
        <v/>
      </c>
      <c r="AH65" t="str">
        <f ca="1">IFERROR(IF(0=LEN(ReferenceData!$AH$65),"",ReferenceData!$AH$65),"")</f>
        <v/>
      </c>
      <c r="AI65" t="str">
        <f ca="1">IFERROR(IF(0=LEN(ReferenceData!$AI$65),"",ReferenceData!$AI$65),"")</f>
        <v/>
      </c>
      <c r="AJ65" t="str">
        <f ca="1">IFERROR(IF(0=LEN(ReferenceData!$AJ$65),"",ReferenceData!$AJ$65),"")</f>
        <v/>
      </c>
      <c r="AK65" t="str">
        <f ca="1">IFERROR(IF(0=LEN(ReferenceData!$AK$65),"",ReferenceData!$AK$65),"")</f>
        <v/>
      </c>
      <c r="AL65" t="str">
        <f ca="1">IFERROR(IF(0=LEN(ReferenceData!$AL$65),"",ReferenceData!$AL$65),"")</f>
        <v/>
      </c>
      <c r="AM65" t="str">
        <f ca="1">IFERROR(IF(0=LEN(ReferenceData!$AM$65),"",ReferenceData!$AM$65),"")</f>
        <v/>
      </c>
      <c r="AN65" t="str">
        <f ca="1">IFERROR(IF(0=LEN(ReferenceData!$AN$65),"",ReferenceData!$AN$65),"")</f>
        <v/>
      </c>
      <c r="AO65" t="str">
        <f ca="1">IFERROR(IF(0=LEN(ReferenceData!$AO$65),"",ReferenceData!$AO$65),"")</f>
        <v/>
      </c>
      <c r="AP65" t="str">
        <f ca="1">IFERROR(IF(0=LEN(ReferenceData!$AP$65),"",ReferenceData!$AP$65),"")</f>
        <v/>
      </c>
      <c r="AQ65" t="str">
        <f ca="1">IFERROR(IF(0=LEN(ReferenceData!$AQ$65),"",ReferenceData!$AQ$65),"")</f>
        <v/>
      </c>
      <c r="AR65" t="str">
        <f ca="1">IFERROR(IF(0=LEN(ReferenceData!$AR$65),"",ReferenceData!$AR$65),"")</f>
        <v/>
      </c>
      <c r="AS65" t="str">
        <f ca="1">IFERROR(IF(0=LEN(ReferenceData!$AS$65),"",ReferenceData!$AS$65),"")</f>
        <v/>
      </c>
      <c r="AT65" t="str">
        <f ca="1">IFERROR(IF(0=LEN(ReferenceData!$AT$65),"",ReferenceData!$AT$65),"")</f>
        <v/>
      </c>
      <c r="AU65" t="str">
        <f ca="1">IFERROR(IF(0=LEN(ReferenceData!$AU$65),"",ReferenceData!$AU$65),"")</f>
        <v/>
      </c>
      <c r="AV65" t="str">
        <f ca="1">IFERROR(IF(0=LEN(ReferenceData!$AV$65),"",ReferenceData!$AV$65),"")</f>
        <v/>
      </c>
      <c r="AW65" t="str">
        <f ca="1">IFERROR(IF(0=LEN(ReferenceData!$AW$65),"",ReferenceData!$AW$65),"")</f>
        <v/>
      </c>
      <c r="AX65" t="str">
        <f ca="1">IFERROR(IF(0=LEN(ReferenceData!$AX$65),"",ReferenceData!$AX$65),"")</f>
        <v/>
      </c>
      <c r="AY65" t="str">
        <f ca="1">IFERROR(IF(0=LEN(ReferenceData!$AY$65),"",ReferenceData!$AY$65),"")</f>
        <v/>
      </c>
      <c r="AZ65" t="str">
        <f ca="1">IFERROR(IF(0=LEN(ReferenceData!$AZ$65),"",ReferenceData!$AZ$65),"")</f>
        <v/>
      </c>
      <c r="BA65" t="str">
        <f ca="1">IFERROR(IF(0=LEN(ReferenceData!$BA$65),"",ReferenceData!$BA$65),"")</f>
        <v/>
      </c>
      <c r="BB65" t="str">
        <f ca="1">IFERROR(IF(0=LEN(ReferenceData!$BB$65),"",ReferenceData!$BB$65),"")</f>
        <v/>
      </c>
      <c r="BC65" t="str">
        <f ca="1">IFERROR(IF(0=LEN(ReferenceData!$BC$65),"",ReferenceData!$BC$65),"")</f>
        <v/>
      </c>
      <c r="BD65" t="str">
        <f ca="1">IFERROR(IF(0=LEN(ReferenceData!$BD$65),"",ReferenceData!$BD$65),"")</f>
        <v/>
      </c>
      <c r="BE65" t="str">
        <f ca="1">IFERROR(IF(0=LEN(ReferenceData!$BE$65),"",ReferenceData!$BE$65),"")</f>
        <v/>
      </c>
      <c r="BF65" t="str">
        <f ca="1">IFERROR(IF(0=LEN(ReferenceData!$BF$65),"",ReferenceData!$BF$65),"")</f>
        <v/>
      </c>
      <c r="BG65" t="str">
        <f ca="1">IFERROR(IF(0=LEN(ReferenceData!$BG$65),"",ReferenceData!$BG$65),"")</f>
        <v/>
      </c>
      <c r="BH65" t="str">
        <f ca="1">IFERROR(IF(0=LEN(ReferenceData!$BH$65),"",ReferenceData!$BH$65),"")</f>
        <v/>
      </c>
      <c r="BI65" t="str">
        <f ca="1">IFERROR(IF(0=LEN(ReferenceData!$BI$65),"",ReferenceData!$BI$65),"")</f>
        <v/>
      </c>
      <c r="BJ65" t="str">
        <f ca="1">IFERROR(IF(0=LEN(ReferenceData!$BJ$65),"",ReferenceData!$BJ$65),"")</f>
        <v/>
      </c>
      <c r="BK65" t="str">
        <f ca="1">IFERROR(IF(0=LEN(ReferenceData!$BK$65),"",ReferenceData!$BK$65),"")</f>
        <v/>
      </c>
      <c r="BL65" t="str">
        <f ca="1">IFERROR(IF(0=LEN(ReferenceData!$BL$65),"",ReferenceData!$BL$65),"")</f>
        <v/>
      </c>
      <c r="BM65" t="str">
        <f ca="1">IFERROR(IF(0=LEN(ReferenceData!$BM$65),"",ReferenceData!$BM$65),"")</f>
        <v/>
      </c>
    </row>
    <row r="66" spans="1:65" x14ac:dyDescent="0.25">
      <c r="A66" t="str">
        <f>IFERROR(IF(0=LEN(ReferenceData!$A$66),"",ReferenceData!$A$66),"")</f>
        <v xml:space="preserve">                    North America</v>
      </c>
      <c r="B66" t="str">
        <f>IFERROR(IF(0=LEN(ReferenceData!$B$66),"",ReferenceData!$B$66),"")</f>
        <v>KER FP Equity</v>
      </c>
      <c r="C66" t="str">
        <f>IFERROR(IF(0=LEN(ReferenceData!$C$66),"",ReferenceData!$C$66),"")</f>
        <v>BI047</v>
      </c>
      <c r="D66" t="str">
        <f>IFERROR(IF(0=LEN(ReferenceData!$D$66),"",ReferenceData!$D$66),"")</f>
        <v>BICS_SEGMENT_DATA</v>
      </c>
      <c r="E66" t="str">
        <f>IFERROR(IF(0=LEN(ReferenceData!$E$66),"",ReferenceData!$E$66),"")</f>
        <v>Dynamic</v>
      </c>
      <c r="F66" t="str">
        <f ca="1">IFERROR(IF(0=LEN(ReferenceData!$F$66),"",ReferenceData!$F$66),"")</f>
        <v/>
      </c>
      <c r="G66">
        <f ca="1">IFERROR(IF(0=LEN(ReferenceData!$G$66),"",ReferenceData!$G$66),"")</f>
        <v>31</v>
      </c>
      <c r="H66">
        <f ca="1">IFERROR(IF(0=LEN(ReferenceData!$H$66),"",ReferenceData!$H$66),"")</f>
        <v>204</v>
      </c>
      <c r="I66">
        <f ca="1">IFERROR(IF(0=LEN(ReferenceData!$I$66),"",ReferenceData!$I$66),"")</f>
        <v>46</v>
      </c>
      <c r="J66">
        <f ca="1">IFERROR(IF(0=LEN(ReferenceData!$J$66),"",ReferenceData!$J$66),"")</f>
        <v>0</v>
      </c>
      <c r="K66">
        <f ca="1">IFERROR(IF(0=LEN(ReferenceData!$K$66),"",ReferenceData!$K$66),"")</f>
        <v>44</v>
      </c>
      <c r="L66">
        <f ca="1">IFERROR(IF(0=LEN(ReferenceData!$L$66),"",ReferenceData!$L$66),"")</f>
        <v>-49</v>
      </c>
      <c r="M66">
        <f ca="1">IFERROR(IF(0=LEN(ReferenceData!$M$66),"",ReferenceData!$M$66),"")</f>
        <v>7</v>
      </c>
      <c r="N66">
        <f ca="1">IFERROR(IF(0=LEN(ReferenceData!$N$66),"",ReferenceData!$N$66),"")</f>
        <v>11</v>
      </c>
      <c r="O66">
        <f ca="1">IFERROR(IF(0=LEN(ReferenceData!$O$66),"",ReferenceData!$O$66),"")</f>
        <v>3</v>
      </c>
      <c r="P66">
        <f ca="1">IFERROR(IF(0=LEN(ReferenceData!$P$66),"",ReferenceData!$P$66),"")</f>
        <v>2</v>
      </c>
      <c r="Q66">
        <f ca="1">IFERROR(IF(0=LEN(ReferenceData!$Q$66),"",ReferenceData!$Q$66),"")</f>
        <v>7</v>
      </c>
      <c r="R66">
        <f ca="1">IFERROR(IF(0=LEN(ReferenceData!$R$66),"",ReferenceData!$R$66),"")</f>
        <v>26</v>
      </c>
      <c r="S66">
        <f ca="1">IFERROR(IF(0=LEN(ReferenceData!$S$66),"",ReferenceData!$S$66),"")</f>
        <v>36</v>
      </c>
      <c r="T66">
        <f ca="1">IFERROR(IF(0=LEN(ReferenceData!$T$66),"",ReferenceData!$T$66),"")</f>
        <v>45</v>
      </c>
      <c r="U66">
        <f ca="1">IFERROR(IF(0=LEN(ReferenceData!$U$66),"",ReferenceData!$U$66),"")</f>
        <v>54</v>
      </c>
      <c r="V66">
        <f ca="1">IFERROR(IF(0=LEN(ReferenceData!$V$66),"",ReferenceData!$V$66),"")</f>
        <v>43</v>
      </c>
      <c r="W66">
        <f ca="1">IFERROR(IF(0=LEN(ReferenceData!$W$66),"",ReferenceData!$W$66),"")</f>
        <v>33</v>
      </c>
      <c r="X66" t="str">
        <f ca="1">IFERROR(IF(0=LEN(ReferenceData!$X$66),"",ReferenceData!$X$66),"")</f>
        <v/>
      </c>
      <c r="Y66">
        <f ca="1">IFERROR(IF(0=LEN(ReferenceData!$Y$66),"",ReferenceData!$Y$66),"")</f>
        <v>30</v>
      </c>
      <c r="Z66">
        <f ca="1">IFERROR(IF(0=LEN(ReferenceData!$Z$66),"",ReferenceData!$Z$66),"")</f>
        <v>6</v>
      </c>
      <c r="AA66">
        <f ca="1">IFERROR(IF(0=LEN(ReferenceData!$AA$66),"",ReferenceData!$AA$66),"")</f>
        <v>17</v>
      </c>
      <c r="AB66">
        <f ca="1">IFERROR(IF(0=LEN(ReferenceData!$AB$66),"",ReferenceData!$AB$66),"")</f>
        <v>1</v>
      </c>
      <c r="AC66">
        <f ca="1">IFERROR(IF(0=LEN(ReferenceData!$AC$66),"",ReferenceData!$AC$66),"")</f>
        <v>-5</v>
      </c>
      <c r="AD66" t="str">
        <f ca="1">IFERROR(IF(0=LEN(ReferenceData!$AD$66),"",ReferenceData!$AD$66),"")</f>
        <v/>
      </c>
      <c r="AE66" t="str">
        <f ca="1">IFERROR(IF(0=LEN(ReferenceData!$AE$66),"",ReferenceData!$AE$66),"")</f>
        <v/>
      </c>
      <c r="AF66" t="str">
        <f ca="1">IFERROR(IF(0=LEN(ReferenceData!$AF$66),"",ReferenceData!$AF$66),"")</f>
        <v/>
      </c>
      <c r="AG66" t="str">
        <f ca="1">IFERROR(IF(0=LEN(ReferenceData!$AG$66),"",ReferenceData!$AG$66),"")</f>
        <v/>
      </c>
      <c r="AH66" t="str">
        <f ca="1">IFERROR(IF(0=LEN(ReferenceData!$AH$66),"",ReferenceData!$AH$66),"")</f>
        <v/>
      </c>
      <c r="AI66" t="str">
        <f ca="1">IFERROR(IF(0=LEN(ReferenceData!$AI$66),"",ReferenceData!$AI$66),"")</f>
        <v/>
      </c>
      <c r="AJ66" t="str">
        <f ca="1">IFERROR(IF(0=LEN(ReferenceData!$AJ$66),"",ReferenceData!$AJ$66),"")</f>
        <v/>
      </c>
      <c r="AK66" t="str">
        <f ca="1">IFERROR(IF(0=LEN(ReferenceData!$AK$66),"",ReferenceData!$AK$66),"")</f>
        <v/>
      </c>
      <c r="AL66" t="str">
        <f ca="1">IFERROR(IF(0=LEN(ReferenceData!$AL$66),"",ReferenceData!$AL$66),"")</f>
        <v/>
      </c>
      <c r="AM66" t="str">
        <f ca="1">IFERROR(IF(0=LEN(ReferenceData!$AM$66),"",ReferenceData!$AM$66),"")</f>
        <v/>
      </c>
      <c r="AN66" t="str">
        <f ca="1">IFERROR(IF(0=LEN(ReferenceData!$AN$66),"",ReferenceData!$AN$66),"")</f>
        <v/>
      </c>
      <c r="AO66" t="str">
        <f ca="1">IFERROR(IF(0=LEN(ReferenceData!$AO$66),"",ReferenceData!$AO$66),"")</f>
        <v/>
      </c>
      <c r="AP66" t="str">
        <f ca="1">IFERROR(IF(0=LEN(ReferenceData!$AP$66),"",ReferenceData!$AP$66),"")</f>
        <v/>
      </c>
      <c r="AQ66" t="str">
        <f ca="1">IFERROR(IF(0=LEN(ReferenceData!$AQ$66),"",ReferenceData!$AQ$66),"")</f>
        <v/>
      </c>
      <c r="AR66" t="str">
        <f ca="1">IFERROR(IF(0=LEN(ReferenceData!$AR$66),"",ReferenceData!$AR$66),"")</f>
        <v/>
      </c>
      <c r="AS66" t="str">
        <f ca="1">IFERROR(IF(0=LEN(ReferenceData!$AS$66),"",ReferenceData!$AS$66),"")</f>
        <v/>
      </c>
      <c r="AT66" t="str">
        <f ca="1">IFERROR(IF(0=LEN(ReferenceData!$AT$66),"",ReferenceData!$AT$66),"")</f>
        <v/>
      </c>
      <c r="AU66" t="str">
        <f ca="1">IFERROR(IF(0=LEN(ReferenceData!$AU$66),"",ReferenceData!$AU$66),"")</f>
        <v/>
      </c>
      <c r="AV66" t="str">
        <f ca="1">IFERROR(IF(0=LEN(ReferenceData!$AV$66),"",ReferenceData!$AV$66),"")</f>
        <v/>
      </c>
      <c r="AW66" t="str">
        <f ca="1">IFERROR(IF(0=LEN(ReferenceData!$AW$66),"",ReferenceData!$AW$66),"")</f>
        <v/>
      </c>
      <c r="AX66" t="str">
        <f ca="1">IFERROR(IF(0=LEN(ReferenceData!$AX$66),"",ReferenceData!$AX$66),"")</f>
        <v/>
      </c>
      <c r="AY66" t="str">
        <f ca="1">IFERROR(IF(0=LEN(ReferenceData!$AY$66),"",ReferenceData!$AY$66),"")</f>
        <v/>
      </c>
      <c r="AZ66" t="str">
        <f ca="1">IFERROR(IF(0=LEN(ReferenceData!$AZ$66),"",ReferenceData!$AZ$66),"")</f>
        <v/>
      </c>
      <c r="BA66" t="str">
        <f ca="1">IFERROR(IF(0=LEN(ReferenceData!$BA$66),"",ReferenceData!$BA$66),"")</f>
        <v/>
      </c>
      <c r="BB66" t="str">
        <f ca="1">IFERROR(IF(0=LEN(ReferenceData!$BB$66),"",ReferenceData!$BB$66),"")</f>
        <v/>
      </c>
      <c r="BC66" t="str">
        <f ca="1">IFERROR(IF(0=LEN(ReferenceData!$BC$66),"",ReferenceData!$BC$66),"")</f>
        <v/>
      </c>
      <c r="BD66" t="str">
        <f ca="1">IFERROR(IF(0=LEN(ReferenceData!$BD$66),"",ReferenceData!$BD$66),"")</f>
        <v/>
      </c>
      <c r="BE66" t="str">
        <f ca="1">IFERROR(IF(0=LEN(ReferenceData!$BE$66),"",ReferenceData!$BE$66),"")</f>
        <v/>
      </c>
      <c r="BF66" t="str">
        <f ca="1">IFERROR(IF(0=LEN(ReferenceData!$BF$66),"",ReferenceData!$BF$66),"")</f>
        <v/>
      </c>
      <c r="BG66" t="str">
        <f ca="1">IFERROR(IF(0=LEN(ReferenceData!$BG$66),"",ReferenceData!$BG$66),"")</f>
        <v/>
      </c>
      <c r="BH66" t="str">
        <f ca="1">IFERROR(IF(0=LEN(ReferenceData!$BH$66),"",ReferenceData!$BH$66),"")</f>
        <v/>
      </c>
      <c r="BI66" t="str">
        <f ca="1">IFERROR(IF(0=LEN(ReferenceData!$BI$66),"",ReferenceData!$BI$66),"")</f>
        <v/>
      </c>
      <c r="BJ66" t="str">
        <f ca="1">IFERROR(IF(0=LEN(ReferenceData!$BJ$66),"",ReferenceData!$BJ$66),"")</f>
        <v/>
      </c>
      <c r="BK66" t="str">
        <f ca="1">IFERROR(IF(0=LEN(ReferenceData!$BK$66),"",ReferenceData!$BK$66),"")</f>
        <v/>
      </c>
      <c r="BL66" t="str">
        <f ca="1">IFERROR(IF(0=LEN(ReferenceData!$BL$66),"",ReferenceData!$BL$66),"")</f>
        <v/>
      </c>
      <c r="BM66" t="str">
        <f ca="1">IFERROR(IF(0=LEN(ReferenceData!$BM$66),"",ReferenceData!$BM$66),"")</f>
        <v/>
      </c>
    </row>
    <row r="67" spans="1:65" x14ac:dyDescent="0.25">
      <c r="A67" t="str">
        <f>IFERROR(IF(0=LEN(ReferenceData!$A$67),"",ReferenceData!$A$67),"")</f>
        <v xml:space="preserve">                    Rest of World</v>
      </c>
      <c r="B67" t="str">
        <f>IFERROR(IF(0=LEN(ReferenceData!$B$67),"",ReferenceData!$B$67),"")</f>
        <v>KER FP Equity</v>
      </c>
      <c r="C67" t="str">
        <f>IFERROR(IF(0=LEN(ReferenceData!$C$67),"",ReferenceData!$C$67),"")</f>
        <v>BI047</v>
      </c>
      <c r="D67" t="str">
        <f>IFERROR(IF(0=LEN(ReferenceData!$D$67),"",ReferenceData!$D$67),"")</f>
        <v>BICS_SEGMENT_DATA</v>
      </c>
      <c r="E67" t="str">
        <f>IFERROR(IF(0=LEN(ReferenceData!$E$67),"",ReferenceData!$E$67),"")</f>
        <v>Dynamic</v>
      </c>
      <c r="F67" t="str">
        <f ca="1">IFERROR(IF(0=LEN(ReferenceData!$F$67),"",ReferenceData!$F$67),"")</f>
        <v/>
      </c>
      <c r="G67">
        <f ca="1">IFERROR(IF(0=LEN(ReferenceData!$G$67),"",ReferenceData!$G$67),"")</f>
        <v>24</v>
      </c>
      <c r="H67">
        <f ca="1">IFERROR(IF(0=LEN(ReferenceData!$H$67),"",ReferenceData!$H$67),"")</f>
        <v>142</v>
      </c>
      <c r="I67">
        <f ca="1">IFERROR(IF(0=LEN(ReferenceData!$I$67),"",ReferenceData!$I$67),"")</f>
        <v>24</v>
      </c>
      <c r="J67">
        <f ca="1">IFERROR(IF(0=LEN(ReferenceData!$J$67),"",ReferenceData!$J$67),"")</f>
        <v>-13</v>
      </c>
      <c r="K67">
        <f ca="1">IFERROR(IF(0=LEN(ReferenceData!$K$67),"",ReferenceData!$K$67),"")</f>
        <v>20</v>
      </c>
      <c r="L67">
        <f ca="1">IFERROR(IF(0=LEN(ReferenceData!$L$67),"",ReferenceData!$L$67),"")</f>
        <v>-70</v>
      </c>
      <c r="M67">
        <f ca="1">IFERROR(IF(0=LEN(ReferenceData!$M$67),"",ReferenceData!$M$67),"")</f>
        <v>9</v>
      </c>
      <c r="N67">
        <f ca="1">IFERROR(IF(0=LEN(ReferenceData!$N$67),"",ReferenceData!$N$67),"")</f>
        <v>22</v>
      </c>
      <c r="O67">
        <f ca="1">IFERROR(IF(0=LEN(ReferenceData!$O$67),"",ReferenceData!$O$67),"")</f>
        <v>12</v>
      </c>
      <c r="P67">
        <f ca="1">IFERROR(IF(0=LEN(ReferenceData!$P$67),"",ReferenceData!$P$67),"")</f>
        <v>7</v>
      </c>
      <c r="Q67">
        <f ca="1">IFERROR(IF(0=LEN(ReferenceData!$Q$67),"",ReferenceData!$Q$67),"")</f>
        <v>14</v>
      </c>
      <c r="R67">
        <f ca="1">IFERROR(IF(0=LEN(ReferenceData!$R$67),"",ReferenceData!$R$67),"")</f>
        <v>11</v>
      </c>
      <c r="S67">
        <f ca="1">IFERROR(IF(0=LEN(ReferenceData!$S$67),"",ReferenceData!$S$67),"")</f>
        <v>24</v>
      </c>
      <c r="T67">
        <f ca="1">IFERROR(IF(0=LEN(ReferenceData!$T$67),"",ReferenceData!$T$67),"")</f>
        <v>32</v>
      </c>
      <c r="U67">
        <f ca="1">IFERROR(IF(0=LEN(ReferenceData!$U$67),"",ReferenceData!$U$67),"")</f>
        <v>48</v>
      </c>
      <c r="V67">
        <f ca="1">IFERROR(IF(0=LEN(ReferenceData!$V$67),"",ReferenceData!$V$67),"")</f>
        <v>57</v>
      </c>
      <c r="W67">
        <f ca="1">IFERROR(IF(0=LEN(ReferenceData!$W$67),"",ReferenceData!$W$67),"")</f>
        <v>48</v>
      </c>
      <c r="X67" t="str">
        <f ca="1">IFERROR(IF(0=LEN(ReferenceData!$X$67),"",ReferenceData!$X$67),"")</f>
        <v/>
      </c>
      <c r="Y67">
        <f ca="1">IFERROR(IF(0=LEN(ReferenceData!$Y$67),"",ReferenceData!$Y$67),"")</f>
        <v>28</v>
      </c>
      <c r="Z67">
        <f ca="1">IFERROR(IF(0=LEN(ReferenceData!$Z$67),"",ReferenceData!$Z$67),"")</f>
        <v>25</v>
      </c>
      <c r="AA67">
        <f ca="1">IFERROR(IF(0=LEN(ReferenceData!$AA$67),"",ReferenceData!$AA$67),"")</f>
        <v>25</v>
      </c>
      <c r="AB67">
        <f ca="1">IFERROR(IF(0=LEN(ReferenceData!$AB$67),"",ReferenceData!$AB$67),"")</f>
        <v>30</v>
      </c>
      <c r="AC67">
        <f ca="1">IFERROR(IF(0=LEN(ReferenceData!$AC$67),"",ReferenceData!$AC$67),"")</f>
        <v>21</v>
      </c>
      <c r="AD67" t="str">
        <f ca="1">IFERROR(IF(0=LEN(ReferenceData!$AD$67),"",ReferenceData!$AD$67),"")</f>
        <v/>
      </c>
      <c r="AE67" t="str">
        <f ca="1">IFERROR(IF(0=LEN(ReferenceData!$AE$67),"",ReferenceData!$AE$67),"")</f>
        <v/>
      </c>
      <c r="AF67" t="str">
        <f ca="1">IFERROR(IF(0=LEN(ReferenceData!$AF$67),"",ReferenceData!$AF$67),"")</f>
        <v/>
      </c>
      <c r="AG67" t="str">
        <f ca="1">IFERROR(IF(0=LEN(ReferenceData!$AG$67),"",ReferenceData!$AG$67),"")</f>
        <v/>
      </c>
      <c r="AH67" t="str">
        <f ca="1">IFERROR(IF(0=LEN(ReferenceData!$AH$67),"",ReferenceData!$AH$67),"")</f>
        <v/>
      </c>
      <c r="AI67" t="str">
        <f ca="1">IFERROR(IF(0=LEN(ReferenceData!$AI$67),"",ReferenceData!$AI$67),"")</f>
        <v/>
      </c>
      <c r="AJ67" t="str">
        <f ca="1">IFERROR(IF(0=LEN(ReferenceData!$AJ$67),"",ReferenceData!$AJ$67),"")</f>
        <v/>
      </c>
      <c r="AK67" t="str">
        <f ca="1">IFERROR(IF(0=LEN(ReferenceData!$AK$67),"",ReferenceData!$AK$67),"")</f>
        <v/>
      </c>
      <c r="AL67" t="str">
        <f ca="1">IFERROR(IF(0=LEN(ReferenceData!$AL$67),"",ReferenceData!$AL$67),"")</f>
        <v/>
      </c>
      <c r="AM67" t="str">
        <f ca="1">IFERROR(IF(0=LEN(ReferenceData!$AM$67),"",ReferenceData!$AM$67),"")</f>
        <v/>
      </c>
      <c r="AN67" t="str">
        <f ca="1">IFERROR(IF(0=LEN(ReferenceData!$AN$67),"",ReferenceData!$AN$67),"")</f>
        <v/>
      </c>
      <c r="AO67" t="str">
        <f ca="1">IFERROR(IF(0=LEN(ReferenceData!$AO$67),"",ReferenceData!$AO$67),"")</f>
        <v/>
      </c>
      <c r="AP67" t="str">
        <f ca="1">IFERROR(IF(0=LEN(ReferenceData!$AP$67),"",ReferenceData!$AP$67),"")</f>
        <v/>
      </c>
      <c r="AQ67" t="str">
        <f ca="1">IFERROR(IF(0=LEN(ReferenceData!$AQ$67),"",ReferenceData!$AQ$67),"")</f>
        <v/>
      </c>
      <c r="AR67" t="str">
        <f ca="1">IFERROR(IF(0=LEN(ReferenceData!$AR$67),"",ReferenceData!$AR$67),"")</f>
        <v/>
      </c>
      <c r="AS67" t="str">
        <f ca="1">IFERROR(IF(0=LEN(ReferenceData!$AS$67),"",ReferenceData!$AS$67),"")</f>
        <v/>
      </c>
      <c r="AT67" t="str">
        <f ca="1">IFERROR(IF(0=LEN(ReferenceData!$AT$67),"",ReferenceData!$AT$67),"")</f>
        <v/>
      </c>
      <c r="AU67" t="str">
        <f ca="1">IFERROR(IF(0=LEN(ReferenceData!$AU$67),"",ReferenceData!$AU$67),"")</f>
        <v/>
      </c>
      <c r="AV67" t="str">
        <f ca="1">IFERROR(IF(0=LEN(ReferenceData!$AV$67),"",ReferenceData!$AV$67),"")</f>
        <v/>
      </c>
      <c r="AW67" t="str">
        <f ca="1">IFERROR(IF(0=LEN(ReferenceData!$AW$67),"",ReferenceData!$AW$67),"")</f>
        <v/>
      </c>
      <c r="AX67" t="str">
        <f ca="1">IFERROR(IF(0=LEN(ReferenceData!$AX$67),"",ReferenceData!$AX$67),"")</f>
        <v/>
      </c>
      <c r="AY67" t="str">
        <f ca="1">IFERROR(IF(0=LEN(ReferenceData!$AY$67),"",ReferenceData!$AY$67),"")</f>
        <v/>
      </c>
      <c r="AZ67" t="str">
        <f ca="1">IFERROR(IF(0=LEN(ReferenceData!$AZ$67),"",ReferenceData!$AZ$67),"")</f>
        <v/>
      </c>
      <c r="BA67" t="str">
        <f ca="1">IFERROR(IF(0=LEN(ReferenceData!$BA$67),"",ReferenceData!$BA$67),"")</f>
        <v/>
      </c>
      <c r="BB67" t="str">
        <f ca="1">IFERROR(IF(0=LEN(ReferenceData!$BB$67),"",ReferenceData!$BB$67),"")</f>
        <v/>
      </c>
      <c r="BC67" t="str">
        <f ca="1">IFERROR(IF(0=LEN(ReferenceData!$BC$67),"",ReferenceData!$BC$67),"")</f>
        <v/>
      </c>
      <c r="BD67" t="str">
        <f ca="1">IFERROR(IF(0=LEN(ReferenceData!$BD$67),"",ReferenceData!$BD$67),"")</f>
        <v/>
      </c>
      <c r="BE67" t="str">
        <f ca="1">IFERROR(IF(0=LEN(ReferenceData!$BE$67),"",ReferenceData!$BE$67),"")</f>
        <v/>
      </c>
      <c r="BF67" t="str">
        <f ca="1">IFERROR(IF(0=LEN(ReferenceData!$BF$67),"",ReferenceData!$BF$67),"")</f>
        <v/>
      </c>
      <c r="BG67" t="str">
        <f ca="1">IFERROR(IF(0=LEN(ReferenceData!$BG$67),"",ReferenceData!$BG$67),"")</f>
        <v/>
      </c>
      <c r="BH67" t="str">
        <f ca="1">IFERROR(IF(0=LEN(ReferenceData!$BH$67),"",ReferenceData!$BH$67),"")</f>
        <v/>
      </c>
      <c r="BI67" t="str">
        <f ca="1">IFERROR(IF(0=LEN(ReferenceData!$BI$67),"",ReferenceData!$BI$67),"")</f>
        <v/>
      </c>
      <c r="BJ67" t="str">
        <f ca="1">IFERROR(IF(0=LEN(ReferenceData!$BJ$67),"",ReferenceData!$BJ$67),"")</f>
        <v/>
      </c>
      <c r="BK67" t="str">
        <f ca="1">IFERROR(IF(0=LEN(ReferenceData!$BK$67),"",ReferenceData!$BK$67),"")</f>
        <v/>
      </c>
      <c r="BL67" t="str">
        <f ca="1">IFERROR(IF(0=LEN(ReferenceData!$BL$67),"",ReferenceData!$BL$67),"")</f>
        <v/>
      </c>
      <c r="BM67" t="str">
        <f ca="1">IFERROR(IF(0=LEN(ReferenceData!$BM$67),"",ReferenceData!$BM$67),"")</f>
        <v/>
      </c>
    </row>
    <row r="68" spans="1:65" x14ac:dyDescent="0.25">
      <c r="A68" t="str">
        <f>IFERROR(IF(0=LEN(ReferenceData!$A$68),"",ReferenceData!$A$68),"")</f>
        <v xml:space="preserve">            Brand Breakdown</v>
      </c>
      <c r="B68" t="str">
        <f>IFERROR(IF(0=LEN(ReferenceData!$B$68),"",ReferenceData!$B$68),"")</f>
        <v/>
      </c>
      <c r="C68" t="str">
        <f>IFERROR(IF(0=LEN(ReferenceData!$C$68),"",ReferenceData!$C$68),"")</f>
        <v/>
      </c>
      <c r="D68" t="str">
        <f>IFERROR(IF(0=LEN(ReferenceData!$D$68),"",ReferenceData!$D$68),"")</f>
        <v/>
      </c>
      <c r="E68" t="str">
        <f>IFERROR(IF(0=LEN(ReferenceData!$E$68),"",ReferenceData!$E$68),"")</f>
        <v>Static</v>
      </c>
      <c r="F68" t="str">
        <f ca="1">IFERROR(IF(0=LEN(ReferenceData!$F$68),"",ReferenceData!$F$68),"")</f>
        <v/>
      </c>
      <c r="G68" t="str">
        <f ca="1">IFERROR(IF(0=LEN(ReferenceData!$G$68),"",ReferenceData!$G$68),"")</f>
        <v/>
      </c>
      <c r="H68" t="str">
        <f ca="1">IFERROR(IF(0=LEN(ReferenceData!$H$68),"",ReferenceData!$H$68),"")</f>
        <v/>
      </c>
      <c r="I68" t="str">
        <f ca="1">IFERROR(IF(0=LEN(ReferenceData!$I$68),"",ReferenceData!$I$68),"")</f>
        <v/>
      </c>
      <c r="J68" t="str">
        <f ca="1">IFERROR(IF(0=LEN(ReferenceData!$J$68),"",ReferenceData!$J$68),"")</f>
        <v/>
      </c>
      <c r="K68" t="str">
        <f ca="1">IFERROR(IF(0=LEN(ReferenceData!$K$68),"",ReferenceData!$K$68),"")</f>
        <v/>
      </c>
      <c r="L68" t="str">
        <f ca="1">IFERROR(IF(0=LEN(ReferenceData!$L$68),"",ReferenceData!$L$68),"")</f>
        <v/>
      </c>
      <c r="M68" t="str">
        <f ca="1">IFERROR(IF(0=LEN(ReferenceData!$M$68),"",ReferenceData!$M$68),"")</f>
        <v/>
      </c>
      <c r="N68" t="str">
        <f ca="1">IFERROR(IF(0=LEN(ReferenceData!$N$68),"",ReferenceData!$N$68),"")</f>
        <v/>
      </c>
      <c r="O68" t="str">
        <f ca="1">IFERROR(IF(0=LEN(ReferenceData!$O$68),"",ReferenceData!$O$68),"")</f>
        <v/>
      </c>
      <c r="P68" t="str">
        <f ca="1">IFERROR(IF(0=LEN(ReferenceData!$P$68),"",ReferenceData!$P$68),"")</f>
        <v/>
      </c>
      <c r="Q68" t="str">
        <f ca="1">IFERROR(IF(0=LEN(ReferenceData!$Q$68),"",ReferenceData!$Q$68),"")</f>
        <v/>
      </c>
      <c r="R68" t="str">
        <f ca="1">IFERROR(IF(0=LEN(ReferenceData!$R$68),"",ReferenceData!$R$68),"")</f>
        <v/>
      </c>
      <c r="S68" t="str">
        <f ca="1">IFERROR(IF(0=LEN(ReferenceData!$S$68),"",ReferenceData!$S$68),"")</f>
        <v/>
      </c>
      <c r="T68" t="str">
        <f ca="1">IFERROR(IF(0=LEN(ReferenceData!$T$68),"",ReferenceData!$T$68),"")</f>
        <v/>
      </c>
      <c r="U68" t="str">
        <f ca="1">IFERROR(IF(0=LEN(ReferenceData!$U$68),"",ReferenceData!$U$68),"")</f>
        <v/>
      </c>
      <c r="V68" t="str">
        <f ca="1">IFERROR(IF(0=LEN(ReferenceData!$V$68),"",ReferenceData!$V$68),"")</f>
        <v/>
      </c>
      <c r="W68" t="str">
        <f ca="1">IFERROR(IF(0=LEN(ReferenceData!$W$68),"",ReferenceData!$W$68),"")</f>
        <v/>
      </c>
      <c r="X68" t="str">
        <f ca="1">IFERROR(IF(0=LEN(ReferenceData!$X$68),"",ReferenceData!$X$68),"")</f>
        <v/>
      </c>
      <c r="Y68" t="str">
        <f ca="1">IFERROR(IF(0=LEN(ReferenceData!$Y$68),"",ReferenceData!$Y$68),"")</f>
        <v/>
      </c>
      <c r="Z68" t="str">
        <f ca="1">IFERROR(IF(0=LEN(ReferenceData!$Z$68),"",ReferenceData!$Z$68),"")</f>
        <v/>
      </c>
      <c r="AA68" t="str">
        <f ca="1">IFERROR(IF(0=LEN(ReferenceData!$AA$68),"",ReferenceData!$AA$68),"")</f>
        <v/>
      </c>
      <c r="AB68" t="str">
        <f ca="1">IFERROR(IF(0=LEN(ReferenceData!$AB$68),"",ReferenceData!$AB$68),"")</f>
        <v/>
      </c>
      <c r="AC68" t="str">
        <f ca="1">IFERROR(IF(0=LEN(ReferenceData!$AC$68),"",ReferenceData!$AC$68),"")</f>
        <v/>
      </c>
      <c r="AD68" t="str">
        <f ca="1">IFERROR(IF(0=LEN(ReferenceData!$AD$68),"",ReferenceData!$AD$68),"")</f>
        <v/>
      </c>
      <c r="AE68" t="str">
        <f ca="1">IFERROR(IF(0=LEN(ReferenceData!$AE$68),"",ReferenceData!$AE$68),"")</f>
        <v/>
      </c>
      <c r="AF68" t="str">
        <f ca="1">IFERROR(IF(0=LEN(ReferenceData!$AF$68),"",ReferenceData!$AF$68),"")</f>
        <v/>
      </c>
      <c r="AG68" t="str">
        <f ca="1">IFERROR(IF(0=LEN(ReferenceData!$AG$68),"",ReferenceData!$AG$68),"")</f>
        <v/>
      </c>
      <c r="AH68" t="str">
        <f ca="1">IFERROR(IF(0=LEN(ReferenceData!$AH$68),"",ReferenceData!$AH$68),"")</f>
        <v/>
      </c>
      <c r="AI68" t="str">
        <f ca="1">IFERROR(IF(0=LEN(ReferenceData!$AI$68),"",ReferenceData!$AI$68),"")</f>
        <v/>
      </c>
      <c r="AJ68" t="str">
        <f ca="1">IFERROR(IF(0=LEN(ReferenceData!$AJ$68),"",ReferenceData!$AJ$68),"")</f>
        <v/>
      </c>
      <c r="AK68" t="str">
        <f ca="1">IFERROR(IF(0=LEN(ReferenceData!$AK$68),"",ReferenceData!$AK$68),"")</f>
        <v/>
      </c>
      <c r="AL68" t="str">
        <f ca="1">IFERROR(IF(0=LEN(ReferenceData!$AL$68),"",ReferenceData!$AL$68),"")</f>
        <v/>
      </c>
      <c r="AM68" t="str">
        <f ca="1">IFERROR(IF(0=LEN(ReferenceData!$AM$68),"",ReferenceData!$AM$68),"")</f>
        <v/>
      </c>
      <c r="AN68" t="str">
        <f ca="1">IFERROR(IF(0=LEN(ReferenceData!$AN$68),"",ReferenceData!$AN$68),"")</f>
        <v/>
      </c>
      <c r="AO68" t="str">
        <f ca="1">IFERROR(IF(0=LEN(ReferenceData!$AO$68),"",ReferenceData!$AO$68),"")</f>
        <v/>
      </c>
      <c r="AP68" t="str">
        <f ca="1">IFERROR(IF(0=LEN(ReferenceData!$AP$68),"",ReferenceData!$AP$68),"")</f>
        <v/>
      </c>
      <c r="AQ68" t="str">
        <f ca="1">IFERROR(IF(0=LEN(ReferenceData!$AQ$68),"",ReferenceData!$AQ$68),"")</f>
        <v/>
      </c>
      <c r="AR68" t="str">
        <f ca="1">IFERROR(IF(0=LEN(ReferenceData!$AR$68),"",ReferenceData!$AR$68),"")</f>
        <v/>
      </c>
      <c r="AS68" t="str">
        <f ca="1">IFERROR(IF(0=LEN(ReferenceData!$AS$68),"",ReferenceData!$AS$68),"")</f>
        <v/>
      </c>
      <c r="AT68" t="str">
        <f ca="1">IFERROR(IF(0=LEN(ReferenceData!$AT$68),"",ReferenceData!$AT$68),"")</f>
        <v/>
      </c>
      <c r="AU68" t="str">
        <f ca="1">IFERROR(IF(0=LEN(ReferenceData!$AU$68),"",ReferenceData!$AU$68),"")</f>
        <v/>
      </c>
      <c r="AV68" t="str">
        <f ca="1">IFERROR(IF(0=LEN(ReferenceData!$AV$68),"",ReferenceData!$AV$68),"")</f>
        <v/>
      </c>
      <c r="AW68" t="str">
        <f ca="1">IFERROR(IF(0=LEN(ReferenceData!$AW$68),"",ReferenceData!$AW$68),"")</f>
        <v/>
      </c>
      <c r="AX68" t="str">
        <f ca="1">IFERROR(IF(0=LEN(ReferenceData!$AX$68),"",ReferenceData!$AX$68),"")</f>
        <v/>
      </c>
      <c r="AY68" t="str">
        <f ca="1">IFERROR(IF(0=LEN(ReferenceData!$AY$68),"",ReferenceData!$AY$68),"")</f>
        <v/>
      </c>
      <c r="AZ68" t="str">
        <f ca="1">IFERROR(IF(0=LEN(ReferenceData!$AZ$68),"",ReferenceData!$AZ$68),"")</f>
        <v/>
      </c>
      <c r="BA68" t="str">
        <f ca="1">IFERROR(IF(0=LEN(ReferenceData!$BA$68),"",ReferenceData!$BA$68),"")</f>
        <v/>
      </c>
      <c r="BB68" t="str">
        <f ca="1">IFERROR(IF(0=LEN(ReferenceData!$BB$68),"",ReferenceData!$BB$68),"")</f>
        <v/>
      </c>
      <c r="BC68" t="str">
        <f ca="1">IFERROR(IF(0=LEN(ReferenceData!$BC$68),"",ReferenceData!$BC$68),"")</f>
        <v/>
      </c>
      <c r="BD68" t="str">
        <f ca="1">IFERROR(IF(0=LEN(ReferenceData!$BD$68),"",ReferenceData!$BD$68),"")</f>
        <v/>
      </c>
      <c r="BE68" t="str">
        <f ca="1">IFERROR(IF(0=LEN(ReferenceData!$BE$68),"",ReferenceData!$BE$68),"")</f>
        <v/>
      </c>
      <c r="BF68" t="str">
        <f ca="1">IFERROR(IF(0=LEN(ReferenceData!$BF$68),"",ReferenceData!$BF$68),"")</f>
        <v/>
      </c>
      <c r="BG68" t="str">
        <f ca="1">IFERROR(IF(0=LEN(ReferenceData!$BG$68),"",ReferenceData!$BG$68),"")</f>
        <v/>
      </c>
      <c r="BH68" t="str">
        <f ca="1">IFERROR(IF(0=LEN(ReferenceData!$BH$68),"",ReferenceData!$BH$68),"")</f>
        <v/>
      </c>
      <c r="BI68" t="str">
        <f ca="1">IFERROR(IF(0=LEN(ReferenceData!$BI$68),"",ReferenceData!$BI$68),"")</f>
        <v/>
      </c>
      <c r="BJ68" t="str">
        <f ca="1">IFERROR(IF(0=LEN(ReferenceData!$BJ$68),"",ReferenceData!$BJ$68),"")</f>
        <v/>
      </c>
      <c r="BK68" t="str">
        <f ca="1">IFERROR(IF(0=LEN(ReferenceData!$BK$68),"",ReferenceData!$BK$68),"")</f>
        <v/>
      </c>
      <c r="BL68" t="str">
        <f ca="1">IFERROR(IF(0=LEN(ReferenceData!$BL$68),"",ReferenceData!$BL$68),"")</f>
        <v/>
      </c>
      <c r="BM68" t="str">
        <f ca="1">IFERROR(IF(0=LEN(ReferenceData!$BM$68),"",ReferenceData!$BM$68),"")</f>
        <v/>
      </c>
    </row>
    <row r="69" spans="1:65" x14ac:dyDescent="0.25">
      <c r="A69" t="str">
        <f>IFERROR(IF(0=LEN(ReferenceData!$A$69),"",ReferenceData!$A$69),"")</f>
        <v xml:space="preserve">                Gucci</v>
      </c>
      <c r="B69" t="str">
        <f>IFERROR(IF(0=LEN(ReferenceData!$B$69),"",ReferenceData!$B$69),"")</f>
        <v>KER FP Equity</v>
      </c>
      <c r="C69" t="str">
        <f>IFERROR(IF(0=LEN(ReferenceData!$C$69),"",ReferenceData!$C$69),"")</f>
        <v>BI047</v>
      </c>
      <c r="D69" t="str">
        <f>IFERROR(IF(0=LEN(ReferenceData!$D$69),"",ReferenceData!$D$69),"")</f>
        <v>BICS_SEGMENT_DATA</v>
      </c>
      <c r="E69" t="str">
        <f>IFERROR(IF(0=LEN(ReferenceData!$E$69),"",ReferenceData!$E$69),"")</f>
        <v>Dynamic</v>
      </c>
      <c r="F69" t="str">
        <f ca="1">IFERROR(IF(0=LEN(ReferenceData!$F$69),"",ReferenceData!$F$69),"")</f>
        <v/>
      </c>
      <c r="G69">
        <f ca="1">IFERROR(IF(0=LEN(ReferenceData!$G$69),"",ReferenceData!$G$69),"")</f>
        <v>3.8</v>
      </c>
      <c r="H69">
        <f ca="1">IFERROR(IF(0=LEN(ReferenceData!$H$69),"",ReferenceData!$H$69),"")</f>
        <v>86.1</v>
      </c>
      <c r="I69">
        <f ca="1">IFERROR(IF(0=LEN(ReferenceData!$I$69),"",ReferenceData!$I$69),"")</f>
        <v>24.6</v>
      </c>
      <c r="J69">
        <f ca="1">IFERROR(IF(0=LEN(ReferenceData!$J$69),"",ReferenceData!$J$69),"")</f>
        <v>-10.3</v>
      </c>
      <c r="K69">
        <f ca="1">IFERROR(IF(0=LEN(ReferenceData!$K$69),"",ReferenceData!$K$69),"")</f>
        <v>-8.9</v>
      </c>
      <c r="L69">
        <f ca="1">IFERROR(IF(0=LEN(ReferenceData!$L$69),"",ReferenceData!$L$69),"")</f>
        <v>-44.7</v>
      </c>
      <c r="M69">
        <f ca="1">IFERROR(IF(0=LEN(ReferenceData!$M$69),"",ReferenceData!$M$69),"")</f>
        <v>-23.2</v>
      </c>
      <c r="N69">
        <f ca="1">IFERROR(IF(0=LEN(ReferenceData!$N$69),"",ReferenceData!$N$69),"")</f>
        <v>10.5</v>
      </c>
      <c r="O69">
        <f ca="1">IFERROR(IF(0=LEN(ReferenceData!$O$69),"",ReferenceData!$O$69),"")</f>
        <v>10.7</v>
      </c>
      <c r="P69">
        <f ca="1">IFERROR(IF(0=LEN(ReferenceData!$P$69),"",ReferenceData!$P$69),"")</f>
        <v>12.7</v>
      </c>
      <c r="Q69">
        <f ca="1">IFERROR(IF(0=LEN(ReferenceData!$Q$69),"",ReferenceData!$Q$69),"")</f>
        <v>20</v>
      </c>
      <c r="R69">
        <f ca="1">IFERROR(IF(0=LEN(ReferenceData!$R$69),"",ReferenceData!$R$69),"")</f>
        <v>28.1</v>
      </c>
      <c r="S69">
        <f ca="1">IFERROR(IF(0=LEN(ReferenceData!$S$69),"",ReferenceData!$S$69),"")</f>
        <v>35.1</v>
      </c>
      <c r="T69">
        <f ca="1">IFERROR(IF(0=LEN(ReferenceData!$T$69),"",ReferenceData!$T$69),"")</f>
        <v>40.1</v>
      </c>
      <c r="U69">
        <f ca="1">IFERROR(IF(0=LEN(ReferenceData!$U$69),"",ReferenceData!$U$69),"")</f>
        <v>48.7</v>
      </c>
      <c r="V69">
        <f ca="1">IFERROR(IF(0=LEN(ReferenceData!$V$69),"",ReferenceData!$V$69),"")</f>
        <v>42.6</v>
      </c>
      <c r="W69">
        <f ca="1">IFERROR(IF(0=LEN(ReferenceData!$W$69),"",ReferenceData!$W$69),"")</f>
        <v>49.4</v>
      </c>
      <c r="X69">
        <f ca="1">IFERROR(IF(0=LEN(ReferenceData!$X$69),"",ReferenceData!$X$69),"")</f>
        <v>39.299999999999997</v>
      </c>
      <c r="Y69">
        <f ca="1">IFERROR(IF(0=LEN(ReferenceData!$Y$69),"",ReferenceData!$Y$69),"")</f>
        <v>48.3</v>
      </c>
      <c r="Z69">
        <f ca="1">IFERROR(IF(0=LEN(ReferenceData!$Z$69),"",ReferenceData!$Z$69),"")</f>
        <v>21.4</v>
      </c>
      <c r="AA69">
        <f ca="1">IFERROR(IF(0=LEN(ReferenceData!$AA$69),"",ReferenceData!$AA$69),"")</f>
        <v>17</v>
      </c>
      <c r="AB69">
        <f ca="1">IFERROR(IF(0=LEN(ReferenceData!$AB$69),"",ReferenceData!$AB$69),"")</f>
        <v>7.4</v>
      </c>
      <c r="AC69">
        <f ca="1">IFERROR(IF(0=LEN(ReferenceData!$AC$69),"",ReferenceData!$AC$69),"")</f>
        <v>3.1</v>
      </c>
      <c r="AD69">
        <f ca="1">IFERROR(IF(0=LEN(ReferenceData!$AD$69),"",ReferenceData!$AD$69),"")</f>
        <v>4.8</v>
      </c>
      <c r="AE69">
        <f ca="1">IFERROR(IF(0=LEN(ReferenceData!$AE$69),"",ReferenceData!$AE$69),"")</f>
        <v>-0.4</v>
      </c>
      <c r="AF69">
        <f ca="1">IFERROR(IF(0=LEN(ReferenceData!$AF$69),"",ReferenceData!$AF$69),"")</f>
        <v>4.5999999999999996</v>
      </c>
      <c r="AG69">
        <f ca="1">IFERROR(IF(0=LEN(ReferenceData!$AG$69),"",ReferenceData!$AG$69),"")</f>
        <v>-7.9</v>
      </c>
      <c r="AH69">
        <f ca="1">IFERROR(IF(0=LEN(ReferenceData!$AH$69),"",ReferenceData!$AH$69),"")</f>
        <v>-0.5</v>
      </c>
      <c r="AI69">
        <f ca="1">IFERROR(IF(0=LEN(ReferenceData!$AI$69),"",ReferenceData!$AI$69),"")</f>
        <v>-1.9</v>
      </c>
      <c r="AJ69">
        <f ca="1">IFERROR(IF(0=LEN(ReferenceData!$AJ$69),"",ReferenceData!$AJ$69),"")</f>
        <v>-2.4</v>
      </c>
      <c r="AK69">
        <f ca="1">IFERROR(IF(0=LEN(ReferenceData!$AK$69),"",ReferenceData!$AK$69),"")</f>
        <v>0.3</v>
      </c>
      <c r="AL69">
        <f ca="1">IFERROR(IF(0=LEN(ReferenceData!$AL$69),"",ReferenceData!$AL$69),"")</f>
        <v>0.2</v>
      </c>
      <c r="AM69">
        <f ca="1">IFERROR(IF(0=LEN(ReferenceData!$AM$69),"",ReferenceData!$AM$69),"")</f>
        <v>0.6</v>
      </c>
      <c r="AN69">
        <f ca="1">IFERROR(IF(0=LEN(ReferenceData!$AN$69),"",ReferenceData!$AN$69),"")</f>
        <v>4.0999999999999996</v>
      </c>
      <c r="AO69">
        <f ca="1">IFERROR(IF(0=LEN(ReferenceData!$AO$69),"",ReferenceData!$AO$69),"")</f>
        <v>4</v>
      </c>
      <c r="AP69" t="str">
        <f ca="1">IFERROR(IF(0=LEN(ReferenceData!$AP$69),"",ReferenceData!$AP$69),"")</f>
        <v/>
      </c>
      <c r="AQ69" t="str">
        <f ca="1">IFERROR(IF(0=LEN(ReferenceData!$AQ$69),"",ReferenceData!$AQ$69),"")</f>
        <v/>
      </c>
      <c r="AR69" t="str">
        <f ca="1">IFERROR(IF(0=LEN(ReferenceData!$AR$69),"",ReferenceData!$AR$69),"")</f>
        <v/>
      </c>
      <c r="AS69" t="str">
        <f ca="1">IFERROR(IF(0=LEN(ReferenceData!$AS$69),"",ReferenceData!$AS$69),"")</f>
        <v/>
      </c>
      <c r="AT69" t="str">
        <f ca="1">IFERROR(IF(0=LEN(ReferenceData!$AT$69),"",ReferenceData!$AT$69),"")</f>
        <v/>
      </c>
      <c r="AU69" t="str">
        <f ca="1">IFERROR(IF(0=LEN(ReferenceData!$AU$69),"",ReferenceData!$AU$69),"")</f>
        <v/>
      </c>
      <c r="AV69" t="str">
        <f ca="1">IFERROR(IF(0=LEN(ReferenceData!$AV$69),"",ReferenceData!$AV$69),"")</f>
        <v/>
      </c>
      <c r="AW69" t="str">
        <f ca="1">IFERROR(IF(0=LEN(ReferenceData!$AW$69),"",ReferenceData!$AW$69),"")</f>
        <v/>
      </c>
      <c r="AX69" t="str">
        <f ca="1">IFERROR(IF(0=LEN(ReferenceData!$AX$69),"",ReferenceData!$AX$69),"")</f>
        <v/>
      </c>
      <c r="AY69" t="str">
        <f ca="1">IFERROR(IF(0=LEN(ReferenceData!$AY$69),"",ReferenceData!$AY$69),"")</f>
        <v/>
      </c>
      <c r="AZ69" t="str">
        <f ca="1">IFERROR(IF(0=LEN(ReferenceData!$AZ$69),"",ReferenceData!$AZ$69),"")</f>
        <v/>
      </c>
      <c r="BA69" t="str">
        <f ca="1">IFERROR(IF(0=LEN(ReferenceData!$BA$69),"",ReferenceData!$BA$69),"")</f>
        <v/>
      </c>
      <c r="BB69" t="str">
        <f ca="1">IFERROR(IF(0=LEN(ReferenceData!$BB$69),"",ReferenceData!$BB$69),"")</f>
        <v/>
      </c>
      <c r="BC69" t="str">
        <f ca="1">IFERROR(IF(0=LEN(ReferenceData!$BC$69),"",ReferenceData!$BC$69),"")</f>
        <v/>
      </c>
      <c r="BD69" t="str">
        <f ca="1">IFERROR(IF(0=LEN(ReferenceData!$BD$69),"",ReferenceData!$BD$69),"")</f>
        <v/>
      </c>
      <c r="BE69" t="str">
        <f ca="1">IFERROR(IF(0=LEN(ReferenceData!$BE$69),"",ReferenceData!$BE$69),"")</f>
        <v/>
      </c>
      <c r="BF69" t="str">
        <f ca="1">IFERROR(IF(0=LEN(ReferenceData!$BF$69),"",ReferenceData!$BF$69),"")</f>
        <v/>
      </c>
      <c r="BG69" t="str">
        <f ca="1">IFERROR(IF(0=LEN(ReferenceData!$BG$69),"",ReferenceData!$BG$69),"")</f>
        <v/>
      </c>
      <c r="BH69" t="str">
        <f ca="1">IFERROR(IF(0=LEN(ReferenceData!$BH$69),"",ReferenceData!$BH$69),"")</f>
        <v/>
      </c>
      <c r="BI69" t="str">
        <f ca="1">IFERROR(IF(0=LEN(ReferenceData!$BI$69),"",ReferenceData!$BI$69),"")</f>
        <v/>
      </c>
      <c r="BJ69" t="str">
        <f ca="1">IFERROR(IF(0=LEN(ReferenceData!$BJ$69),"",ReferenceData!$BJ$69),"")</f>
        <v/>
      </c>
      <c r="BK69" t="str">
        <f ca="1">IFERROR(IF(0=LEN(ReferenceData!$BK$69),"",ReferenceData!$BK$69),"")</f>
        <v/>
      </c>
      <c r="BL69" t="str">
        <f ca="1">IFERROR(IF(0=LEN(ReferenceData!$BL$69),"",ReferenceData!$BL$69),"")</f>
        <v/>
      </c>
      <c r="BM69" t="str">
        <f ca="1">IFERROR(IF(0=LEN(ReferenceData!$BM$69),"",ReferenceData!$BM$69),"")</f>
        <v/>
      </c>
    </row>
    <row r="70" spans="1:65" x14ac:dyDescent="0.25">
      <c r="A70" t="str">
        <f>IFERROR(IF(0=LEN(ReferenceData!$A$70),"",ReferenceData!$A$70),"")</f>
        <v xml:space="preserve">                Saint Laurent</v>
      </c>
      <c r="B70" t="str">
        <f>IFERROR(IF(0=LEN(ReferenceData!$B$70),"",ReferenceData!$B$70),"")</f>
        <v>KER FP Equity</v>
      </c>
      <c r="C70" t="str">
        <f>IFERROR(IF(0=LEN(ReferenceData!$C$70),"",ReferenceData!$C$70),"")</f>
        <v>BI047</v>
      </c>
      <c r="D70" t="str">
        <f>IFERROR(IF(0=LEN(ReferenceData!$D$70),"",ReferenceData!$D$70),"")</f>
        <v>BICS_SEGMENT_DATA</v>
      </c>
      <c r="E70" t="str">
        <f>IFERROR(IF(0=LEN(ReferenceData!$E$70),"",ReferenceData!$E$70),"")</f>
        <v>Dynamic</v>
      </c>
      <c r="F70" t="str">
        <f ca="1">IFERROR(IF(0=LEN(ReferenceData!$F$70),"",ReferenceData!$F$70),"")</f>
        <v/>
      </c>
      <c r="G70">
        <f ca="1">IFERROR(IF(0=LEN(ReferenceData!$G$70),"",ReferenceData!$G$70),"")</f>
        <v>28.1</v>
      </c>
      <c r="H70">
        <f ca="1">IFERROR(IF(0=LEN(ReferenceData!$H$70),"",ReferenceData!$H$70),"")</f>
        <v>118.5</v>
      </c>
      <c r="I70">
        <f ca="1">IFERROR(IF(0=LEN(ReferenceData!$I$70),"",ReferenceData!$I$70),"")</f>
        <v>23.4</v>
      </c>
      <c r="J70">
        <f ca="1">IFERROR(IF(0=LEN(ReferenceData!$J$70),"",ReferenceData!$J$70),"")</f>
        <v>0.5</v>
      </c>
      <c r="K70">
        <f ca="1">IFERROR(IF(0=LEN(ReferenceData!$K$70),"",ReferenceData!$K$70),"")</f>
        <v>3.9</v>
      </c>
      <c r="L70">
        <f ca="1">IFERROR(IF(0=LEN(ReferenceData!$L$70),"",ReferenceData!$L$70),"")</f>
        <v>-48.4</v>
      </c>
      <c r="M70">
        <f ca="1">IFERROR(IF(0=LEN(ReferenceData!$M$70),"",ReferenceData!$M$70),"")</f>
        <v>-13.8</v>
      </c>
      <c r="N70">
        <f ca="1">IFERROR(IF(0=LEN(ReferenceData!$N$70),"",ReferenceData!$N$70),"")</f>
        <v>14</v>
      </c>
      <c r="O70">
        <f ca="1">IFERROR(IF(0=LEN(ReferenceData!$O$70),"",ReferenceData!$O$70),"")</f>
        <v>10.8</v>
      </c>
      <c r="P70">
        <f ca="1">IFERROR(IF(0=LEN(ReferenceData!$P$70),"",ReferenceData!$P$70),"")</f>
        <v>15.8</v>
      </c>
      <c r="Q70">
        <f ca="1">IFERROR(IF(0=LEN(ReferenceData!$Q$70),"",ReferenceData!$Q$70),"")</f>
        <v>17.5</v>
      </c>
      <c r="R70">
        <f ca="1">IFERROR(IF(0=LEN(ReferenceData!$R$70),"",ReferenceData!$R$70),"")</f>
        <v>19.399999999999999</v>
      </c>
      <c r="S70">
        <f ca="1">IFERROR(IF(0=LEN(ReferenceData!$S$70),"",ReferenceData!$S$70),"")</f>
        <v>16.100000000000001</v>
      </c>
      <c r="T70">
        <f ca="1">IFERROR(IF(0=LEN(ReferenceData!$T$70),"",ReferenceData!$T$70),"")</f>
        <v>19.8</v>
      </c>
      <c r="U70">
        <f ca="1">IFERROR(IF(0=LEN(ReferenceData!$U$70),"",ReferenceData!$U$70),"")</f>
        <v>19.600000000000001</v>
      </c>
      <c r="V70">
        <f ca="1">IFERROR(IF(0=LEN(ReferenceData!$V$70),"",ReferenceData!$V$70),"")</f>
        <v>22.9</v>
      </c>
      <c r="W70">
        <f ca="1">IFERROR(IF(0=LEN(ReferenceData!$W$70),"",ReferenceData!$W$70),"")</f>
        <v>22.2</v>
      </c>
      <c r="X70">
        <f ca="1">IFERROR(IF(0=LEN(ReferenceData!$X$70),"",ReferenceData!$X$70),"")</f>
        <v>23.7</v>
      </c>
      <c r="Y70">
        <f ca="1">IFERROR(IF(0=LEN(ReferenceData!$Y$70),"",ReferenceData!$Y$70),"")</f>
        <v>33.4</v>
      </c>
      <c r="Z70">
        <f ca="1">IFERROR(IF(0=LEN(ReferenceData!$Z$70),"",ReferenceData!$Z$70),"")</f>
        <v>20.5</v>
      </c>
      <c r="AA70">
        <f ca="1">IFERROR(IF(0=LEN(ReferenceData!$AA$70),"",ReferenceData!$AA$70),"")</f>
        <v>33.9</v>
      </c>
      <c r="AB70">
        <f ca="1">IFERROR(IF(0=LEN(ReferenceData!$AB$70),"",ReferenceData!$AB$70),"")</f>
        <v>22.1</v>
      </c>
      <c r="AC70">
        <f ca="1">IFERROR(IF(0=LEN(ReferenceData!$AC$70),"",ReferenceData!$AC$70),"")</f>
        <v>26.5</v>
      </c>
      <c r="AD70" t="str">
        <f ca="1">IFERROR(IF(0=LEN(ReferenceData!$AD$70),"",ReferenceData!$AD$70),"")</f>
        <v/>
      </c>
      <c r="AE70">
        <f ca="1">IFERROR(IF(0=LEN(ReferenceData!$AE$70),"",ReferenceData!$AE$70),"")</f>
        <v>26.6</v>
      </c>
      <c r="AF70">
        <f ca="1">IFERROR(IF(0=LEN(ReferenceData!$AF$70),"",ReferenceData!$AF$70),"")</f>
        <v>27.3</v>
      </c>
      <c r="AG70">
        <f ca="1">IFERROR(IF(0=LEN(ReferenceData!$AG$70),"",ReferenceData!$AG$70),"")</f>
        <v>21.2</v>
      </c>
      <c r="AH70">
        <f ca="1">IFERROR(IF(0=LEN(ReferenceData!$AH$70),"",ReferenceData!$AH$70),"")</f>
        <v>25.3</v>
      </c>
      <c r="AI70">
        <f ca="1">IFERROR(IF(0=LEN(ReferenceData!$AI$70),"",ReferenceData!$AI$70),"")</f>
        <v>27.5</v>
      </c>
      <c r="AJ70">
        <f ca="1">IFERROR(IF(0=LEN(ReferenceData!$AJ$70),"",ReferenceData!$AJ$70),"")</f>
        <v>29.4</v>
      </c>
      <c r="AK70" t="str">
        <f ca="1">IFERROR(IF(0=LEN(ReferenceData!$AK$70),"",ReferenceData!$AK$70),"")</f>
        <v/>
      </c>
      <c r="AL70">
        <f ca="1">IFERROR(IF(0=LEN(ReferenceData!$AL$70),"",ReferenceData!$AL$70),"")</f>
        <v>42</v>
      </c>
      <c r="AM70">
        <f ca="1">IFERROR(IF(0=LEN(ReferenceData!$AM$70),"",ReferenceData!$AM$70),"")</f>
        <v>12</v>
      </c>
      <c r="AN70">
        <f ca="1">IFERROR(IF(0=LEN(ReferenceData!$AN$70),"",ReferenceData!$AN$70),"")</f>
        <v>14.4</v>
      </c>
      <c r="AO70" t="str">
        <f ca="1">IFERROR(IF(0=LEN(ReferenceData!$AO$70),"",ReferenceData!$AO$70),"")</f>
        <v/>
      </c>
      <c r="AP70" t="str">
        <f ca="1">IFERROR(IF(0=LEN(ReferenceData!$AP$70),"",ReferenceData!$AP$70),"")</f>
        <v/>
      </c>
      <c r="AQ70" t="str">
        <f ca="1">IFERROR(IF(0=LEN(ReferenceData!$AQ$70),"",ReferenceData!$AQ$70),"")</f>
        <v/>
      </c>
      <c r="AR70" t="str">
        <f ca="1">IFERROR(IF(0=LEN(ReferenceData!$AR$70),"",ReferenceData!$AR$70),"")</f>
        <v/>
      </c>
      <c r="AS70" t="str">
        <f ca="1">IFERROR(IF(0=LEN(ReferenceData!$AS$70),"",ReferenceData!$AS$70),"")</f>
        <v/>
      </c>
      <c r="AT70" t="str">
        <f ca="1">IFERROR(IF(0=LEN(ReferenceData!$AT$70),"",ReferenceData!$AT$70),"")</f>
        <v/>
      </c>
      <c r="AU70" t="str">
        <f ca="1">IFERROR(IF(0=LEN(ReferenceData!$AU$70),"",ReferenceData!$AU$70),"")</f>
        <v/>
      </c>
      <c r="AV70" t="str">
        <f ca="1">IFERROR(IF(0=LEN(ReferenceData!$AV$70),"",ReferenceData!$AV$70),"")</f>
        <v/>
      </c>
      <c r="AW70" t="str">
        <f ca="1">IFERROR(IF(0=LEN(ReferenceData!$AW$70),"",ReferenceData!$AW$70),"")</f>
        <v/>
      </c>
      <c r="AX70" t="str">
        <f ca="1">IFERROR(IF(0=LEN(ReferenceData!$AX$70),"",ReferenceData!$AX$70),"")</f>
        <v/>
      </c>
      <c r="AY70" t="str">
        <f ca="1">IFERROR(IF(0=LEN(ReferenceData!$AY$70),"",ReferenceData!$AY$70),"")</f>
        <v/>
      </c>
      <c r="AZ70" t="str">
        <f ca="1">IFERROR(IF(0=LEN(ReferenceData!$AZ$70),"",ReferenceData!$AZ$70),"")</f>
        <v/>
      </c>
      <c r="BA70" t="str">
        <f ca="1">IFERROR(IF(0=LEN(ReferenceData!$BA$70),"",ReferenceData!$BA$70),"")</f>
        <v/>
      </c>
      <c r="BB70" t="str">
        <f ca="1">IFERROR(IF(0=LEN(ReferenceData!$BB$70),"",ReferenceData!$BB$70),"")</f>
        <v/>
      </c>
      <c r="BC70" t="str">
        <f ca="1">IFERROR(IF(0=LEN(ReferenceData!$BC$70),"",ReferenceData!$BC$70),"")</f>
        <v/>
      </c>
      <c r="BD70" t="str">
        <f ca="1">IFERROR(IF(0=LEN(ReferenceData!$BD$70),"",ReferenceData!$BD$70),"")</f>
        <v/>
      </c>
      <c r="BE70" t="str">
        <f ca="1">IFERROR(IF(0=LEN(ReferenceData!$BE$70),"",ReferenceData!$BE$70),"")</f>
        <v/>
      </c>
      <c r="BF70" t="str">
        <f ca="1">IFERROR(IF(0=LEN(ReferenceData!$BF$70),"",ReferenceData!$BF$70),"")</f>
        <v/>
      </c>
      <c r="BG70" t="str">
        <f ca="1">IFERROR(IF(0=LEN(ReferenceData!$BG$70),"",ReferenceData!$BG$70),"")</f>
        <v/>
      </c>
      <c r="BH70" t="str">
        <f ca="1">IFERROR(IF(0=LEN(ReferenceData!$BH$70),"",ReferenceData!$BH$70),"")</f>
        <v/>
      </c>
      <c r="BI70" t="str">
        <f ca="1">IFERROR(IF(0=LEN(ReferenceData!$BI$70),"",ReferenceData!$BI$70),"")</f>
        <v/>
      </c>
      <c r="BJ70" t="str">
        <f ca="1">IFERROR(IF(0=LEN(ReferenceData!$BJ$70),"",ReferenceData!$BJ$70),"")</f>
        <v/>
      </c>
      <c r="BK70" t="str">
        <f ca="1">IFERROR(IF(0=LEN(ReferenceData!$BK$70),"",ReferenceData!$BK$70),"")</f>
        <v/>
      </c>
      <c r="BL70" t="str">
        <f ca="1">IFERROR(IF(0=LEN(ReferenceData!$BL$70),"",ReferenceData!$BL$70),"")</f>
        <v/>
      </c>
      <c r="BM70" t="str">
        <f ca="1">IFERROR(IF(0=LEN(ReferenceData!$BM$70),"",ReferenceData!$BM$70),"")</f>
        <v/>
      </c>
    </row>
    <row r="71" spans="1:65" x14ac:dyDescent="0.25">
      <c r="A71" t="str">
        <f>IFERROR(IF(0=LEN(ReferenceData!$A$71),"",ReferenceData!$A$71),"")</f>
        <v xml:space="preserve">                Bottega Veneta</v>
      </c>
      <c r="B71" t="str">
        <f>IFERROR(IF(0=LEN(ReferenceData!$B$71),"",ReferenceData!$B$71),"")</f>
        <v>KER FP Equity</v>
      </c>
      <c r="C71" t="str">
        <f>IFERROR(IF(0=LEN(ReferenceData!$C$71),"",ReferenceData!$C$71),"")</f>
        <v>BI047</v>
      </c>
      <c r="D71" t="str">
        <f>IFERROR(IF(0=LEN(ReferenceData!$D$71),"",ReferenceData!$D$71),"")</f>
        <v>BICS_SEGMENT_DATA</v>
      </c>
      <c r="E71" t="str">
        <f>IFERROR(IF(0=LEN(ReferenceData!$E$71),"",ReferenceData!$E$71),"")</f>
        <v>Dynamic</v>
      </c>
      <c r="F71" t="str">
        <f ca="1">IFERROR(IF(0=LEN(ReferenceData!$F$71),"",ReferenceData!$F$71),"")</f>
        <v/>
      </c>
      <c r="G71">
        <f ca="1">IFERROR(IF(0=LEN(ReferenceData!$G$71),"",ReferenceData!$G$71),"")</f>
        <v>8.9</v>
      </c>
      <c r="H71">
        <f ca="1">IFERROR(IF(0=LEN(ReferenceData!$H$71),"",ReferenceData!$H$71),"")</f>
        <v>69</v>
      </c>
      <c r="I71">
        <f ca="1">IFERROR(IF(0=LEN(ReferenceData!$I$71),"",ReferenceData!$I$71),"")</f>
        <v>24.6</v>
      </c>
      <c r="J71">
        <f ca="1">IFERROR(IF(0=LEN(ReferenceData!$J$71),"",ReferenceData!$J$71),"")</f>
        <v>15.7</v>
      </c>
      <c r="K71">
        <f ca="1">IFERROR(IF(0=LEN(ReferenceData!$K$71),"",ReferenceData!$K$71),"")</f>
        <v>20.7</v>
      </c>
      <c r="L71">
        <f ca="1">IFERROR(IF(0=LEN(ReferenceData!$L$71),"",ReferenceData!$L$71),"")</f>
        <v>-24.4</v>
      </c>
      <c r="M71">
        <f ca="1">IFERROR(IF(0=LEN(ReferenceData!$M$71),"",ReferenceData!$M$71),"")</f>
        <v>8.5</v>
      </c>
      <c r="N71">
        <f ca="1">IFERROR(IF(0=LEN(ReferenceData!$N$71),"",ReferenceData!$N$71),"")</f>
        <v>9.4</v>
      </c>
      <c r="O71">
        <f ca="1">IFERROR(IF(0=LEN(ReferenceData!$O$71),"",ReferenceData!$O$71),"")</f>
        <v>6.9</v>
      </c>
      <c r="P71">
        <f ca="1">IFERROR(IF(0=LEN(ReferenceData!$P$71),"",ReferenceData!$P$71),"")</f>
        <v>0.8</v>
      </c>
      <c r="Q71">
        <f ca="1">IFERROR(IF(0=LEN(ReferenceData!$Q$71),"",ReferenceData!$Q$71),"")</f>
        <v>-8.9</v>
      </c>
      <c r="R71">
        <f ca="1">IFERROR(IF(0=LEN(ReferenceData!$R$71),"",ReferenceData!$R$71),"")</f>
        <v>-3.2</v>
      </c>
      <c r="S71">
        <f ca="1">IFERROR(IF(0=LEN(ReferenceData!$S$71),"",ReferenceData!$S$71),"")</f>
        <v>-8.4</v>
      </c>
      <c r="T71">
        <f ca="1">IFERROR(IF(0=LEN(ReferenceData!$T$71),"",ReferenceData!$T$71),"")</f>
        <v>-2.2999999999999998</v>
      </c>
      <c r="U71">
        <f ca="1">IFERROR(IF(0=LEN(ReferenceData!$U$71),"",ReferenceData!$U$71),"")</f>
        <v>0.7</v>
      </c>
      <c r="V71">
        <f ca="1">IFERROR(IF(0=LEN(ReferenceData!$V$71),"",ReferenceData!$V$71),"")</f>
        <v>4.7</v>
      </c>
      <c r="W71">
        <f ca="1">IFERROR(IF(0=LEN(ReferenceData!$W$71),"",ReferenceData!$W$71),"")</f>
        <v>0.9</v>
      </c>
      <c r="X71">
        <f ca="1">IFERROR(IF(0=LEN(ReferenceData!$X$71),"",ReferenceData!$X$71),"")</f>
        <v>1.7</v>
      </c>
      <c r="Y71">
        <f ca="1">IFERROR(IF(0=LEN(ReferenceData!$Y$71),"",ReferenceData!$Y$71),"")</f>
        <v>2.2999999999999998</v>
      </c>
      <c r="Z71">
        <f ca="1">IFERROR(IF(0=LEN(ReferenceData!$Z$71),"",ReferenceData!$Z$71),"")</f>
        <v>-8.6</v>
      </c>
      <c r="AA71">
        <f ca="1">IFERROR(IF(0=LEN(ReferenceData!$AA$71),"",ReferenceData!$AA$71),"")</f>
        <v>-10.9</v>
      </c>
      <c r="AB71">
        <f ca="1">IFERROR(IF(0=LEN(ReferenceData!$AB$71),"",ReferenceData!$AB$71),"")</f>
        <v>-9.8000000000000007</v>
      </c>
      <c r="AC71">
        <f ca="1">IFERROR(IF(0=LEN(ReferenceData!$AC$71),"",ReferenceData!$AC$71),"")</f>
        <v>-8.3000000000000007</v>
      </c>
      <c r="AD71">
        <f ca="1">IFERROR(IF(0=LEN(ReferenceData!$AD$71),"",ReferenceData!$AD$71),"")</f>
        <v>-3.1</v>
      </c>
      <c r="AE71">
        <f ca="1">IFERROR(IF(0=LEN(ReferenceData!$AE$71),"",ReferenceData!$AE$71),"")</f>
        <v>4.3</v>
      </c>
      <c r="AF71">
        <f ca="1">IFERROR(IF(0=LEN(ReferenceData!$AF$71),"",ReferenceData!$AF$71),"")</f>
        <v>9.3000000000000007</v>
      </c>
      <c r="AG71">
        <f ca="1">IFERROR(IF(0=LEN(ReferenceData!$AG$71),"",ReferenceData!$AG$71),"")</f>
        <v>3.1</v>
      </c>
      <c r="AH71">
        <f ca="1">IFERROR(IF(0=LEN(ReferenceData!$AH$71),"",ReferenceData!$AH$71),"")</f>
        <v>6.8</v>
      </c>
      <c r="AI71">
        <f ca="1">IFERROR(IF(0=LEN(ReferenceData!$AI$71),"",ReferenceData!$AI$71),"")</f>
        <v>10.8</v>
      </c>
      <c r="AJ71">
        <f ca="1">IFERROR(IF(0=LEN(ReferenceData!$AJ$71),"",ReferenceData!$AJ$71),"")</f>
        <v>20.2</v>
      </c>
      <c r="AK71">
        <f ca="1">IFERROR(IF(0=LEN(ReferenceData!$AK$71),"",ReferenceData!$AK$71),"")</f>
        <v>15</v>
      </c>
      <c r="AL71">
        <f ca="1">IFERROR(IF(0=LEN(ReferenceData!$AL$71),"",ReferenceData!$AL$71),"")</f>
        <v>13.4</v>
      </c>
      <c r="AM71">
        <f ca="1">IFERROR(IF(0=LEN(ReferenceData!$AM$71),"",ReferenceData!$AM$71),"")</f>
        <v>15.8</v>
      </c>
      <c r="AN71">
        <f ca="1">IFERROR(IF(0=LEN(ReferenceData!$AN$71),"",ReferenceData!$AN$71),"")</f>
        <v>17.2</v>
      </c>
      <c r="AO71">
        <f ca="1">IFERROR(IF(0=LEN(ReferenceData!$AO$71),"",ReferenceData!$AO$71),"")</f>
        <v>8.8000000000000007</v>
      </c>
      <c r="AP71" t="str">
        <f ca="1">IFERROR(IF(0=LEN(ReferenceData!$AP$71),"",ReferenceData!$AP$71),"")</f>
        <v/>
      </c>
      <c r="AQ71" t="str">
        <f ca="1">IFERROR(IF(0=LEN(ReferenceData!$AQ$71),"",ReferenceData!$AQ$71),"")</f>
        <v/>
      </c>
      <c r="AR71" t="str">
        <f ca="1">IFERROR(IF(0=LEN(ReferenceData!$AR$71),"",ReferenceData!$AR$71),"")</f>
        <v/>
      </c>
      <c r="AS71" t="str">
        <f ca="1">IFERROR(IF(0=LEN(ReferenceData!$AS$71),"",ReferenceData!$AS$71),"")</f>
        <v/>
      </c>
      <c r="AT71" t="str">
        <f ca="1">IFERROR(IF(0=LEN(ReferenceData!$AT$71),"",ReferenceData!$AT$71),"")</f>
        <v/>
      </c>
      <c r="AU71" t="str">
        <f ca="1">IFERROR(IF(0=LEN(ReferenceData!$AU$71),"",ReferenceData!$AU$71),"")</f>
        <v/>
      </c>
      <c r="AV71" t="str">
        <f ca="1">IFERROR(IF(0=LEN(ReferenceData!$AV$71),"",ReferenceData!$AV$71),"")</f>
        <v/>
      </c>
      <c r="AW71" t="str">
        <f ca="1">IFERROR(IF(0=LEN(ReferenceData!$AW$71),"",ReferenceData!$AW$71),"")</f>
        <v/>
      </c>
      <c r="AX71" t="str">
        <f ca="1">IFERROR(IF(0=LEN(ReferenceData!$AX$71),"",ReferenceData!$AX$71),"")</f>
        <v/>
      </c>
      <c r="AY71" t="str">
        <f ca="1">IFERROR(IF(0=LEN(ReferenceData!$AY$71),"",ReferenceData!$AY$71),"")</f>
        <v/>
      </c>
      <c r="AZ71" t="str">
        <f ca="1">IFERROR(IF(0=LEN(ReferenceData!$AZ$71),"",ReferenceData!$AZ$71),"")</f>
        <v/>
      </c>
      <c r="BA71" t="str">
        <f ca="1">IFERROR(IF(0=LEN(ReferenceData!$BA$71),"",ReferenceData!$BA$71),"")</f>
        <v/>
      </c>
      <c r="BB71" t="str">
        <f ca="1">IFERROR(IF(0=LEN(ReferenceData!$BB$71),"",ReferenceData!$BB$71),"")</f>
        <v/>
      </c>
      <c r="BC71" t="str">
        <f ca="1">IFERROR(IF(0=LEN(ReferenceData!$BC$71),"",ReferenceData!$BC$71),"")</f>
        <v/>
      </c>
      <c r="BD71" t="str">
        <f ca="1">IFERROR(IF(0=LEN(ReferenceData!$BD$71),"",ReferenceData!$BD$71),"")</f>
        <v/>
      </c>
      <c r="BE71" t="str">
        <f ca="1">IFERROR(IF(0=LEN(ReferenceData!$BE$71),"",ReferenceData!$BE$71),"")</f>
        <v/>
      </c>
      <c r="BF71" t="str">
        <f ca="1">IFERROR(IF(0=LEN(ReferenceData!$BF$71),"",ReferenceData!$BF$71),"")</f>
        <v/>
      </c>
      <c r="BG71" t="str">
        <f ca="1">IFERROR(IF(0=LEN(ReferenceData!$BG$71),"",ReferenceData!$BG$71),"")</f>
        <v/>
      </c>
      <c r="BH71" t="str">
        <f ca="1">IFERROR(IF(0=LEN(ReferenceData!$BH$71),"",ReferenceData!$BH$71),"")</f>
        <v/>
      </c>
      <c r="BI71" t="str">
        <f ca="1">IFERROR(IF(0=LEN(ReferenceData!$BI$71),"",ReferenceData!$BI$71),"")</f>
        <v/>
      </c>
      <c r="BJ71" t="str">
        <f ca="1">IFERROR(IF(0=LEN(ReferenceData!$BJ$71),"",ReferenceData!$BJ$71),"")</f>
        <v/>
      </c>
      <c r="BK71" t="str">
        <f ca="1">IFERROR(IF(0=LEN(ReferenceData!$BK$71),"",ReferenceData!$BK$71),"")</f>
        <v/>
      </c>
      <c r="BL71" t="str">
        <f ca="1">IFERROR(IF(0=LEN(ReferenceData!$BL$71),"",ReferenceData!$BL$71),"")</f>
        <v/>
      </c>
      <c r="BM71" t="str">
        <f ca="1">IFERROR(IF(0=LEN(ReferenceData!$BM$71),"",ReferenceData!$BM$71),"")</f>
        <v/>
      </c>
    </row>
    <row r="72" spans="1:65" x14ac:dyDescent="0.25">
      <c r="A72" t="str">
        <f>IFERROR(IF(0=LEN(ReferenceData!$A$72),"",ReferenceData!$A$72),"")</f>
        <v xml:space="preserve">                Other Luxury Brands</v>
      </c>
      <c r="B72" t="str">
        <f>IFERROR(IF(0=LEN(ReferenceData!$B$72),"",ReferenceData!$B$72),"")</f>
        <v>KER FP Equity</v>
      </c>
      <c r="C72" t="str">
        <f>IFERROR(IF(0=LEN(ReferenceData!$C$72),"",ReferenceData!$C$72),"")</f>
        <v>BI047</v>
      </c>
      <c r="D72" t="str">
        <f>IFERROR(IF(0=LEN(ReferenceData!$D$72),"",ReferenceData!$D$72),"")</f>
        <v>BICS_SEGMENT_DATA</v>
      </c>
      <c r="E72" t="str">
        <f>IFERROR(IF(0=LEN(ReferenceData!$E$72),"",ReferenceData!$E$72),"")</f>
        <v>Dynamic</v>
      </c>
      <c r="F72" t="str">
        <f ca="1">IFERROR(IF(0=LEN(ReferenceData!$F$72),"",ReferenceData!$F$72),"")</f>
        <v/>
      </c>
      <c r="G72">
        <f ca="1">IFERROR(IF(0=LEN(ReferenceData!$G$72),"",ReferenceData!$G$72),"")</f>
        <v>26</v>
      </c>
      <c r="H72">
        <f ca="1">IFERROR(IF(0=LEN(ReferenceData!$H$72),"",ReferenceData!$H$72),"")</f>
        <v>111.3</v>
      </c>
      <c r="I72">
        <f ca="1">IFERROR(IF(0=LEN(ReferenceData!$I$72),"",ReferenceData!$I$72),"")</f>
        <v>33.1</v>
      </c>
      <c r="J72">
        <f ca="1">IFERROR(IF(0=LEN(ReferenceData!$J$72),"",ReferenceData!$J$72),"")</f>
        <v>1.7</v>
      </c>
      <c r="K72">
        <f ca="1">IFERROR(IF(0=LEN(ReferenceData!$K$72),"",ReferenceData!$K$72),"")</f>
        <v>11.7</v>
      </c>
      <c r="L72">
        <f ca="1">IFERROR(IF(0=LEN(ReferenceData!$L$72),"",ReferenceData!$L$72),"")</f>
        <v>-44</v>
      </c>
      <c r="M72">
        <f ca="1">IFERROR(IF(0=LEN(ReferenceData!$M$72),"",ReferenceData!$M$72),"")</f>
        <v>-5.4</v>
      </c>
      <c r="N72">
        <f ca="1">IFERROR(IF(0=LEN(ReferenceData!$N$72),"",ReferenceData!$N$72),"")</f>
        <v>14.9</v>
      </c>
      <c r="O72">
        <f ca="1">IFERROR(IF(0=LEN(ReferenceData!$O$72),"",ReferenceData!$O$72),"")</f>
        <v>16.3</v>
      </c>
      <c r="P72">
        <f ca="1">IFERROR(IF(0=LEN(ReferenceData!$P$72),"",ReferenceData!$P$72),"")</f>
        <v>19.2</v>
      </c>
      <c r="Q72">
        <f ca="1">IFERROR(IF(0=LEN(ReferenceData!$Q$72),"",ReferenceData!$Q$72),"")</f>
        <v>21.7</v>
      </c>
      <c r="R72">
        <f ca="1">IFERROR(IF(0=LEN(ReferenceData!$R$72),"",ReferenceData!$R$72),"")</f>
        <v>25.5</v>
      </c>
      <c r="S72">
        <f ca="1">IFERROR(IF(0=LEN(ReferenceData!$S$72),"",ReferenceData!$S$72),"")</f>
        <v>32.200000000000003</v>
      </c>
      <c r="T72">
        <f ca="1">IFERROR(IF(0=LEN(ReferenceData!$T$72),"",ReferenceData!$T$72),"")</f>
        <v>34.700000000000003</v>
      </c>
      <c r="U72">
        <f ca="1">IFERROR(IF(0=LEN(ReferenceData!$U$72),"",ReferenceData!$U$72),"")</f>
        <v>37.9</v>
      </c>
      <c r="V72">
        <f ca="1">IFERROR(IF(0=LEN(ReferenceData!$V$72),"",ReferenceData!$V$72),"")</f>
        <v>18.8</v>
      </c>
      <c r="W72">
        <f ca="1">IFERROR(IF(0=LEN(ReferenceData!$W$72),"",ReferenceData!$W$72),"")</f>
        <v>17</v>
      </c>
      <c r="X72">
        <f ca="1">IFERROR(IF(0=LEN(ReferenceData!$X$72),"",ReferenceData!$X$72),"")</f>
        <v>9.1</v>
      </c>
      <c r="Y72">
        <f ca="1">IFERROR(IF(0=LEN(ReferenceData!$Y$72),"",ReferenceData!$Y$72),"")</f>
        <v>11.1</v>
      </c>
      <c r="Z72">
        <f ca="1">IFERROR(IF(0=LEN(ReferenceData!$Z$72),"",ReferenceData!$Z$72),"")</f>
        <v>-3</v>
      </c>
      <c r="AA72">
        <f ca="1">IFERROR(IF(0=LEN(ReferenceData!$AA$72),"",ReferenceData!$AA$72),"")</f>
        <v>2.5</v>
      </c>
      <c r="AB72">
        <f ca="1">IFERROR(IF(0=LEN(ReferenceData!$AB$72),"",ReferenceData!$AB$72),"")</f>
        <v>2.9</v>
      </c>
      <c r="AC72">
        <f ca="1">IFERROR(IF(0=LEN(ReferenceData!$AC$72),"",ReferenceData!$AC$72),"")</f>
        <v>-3.3</v>
      </c>
      <c r="AD72" t="str">
        <f ca="1">IFERROR(IF(0=LEN(ReferenceData!$AD$72),"",ReferenceData!$AD$72),"")</f>
        <v/>
      </c>
      <c r="AE72" t="str">
        <f ca="1">IFERROR(IF(0=LEN(ReferenceData!$AE$72),"",ReferenceData!$AE$72),"")</f>
        <v/>
      </c>
      <c r="AF72" t="str">
        <f ca="1">IFERROR(IF(0=LEN(ReferenceData!$AF$72),"",ReferenceData!$AF$72),"")</f>
        <v/>
      </c>
      <c r="AG72" t="str">
        <f ca="1">IFERROR(IF(0=LEN(ReferenceData!$AG$72),"",ReferenceData!$AG$72),"")</f>
        <v/>
      </c>
      <c r="AH72" t="str">
        <f ca="1">IFERROR(IF(0=LEN(ReferenceData!$AH$72),"",ReferenceData!$AH$72),"")</f>
        <v/>
      </c>
      <c r="AI72" t="str">
        <f ca="1">IFERROR(IF(0=LEN(ReferenceData!$AI$72),"",ReferenceData!$AI$72),"")</f>
        <v/>
      </c>
      <c r="AJ72" t="str">
        <f ca="1">IFERROR(IF(0=LEN(ReferenceData!$AJ$72),"",ReferenceData!$AJ$72),"")</f>
        <v/>
      </c>
      <c r="AK72" t="str">
        <f ca="1">IFERROR(IF(0=LEN(ReferenceData!$AK$72),"",ReferenceData!$AK$72),"")</f>
        <v/>
      </c>
      <c r="AL72" t="str">
        <f ca="1">IFERROR(IF(0=LEN(ReferenceData!$AL$72),"",ReferenceData!$AL$72),"")</f>
        <v/>
      </c>
      <c r="AM72" t="str">
        <f ca="1">IFERROR(IF(0=LEN(ReferenceData!$AM$72),"",ReferenceData!$AM$72),"")</f>
        <v/>
      </c>
      <c r="AN72" t="str">
        <f ca="1">IFERROR(IF(0=LEN(ReferenceData!$AN$72),"",ReferenceData!$AN$72),"")</f>
        <v/>
      </c>
      <c r="AO72" t="str">
        <f ca="1">IFERROR(IF(0=LEN(ReferenceData!$AO$72),"",ReferenceData!$AO$72),"")</f>
        <v/>
      </c>
      <c r="AP72" t="str">
        <f ca="1">IFERROR(IF(0=LEN(ReferenceData!$AP$72),"",ReferenceData!$AP$72),"")</f>
        <v/>
      </c>
      <c r="AQ72" t="str">
        <f ca="1">IFERROR(IF(0=LEN(ReferenceData!$AQ$72),"",ReferenceData!$AQ$72),"")</f>
        <v/>
      </c>
      <c r="AR72" t="str">
        <f ca="1">IFERROR(IF(0=LEN(ReferenceData!$AR$72),"",ReferenceData!$AR$72),"")</f>
        <v/>
      </c>
      <c r="AS72" t="str">
        <f ca="1">IFERROR(IF(0=LEN(ReferenceData!$AS$72),"",ReferenceData!$AS$72),"")</f>
        <v/>
      </c>
      <c r="AT72" t="str">
        <f ca="1">IFERROR(IF(0=LEN(ReferenceData!$AT$72),"",ReferenceData!$AT$72),"")</f>
        <v/>
      </c>
      <c r="AU72" t="str">
        <f ca="1">IFERROR(IF(0=LEN(ReferenceData!$AU$72),"",ReferenceData!$AU$72),"")</f>
        <v/>
      </c>
      <c r="AV72" t="str">
        <f ca="1">IFERROR(IF(0=LEN(ReferenceData!$AV$72),"",ReferenceData!$AV$72),"")</f>
        <v/>
      </c>
      <c r="AW72" t="str">
        <f ca="1">IFERROR(IF(0=LEN(ReferenceData!$AW$72),"",ReferenceData!$AW$72),"")</f>
        <v/>
      </c>
      <c r="AX72" t="str">
        <f ca="1">IFERROR(IF(0=LEN(ReferenceData!$AX$72),"",ReferenceData!$AX$72),"")</f>
        <v/>
      </c>
      <c r="AY72" t="str">
        <f ca="1">IFERROR(IF(0=LEN(ReferenceData!$AY$72),"",ReferenceData!$AY$72),"")</f>
        <v/>
      </c>
      <c r="AZ72" t="str">
        <f ca="1">IFERROR(IF(0=LEN(ReferenceData!$AZ$72),"",ReferenceData!$AZ$72),"")</f>
        <v/>
      </c>
      <c r="BA72" t="str">
        <f ca="1">IFERROR(IF(0=LEN(ReferenceData!$BA$72),"",ReferenceData!$BA$72),"")</f>
        <v/>
      </c>
      <c r="BB72" t="str">
        <f ca="1">IFERROR(IF(0=LEN(ReferenceData!$BB$72),"",ReferenceData!$BB$72),"")</f>
        <v/>
      </c>
      <c r="BC72" t="str">
        <f ca="1">IFERROR(IF(0=LEN(ReferenceData!$BC$72),"",ReferenceData!$BC$72),"")</f>
        <v/>
      </c>
      <c r="BD72" t="str">
        <f ca="1">IFERROR(IF(0=LEN(ReferenceData!$BD$72),"",ReferenceData!$BD$72),"")</f>
        <v/>
      </c>
      <c r="BE72" t="str">
        <f ca="1">IFERROR(IF(0=LEN(ReferenceData!$BE$72),"",ReferenceData!$BE$72),"")</f>
        <v/>
      </c>
      <c r="BF72" t="str">
        <f ca="1">IFERROR(IF(0=LEN(ReferenceData!$BF$72),"",ReferenceData!$BF$72),"")</f>
        <v/>
      </c>
      <c r="BG72" t="str">
        <f ca="1">IFERROR(IF(0=LEN(ReferenceData!$BG$72),"",ReferenceData!$BG$72),"")</f>
        <v/>
      </c>
      <c r="BH72" t="str">
        <f ca="1">IFERROR(IF(0=LEN(ReferenceData!$BH$72),"",ReferenceData!$BH$72),"")</f>
        <v/>
      </c>
      <c r="BI72" t="str">
        <f ca="1">IFERROR(IF(0=LEN(ReferenceData!$BI$72),"",ReferenceData!$BI$72),"")</f>
        <v/>
      </c>
      <c r="BJ72" t="str">
        <f ca="1">IFERROR(IF(0=LEN(ReferenceData!$BJ$72),"",ReferenceData!$BJ$72),"")</f>
        <v/>
      </c>
      <c r="BK72" t="str">
        <f ca="1">IFERROR(IF(0=LEN(ReferenceData!$BK$72),"",ReferenceData!$BK$72),"")</f>
        <v/>
      </c>
      <c r="BL72" t="str">
        <f ca="1">IFERROR(IF(0=LEN(ReferenceData!$BL$72),"",ReferenceData!$BL$72),"")</f>
        <v/>
      </c>
      <c r="BM72" t="str">
        <f ca="1">IFERROR(IF(0=LEN(ReferenceData!$BM$72),"",ReferenceData!$BM$72),"")</f>
        <v/>
      </c>
    </row>
    <row r="73" spans="1:65" x14ac:dyDescent="0.25">
      <c r="A73" t="str">
        <f>IFERROR(IF(0=LEN(ReferenceData!$A$73),"",ReferenceData!$A$73),"")</f>
        <v/>
      </c>
      <c r="B73" t="str">
        <f>IFERROR(IF(0=LEN(ReferenceData!$B$73),"",ReferenceData!$B$73),"")</f>
        <v/>
      </c>
      <c r="C73" t="str">
        <f>IFERROR(IF(0=LEN(ReferenceData!$C$73),"",ReferenceData!$C$73),"")</f>
        <v/>
      </c>
      <c r="D73" t="str">
        <f>IFERROR(IF(0=LEN(ReferenceData!$D$73),"",ReferenceData!$D$73),"")</f>
        <v/>
      </c>
      <c r="E73" t="str">
        <f>IFERROR(IF(0=LEN(ReferenceData!$E$73),"",ReferenceData!$E$73),"")</f>
        <v>Static</v>
      </c>
      <c r="F73" t="str">
        <f ca="1">IFERROR(IF(0=LEN(ReferenceData!$F$73),"",ReferenceData!$F$73),"")</f>
        <v/>
      </c>
      <c r="G73" t="str">
        <f ca="1">IFERROR(IF(0=LEN(ReferenceData!$G$73),"",ReferenceData!$G$73),"")</f>
        <v/>
      </c>
      <c r="H73" t="str">
        <f ca="1">IFERROR(IF(0=LEN(ReferenceData!$H$73),"",ReferenceData!$H$73),"")</f>
        <v/>
      </c>
      <c r="I73" t="str">
        <f ca="1">IFERROR(IF(0=LEN(ReferenceData!$I$73),"",ReferenceData!$I$73),"")</f>
        <v/>
      </c>
      <c r="J73" t="str">
        <f ca="1">IFERROR(IF(0=LEN(ReferenceData!$J$73),"",ReferenceData!$J$73),"")</f>
        <v/>
      </c>
      <c r="K73" t="str">
        <f ca="1">IFERROR(IF(0=LEN(ReferenceData!$K$73),"",ReferenceData!$K$73),"")</f>
        <v/>
      </c>
      <c r="L73" t="str">
        <f ca="1">IFERROR(IF(0=LEN(ReferenceData!$L$73),"",ReferenceData!$L$73),"")</f>
        <v/>
      </c>
      <c r="M73" t="str">
        <f ca="1">IFERROR(IF(0=LEN(ReferenceData!$M$73),"",ReferenceData!$M$73),"")</f>
        <v/>
      </c>
      <c r="N73" t="str">
        <f ca="1">IFERROR(IF(0=LEN(ReferenceData!$N$73),"",ReferenceData!$N$73),"")</f>
        <v/>
      </c>
      <c r="O73" t="str">
        <f ca="1">IFERROR(IF(0=LEN(ReferenceData!$O$73),"",ReferenceData!$O$73),"")</f>
        <v/>
      </c>
      <c r="P73" t="str">
        <f ca="1">IFERROR(IF(0=LEN(ReferenceData!$P$73),"",ReferenceData!$P$73),"")</f>
        <v/>
      </c>
      <c r="Q73" t="str">
        <f ca="1">IFERROR(IF(0=LEN(ReferenceData!$Q$73),"",ReferenceData!$Q$73),"")</f>
        <v/>
      </c>
      <c r="R73" t="str">
        <f ca="1">IFERROR(IF(0=LEN(ReferenceData!$R$73),"",ReferenceData!$R$73),"")</f>
        <v/>
      </c>
      <c r="S73" t="str">
        <f ca="1">IFERROR(IF(0=LEN(ReferenceData!$S$73),"",ReferenceData!$S$73),"")</f>
        <v/>
      </c>
      <c r="T73" t="str">
        <f ca="1">IFERROR(IF(0=LEN(ReferenceData!$T$73),"",ReferenceData!$T$73),"")</f>
        <v/>
      </c>
      <c r="U73" t="str">
        <f ca="1">IFERROR(IF(0=LEN(ReferenceData!$U$73),"",ReferenceData!$U$73),"")</f>
        <v/>
      </c>
      <c r="V73" t="str">
        <f ca="1">IFERROR(IF(0=LEN(ReferenceData!$V$73),"",ReferenceData!$V$73),"")</f>
        <v/>
      </c>
      <c r="W73" t="str">
        <f ca="1">IFERROR(IF(0=LEN(ReferenceData!$W$73),"",ReferenceData!$W$73),"")</f>
        <v/>
      </c>
      <c r="X73" t="str">
        <f ca="1">IFERROR(IF(0=LEN(ReferenceData!$X$73),"",ReferenceData!$X$73),"")</f>
        <v/>
      </c>
      <c r="Y73" t="str">
        <f ca="1">IFERROR(IF(0=LEN(ReferenceData!$Y$73),"",ReferenceData!$Y$73),"")</f>
        <v/>
      </c>
      <c r="Z73" t="str">
        <f ca="1">IFERROR(IF(0=LEN(ReferenceData!$Z$73),"",ReferenceData!$Z$73),"")</f>
        <v/>
      </c>
      <c r="AA73" t="str">
        <f ca="1">IFERROR(IF(0=LEN(ReferenceData!$AA$73),"",ReferenceData!$AA$73),"")</f>
        <v/>
      </c>
      <c r="AB73" t="str">
        <f ca="1">IFERROR(IF(0=LEN(ReferenceData!$AB$73),"",ReferenceData!$AB$73),"")</f>
        <v/>
      </c>
      <c r="AC73" t="str">
        <f ca="1">IFERROR(IF(0=LEN(ReferenceData!$AC$73),"",ReferenceData!$AC$73),"")</f>
        <v/>
      </c>
      <c r="AD73" t="str">
        <f ca="1">IFERROR(IF(0=LEN(ReferenceData!$AD$73),"",ReferenceData!$AD$73),"")</f>
        <v/>
      </c>
      <c r="AE73" t="str">
        <f ca="1">IFERROR(IF(0=LEN(ReferenceData!$AE$73),"",ReferenceData!$AE$73),"")</f>
        <v/>
      </c>
      <c r="AF73" t="str">
        <f ca="1">IFERROR(IF(0=LEN(ReferenceData!$AF$73),"",ReferenceData!$AF$73),"")</f>
        <v/>
      </c>
      <c r="AG73" t="str">
        <f ca="1">IFERROR(IF(0=LEN(ReferenceData!$AG$73),"",ReferenceData!$AG$73),"")</f>
        <v/>
      </c>
      <c r="AH73" t="str">
        <f ca="1">IFERROR(IF(0=LEN(ReferenceData!$AH$73),"",ReferenceData!$AH$73),"")</f>
        <v/>
      </c>
      <c r="AI73" t="str">
        <f ca="1">IFERROR(IF(0=LEN(ReferenceData!$AI$73),"",ReferenceData!$AI$73),"")</f>
        <v/>
      </c>
      <c r="AJ73" t="str">
        <f ca="1">IFERROR(IF(0=LEN(ReferenceData!$AJ$73),"",ReferenceData!$AJ$73),"")</f>
        <v/>
      </c>
      <c r="AK73" t="str">
        <f ca="1">IFERROR(IF(0=LEN(ReferenceData!$AK$73),"",ReferenceData!$AK$73),"")</f>
        <v/>
      </c>
      <c r="AL73" t="str">
        <f ca="1">IFERROR(IF(0=LEN(ReferenceData!$AL$73),"",ReferenceData!$AL$73),"")</f>
        <v/>
      </c>
      <c r="AM73" t="str">
        <f ca="1">IFERROR(IF(0=LEN(ReferenceData!$AM$73),"",ReferenceData!$AM$73),"")</f>
        <v/>
      </c>
      <c r="AN73" t="str">
        <f ca="1">IFERROR(IF(0=LEN(ReferenceData!$AN$73),"",ReferenceData!$AN$73),"")</f>
        <v/>
      </c>
      <c r="AO73" t="str">
        <f ca="1">IFERROR(IF(0=LEN(ReferenceData!$AO$73),"",ReferenceData!$AO$73),"")</f>
        <v/>
      </c>
      <c r="AP73" t="str">
        <f ca="1">IFERROR(IF(0=LEN(ReferenceData!$AP$73),"",ReferenceData!$AP$73),"")</f>
        <v/>
      </c>
      <c r="AQ73" t="str">
        <f ca="1">IFERROR(IF(0=LEN(ReferenceData!$AQ$73),"",ReferenceData!$AQ$73),"")</f>
        <v/>
      </c>
      <c r="AR73" t="str">
        <f ca="1">IFERROR(IF(0=LEN(ReferenceData!$AR$73),"",ReferenceData!$AR$73),"")</f>
        <v/>
      </c>
      <c r="AS73" t="str">
        <f ca="1">IFERROR(IF(0=LEN(ReferenceData!$AS$73),"",ReferenceData!$AS$73),"")</f>
        <v/>
      </c>
      <c r="AT73" t="str">
        <f ca="1">IFERROR(IF(0=LEN(ReferenceData!$AT$73),"",ReferenceData!$AT$73),"")</f>
        <v/>
      </c>
      <c r="AU73" t="str">
        <f ca="1">IFERROR(IF(0=LEN(ReferenceData!$AU$73),"",ReferenceData!$AU$73),"")</f>
        <v/>
      </c>
      <c r="AV73" t="str">
        <f ca="1">IFERROR(IF(0=LEN(ReferenceData!$AV$73),"",ReferenceData!$AV$73),"")</f>
        <v/>
      </c>
      <c r="AW73" t="str">
        <f ca="1">IFERROR(IF(0=LEN(ReferenceData!$AW$73),"",ReferenceData!$AW$73),"")</f>
        <v/>
      </c>
      <c r="AX73" t="str">
        <f ca="1">IFERROR(IF(0=LEN(ReferenceData!$AX$73),"",ReferenceData!$AX$73),"")</f>
        <v/>
      </c>
      <c r="AY73" t="str">
        <f ca="1">IFERROR(IF(0=LEN(ReferenceData!$AY$73),"",ReferenceData!$AY$73),"")</f>
        <v/>
      </c>
      <c r="AZ73" t="str">
        <f ca="1">IFERROR(IF(0=LEN(ReferenceData!$AZ$73),"",ReferenceData!$AZ$73),"")</f>
        <v/>
      </c>
      <c r="BA73" t="str">
        <f ca="1">IFERROR(IF(0=LEN(ReferenceData!$BA$73),"",ReferenceData!$BA$73),"")</f>
        <v/>
      </c>
      <c r="BB73" t="str">
        <f ca="1">IFERROR(IF(0=LEN(ReferenceData!$BB$73),"",ReferenceData!$BB$73),"")</f>
        <v/>
      </c>
      <c r="BC73" t="str">
        <f ca="1">IFERROR(IF(0=LEN(ReferenceData!$BC$73),"",ReferenceData!$BC$73),"")</f>
        <v/>
      </c>
      <c r="BD73" t="str">
        <f ca="1">IFERROR(IF(0=LEN(ReferenceData!$BD$73),"",ReferenceData!$BD$73),"")</f>
        <v/>
      </c>
      <c r="BE73" t="str">
        <f ca="1">IFERROR(IF(0=LEN(ReferenceData!$BE$73),"",ReferenceData!$BE$73),"")</f>
        <v/>
      </c>
      <c r="BF73" t="str">
        <f ca="1">IFERROR(IF(0=LEN(ReferenceData!$BF$73),"",ReferenceData!$BF$73),"")</f>
        <v/>
      </c>
      <c r="BG73" t="str">
        <f ca="1">IFERROR(IF(0=LEN(ReferenceData!$BG$73),"",ReferenceData!$BG$73),"")</f>
        <v/>
      </c>
      <c r="BH73" t="str">
        <f ca="1">IFERROR(IF(0=LEN(ReferenceData!$BH$73),"",ReferenceData!$BH$73),"")</f>
        <v/>
      </c>
      <c r="BI73" t="str">
        <f ca="1">IFERROR(IF(0=LEN(ReferenceData!$BI$73),"",ReferenceData!$BI$73),"")</f>
        <v/>
      </c>
      <c r="BJ73" t="str">
        <f ca="1">IFERROR(IF(0=LEN(ReferenceData!$BJ$73),"",ReferenceData!$BJ$73),"")</f>
        <v/>
      </c>
      <c r="BK73" t="str">
        <f ca="1">IFERROR(IF(0=LEN(ReferenceData!$BK$73),"",ReferenceData!$BK$73),"")</f>
        <v/>
      </c>
      <c r="BL73" t="str">
        <f ca="1">IFERROR(IF(0=LEN(ReferenceData!$BL$73),"",ReferenceData!$BL$73),"")</f>
        <v/>
      </c>
      <c r="BM73" t="str">
        <f ca="1">IFERROR(IF(0=LEN(ReferenceData!$BM$73),"",ReferenceData!$BM$73),"")</f>
        <v/>
      </c>
    </row>
    <row r="74" spans="1:65" x14ac:dyDescent="0.25">
      <c r="A74" t="str">
        <f>IFERROR(IF(0=LEN(ReferenceData!$A$74),"",ReferenceData!$A$74),"")</f>
        <v>Business Breakdown</v>
      </c>
      <c r="B74" t="str">
        <f>IFERROR(IF(0=LEN(ReferenceData!$B$74),"",ReferenceData!$B$74),"")</f>
        <v/>
      </c>
      <c r="C74" t="str">
        <f>IFERROR(IF(0=LEN(ReferenceData!$C$74),"",ReferenceData!$C$74),"")</f>
        <v/>
      </c>
      <c r="D74" t="str">
        <f>IFERROR(IF(0=LEN(ReferenceData!$D$74),"",ReferenceData!$D$74),"")</f>
        <v/>
      </c>
      <c r="E74" t="str">
        <f>IFERROR(IF(0=LEN(ReferenceData!$E$74),"",ReferenceData!$E$74),"")</f>
        <v>Heading</v>
      </c>
      <c r="F74" t="str">
        <f>IFERROR(IF(0=LEN(ReferenceData!$F$74),"",ReferenceData!$F$74),"")</f>
        <v/>
      </c>
      <c r="G74" t="str">
        <f>IFERROR(IF(0=LEN(ReferenceData!$G$74),"",ReferenceData!$G$74),"")</f>
        <v/>
      </c>
      <c r="H74" t="str">
        <f>IFERROR(IF(0=LEN(ReferenceData!$H$74),"",ReferenceData!$H$74),"")</f>
        <v/>
      </c>
      <c r="I74" t="str">
        <f>IFERROR(IF(0=LEN(ReferenceData!$I$74),"",ReferenceData!$I$74),"")</f>
        <v/>
      </c>
      <c r="J74" t="str">
        <f>IFERROR(IF(0=LEN(ReferenceData!$J$74),"",ReferenceData!$J$74),"")</f>
        <v/>
      </c>
      <c r="K74" t="str">
        <f>IFERROR(IF(0=LEN(ReferenceData!$K$74),"",ReferenceData!$K$74),"")</f>
        <v/>
      </c>
      <c r="L74" t="str">
        <f>IFERROR(IF(0=LEN(ReferenceData!$L$74),"",ReferenceData!$L$74),"")</f>
        <v/>
      </c>
      <c r="M74" t="str">
        <f>IFERROR(IF(0=LEN(ReferenceData!$M$74),"",ReferenceData!$M$74),"")</f>
        <v/>
      </c>
      <c r="N74" t="str">
        <f>IFERROR(IF(0=LEN(ReferenceData!$N$74),"",ReferenceData!$N$74),"")</f>
        <v/>
      </c>
      <c r="O74" t="str">
        <f>IFERROR(IF(0=LEN(ReferenceData!$O$74),"",ReferenceData!$O$74),"")</f>
        <v/>
      </c>
      <c r="P74" t="str">
        <f>IFERROR(IF(0=LEN(ReferenceData!$P$74),"",ReferenceData!$P$74),"")</f>
        <v/>
      </c>
      <c r="Q74" t="str">
        <f>IFERROR(IF(0=LEN(ReferenceData!$Q$74),"",ReferenceData!$Q$74),"")</f>
        <v/>
      </c>
      <c r="R74" t="str">
        <f>IFERROR(IF(0=LEN(ReferenceData!$R$74),"",ReferenceData!$R$74),"")</f>
        <v/>
      </c>
      <c r="S74" t="str">
        <f>IFERROR(IF(0=LEN(ReferenceData!$S$74),"",ReferenceData!$S$74),"")</f>
        <v/>
      </c>
      <c r="T74" t="str">
        <f>IFERROR(IF(0=LEN(ReferenceData!$T$74),"",ReferenceData!$T$74),"")</f>
        <v/>
      </c>
      <c r="U74" t="str">
        <f>IFERROR(IF(0=LEN(ReferenceData!$U$74),"",ReferenceData!$U$74),"")</f>
        <v/>
      </c>
      <c r="V74" t="str">
        <f>IFERROR(IF(0=LEN(ReferenceData!$V$74),"",ReferenceData!$V$74),"")</f>
        <v/>
      </c>
      <c r="W74" t="str">
        <f>IFERROR(IF(0=LEN(ReferenceData!$W$74),"",ReferenceData!$W$74),"")</f>
        <v/>
      </c>
      <c r="X74" t="str">
        <f>IFERROR(IF(0=LEN(ReferenceData!$X$74),"",ReferenceData!$X$74),"")</f>
        <v/>
      </c>
      <c r="Y74" t="str">
        <f>IFERROR(IF(0=LEN(ReferenceData!$Y$74),"",ReferenceData!$Y$74),"")</f>
        <v/>
      </c>
      <c r="Z74" t="str">
        <f>IFERROR(IF(0=LEN(ReferenceData!$Z$74),"",ReferenceData!$Z$74),"")</f>
        <v/>
      </c>
      <c r="AA74" t="str">
        <f>IFERROR(IF(0=LEN(ReferenceData!$AA$74),"",ReferenceData!$AA$74),"")</f>
        <v/>
      </c>
      <c r="AB74" t="str">
        <f>IFERROR(IF(0=LEN(ReferenceData!$AB$74),"",ReferenceData!$AB$74),"")</f>
        <v/>
      </c>
      <c r="AC74" t="str">
        <f>IFERROR(IF(0=LEN(ReferenceData!$AC$74),"",ReferenceData!$AC$74),"")</f>
        <v/>
      </c>
      <c r="AD74" t="str">
        <f>IFERROR(IF(0=LEN(ReferenceData!$AD$74),"",ReferenceData!$AD$74),"")</f>
        <v/>
      </c>
      <c r="AE74" t="str">
        <f>IFERROR(IF(0=LEN(ReferenceData!$AE$74),"",ReferenceData!$AE$74),"")</f>
        <v/>
      </c>
      <c r="AF74" t="str">
        <f>IFERROR(IF(0=LEN(ReferenceData!$AF$74),"",ReferenceData!$AF$74),"")</f>
        <v/>
      </c>
      <c r="AG74" t="str">
        <f>IFERROR(IF(0=LEN(ReferenceData!$AG$74),"",ReferenceData!$AG$74),"")</f>
        <v/>
      </c>
      <c r="AH74" t="str">
        <f>IFERROR(IF(0=LEN(ReferenceData!$AH$74),"",ReferenceData!$AH$74),"")</f>
        <v/>
      </c>
      <c r="AI74" t="str">
        <f>IFERROR(IF(0=LEN(ReferenceData!$AI$74),"",ReferenceData!$AI$74),"")</f>
        <v/>
      </c>
      <c r="AJ74" t="str">
        <f>IFERROR(IF(0=LEN(ReferenceData!$AJ$74),"",ReferenceData!$AJ$74),"")</f>
        <v/>
      </c>
      <c r="AK74" t="str">
        <f>IFERROR(IF(0=LEN(ReferenceData!$AK$74),"",ReferenceData!$AK$74),"")</f>
        <v/>
      </c>
      <c r="AL74" t="str">
        <f>IFERROR(IF(0=LEN(ReferenceData!$AL$74),"",ReferenceData!$AL$74),"")</f>
        <v/>
      </c>
      <c r="AM74" t="str">
        <f>IFERROR(IF(0=LEN(ReferenceData!$AM$74),"",ReferenceData!$AM$74),"")</f>
        <v/>
      </c>
      <c r="AN74" t="str">
        <f>IFERROR(IF(0=LEN(ReferenceData!$AN$74),"",ReferenceData!$AN$74),"")</f>
        <v/>
      </c>
      <c r="AO74" t="str">
        <f>IFERROR(IF(0=LEN(ReferenceData!$AO$74),"",ReferenceData!$AO$74),"")</f>
        <v/>
      </c>
      <c r="AP74" t="str">
        <f>IFERROR(IF(0=LEN(ReferenceData!$AP$74),"",ReferenceData!$AP$74),"")</f>
        <v/>
      </c>
      <c r="AQ74" t="str">
        <f>IFERROR(IF(0=LEN(ReferenceData!$AQ$74),"",ReferenceData!$AQ$74),"")</f>
        <v/>
      </c>
      <c r="AR74" t="str">
        <f>IFERROR(IF(0=LEN(ReferenceData!$AR$74),"",ReferenceData!$AR$74),"")</f>
        <v/>
      </c>
      <c r="AS74" t="str">
        <f>IFERROR(IF(0=LEN(ReferenceData!$AS$74),"",ReferenceData!$AS$74),"")</f>
        <v/>
      </c>
      <c r="AT74" t="str">
        <f>IFERROR(IF(0=LEN(ReferenceData!$AT$74),"",ReferenceData!$AT$74),"")</f>
        <v/>
      </c>
      <c r="AU74" t="str">
        <f>IFERROR(IF(0=LEN(ReferenceData!$AU$74),"",ReferenceData!$AU$74),"")</f>
        <v/>
      </c>
      <c r="AV74" t="str">
        <f>IFERROR(IF(0=LEN(ReferenceData!$AV$74),"",ReferenceData!$AV$74),"")</f>
        <v/>
      </c>
      <c r="AW74" t="str">
        <f>IFERROR(IF(0=LEN(ReferenceData!$AW$74),"",ReferenceData!$AW$74),"")</f>
        <v/>
      </c>
      <c r="AX74" t="str">
        <f>IFERROR(IF(0=LEN(ReferenceData!$AX$74),"",ReferenceData!$AX$74),"")</f>
        <v/>
      </c>
      <c r="AY74" t="str">
        <f>IFERROR(IF(0=LEN(ReferenceData!$AY$74),"",ReferenceData!$AY$74),"")</f>
        <v/>
      </c>
      <c r="AZ74" t="str">
        <f>IFERROR(IF(0=LEN(ReferenceData!$AZ$74),"",ReferenceData!$AZ$74),"")</f>
        <v/>
      </c>
      <c r="BA74" t="str">
        <f>IFERROR(IF(0=LEN(ReferenceData!$BA$74),"",ReferenceData!$BA$74),"")</f>
        <v/>
      </c>
      <c r="BB74" t="str">
        <f>IFERROR(IF(0=LEN(ReferenceData!$BB$74),"",ReferenceData!$BB$74),"")</f>
        <v/>
      </c>
      <c r="BC74" t="str">
        <f>IFERROR(IF(0=LEN(ReferenceData!$BC$74),"",ReferenceData!$BC$74),"")</f>
        <v/>
      </c>
      <c r="BD74" t="str">
        <f>IFERROR(IF(0=LEN(ReferenceData!$BD$74),"",ReferenceData!$BD$74),"")</f>
        <v/>
      </c>
      <c r="BE74" t="str">
        <f>IFERROR(IF(0=LEN(ReferenceData!$BE$74),"",ReferenceData!$BE$74),"")</f>
        <v/>
      </c>
      <c r="BF74" t="str">
        <f>IFERROR(IF(0=LEN(ReferenceData!$BF$74),"",ReferenceData!$BF$74),"")</f>
        <v/>
      </c>
      <c r="BG74" t="str">
        <f>IFERROR(IF(0=LEN(ReferenceData!$BG$74),"",ReferenceData!$BG$74),"")</f>
        <v/>
      </c>
      <c r="BH74" t="str">
        <f>IFERROR(IF(0=LEN(ReferenceData!$BH$74),"",ReferenceData!$BH$74),"")</f>
        <v/>
      </c>
      <c r="BI74" t="str">
        <f>IFERROR(IF(0=LEN(ReferenceData!$BI$74),"",ReferenceData!$BI$74),"")</f>
        <v/>
      </c>
      <c r="BJ74" t="str">
        <f>IFERROR(IF(0=LEN(ReferenceData!$BJ$74),"",ReferenceData!$BJ$74),"")</f>
        <v/>
      </c>
      <c r="BK74" t="str">
        <f>IFERROR(IF(0=LEN(ReferenceData!$BK$74),"",ReferenceData!$BK$74),"")</f>
        <v/>
      </c>
      <c r="BL74" t="str">
        <f>IFERROR(IF(0=LEN(ReferenceData!$BL$74),"",ReferenceData!$BL$74),"")</f>
        <v/>
      </c>
      <c r="BM74" t="str">
        <f>IFERROR(IF(0=LEN(ReferenceData!$BM$74),"",ReferenceData!$BM$74),"")</f>
        <v/>
      </c>
    </row>
    <row r="75" spans="1:65" x14ac:dyDescent="0.25">
      <c r="A75" t="str">
        <f>IFERROR(IF(0=LEN(ReferenceData!$A$75),"",ReferenceData!$A$75),"")</f>
        <v xml:space="preserve">    </v>
      </c>
      <c r="B75" t="str">
        <f>IFERROR(IF(0=LEN(ReferenceData!$B$75),"",ReferenceData!$B$75),"")</f>
        <v/>
      </c>
      <c r="C75" t="str">
        <f>IFERROR(IF(0=LEN(ReferenceData!$C$75),"",ReferenceData!$C$75),"")</f>
        <v/>
      </c>
      <c r="D75" t="str">
        <f>IFERROR(IF(0=LEN(ReferenceData!$D$75),"",ReferenceData!$D$75),"")</f>
        <v/>
      </c>
      <c r="E75" t="str">
        <f>IFERROR(IF(0=LEN(ReferenceData!$E$75),"",ReferenceData!$E$75),"")</f>
        <v>Static</v>
      </c>
      <c r="F75" t="str">
        <f ca="1">IFERROR(IF(0=LEN(ReferenceData!$F$75),"",ReferenceData!$F$75),"")</f>
        <v/>
      </c>
      <c r="G75" t="str">
        <f ca="1">IFERROR(IF(0=LEN(ReferenceData!$G$75),"",ReferenceData!$G$75),"")</f>
        <v/>
      </c>
      <c r="H75" t="str">
        <f ca="1">IFERROR(IF(0=LEN(ReferenceData!$H$75),"",ReferenceData!$H$75),"")</f>
        <v/>
      </c>
      <c r="I75" t="str">
        <f ca="1">IFERROR(IF(0=LEN(ReferenceData!$I$75),"",ReferenceData!$I$75),"")</f>
        <v/>
      </c>
      <c r="J75" t="str">
        <f ca="1">IFERROR(IF(0=LEN(ReferenceData!$J$75),"",ReferenceData!$J$75),"")</f>
        <v/>
      </c>
      <c r="K75" t="str">
        <f ca="1">IFERROR(IF(0=LEN(ReferenceData!$K$75),"",ReferenceData!$K$75),"")</f>
        <v/>
      </c>
      <c r="L75" t="str">
        <f ca="1">IFERROR(IF(0=LEN(ReferenceData!$L$75),"",ReferenceData!$L$75),"")</f>
        <v/>
      </c>
      <c r="M75" t="str">
        <f ca="1">IFERROR(IF(0=LEN(ReferenceData!$M$75),"",ReferenceData!$M$75),"")</f>
        <v/>
      </c>
      <c r="N75" t="str">
        <f ca="1">IFERROR(IF(0=LEN(ReferenceData!$N$75),"",ReferenceData!$N$75),"")</f>
        <v/>
      </c>
      <c r="O75" t="str">
        <f ca="1">IFERROR(IF(0=LEN(ReferenceData!$O$75),"",ReferenceData!$O$75),"")</f>
        <v/>
      </c>
      <c r="P75" t="str">
        <f ca="1">IFERROR(IF(0=LEN(ReferenceData!$P$75),"",ReferenceData!$P$75),"")</f>
        <v/>
      </c>
      <c r="Q75" t="str">
        <f ca="1">IFERROR(IF(0=LEN(ReferenceData!$Q$75),"",ReferenceData!$Q$75),"")</f>
        <v/>
      </c>
      <c r="R75" t="str">
        <f ca="1">IFERROR(IF(0=LEN(ReferenceData!$R$75),"",ReferenceData!$R$75),"")</f>
        <v/>
      </c>
      <c r="S75" t="str">
        <f ca="1">IFERROR(IF(0=LEN(ReferenceData!$S$75),"",ReferenceData!$S$75),"")</f>
        <v/>
      </c>
      <c r="T75" t="str">
        <f ca="1">IFERROR(IF(0=LEN(ReferenceData!$T$75),"",ReferenceData!$T$75),"")</f>
        <v/>
      </c>
      <c r="U75" t="str">
        <f ca="1">IFERROR(IF(0=LEN(ReferenceData!$U$75),"",ReferenceData!$U$75),"")</f>
        <v/>
      </c>
      <c r="V75" t="str">
        <f ca="1">IFERROR(IF(0=LEN(ReferenceData!$V$75),"",ReferenceData!$V$75),"")</f>
        <v/>
      </c>
      <c r="W75" t="str">
        <f ca="1">IFERROR(IF(0=LEN(ReferenceData!$W$75),"",ReferenceData!$W$75),"")</f>
        <v/>
      </c>
      <c r="X75" t="str">
        <f ca="1">IFERROR(IF(0=LEN(ReferenceData!$X$75),"",ReferenceData!$X$75),"")</f>
        <v/>
      </c>
      <c r="Y75" t="str">
        <f ca="1">IFERROR(IF(0=LEN(ReferenceData!$Y$75),"",ReferenceData!$Y$75),"")</f>
        <v/>
      </c>
      <c r="Z75" t="str">
        <f ca="1">IFERROR(IF(0=LEN(ReferenceData!$Z$75),"",ReferenceData!$Z$75),"")</f>
        <v/>
      </c>
      <c r="AA75" t="str">
        <f ca="1">IFERROR(IF(0=LEN(ReferenceData!$AA$75),"",ReferenceData!$AA$75),"")</f>
        <v/>
      </c>
      <c r="AB75" t="str">
        <f ca="1">IFERROR(IF(0=LEN(ReferenceData!$AB$75),"",ReferenceData!$AB$75),"")</f>
        <v/>
      </c>
      <c r="AC75" t="str">
        <f ca="1">IFERROR(IF(0=LEN(ReferenceData!$AC$75),"",ReferenceData!$AC$75),"")</f>
        <v/>
      </c>
      <c r="AD75" t="str">
        <f ca="1">IFERROR(IF(0=LEN(ReferenceData!$AD$75),"",ReferenceData!$AD$75),"")</f>
        <v/>
      </c>
      <c r="AE75" t="str">
        <f ca="1">IFERROR(IF(0=LEN(ReferenceData!$AE$75),"",ReferenceData!$AE$75),"")</f>
        <v/>
      </c>
      <c r="AF75" t="str">
        <f ca="1">IFERROR(IF(0=LEN(ReferenceData!$AF$75),"",ReferenceData!$AF$75),"")</f>
        <v/>
      </c>
      <c r="AG75" t="str">
        <f ca="1">IFERROR(IF(0=LEN(ReferenceData!$AG$75),"",ReferenceData!$AG$75),"")</f>
        <v/>
      </c>
      <c r="AH75" t="str">
        <f ca="1">IFERROR(IF(0=LEN(ReferenceData!$AH$75),"",ReferenceData!$AH$75),"")</f>
        <v/>
      </c>
      <c r="AI75" t="str">
        <f ca="1">IFERROR(IF(0=LEN(ReferenceData!$AI$75),"",ReferenceData!$AI$75),"")</f>
        <v/>
      </c>
      <c r="AJ75" t="str">
        <f ca="1">IFERROR(IF(0=LEN(ReferenceData!$AJ$75),"",ReferenceData!$AJ$75),"")</f>
        <v/>
      </c>
      <c r="AK75" t="str">
        <f ca="1">IFERROR(IF(0=LEN(ReferenceData!$AK$75),"",ReferenceData!$AK$75),"")</f>
        <v/>
      </c>
      <c r="AL75" t="str">
        <f ca="1">IFERROR(IF(0=LEN(ReferenceData!$AL$75),"",ReferenceData!$AL$75),"")</f>
        <v/>
      </c>
      <c r="AM75" t="str">
        <f ca="1">IFERROR(IF(0=LEN(ReferenceData!$AM$75),"",ReferenceData!$AM$75),"")</f>
        <v/>
      </c>
      <c r="AN75" t="str">
        <f ca="1">IFERROR(IF(0=LEN(ReferenceData!$AN$75),"",ReferenceData!$AN$75),"")</f>
        <v/>
      </c>
      <c r="AO75" t="str">
        <f ca="1">IFERROR(IF(0=LEN(ReferenceData!$AO$75),"",ReferenceData!$AO$75),"")</f>
        <v/>
      </c>
      <c r="AP75" t="str">
        <f ca="1">IFERROR(IF(0=LEN(ReferenceData!$AP$75),"",ReferenceData!$AP$75),"")</f>
        <v/>
      </c>
      <c r="AQ75" t="str">
        <f ca="1">IFERROR(IF(0=LEN(ReferenceData!$AQ$75),"",ReferenceData!$AQ$75),"")</f>
        <v/>
      </c>
      <c r="AR75" t="str">
        <f ca="1">IFERROR(IF(0=LEN(ReferenceData!$AR$75),"",ReferenceData!$AR$75),"")</f>
        <v/>
      </c>
      <c r="AS75" t="str">
        <f ca="1">IFERROR(IF(0=LEN(ReferenceData!$AS$75),"",ReferenceData!$AS$75),"")</f>
        <v/>
      </c>
      <c r="AT75" t="str">
        <f ca="1">IFERROR(IF(0=LEN(ReferenceData!$AT$75),"",ReferenceData!$AT$75),"")</f>
        <v/>
      </c>
      <c r="AU75" t="str">
        <f ca="1">IFERROR(IF(0=LEN(ReferenceData!$AU$75),"",ReferenceData!$AU$75),"")</f>
        <v/>
      </c>
      <c r="AV75" t="str">
        <f ca="1">IFERROR(IF(0=LEN(ReferenceData!$AV$75),"",ReferenceData!$AV$75),"")</f>
        <v/>
      </c>
      <c r="AW75" t="str">
        <f ca="1">IFERROR(IF(0=LEN(ReferenceData!$AW$75),"",ReferenceData!$AW$75),"")</f>
        <v/>
      </c>
      <c r="AX75" t="str">
        <f ca="1">IFERROR(IF(0=LEN(ReferenceData!$AX$75),"",ReferenceData!$AX$75),"")</f>
        <v/>
      </c>
      <c r="AY75" t="str">
        <f ca="1">IFERROR(IF(0=LEN(ReferenceData!$AY$75),"",ReferenceData!$AY$75),"")</f>
        <v/>
      </c>
      <c r="AZ75" t="str">
        <f ca="1">IFERROR(IF(0=LEN(ReferenceData!$AZ$75),"",ReferenceData!$AZ$75),"")</f>
        <v/>
      </c>
      <c r="BA75" t="str">
        <f ca="1">IFERROR(IF(0=LEN(ReferenceData!$BA$75),"",ReferenceData!$BA$75),"")</f>
        <v/>
      </c>
      <c r="BB75" t="str">
        <f ca="1">IFERROR(IF(0=LEN(ReferenceData!$BB$75),"",ReferenceData!$BB$75),"")</f>
        <v/>
      </c>
      <c r="BC75" t="str">
        <f ca="1">IFERROR(IF(0=LEN(ReferenceData!$BC$75),"",ReferenceData!$BC$75),"")</f>
        <v/>
      </c>
      <c r="BD75" t="str">
        <f ca="1">IFERROR(IF(0=LEN(ReferenceData!$BD$75),"",ReferenceData!$BD$75),"")</f>
        <v/>
      </c>
      <c r="BE75" t="str">
        <f ca="1">IFERROR(IF(0=LEN(ReferenceData!$BE$75),"",ReferenceData!$BE$75),"")</f>
        <v/>
      </c>
      <c r="BF75" t="str">
        <f ca="1">IFERROR(IF(0=LEN(ReferenceData!$BF$75),"",ReferenceData!$BF$75),"")</f>
        <v/>
      </c>
      <c r="BG75" t="str">
        <f ca="1">IFERROR(IF(0=LEN(ReferenceData!$BG$75),"",ReferenceData!$BG$75),"")</f>
        <v/>
      </c>
      <c r="BH75" t="str">
        <f ca="1">IFERROR(IF(0=LEN(ReferenceData!$BH$75),"",ReferenceData!$BH$75),"")</f>
        <v/>
      </c>
      <c r="BI75" t="str">
        <f ca="1">IFERROR(IF(0=LEN(ReferenceData!$BI$75),"",ReferenceData!$BI$75),"")</f>
        <v/>
      </c>
      <c r="BJ75" t="str">
        <f ca="1">IFERROR(IF(0=LEN(ReferenceData!$BJ$75),"",ReferenceData!$BJ$75),"")</f>
        <v/>
      </c>
      <c r="BK75" t="str">
        <f ca="1">IFERROR(IF(0=LEN(ReferenceData!$BK$75),"",ReferenceData!$BK$75),"")</f>
        <v/>
      </c>
      <c r="BL75" t="str">
        <f ca="1">IFERROR(IF(0=LEN(ReferenceData!$BL$75),"",ReferenceData!$BL$75),"")</f>
        <v/>
      </c>
      <c r="BM75" t="str">
        <f ca="1">IFERROR(IF(0=LEN(ReferenceData!$BM$75),"",ReferenceData!$BM$75),"")</f>
        <v/>
      </c>
    </row>
    <row r="76" spans="1:65" x14ac:dyDescent="0.25">
      <c r="A76" t="str">
        <f>IFERROR(IF(0=LEN(ReferenceData!$A$76),"",ReferenceData!$A$76),"")</f>
        <v xml:space="preserve">    Luxury Division</v>
      </c>
      <c r="B76" t="str">
        <f>IFERROR(IF(0=LEN(ReferenceData!$B$76),"",ReferenceData!$B$76),"")</f>
        <v/>
      </c>
      <c r="C76" t="str">
        <f>IFERROR(IF(0=LEN(ReferenceData!$C$76),"",ReferenceData!$C$76),"")</f>
        <v/>
      </c>
      <c r="D76" t="str">
        <f>IFERROR(IF(0=LEN(ReferenceData!$D$76),"",ReferenceData!$D$76),"")</f>
        <v/>
      </c>
      <c r="E76" t="str">
        <f>IFERROR(IF(0=LEN(ReferenceData!$E$76),"",ReferenceData!$E$76),"")</f>
        <v>Static</v>
      </c>
      <c r="F76" t="str">
        <f ca="1">IFERROR(IF(0=LEN(ReferenceData!$F$76),"",ReferenceData!$F$76),"")</f>
        <v/>
      </c>
      <c r="G76" t="str">
        <f ca="1">IFERROR(IF(0=LEN(ReferenceData!$G$76),"",ReferenceData!$G$76),"")</f>
        <v/>
      </c>
      <c r="H76" t="str">
        <f ca="1">IFERROR(IF(0=LEN(ReferenceData!$H$76),"",ReferenceData!$H$76),"")</f>
        <v/>
      </c>
      <c r="I76" t="str">
        <f ca="1">IFERROR(IF(0=LEN(ReferenceData!$I$76),"",ReferenceData!$I$76),"")</f>
        <v/>
      </c>
      <c r="J76" t="str">
        <f ca="1">IFERROR(IF(0=LEN(ReferenceData!$J$76),"",ReferenceData!$J$76),"")</f>
        <v/>
      </c>
      <c r="K76" t="str">
        <f ca="1">IFERROR(IF(0=LEN(ReferenceData!$K$76),"",ReferenceData!$K$76),"")</f>
        <v/>
      </c>
      <c r="L76" t="str">
        <f ca="1">IFERROR(IF(0=LEN(ReferenceData!$L$76),"",ReferenceData!$L$76),"")</f>
        <v/>
      </c>
      <c r="M76" t="str">
        <f ca="1">IFERROR(IF(0=LEN(ReferenceData!$M$76),"",ReferenceData!$M$76),"")</f>
        <v/>
      </c>
      <c r="N76" t="str">
        <f ca="1">IFERROR(IF(0=LEN(ReferenceData!$N$76),"",ReferenceData!$N$76),"")</f>
        <v/>
      </c>
      <c r="O76" t="str">
        <f ca="1">IFERROR(IF(0=LEN(ReferenceData!$O$76),"",ReferenceData!$O$76),"")</f>
        <v/>
      </c>
      <c r="P76" t="str">
        <f ca="1">IFERROR(IF(0=LEN(ReferenceData!$P$76),"",ReferenceData!$P$76),"")</f>
        <v/>
      </c>
      <c r="Q76" t="str">
        <f ca="1">IFERROR(IF(0=LEN(ReferenceData!$Q$76),"",ReferenceData!$Q$76),"")</f>
        <v/>
      </c>
      <c r="R76" t="str">
        <f ca="1">IFERROR(IF(0=LEN(ReferenceData!$R$76),"",ReferenceData!$R$76),"")</f>
        <v/>
      </c>
      <c r="S76" t="str">
        <f ca="1">IFERROR(IF(0=LEN(ReferenceData!$S$76),"",ReferenceData!$S$76),"")</f>
        <v/>
      </c>
      <c r="T76" t="str">
        <f ca="1">IFERROR(IF(0=LEN(ReferenceData!$T$76),"",ReferenceData!$T$76),"")</f>
        <v/>
      </c>
      <c r="U76" t="str">
        <f ca="1">IFERROR(IF(0=LEN(ReferenceData!$U$76),"",ReferenceData!$U$76),"")</f>
        <v/>
      </c>
      <c r="V76" t="str">
        <f ca="1">IFERROR(IF(0=LEN(ReferenceData!$V$76),"",ReferenceData!$V$76),"")</f>
        <v/>
      </c>
      <c r="W76" t="str">
        <f ca="1">IFERROR(IF(0=LEN(ReferenceData!$W$76),"",ReferenceData!$W$76),"")</f>
        <v/>
      </c>
      <c r="X76" t="str">
        <f ca="1">IFERROR(IF(0=LEN(ReferenceData!$X$76),"",ReferenceData!$X$76),"")</f>
        <v/>
      </c>
      <c r="Y76" t="str">
        <f ca="1">IFERROR(IF(0=LEN(ReferenceData!$Y$76),"",ReferenceData!$Y$76),"")</f>
        <v/>
      </c>
      <c r="Z76" t="str">
        <f ca="1">IFERROR(IF(0=LEN(ReferenceData!$Z$76),"",ReferenceData!$Z$76),"")</f>
        <v/>
      </c>
      <c r="AA76" t="str">
        <f ca="1">IFERROR(IF(0=LEN(ReferenceData!$AA$76),"",ReferenceData!$AA$76),"")</f>
        <v/>
      </c>
      <c r="AB76" t="str">
        <f ca="1">IFERROR(IF(0=LEN(ReferenceData!$AB$76),"",ReferenceData!$AB$76),"")</f>
        <v/>
      </c>
      <c r="AC76" t="str">
        <f ca="1">IFERROR(IF(0=LEN(ReferenceData!$AC$76),"",ReferenceData!$AC$76),"")</f>
        <v/>
      </c>
      <c r="AD76" t="str">
        <f ca="1">IFERROR(IF(0=LEN(ReferenceData!$AD$76),"",ReferenceData!$AD$76),"")</f>
        <v/>
      </c>
      <c r="AE76" t="str">
        <f ca="1">IFERROR(IF(0=LEN(ReferenceData!$AE$76),"",ReferenceData!$AE$76),"")</f>
        <v/>
      </c>
      <c r="AF76" t="str">
        <f ca="1">IFERROR(IF(0=LEN(ReferenceData!$AF$76),"",ReferenceData!$AF$76),"")</f>
        <v/>
      </c>
      <c r="AG76" t="str">
        <f ca="1">IFERROR(IF(0=LEN(ReferenceData!$AG$76),"",ReferenceData!$AG$76),"")</f>
        <v/>
      </c>
      <c r="AH76" t="str">
        <f ca="1">IFERROR(IF(0=LEN(ReferenceData!$AH$76),"",ReferenceData!$AH$76),"")</f>
        <v/>
      </c>
      <c r="AI76" t="str">
        <f ca="1">IFERROR(IF(0=LEN(ReferenceData!$AI$76),"",ReferenceData!$AI$76),"")</f>
        <v/>
      </c>
      <c r="AJ76" t="str">
        <f ca="1">IFERROR(IF(0=LEN(ReferenceData!$AJ$76),"",ReferenceData!$AJ$76),"")</f>
        <v/>
      </c>
      <c r="AK76" t="str">
        <f ca="1">IFERROR(IF(0=LEN(ReferenceData!$AK$76),"",ReferenceData!$AK$76),"")</f>
        <v/>
      </c>
      <c r="AL76" t="str">
        <f ca="1">IFERROR(IF(0=LEN(ReferenceData!$AL$76),"",ReferenceData!$AL$76),"")</f>
        <v/>
      </c>
      <c r="AM76" t="str">
        <f ca="1">IFERROR(IF(0=LEN(ReferenceData!$AM$76),"",ReferenceData!$AM$76),"")</f>
        <v/>
      </c>
      <c r="AN76" t="str">
        <f ca="1">IFERROR(IF(0=LEN(ReferenceData!$AN$76),"",ReferenceData!$AN$76),"")</f>
        <v/>
      </c>
      <c r="AO76" t="str">
        <f ca="1">IFERROR(IF(0=LEN(ReferenceData!$AO$76),"",ReferenceData!$AO$76),"")</f>
        <v/>
      </c>
      <c r="AP76" t="str">
        <f ca="1">IFERROR(IF(0=LEN(ReferenceData!$AP$76),"",ReferenceData!$AP$76),"")</f>
        <v/>
      </c>
      <c r="AQ76" t="str">
        <f ca="1">IFERROR(IF(0=LEN(ReferenceData!$AQ$76),"",ReferenceData!$AQ$76),"")</f>
        <v/>
      </c>
      <c r="AR76" t="str">
        <f ca="1">IFERROR(IF(0=LEN(ReferenceData!$AR$76),"",ReferenceData!$AR$76),"")</f>
        <v/>
      </c>
      <c r="AS76" t="str">
        <f ca="1">IFERROR(IF(0=LEN(ReferenceData!$AS$76),"",ReferenceData!$AS$76),"")</f>
        <v/>
      </c>
      <c r="AT76" t="str">
        <f ca="1">IFERROR(IF(0=LEN(ReferenceData!$AT$76),"",ReferenceData!$AT$76),"")</f>
        <v/>
      </c>
      <c r="AU76" t="str">
        <f ca="1">IFERROR(IF(0=LEN(ReferenceData!$AU$76),"",ReferenceData!$AU$76),"")</f>
        <v/>
      </c>
      <c r="AV76" t="str">
        <f ca="1">IFERROR(IF(0=LEN(ReferenceData!$AV$76),"",ReferenceData!$AV$76),"")</f>
        <v/>
      </c>
      <c r="AW76" t="str">
        <f ca="1">IFERROR(IF(0=LEN(ReferenceData!$AW$76),"",ReferenceData!$AW$76),"")</f>
        <v/>
      </c>
      <c r="AX76" t="str">
        <f ca="1">IFERROR(IF(0=LEN(ReferenceData!$AX$76),"",ReferenceData!$AX$76),"")</f>
        <v/>
      </c>
      <c r="AY76" t="str">
        <f ca="1">IFERROR(IF(0=LEN(ReferenceData!$AY$76),"",ReferenceData!$AY$76),"")</f>
        <v/>
      </c>
      <c r="AZ76" t="str">
        <f ca="1">IFERROR(IF(0=LEN(ReferenceData!$AZ$76),"",ReferenceData!$AZ$76),"")</f>
        <v/>
      </c>
      <c r="BA76" t="str">
        <f ca="1">IFERROR(IF(0=LEN(ReferenceData!$BA$76),"",ReferenceData!$BA$76),"")</f>
        <v/>
      </c>
      <c r="BB76" t="str">
        <f ca="1">IFERROR(IF(0=LEN(ReferenceData!$BB$76),"",ReferenceData!$BB$76),"")</f>
        <v/>
      </c>
      <c r="BC76" t="str">
        <f ca="1">IFERROR(IF(0=LEN(ReferenceData!$BC$76),"",ReferenceData!$BC$76),"")</f>
        <v/>
      </c>
      <c r="BD76" t="str">
        <f ca="1">IFERROR(IF(0=LEN(ReferenceData!$BD$76),"",ReferenceData!$BD$76),"")</f>
        <v/>
      </c>
      <c r="BE76" t="str">
        <f ca="1">IFERROR(IF(0=LEN(ReferenceData!$BE$76),"",ReferenceData!$BE$76),"")</f>
        <v/>
      </c>
      <c r="BF76" t="str">
        <f ca="1">IFERROR(IF(0=LEN(ReferenceData!$BF$76),"",ReferenceData!$BF$76),"")</f>
        <v/>
      </c>
      <c r="BG76" t="str">
        <f ca="1">IFERROR(IF(0=LEN(ReferenceData!$BG$76),"",ReferenceData!$BG$76),"")</f>
        <v/>
      </c>
      <c r="BH76" t="str">
        <f ca="1">IFERROR(IF(0=LEN(ReferenceData!$BH$76),"",ReferenceData!$BH$76),"")</f>
        <v/>
      </c>
      <c r="BI76" t="str">
        <f ca="1">IFERROR(IF(0=LEN(ReferenceData!$BI$76),"",ReferenceData!$BI$76),"")</f>
        <v/>
      </c>
      <c r="BJ76" t="str">
        <f ca="1">IFERROR(IF(0=LEN(ReferenceData!$BJ$76),"",ReferenceData!$BJ$76),"")</f>
        <v/>
      </c>
      <c r="BK76" t="str">
        <f ca="1">IFERROR(IF(0=LEN(ReferenceData!$BK$76),"",ReferenceData!$BK$76),"")</f>
        <v/>
      </c>
      <c r="BL76" t="str">
        <f ca="1">IFERROR(IF(0=LEN(ReferenceData!$BL$76),"",ReferenceData!$BL$76),"")</f>
        <v/>
      </c>
      <c r="BM76" t="str">
        <f ca="1">IFERROR(IF(0=LEN(ReferenceData!$BM$76),"",ReferenceData!$BM$76),"")</f>
        <v/>
      </c>
    </row>
    <row r="77" spans="1:65" x14ac:dyDescent="0.25">
      <c r="A77" t="str">
        <f>IFERROR(IF(0=LEN(ReferenceData!$A$77),"",ReferenceData!$A$77),"")</f>
        <v xml:space="preserve">        Revenue</v>
      </c>
      <c r="B77" t="str">
        <f>IFERROR(IF(0=LEN(ReferenceData!$B$77),"",ReferenceData!$B$77),"")</f>
        <v>KER FP Equity</v>
      </c>
      <c r="C77" t="str">
        <f>IFERROR(IF(0=LEN(ReferenceData!$C$77),"",ReferenceData!$C$77),"")</f>
        <v>BI047</v>
      </c>
      <c r="D77" t="str">
        <f>IFERROR(IF(0=LEN(ReferenceData!$D$77),"",ReferenceData!$D$77),"")</f>
        <v>BICS_SEGMENT_DATA</v>
      </c>
      <c r="E77" t="str">
        <f>IFERROR(IF(0=LEN(ReferenceData!$E$77),"",ReferenceData!$E$77),"")</f>
        <v>Dynamic</v>
      </c>
      <c r="F77" t="str">
        <f ca="1">IFERROR(IF(0=LEN(ReferenceData!$F$77),"",ReferenceData!$F$77),"")</f>
        <v/>
      </c>
      <c r="G77">
        <f ca="1">IFERROR(IF(0=LEN(ReferenceData!$G$77),"",ReferenceData!$G$77),"")</f>
        <v>4041.8</v>
      </c>
      <c r="H77">
        <f ca="1">IFERROR(IF(0=LEN(ReferenceData!$H$77),"",ReferenceData!$H$77),"")</f>
        <v>3981.1</v>
      </c>
      <c r="I77">
        <f ca="1">IFERROR(IF(0=LEN(ReferenceData!$I$77),"",ReferenceData!$I$77),"")</f>
        <v>3726.9</v>
      </c>
      <c r="J77">
        <f ca="1">IFERROR(IF(0=LEN(ReferenceData!$J$77),"",ReferenceData!$J$77),"")</f>
        <v>3901</v>
      </c>
      <c r="K77">
        <f ca="1">IFERROR(IF(0=LEN(ReferenceData!$K$77),"",ReferenceData!$K$77),"")</f>
        <v>3600.1</v>
      </c>
      <c r="L77">
        <f ca="1">IFERROR(IF(0=LEN(ReferenceData!$L$77),"",ReferenceData!$L$77),"")</f>
        <v>2109.8000000000002</v>
      </c>
      <c r="M77">
        <f ca="1">IFERROR(IF(0=LEN(ReferenceData!$M$77),"",ReferenceData!$M$77),"")</f>
        <v>3065.7</v>
      </c>
      <c r="N77">
        <f ca="1">IFERROR(IF(0=LEN(ReferenceData!$N$77),"",ReferenceData!$N$77),"")</f>
        <v>4240.3999999999996</v>
      </c>
      <c r="O77">
        <f ca="1">IFERROR(IF(0=LEN(ReferenceData!$O$77),"",ReferenceData!$O$77),"")</f>
        <v>3777.8</v>
      </c>
      <c r="P77">
        <f ca="1">IFERROR(IF(0=LEN(ReferenceData!$P$77),"",ReferenceData!$P$77),"")</f>
        <v>3716.3</v>
      </c>
      <c r="Q77">
        <f ca="1">IFERROR(IF(0=LEN(ReferenceData!$Q$77),"",ReferenceData!$Q$77),"")</f>
        <v>3648.1</v>
      </c>
      <c r="R77">
        <f ca="1">IFERROR(IF(0=LEN(ReferenceData!$R$77),"",ReferenceData!$R$77),"")</f>
        <v>3795.837</v>
      </c>
      <c r="S77">
        <f ca="1">IFERROR(IF(0=LEN(ReferenceData!$S$77),"",ReferenceData!$S$77),"")</f>
        <v>3318.2</v>
      </c>
      <c r="T77">
        <f ca="1">IFERROR(IF(0=LEN(ReferenceData!$T$77),"",ReferenceData!$T$77),"")</f>
        <v>3211</v>
      </c>
      <c r="U77">
        <f ca="1">IFERROR(IF(0=LEN(ReferenceData!$U$77),"",ReferenceData!$U$77),"")</f>
        <v>2999.3</v>
      </c>
      <c r="V77">
        <f ca="1">IFERROR(IF(0=LEN(ReferenceData!$V$77),"",ReferenceData!$V$77),"")</f>
        <v>3086.8</v>
      </c>
      <c r="W77">
        <f ca="1">IFERROR(IF(0=LEN(ReferenceData!$W$77),"",ReferenceData!$W$77),"")</f>
        <v>2608.9</v>
      </c>
      <c r="X77">
        <f ca="1">IFERROR(IF(0=LEN(ReferenceData!$X$77),"",ReferenceData!$X$77),"")</f>
        <v>2678.7</v>
      </c>
      <c r="Y77">
        <f ca="1">IFERROR(IF(0=LEN(ReferenceData!$Y$77),"",ReferenceData!$Y$77),"")</f>
        <v>2352.5</v>
      </c>
      <c r="Z77">
        <f ca="1">IFERROR(IF(0=LEN(ReferenceData!$Z$77),"",ReferenceData!$Z$77),"")</f>
        <v>2476.6</v>
      </c>
      <c r="AA77">
        <f ca="1">IFERROR(IF(0=LEN(ReferenceData!$AA$77),"",ReferenceData!$AA$77),"")</f>
        <v>2114.9</v>
      </c>
      <c r="AB77">
        <f ca="1">IFERROR(IF(0=LEN(ReferenceData!$AB$77),"",ReferenceData!$AB$77),"")</f>
        <v>2074.1999999999998</v>
      </c>
      <c r="AC77">
        <f ca="1">IFERROR(IF(0=LEN(ReferenceData!$AC$77),"",ReferenceData!$AC$77),"")</f>
        <v>1803.7</v>
      </c>
      <c r="AD77">
        <f ca="1">IFERROR(IF(0=LEN(ReferenceData!$AD$77),"",ReferenceData!$AD$77),"")</f>
        <v>2214.8000000000002</v>
      </c>
      <c r="AE77">
        <f ca="1">IFERROR(IF(0=LEN(ReferenceData!$AE$77),"",ReferenceData!$AE$77),"")</f>
        <v>1888.5</v>
      </c>
      <c r="AF77">
        <f ca="1">IFERROR(IF(0=LEN(ReferenceData!$AF$77),"",ReferenceData!$AF$77),"")</f>
        <v>2008</v>
      </c>
      <c r="AG77">
        <f ca="1">IFERROR(IF(0=LEN(ReferenceData!$AG$77),"",ReferenceData!$AG$77),"")</f>
        <v>1754</v>
      </c>
      <c r="AH77">
        <f ca="1">IFERROR(IF(0=LEN(ReferenceData!$AH$77),"",ReferenceData!$AH$77),"")</f>
        <v>1909.1</v>
      </c>
      <c r="AI77">
        <f ca="1">IFERROR(IF(0=LEN(ReferenceData!$AI$77),"",ReferenceData!$AI$77),"")</f>
        <v>1655.9</v>
      </c>
      <c r="AJ77">
        <f ca="1">IFERROR(IF(0=LEN(ReferenceData!$AJ$77),"",ReferenceData!$AJ$77),"")</f>
        <v>1629.7</v>
      </c>
      <c r="AK77">
        <f ca="1">IFERROR(IF(0=LEN(ReferenceData!$AK$77),"",ReferenceData!$AK$77),"")</f>
        <v>1601</v>
      </c>
      <c r="AL77">
        <f ca="1">IFERROR(IF(0=LEN(ReferenceData!$AL$77),"",ReferenceData!$AL$77),"")</f>
        <v>1774.7</v>
      </c>
      <c r="AM77">
        <f ca="1">IFERROR(IF(0=LEN(ReferenceData!$AM$77),"",ReferenceData!$AM$77),"")</f>
        <v>1617.1</v>
      </c>
      <c r="AN77">
        <f ca="1">IFERROR(IF(0=LEN(ReferenceData!$AN$77),"",ReferenceData!$AN$77),"")</f>
        <v>1555</v>
      </c>
      <c r="AO77">
        <f ca="1">IFERROR(IF(0=LEN(ReferenceData!$AO$77),"",ReferenceData!$AO$77),"")</f>
        <v>1522.9</v>
      </c>
      <c r="AP77">
        <f ca="1">IFERROR(IF(0=LEN(ReferenceData!$AP$77),"",ReferenceData!$AP$77),"")</f>
        <v>1694.9</v>
      </c>
      <c r="AQ77">
        <f ca="1">IFERROR(IF(0=LEN(ReferenceData!$AQ$77),"",ReferenceData!$AQ$77),"")</f>
        <v>1592.9</v>
      </c>
      <c r="AR77">
        <f ca="1">IFERROR(IF(0=LEN(ReferenceData!$AR$77),"",ReferenceData!$AR$77),"")</f>
        <v>1466.6</v>
      </c>
      <c r="AS77">
        <f ca="1">IFERROR(IF(0=LEN(ReferenceData!$AS$77),"",ReferenceData!$AS$77),"")</f>
        <v>1457.9</v>
      </c>
      <c r="AT77" t="str">
        <f ca="1">IFERROR(IF(0=LEN(ReferenceData!$AT$77),"",ReferenceData!$AT$77),"")</f>
        <v/>
      </c>
      <c r="AU77" t="str">
        <f ca="1">IFERROR(IF(0=LEN(ReferenceData!$AU$77),"",ReferenceData!$AU$77),"")</f>
        <v/>
      </c>
      <c r="AV77">
        <f ca="1">IFERROR(IF(0=LEN(ReferenceData!$AV$77),"",ReferenceData!$AV$77),"")</f>
        <v>1107.8</v>
      </c>
      <c r="AW77">
        <f ca="1">IFERROR(IF(0=LEN(ReferenceData!$AW$77),"",ReferenceData!$AW$77),"")</f>
        <v>1129.2</v>
      </c>
      <c r="AX77">
        <f ca="1">IFERROR(IF(0=LEN(ReferenceData!$AX$77),"",ReferenceData!$AX$77),"")</f>
        <v>1145.5999999999999</v>
      </c>
      <c r="AY77">
        <f ca="1">IFERROR(IF(0=LEN(ReferenceData!$AY$77),"",ReferenceData!$AY$77),"")</f>
        <v>1041</v>
      </c>
      <c r="AZ77">
        <f ca="1">IFERROR(IF(0=LEN(ReferenceData!$AZ$77),"",ReferenceData!$AZ$77),"")</f>
        <v>929.3</v>
      </c>
      <c r="BA77">
        <f ca="1">IFERROR(IF(0=LEN(ReferenceData!$BA$77),"",ReferenceData!$BA$77),"")</f>
        <v>894.8</v>
      </c>
      <c r="BB77">
        <f ca="1">IFERROR(IF(0=LEN(ReferenceData!$BB$77),"",ReferenceData!$BB$77),"")</f>
        <v>929.2</v>
      </c>
      <c r="BC77">
        <f ca="1">IFERROR(IF(0=LEN(ReferenceData!$BC$77),"",ReferenceData!$BC$77),"")</f>
        <v>819</v>
      </c>
      <c r="BD77">
        <f ca="1">IFERROR(IF(0=LEN(ReferenceData!$BD$77),"",ReferenceData!$BD$77),"")</f>
        <v>787.3</v>
      </c>
      <c r="BE77">
        <f ca="1">IFERROR(IF(0=LEN(ReferenceData!$BE$77),"",ReferenceData!$BE$77),"")</f>
        <v>854.8</v>
      </c>
      <c r="BF77" t="str">
        <f ca="1">IFERROR(IF(0=LEN(ReferenceData!$BF$77),"",ReferenceData!$BF$77),"")</f>
        <v/>
      </c>
      <c r="BG77" t="str">
        <f ca="1">IFERROR(IF(0=LEN(ReferenceData!$BG$77),"",ReferenceData!$BG$77),"")</f>
        <v/>
      </c>
      <c r="BH77" t="str">
        <f ca="1">IFERROR(IF(0=LEN(ReferenceData!$BH$77),"",ReferenceData!$BH$77),"")</f>
        <v/>
      </c>
      <c r="BI77" t="str">
        <f ca="1">IFERROR(IF(0=LEN(ReferenceData!$BI$77),"",ReferenceData!$BI$77),"")</f>
        <v/>
      </c>
      <c r="BJ77" t="str">
        <f ca="1">IFERROR(IF(0=LEN(ReferenceData!$BJ$77),"",ReferenceData!$BJ$77),"")</f>
        <v/>
      </c>
      <c r="BK77" t="str">
        <f ca="1">IFERROR(IF(0=LEN(ReferenceData!$BK$77),"",ReferenceData!$BK$77),"")</f>
        <v/>
      </c>
      <c r="BL77" t="str">
        <f ca="1">IFERROR(IF(0=LEN(ReferenceData!$BL$77),"",ReferenceData!$BL$77),"")</f>
        <v/>
      </c>
      <c r="BM77" t="str">
        <f ca="1">IFERROR(IF(0=LEN(ReferenceData!$BM$77),"",ReferenceData!$BM$77),"")</f>
        <v/>
      </c>
    </row>
    <row r="78" spans="1:65" x14ac:dyDescent="0.25">
      <c r="A78" t="str">
        <f>IFERROR(IF(0=LEN(ReferenceData!$A$78),"",ReferenceData!$A$78),"")</f>
        <v xml:space="preserve">            of Total Kering Sales (%)</v>
      </c>
      <c r="B78" t="str">
        <f>IFERROR(IF(0=LEN(ReferenceData!$B$78),"",ReferenceData!$B$78),"")</f>
        <v>KER FP Equity</v>
      </c>
      <c r="C78" t="str">
        <f>IFERROR(IF(0=LEN(ReferenceData!$C$78),"",ReferenceData!$C$78),"")</f>
        <v/>
      </c>
      <c r="D78" t="str">
        <f>IFERROR(IF(0=LEN(ReferenceData!$D$78),"",ReferenceData!$D$78),"")</f>
        <v/>
      </c>
      <c r="E78" t="str">
        <f>IFERROR(IF(0=LEN(ReferenceData!$E$78),"",ReferenceData!$E$78),"")</f>
        <v>Expression</v>
      </c>
      <c r="F78" t="str">
        <f ca="1">IFERROR(IF(0=LEN(ReferenceData!$F$78),"",ReferenceData!$F$78),"")</f>
        <v/>
      </c>
      <c r="G78">
        <f ca="1">IFERROR(IF(0=LEN(ReferenceData!$G$78),"",ReferenceData!$G$78),"")</f>
        <v>96.513682599999996</v>
      </c>
      <c r="H78">
        <f ca="1">IFERROR(IF(0=LEN(ReferenceData!$H$78),"",ReferenceData!$H$78),"")</f>
        <v>95.76397575</v>
      </c>
      <c r="I78">
        <f ca="1">IFERROR(IF(0=LEN(ReferenceData!$I$78),"",ReferenceData!$I$78),"")</f>
        <v>95.807197939999995</v>
      </c>
      <c r="J78">
        <f ca="1">IFERROR(IF(0=LEN(ReferenceData!$J$78),"",ReferenceData!$J$78),"")</f>
        <v>97.422706160000004</v>
      </c>
      <c r="K78">
        <f ca="1">IFERROR(IF(0=LEN(ReferenceData!$K$78),"",ReferenceData!$K$78),"")</f>
        <v>96.836753909999999</v>
      </c>
      <c r="L78">
        <f ca="1">IFERROR(IF(0=LEN(ReferenceData!$L$78),"",ReferenceData!$L$78),"")</f>
        <v>96.99783918</v>
      </c>
      <c r="M78">
        <f ca="1">IFERROR(IF(0=LEN(ReferenceData!$M$78),"",ReferenceData!$M$78),"")</f>
        <v>95.707417579999998</v>
      </c>
      <c r="N78">
        <f ca="1">IFERROR(IF(0=LEN(ReferenceData!$N$78),"",ReferenceData!$N$78),"")</f>
        <v>97.245728700000001</v>
      </c>
      <c r="O78">
        <f ca="1">IFERROR(IF(0=LEN(ReferenceData!$O$78),"",ReferenceData!$O$78),"")</f>
        <v>97.250682179999998</v>
      </c>
      <c r="P78">
        <f ca="1">IFERROR(IF(0=LEN(ReferenceData!$P$78),"",ReferenceData!$P$78),"")</f>
        <v>96.449612000000002</v>
      </c>
      <c r="Q78">
        <f ca="1">IFERROR(IF(0=LEN(ReferenceData!$Q$78),"",ReferenceData!$Q$78),"")</f>
        <v>96.375452409999994</v>
      </c>
      <c r="R78">
        <f ca="1">IFERROR(IF(0=LEN(ReferenceData!$R$78),"",ReferenceData!$R$78),"")</f>
        <v>99.123544159999994</v>
      </c>
      <c r="S78">
        <f ca="1">IFERROR(IF(0=LEN(ReferenceData!$S$78),"",ReferenceData!$S$78),"")</f>
        <v>97.536743090000002</v>
      </c>
      <c r="T78">
        <f ca="1">IFERROR(IF(0=LEN(ReferenceData!$T$78),"",ReferenceData!$T$78),"")</f>
        <v>96.542393270000005</v>
      </c>
      <c r="U78">
        <f ca="1">IFERROR(IF(0=LEN(ReferenceData!$U$78),"",ReferenceData!$U$78),"")</f>
        <v>96.558495910000005</v>
      </c>
      <c r="V78">
        <f ca="1">IFERROR(IF(0=LEN(ReferenceData!$V$78),"",ReferenceData!$V$78),"")</f>
        <v>72.519675789999994</v>
      </c>
      <c r="W78">
        <f ca="1">IFERROR(IF(0=LEN(ReferenceData!$W$78),"",ReferenceData!$W$78),"")</f>
        <v>97.887588170000001</v>
      </c>
      <c r="X78">
        <f ca="1">IFERROR(IF(0=LEN(ReferenceData!$X$78),"",ReferenceData!$X$78),"")</f>
        <v>101.9447404</v>
      </c>
      <c r="Y78">
        <f ca="1">IFERROR(IF(0=LEN(ReferenceData!$Y$78),"",ReferenceData!$Y$78),"")</f>
        <v>65.831817549999997</v>
      </c>
      <c r="Z78">
        <f ca="1">IFERROR(IF(0=LEN(ReferenceData!$Z$78),"",ReferenceData!$Z$78),"")</f>
        <v>70.612722039999994</v>
      </c>
      <c r="AA78">
        <f ca="1">IFERROR(IF(0=LEN(ReferenceData!$AA$78),"",ReferenceData!$AA$78),"")</f>
        <v>66.408138910000005</v>
      </c>
      <c r="AB78">
        <f ca="1">IFERROR(IF(0=LEN(ReferenceData!$AB$78),"",ReferenceData!$AB$78),"")</f>
        <v>69.859553399999996</v>
      </c>
      <c r="AC78">
        <f ca="1">IFERROR(IF(0=LEN(ReferenceData!$AC$78),"",ReferenceData!$AC$78),"")</f>
        <v>66.219986779999999</v>
      </c>
      <c r="AD78">
        <f ca="1">IFERROR(IF(0=LEN(ReferenceData!$AD$78),"",ReferenceData!$AD$78),"")</f>
        <v>69.724539590000006</v>
      </c>
      <c r="AE78">
        <f ca="1">IFERROR(IF(0=LEN(ReferenceData!$AE$78),"",ReferenceData!$AE$78),"")</f>
        <v>65.228654320000004</v>
      </c>
      <c r="AF78">
        <f ca="1">IFERROR(IF(0=LEN(ReferenceData!$AF$78),"",ReferenceData!$AF$78),"")</f>
        <v>70.177891169999995</v>
      </c>
      <c r="AG78">
        <f ca="1">IFERROR(IF(0=LEN(ReferenceData!$AG$78),"",ReferenceData!$AG$78),"")</f>
        <v>66.163711809999995</v>
      </c>
      <c r="AH78">
        <f ca="1">IFERROR(IF(0=LEN(ReferenceData!$AH$78),"",ReferenceData!$AH$78),"")</f>
        <v>69.629440509999995</v>
      </c>
      <c r="AI78">
        <f ca="1">IFERROR(IF(0=LEN(ReferenceData!$AI$78),"",ReferenceData!$AI$78),"")</f>
        <v>64.050593739999997</v>
      </c>
      <c r="AJ78">
        <f ca="1">IFERROR(IF(0=LEN(ReferenceData!$AJ$78),"",ReferenceData!$AJ$78),"")</f>
        <v>69.37255236</v>
      </c>
      <c r="AK78">
        <f ca="1">IFERROR(IF(0=LEN(ReferenceData!$AK$78),"",ReferenceData!$AK$78),"")</f>
        <v>66.763969970000005</v>
      </c>
      <c r="AL78">
        <f ca="1">IFERROR(IF(0=LEN(ReferenceData!$AL$78),"",ReferenceData!$AL$78),"")</f>
        <v>70.371545260000005</v>
      </c>
      <c r="AM78">
        <f ca="1">IFERROR(IF(0=LEN(ReferenceData!$AM$78),"",ReferenceData!$AM$78),"")</f>
        <v>64.094332140000006</v>
      </c>
      <c r="AN78">
        <f ca="1">IFERROR(IF(0=LEN(ReferenceData!$AN$78),"",ReferenceData!$AN$78),"")</f>
        <v>67.374350089999993</v>
      </c>
      <c r="AO78">
        <f ca="1">IFERROR(IF(0=LEN(ReferenceData!$AO$78),"",ReferenceData!$AO$78),"")</f>
        <v>64.246540670000002</v>
      </c>
      <c r="AP78">
        <f ca="1">IFERROR(IF(0=LEN(ReferenceData!$AP$78),"",ReferenceData!$AP$78),"")</f>
        <v>66.150183440000006</v>
      </c>
      <c r="AQ78">
        <f ca="1">IFERROR(IF(0=LEN(ReferenceData!$AQ$78),"",ReferenceData!$AQ$78),"")</f>
        <v>62.212935479999999</v>
      </c>
      <c r="AR78">
        <f ca="1">IFERROR(IF(0=LEN(ReferenceData!$AR$78),"",ReferenceData!$AR$78),"")</f>
        <v>64.556739149999999</v>
      </c>
      <c r="AS78">
        <f ca="1">IFERROR(IF(0=LEN(ReferenceData!$AS$78),"",ReferenceData!$AS$78),"")</f>
        <v>62.252871599999999</v>
      </c>
      <c r="AT78" t="str">
        <f ca="1">IFERROR(IF(0=LEN(ReferenceData!$AT$78),"",ReferenceData!$AT$78),"")</f>
        <v/>
      </c>
      <c r="AU78" t="str">
        <f ca="1">IFERROR(IF(0=LEN(ReferenceData!$AU$78),"",ReferenceData!$AU$78),"")</f>
        <v/>
      </c>
      <c r="AV78">
        <f ca="1">IFERROR(IF(0=LEN(ReferenceData!$AV$78),"",ReferenceData!$AV$78),"")</f>
        <v>41.800618819999997</v>
      </c>
      <c r="AW78">
        <f ca="1">IFERROR(IF(0=LEN(ReferenceData!$AW$78),"",ReferenceData!$AW$78),"")</f>
        <v>40.017010419999998</v>
      </c>
      <c r="AX78">
        <f ca="1">IFERROR(IF(0=LEN(ReferenceData!$AX$78),"",ReferenceData!$AX$78),"")</f>
        <v>26.981323159999999</v>
      </c>
      <c r="AY78">
        <f ca="1">IFERROR(IF(0=LEN(ReferenceData!$AY$78),"",ReferenceData!$AY$78),"")</f>
        <v>29.158030360000001</v>
      </c>
      <c r="AZ78">
        <f ca="1">IFERROR(IF(0=LEN(ReferenceData!$AZ$78),"",ReferenceData!$AZ$78),"")</f>
        <v>23.174563590000002</v>
      </c>
      <c r="BA78">
        <f ca="1">IFERROR(IF(0=LEN(ReferenceData!$BA$78),"",ReferenceData!$BA$78),"")</f>
        <v>26.320743619999998</v>
      </c>
      <c r="BB78">
        <f ca="1">IFERROR(IF(0=LEN(ReferenceData!$BB$78),"",ReferenceData!$BB$78),"")</f>
        <v>19.66477609</v>
      </c>
      <c r="BC78">
        <f ca="1">IFERROR(IF(0=LEN(ReferenceData!$BC$78),"",ReferenceData!$BC$78),"")</f>
        <v>17.947930509999999</v>
      </c>
      <c r="BD78">
        <f ca="1">IFERROR(IF(0=LEN(ReferenceData!$BD$78),"",ReferenceData!$BD$78),"")</f>
        <v>17.659197450000001</v>
      </c>
      <c r="BE78">
        <f ca="1">IFERROR(IF(0=LEN(ReferenceData!$BE$78),"",ReferenceData!$BE$78),"")</f>
        <v>17.894075780000001</v>
      </c>
      <c r="BF78" t="str">
        <f ca="1">IFERROR(IF(0=LEN(ReferenceData!$BF$78),"",ReferenceData!$BF$78),"")</f>
        <v/>
      </c>
      <c r="BG78" t="str">
        <f ca="1">IFERROR(IF(0=LEN(ReferenceData!$BG$78),"",ReferenceData!$BG$78),"")</f>
        <v/>
      </c>
      <c r="BH78" t="str">
        <f ca="1">IFERROR(IF(0=LEN(ReferenceData!$BH$78),"",ReferenceData!$BH$78),"")</f>
        <v/>
      </c>
      <c r="BI78" t="str">
        <f ca="1">IFERROR(IF(0=LEN(ReferenceData!$BI$78),"",ReferenceData!$BI$78),"")</f>
        <v/>
      </c>
      <c r="BJ78" t="str">
        <f ca="1">IFERROR(IF(0=LEN(ReferenceData!$BJ$78),"",ReferenceData!$BJ$78),"")</f>
        <v/>
      </c>
      <c r="BK78" t="str">
        <f ca="1">IFERROR(IF(0=LEN(ReferenceData!$BK$78),"",ReferenceData!$BK$78),"")</f>
        <v/>
      </c>
      <c r="BL78" t="str">
        <f ca="1">IFERROR(IF(0=LEN(ReferenceData!$BL$78),"",ReferenceData!$BL$78),"")</f>
        <v/>
      </c>
      <c r="BM78" t="str">
        <f ca="1">IFERROR(IF(0=LEN(ReferenceData!$BM$78),"",ReferenceData!$BM$78),"")</f>
        <v/>
      </c>
    </row>
    <row r="79" spans="1:65" x14ac:dyDescent="0.25">
      <c r="A79" t="str">
        <f>IFERROR(IF(0=LEN(ReferenceData!$A$79),"",ReferenceData!$A$79),"")</f>
        <v xml:space="preserve">            of which are Retail Sales (%)</v>
      </c>
      <c r="B79" t="str">
        <f>IFERROR(IF(0=LEN(ReferenceData!$B$79),"",ReferenceData!$B$79),"")</f>
        <v>KER FP Equity</v>
      </c>
      <c r="C79" t="str">
        <f>IFERROR(IF(0=LEN(ReferenceData!$C$79),"",ReferenceData!$C$79),"")</f>
        <v>BI047</v>
      </c>
      <c r="D79" t="str">
        <f>IFERROR(IF(0=LEN(ReferenceData!$D$79),"",ReferenceData!$D$79),"")</f>
        <v>BICS_SEGMENT_DATA</v>
      </c>
      <c r="E79" t="str">
        <f>IFERROR(IF(0=LEN(ReferenceData!$E$79),"",ReferenceData!$E$79),"")</f>
        <v>Dynamic</v>
      </c>
      <c r="F79" t="str">
        <f ca="1">IFERROR(IF(0=LEN(ReferenceData!$F$79),"",ReferenceData!$F$79),"")</f>
        <v/>
      </c>
      <c r="G79" t="str">
        <f ca="1">IFERROR(IF(0=LEN(ReferenceData!$G$79),"",ReferenceData!$G$79),"")</f>
        <v/>
      </c>
      <c r="H79" t="str">
        <f ca="1">IFERROR(IF(0=LEN(ReferenceData!$H$79),"",ReferenceData!$H$79),"")</f>
        <v/>
      </c>
      <c r="I79" t="str">
        <f ca="1">IFERROR(IF(0=LEN(ReferenceData!$I$79),"",ReferenceData!$I$79),"")</f>
        <v/>
      </c>
      <c r="J79" t="str">
        <f ca="1">IFERROR(IF(0=LEN(ReferenceData!$J$79),"",ReferenceData!$J$79),"")</f>
        <v/>
      </c>
      <c r="K79" t="str">
        <f ca="1">IFERROR(IF(0=LEN(ReferenceData!$K$79),"",ReferenceData!$K$79),"")</f>
        <v/>
      </c>
      <c r="L79" t="str">
        <f ca="1">IFERROR(IF(0=LEN(ReferenceData!$L$79),"",ReferenceData!$L$79),"")</f>
        <v/>
      </c>
      <c r="M79" t="str">
        <f ca="1">IFERROR(IF(0=LEN(ReferenceData!$M$79),"",ReferenceData!$M$79),"")</f>
        <v/>
      </c>
      <c r="N79" t="str">
        <f ca="1">IFERROR(IF(0=LEN(ReferenceData!$N$79),"",ReferenceData!$N$79),"")</f>
        <v/>
      </c>
      <c r="O79" t="str">
        <f ca="1">IFERROR(IF(0=LEN(ReferenceData!$O$79),"",ReferenceData!$O$79),"")</f>
        <v/>
      </c>
      <c r="P79" t="str">
        <f ca="1">IFERROR(IF(0=LEN(ReferenceData!$P$79),"",ReferenceData!$P$79),"")</f>
        <v/>
      </c>
      <c r="Q79" t="str">
        <f ca="1">IFERROR(IF(0=LEN(ReferenceData!$Q$79),"",ReferenceData!$Q$79),"")</f>
        <v/>
      </c>
      <c r="R79" t="str">
        <f ca="1">IFERROR(IF(0=LEN(ReferenceData!$R$79),"",ReferenceData!$R$79),"")</f>
        <v/>
      </c>
      <c r="S79" t="str">
        <f ca="1">IFERROR(IF(0=LEN(ReferenceData!$S$79),"",ReferenceData!$S$79),"")</f>
        <v/>
      </c>
      <c r="T79" t="str">
        <f ca="1">IFERROR(IF(0=LEN(ReferenceData!$T$79),"",ReferenceData!$T$79),"")</f>
        <v/>
      </c>
      <c r="U79" t="str">
        <f ca="1">IFERROR(IF(0=LEN(ReferenceData!$U$79),"",ReferenceData!$U$79),"")</f>
        <v/>
      </c>
      <c r="V79" t="str">
        <f ca="1">IFERROR(IF(0=LEN(ReferenceData!$V$79),"",ReferenceData!$V$79),"")</f>
        <v/>
      </c>
      <c r="W79" t="str">
        <f ca="1">IFERROR(IF(0=LEN(ReferenceData!$W$79),"",ReferenceData!$W$79),"")</f>
        <v/>
      </c>
      <c r="X79" t="str">
        <f ca="1">IFERROR(IF(0=LEN(ReferenceData!$X$79),"",ReferenceData!$X$79),"")</f>
        <v/>
      </c>
      <c r="Y79" t="str">
        <f ca="1">IFERROR(IF(0=LEN(ReferenceData!$Y$79),"",ReferenceData!$Y$79),"")</f>
        <v/>
      </c>
      <c r="Z79" t="str">
        <f ca="1">IFERROR(IF(0=LEN(ReferenceData!$Z$79),"",ReferenceData!$Z$79),"")</f>
        <v/>
      </c>
      <c r="AA79" t="str">
        <f ca="1">IFERROR(IF(0=LEN(ReferenceData!$AA$79),"",ReferenceData!$AA$79),"")</f>
        <v/>
      </c>
      <c r="AB79" t="str">
        <f ca="1">IFERROR(IF(0=LEN(ReferenceData!$AB$79),"",ReferenceData!$AB$79),"")</f>
        <v/>
      </c>
      <c r="AC79" t="str">
        <f ca="1">IFERROR(IF(0=LEN(ReferenceData!$AC$79),"",ReferenceData!$AC$79),"")</f>
        <v/>
      </c>
      <c r="AD79" t="str">
        <f ca="1">IFERROR(IF(0=LEN(ReferenceData!$AD$79),"",ReferenceData!$AD$79),"")</f>
        <v/>
      </c>
      <c r="AE79" t="str">
        <f ca="1">IFERROR(IF(0=LEN(ReferenceData!$AE$79),"",ReferenceData!$AE$79),"")</f>
        <v/>
      </c>
      <c r="AF79" t="str">
        <f ca="1">IFERROR(IF(0=LEN(ReferenceData!$AF$79),"",ReferenceData!$AF$79),"")</f>
        <v/>
      </c>
      <c r="AG79" t="str">
        <f ca="1">IFERROR(IF(0=LEN(ReferenceData!$AG$79),"",ReferenceData!$AG$79),"")</f>
        <v/>
      </c>
      <c r="AH79" t="str">
        <f ca="1">IFERROR(IF(0=LEN(ReferenceData!$AH$79),"",ReferenceData!$AH$79),"")</f>
        <v/>
      </c>
      <c r="AI79" t="str">
        <f ca="1">IFERROR(IF(0=LEN(ReferenceData!$AI$79),"",ReferenceData!$AI$79),"")</f>
        <v/>
      </c>
      <c r="AJ79" t="str">
        <f ca="1">IFERROR(IF(0=LEN(ReferenceData!$AJ$79),"",ReferenceData!$AJ$79),"")</f>
        <v/>
      </c>
      <c r="AK79" t="str">
        <f ca="1">IFERROR(IF(0=LEN(ReferenceData!$AK$79),"",ReferenceData!$AK$79),"")</f>
        <v/>
      </c>
      <c r="AL79" t="str">
        <f ca="1">IFERROR(IF(0=LEN(ReferenceData!$AL$79),"",ReferenceData!$AL$79),"")</f>
        <v/>
      </c>
      <c r="AM79" t="str">
        <f ca="1">IFERROR(IF(0=LEN(ReferenceData!$AM$79),"",ReferenceData!$AM$79),"")</f>
        <v/>
      </c>
      <c r="AN79" t="str">
        <f ca="1">IFERROR(IF(0=LEN(ReferenceData!$AN$79),"",ReferenceData!$AN$79),"")</f>
        <v/>
      </c>
      <c r="AO79" t="str">
        <f ca="1">IFERROR(IF(0=LEN(ReferenceData!$AO$79),"",ReferenceData!$AO$79),"")</f>
        <v/>
      </c>
      <c r="AP79" t="str">
        <f ca="1">IFERROR(IF(0=LEN(ReferenceData!$AP$79),"",ReferenceData!$AP$79),"")</f>
        <v/>
      </c>
      <c r="AQ79" t="str">
        <f ca="1">IFERROR(IF(0=LEN(ReferenceData!$AQ$79),"",ReferenceData!$AQ$79),"")</f>
        <v/>
      </c>
      <c r="AR79" t="str">
        <f ca="1">IFERROR(IF(0=LEN(ReferenceData!$AR$79),"",ReferenceData!$AR$79),"")</f>
        <v/>
      </c>
      <c r="AS79" t="str">
        <f ca="1">IFERROR(IF(0=LEN(ReferenceData!$AS$79),"",ReferenceData!$AS$79),"")</f>
        <v/>
      </c>
      <c r="AT79" t="str">
        <f ca="1">IFERROR(IF(0=LEN(ReferenceData!$AT$79),"",ReferenceData!$AT$79),"")</f>
        <v/>
      </c>
      <c r="AU79" t="str">
        <f ca="1">IFERROR(IF(0=LEN(ReferenceData!$AU$79),"",ReferenceData!$AU$79),"")</f>
        <v/>
      </c>
      <c r="AV79" t="str">
        <f ca="1">IFERROR(IF(0=LEN(ReferenceData!$AV$79),"",ReferenceData!$AV$79),"")</f>
        <v/>
      </c>
      <c r="AW79" t="str">
        <f ca="1">IFERROR(IF(0=LEN(ReferenceData!$AW$79),"",ReferenceData!$AW$79),"")</f>
        <v/>
      </c>
      <c r="AX79" t="str">
        <f ca="1">IFERROR(IF(0=LEN(ReferenceData!$AX$79),"",ReferenceData!$AX$79),"")</f>
        <v/>
      </c>
      <c r="AY79" t="str">
        <f ca="1">IFERROR(IF(0=LEN(ReferenceData!$AY$79),"",ReferenceData!$AY$79),"")</f>
        <v/>
      </c>
      <c r="AZ79" t="str">
        <f ca="1">IFERROR(IF(0=LEN(ReferenceData!$AZ$79),"",ReferenceData!$AZ$79),"")</f>
        <v/>
      </c>
      <c r="BA79" t="str">
        <f ca="1">IFERROR(IF(0=LEN(ReferenceData!$BA$79),"",ReferenceData!$BA$79),"")</f>
        <v/>
      </c>
      <c r="BB79" t="str">
        <f ca="1">IFERROR(IF(0=LEN(ReferenceData!$BB$79),"",ReferenceData!$BB$79),"")</f>
        <v/>
      </c>
      <c r="BC79" t="str">
        <f ca="1">IFERROR(IF(0=LEN(ReferenceData!$BC$79),"",ReferenceData!$BC$79),"")</f>
        <v/>
      </c>
      <c r="BD79" t="str">
        <f ca="1">IFERROR(IF(0=LEN(ReferenceData!$BD$79),"",ReferenceData!$BD$79),"")</f>
        <v/>
      </c>
      <c r="BE79" t="str">
        <f ca="1">IFERROR(IF(0=LEN(ReferenceData!$BE$79),"",ReferenceData!$BE$79),"")</f>
        <v/>
      </c>
      <c r="BF79" t="str">
        <f ca="1">IFERROR(IF(0=LEN(ReferenceData!$BF$79),"",ReferenceData!$BF$79),"")</f>
        <v/>
      </c>
      <c r="BG79" t="str">
        <f ca="1">IFERROR(IF(0=LEN(ReferenceData!$BG$79),"",ReferenceData!$BG$79),"")</f>
        <v/>
      </c>
      <c r="BH79" t="str">
        <f ca="1">IFERROR(IF(0=LEN(ReferenceData!$BH$79),"",ReferenceData!$BH$79),"")</f>
        <v/>
      </c>
      <c r="BI79" t="str">
        <f ca="1">IFERROR(IF(0=LEN(ReferenceData!$BI$79),"",ReferenceData!$BI$79),"")</f>
        <v/>
      </c>
      <c r="BJ79" t="str">
        <f ca="1">IFERROR(IF(0=LEN(ReferenceData!$BJ$79),"",ReferenceData!$BJ$79),"")</f>
        <v/>
      </c>
      <c r="BK79" t="str">
        <f ca="1">IFERROR(IF(0=LEN(ReferenceData!$BK$79),"",ReferenceData!$BK$79),"")</f>
        <v/>
      </c>
      <c r="BL79" t="str">
        <f ca="1">IFERROR(IF(0=LEN(ReferenceData!$BL$79),"",ReferenceData!$BL$79),"")</f>
        <v/>
      </c>
      <c r="BM79" t="str">
        <f ca="1">IFERROR(IF(0=LEN(ReferenceData!$BM$79),"",ReferenceData!$BM$79),"")</f>
        <v/>
      </c>
    </row>
    <row r="80" spans="1:65" x14ac:dyDescent="0.25">
      <c r="A80" t="str">
        <f>IFERROR(IF(0=LEN(ReferenceData!$A$80),"",ReferenceData!$A$80),"")</f>
        <v xml:space="preserve">                Gucci</v>
      </c>
      <c r="B80" t="str">
        <f>IFERROR(IF(0=LEN(ReferenceData!$B$80),"",ReferenceData!$B$80),"")</f>
        <v>KER FP Equity</v>
      </c>
      <c r="C80" t="str">
        <f>IFERROR(IF(0=LEN(ReferenceData!$C$80),"",ReferenceData!$C$80),"")</f>
        <v>BI047</v>
      </c>
      <c r="D80" t="str">
        <f>IFERROR(IF(0=LEN(ReferenceData!$D$80),"",ReferenceData!$D$80),"")</f>
        <v>BICS_SEGMENT_DATA</v>
      </c>
      <c r="E80" t="str">
        <f>IFERROR(IF(0=LEN(ReferenceData!$E$80),"",ReferenceData!$E$80),"")</f>
        <v>Dynamic</v>
      </c>
      <c r="F80" t="str">
        <f ca="1">IFERROR(IF(0=LEN(ReferenceData!$F$80),"",ReferenceData!$F$80),"")</f>
        <v/>
      </c>
      <c r="G80">
        <f ca="1">IFERROR(IF(0=LEN(ReferenceData!$G$80),"",ReferenceData!$G$80),"")</f>
        <v>89</v>
      </c>
      <c r="H80" t="str">
        <f ca="1">IFERROR(IF(0=LEN(ReferenceData!$H$80),"",ReferenceData!$H$80),"")</f>
        <v/>
      </c>
      <c r="I80">
        <f ca="1">IFERROR(IF(0=LEN(ReferenceData!$I$80),"",ReferenceData!$I$80),"")</f>
        <v>90</v>
      </c>
      <c r="J80">
        <f ca="1">IFERROR(IF(0=LEN(ReferenceData!$J$80),"",ReferenceData!$J$80),"")</f>
        <v>87</v>
      </c>
      <c r="K80">
        <f ca="1">IFERROR(IF(0=LEN(ReferenceData!$K$80),"",ReferenceData!$K$80),"")</f>
        <v>87</v>
      </c>
      <c r="L80">
        <f ca="1">IFERROR(IF(0=LEN(ReferenceData!$L$80),"",ReferenceData!$L$80),"")</f>
        <v>86</v>
      </c>
      <c r="M80">
        <f ca="1">IFERROR(IF(0=LEN(ReferenceData!$M$80),"",ReferenceData!$M$80),"")</f>
        <v>85</v>
      </c>
      <c r="N80" t="str">
        <f ca="1">IFERROR(IF(0=LEN(ReferenceData!$N$80),"",ReferenceData!$N$80),"")</f>
        <v/>
      </c>
      <c r="O80">
        <f ca="1">IFERROR(IF(0=LEN(ReferenceData!$O$80),"",ReferenceData!$O$80),"")</f>
        <v>83</v>
      </c>
      <c r="P80" t="str">
        <f ca="1">IFERROR(IF(0=LEN(ReferenceData!$P$80),"",ReferenceData!$P$80),"")</f>
        <v/>
      </c>
      <c r="Q80">
        <f ca="1">IFERROR(IF(0=LEN(ReferenceData!$Q$80),"",ReferenceData!$Q$80),"")</f>
        <v>85</v>
      </c>
      <c r="R80" t="str">
        <f ca="1">IFERROR(IF(0=LEN(ReferenceData!$R$80),"",ReferenceData!$R$80),"")</f>
        <v/>
      </c>
      <c r="S80">
        <f ca="1">IFERROR(IF(0=LEN(ReferenceData!$S$80),"",ReferenceData!$S$80),"")</f>
        <v>83</v>
      </c>
      <c r="T80" t="str">
        <f ca="1">IFERROR(IF(0=LEN(ReferenceData!$T$80),"",ReferenceData!$T$80),"")</f>
        <v/>
      </c>
      <c r="U80">
        <f ca="1">IFERROR(IF(0=LEN(ReferenceData!$U$80),"",ReferenceData!$U$80),"")</f>
        <v>85</v>
      </c>
      <c r="V80" t="str">
        <f ca="1">IFERROR(IF(0=LEN(ReferenceData!$V$80),"",ReferenceData!$V$80),"")</f>
        <v/>
      </c>
      <c r="W80">
        <f ca="1">IFERROR(IF(0=LEN(ReferenceData!$W$80),"",ReferenceData!$W$80),"")</f>
        <v>83</v>
      </c>
      <c r="X80">
        <f ca="1">IFERROR(IF(0=LEN(ReferenceData!$X$80),"",ReferenceData!$X$80),"")</f>
        <v>56</v>
      </c>
      <c r="Y80">
        <f ca="1">IFERROR(IF(0=LEN(ReferenceData!$Y$80),"",ReferenceData!$Y$80),"")</f>
        <v>84</v>
      </c>
      <c r="Z80" t="str">
        <f ca="1">IFERROR(IF(0=LEN(ReferenceData!$Z$80),"",ReferenceData!$Z$80),"")</f>
        <v/>
      </c>
      <c r="AA80">
        <f ca="1">IFERROR(IF(0=LEN(ReferenceData!$AA$80),"",ReferenceData!$AA$80),"")</f>
        <v>82</v>
      </c>
      <c r="AB80" t="str">
        <f ca="1">IFERROR(IF(0=LEN(ReferenceData!$AB$80),"",ReferenceData!$AB$80),"")</f>
        <v/>
      </c>
      <c r="AC80">
        <f ca="1">IFERROR(IF(0=LEN(ReferenceData!$AC$80),"",ReferenceData!$AC$80),"")</f>
        <v>82</v>
      </c>
      <c r="AD80" t="str">
        <f ca="1">IFERROR(IF(0=LEN(ReferenceData!$AD$80),"",ReferenceData!$AD$80),"")</f>
        <v/>
      </c>
      <c r="AE80" t="str">
        <f ca="1">IFERROR(IF(0=LEN(ReferenceData!$AE$80),"",ReferenceData!$AE$80),"")</f>
        <v/>
      </c>
      <c r="AF80" t="str">
        <f ca="1">IFERROR(IF(0=LEN(ReferenceData!$AF$80),"",ReferenceData!$AF$80),"")</f>
        <v/>
      </c>
      <c r="AG80" t="str">
        <f ca="1">IFERROR(IF(0=LEN(ReferenceData!$AG$80),"",ReferenceData!$AG$80),"")</f>
        <v/>
      </c>
      <c r="AH80" t="str">
        <f ca="1">IFERROR(IF(0=LEN(ReferenceData!$AH$80),"",ReferenceData!$AH$80),"")</f>
        <v/>
      </c>
      <c r="AI80" t="str">
        <f ca="1">IFERROR(IF(0=LEN(ReferenceData!$AI$80),"",ReferenceData!$AI$80),"")</f>
        <v/>
      </c>
      <c r="AJ80" t="str">
        <f ca="1">IFERROR(IF(0=LEN(ReferenceData!$AJ$80),"",ReferenceData!$AJ$80),"")</f>
        <v/>
      </c>
      <c r="AK80" t="str">
        <f ca="1">IFERROR(IF(0=LEN(ReferenceData!$AK$80),"",ReferenceData!$AK$80),"")</f>
        <v/>
      </c>
      <c r="AL80" t="str">
        <f ca="1">IFERROR(IF(0=LEN(ReferenceData!$AL$80),"",ReferenceData!$AL$80),"")</f>
        <v/>
      </c>
      <c r="AM80" t="str">
        <f ca="1">IFERROR(IF(0=LEN(ReferenceData!$AM$80),"",ReferenceData!$AM$80),"")</f>
        <v/>
      </c>
      <c r="AN80" t="str">
        <f ca="1">IFERROR(IF(0=LEN(ReferenceData!$AN$80),"",ReferenceData!$AN$80),"")</f>
        <v/>
      </c>
      <c r="AO80" t="str">
        <f ca="1">IFERROR(IF(0=LEN(ReferenceData!$AO$80),"",ReferenceData!$AO$80),"")</f>
        <v/>
      </c>
      <c r="AP80" t="str">
        <f ca="1">IFERROR(IF(0=LEN(ReferenceData!$AP$80),"",ReferenceData!$AP$80),"")</f>
        <v/>
      </c>
      <c r="AQ80" t="str">
        <f ca="1">IFERROR(IF(0=LEN(ReferenceData!$AQ$80),"",ReferenceData!$AQ$80),"")</f>
        <v/>
      </c>
      <c r="AR80" t="str">
        <f ca="1">IFERROR(IF(0=LEN(ReferenceData!$AR$80),"",ReferenceData!$AR$80),"")</f>
        <v/>
      </c>
      <c r="AS80" t="str">
        <f ca="1">IFERROR(IF(0=LEN(ReferenceData!$AS$80),"",ReferenceData!$AS$80),"")</f>
        <v/>
      </c>
      <c r="AT80" t="str">
        <f ca="1">IFERROR(IF(0=LEN(ReferenceData!$AT$80),"",ReferenceData!$AT$80),"")</f>
        <v/>
      </c>
      <c r="AU80" t="str">
        <f ca="1">IFERROR(IF(0=LEN(ReferenceData!$AU$80),"",ReferenceData!$AU$80),"")</f>
        <v/>
      </c>
      <c r="AV80" t="str">
        <f ca="1">IFERROR(IF(0=LEN(ReferenceData!$AV$80),"",ReferenceData!$AV$80),"")</f>
        <v/>
      </c>
      <c r="AW80" t="str">
        <f ca="1">IFERROR(IF(0=LEN(ReferenceData!$AW$80),"",ReferenceData!$AW$80),"")</f>
        <v/>
      </c>
      <c r="AX80" t="str">
        <f ca="1">IFERROR(IF(0=LEN(ReferenceData!$AX$80),"",ReferenceData!$AX$80),"")</f>
        <v/>
      </c>
      <c r="AY80" t="str">
        <f ca="1">IFERROR(IF(0=LEN(ReferenceData!$AY$80),"",ReferenceData!$AY$80),"")</f>
        <v/>
      </c>
      <c r="AZ80" t="str">
        <f ca="1">IFERROR(IF(0=LEN(ReferenceData!$AZ$80),"",ReferenceData!$AZ$80),"")</f>
        <v/>
      </c>
      <c r="BA80" t="str">
        <f ca="1">IFERROR(IF(0=LEN(ReferenceData!$BA$80),"",ReferenceData!$BA$80),"")</f>
        <v/>
      </c>
      <c r="BB80" t="str">
        <f ca="1">IFERROR(IF(0=LEN(ReferenceData!$BB$80),"",ReferenceData!$BB$80),"")</f>
        <v/>
      </c>
      <c r="BC80" t="str">
        <f ca="1">IFERROR(IF(0=LEN(ReferenceData!$BC$80),"",ReferenceData!$BC$80),"")</f>
        <v/>
      </c>
      <c r="BD80" t="str">
        <f ca="1">IFERROR(IF(0=LEN(ReferenceData!$BD$80),"",ReferenceData!$BD$80),"")</f>
        <v/>
      </c>
      <c r="BE80" t="str">
        <f ca="1">IFERROR(IF(0=LEN(ReferenceData!$BE$80),"",ReferenceData!$BE$80),"")</f>
        <v/>
      </c>
      <c r="BF80" t="str">
        <f ca="1">IFERROR(IF(0=LEN(ReferenceData!$BF$80),"",ReferenceData!$BF$80),"")</f>
        <v/>
      </c>
      <c r="BG80" t="str">
        <f ca="1">IFERROR(IF(0=LEN(ReferenceData!$BG$80),"",ReferenceData!$BG$80),"")</f>
        <v/>
      </c>
      <c r="BH80" t="str">
        <f ca="1">IFERROR(IF(0=LEN(ReferenceData!$BH$80),"",ReferenceData!$BH$80),"")</f>
        <v/>
      </c>
      <c r="BI80" t="str">
        <f ca="1">IFERROR(IF(0=LEN(ReferenceData!$BI$80),"",ReferenceData!$BI$80),"")</f>
        <v/>
      </c>
      <c r="BJ80" t="str">
        <f ca="1">IFERROR(IF(0=LEN(ReferenceData!$BJ$80),"",ReferenceData!$BJ$80),"")</f>
        <v/>
      </c>
      <c r="BK80" t="str">
        <f ca="1">IFERROR(IF(0=LEN(ReferenceData!$BK$80),"",ReferenceData!$BK$80),"")</f>
        <v/>
      </c>
      <c r="BL80" t="str">
        <f ca="1">IFERROR(IF(0=LEN(ReferenceData!$BL$80),"",ReferenceData!$BL$80),"")</f>
        <v/>
      </c>
      <c r="BM80" t="str">
        <f ca="1">IFERROR(IF(0=LEN(ReferenceData!$BM$80),"",ReferenceData!$BM$80),"")</f>
        <v/>
      </c>
    </row>
    <row r="81" spans="1:65" x14ac:dyDescent="0.25">
      <c r="A81" t="str">
        <f>IFERROR(IF(0=LEN(ReferenceData!$A$81),"",ReferenceData!$A$81),"")</f>
        <v xml:space="preserve">                Saint Laurent</v>
      </c>
      <c r="B81" t="str">
        <f>IFERROR(IF(0=LEN(ReferenceData!$B$81),"",ReferenceData!$B$81),"")</f>
        <v>KER FP Equity</v>
      </c>
      <c r="C81" t="str">
        <f>IFERROR(IF(0=LEN(ReferenceData!$C$81),"",ReferenceData!$C$81),"")</f>
        <v>BI047</v>
      </c>
      <c r="D81" t="str">
        <f>IFERROR(IF(0=LEN(ReferenceData!$D$81),"",ReferenceData!$D$81),"")</f>
        <v>BICS_SEGMENT_DATA</v>
      </c>
      <c r="E81" t="str">
        <f>IFERROR(IF(0=LEN(ReferenceData!$E$81),"",ReferenceData!$E$81),"")</f>
        <v>Dynamic</v>
      </c>
      <c r="F81" t="str">
        <f ca="1">IFERROR(IF(0=LEN(ReferenceData!$F$81),"",ReferenceData!$F$81),"")</f>
        <v/>
      </c>
      <c r="G81">
        <f ca="1">IFERROR(IF(0=LEN(ReferenceData!$G$81),"",ReferenceData!$G$81),"")</f>
        <v>66</v>
      </c>
      <c r="H81" t="str">
        <f ca="1">IFERROR(IF(0=LEN(ReferenceData!$H$81),"",ReferenceData!$H$81),"")</f>
        <v/>
      </c>
      <c r="I81">
        <f ca="1">IFERROR(IF(0=LEN(ReferenceData!$I$81),"",ReferenceData!$I$81),"")</f>
        <v>66</v>
      </c>
      <c r="J81" t="str">
        <f ca="1">IFERROR(IF(0=LEN(ReferenceData!$J$81),"",ReferenceData!$J$81),"")</f>
        <v/>
      </c>
      <c r="K81">
        <f ca="1">IFERROR(IF(0=LEN(ReferenceData!$K$81),"",ReferenceData!$K$81),"")</f>
        <v>65</v>
      </c>
      <c r="L81" t="str">
        <f ca="1">IFERROR(IF(0=LEN(ReferenceData!$L$81),"",ReferenceData!$L$81),"")</f>
        <v/>
      </c>
      <c r="M81">
        <f ca="1">IFERROR(IF(0=LEN(ReferenceData!$M$81),"",ReferenceData!$M$81),"")</f>
        <v>63</v>
      </c>
      <c r="N81" t="str">
        <f ca="1">IFERROR(IF(0=LEN(ReferenceData!$N$81),"",ReferenceData!$N$81),"")</f>
        <v/>
      </c>
      <c r="O81">
        <f ca="1">IFERROR(IF(0=LEN(ReferenceData!$O$81),"",ReferenceData!$O$81),"")</f>
        <v>64</v>
      </c>
      <c r="P81" t="str">
        <f ca="1">IFERROR(IF(0=LEN(ReferenceData!$P$81),"",ReferenceData!$P$81),"")</f>
        <v/>
      </c>
      <c r="Q81">
        <f ca="1">IFERROR(IF(0=LEN(ReferenceData!$Q$81),"",ReferenceData!$Q$81),"")</f>
        <v>65</v>
      </c>
      <c r="R81" t="str">
        <f ca="1">IFERROR(IF(0=LEN(ReferenceData!$R$81),"",ReferenceData!$R$81),"")</f>
        <v/>
      </c>
      <c r="S81">
        <f ca="1">IFERROR(IF(0=LEN(ReferenceData!$S$81),"",ReferenceData!$S$81),"")</f>
        <v>63</v>
      </c>
      <c r="T81" t="str">
        <f ca="1">IFERROR(IF(0=LEN(ReferenceData!$T$81),"",ReferenceData!$T$81),"")</f>
        <v/>
      </c>
      <c r="U81">
        <f ca="1">IFERROR(IF(0=LEN(ReferenceData!$U$81),"",ReferenceData!$U$81),"")</f>
        <v>63</v>
      </c>
      <c r="V81" t="str">
        <f ca="1">IFERROR(IF(0=LEN(ReferenceData!$V$81),"",ReferenceData!$V$81),"")</f>
        <v/>
      </c>
      <c r="W81">
        <f ca="1">IFERROR(IF(0=LEN(ReferenceData!$W$81),"",ReferenceData!$W$81),"")</f>
        <v>63</v>
      </c>
      <c r="X81">
        <f ca="1">IFERROR(IF(0=LEN(ReferenceData!$X$81),"",ReferenceData!$X$81),"")</f>
        <v>14</v>
      </c>
      <c r="Y81">
        <f ca="1">IFERROR(IF(0=LEN(ReferenceData!$Y$81),"",ReferenceData!$Y$81),"")</f>
        <v>66</v>
      </c>
      <c r="Z81" t="str">
        <f ca="1">IFERROR(IF(0=LEN(ReferenceData!$Z$81),"",ReferenceData!$Z$81),"")</f>
        <v/>
      </c>
      <c r="AA81">
        <f ca="1">IFERROR(IF(0=LEN(ReferenceData!$AA$81),"",ReferenceData!$AA$81),"")</f>
        <v>64</v>
      </c>
      <c r="AB81" t="str">
        <f ca="1">IFERROR(IF(0=LEN(ReferenceData!$AB$81),"",ReferenceData!$AB$81),"")</f>
        <v/>
      </c>
      <c r="AC81">
        <f ca="1">IFERROR(IF(0=LEN(ReferenceData!$AC$81),"",ReferenceData!$AC$81),"")</f>
        <v>66</v>
      </c>
      <c r="AD81" t="str">
        <f ca="1">IFERROR(IF(0=LEN(ReferenceData!$AD$81),"",ReferenceData!$AD$81),"")</f>
        <v/>
      </c>
      <c r="AE81" t="str">
        <f ca="1">IFERROR(IF(0=LEN(ReferenceData!$AE$81),"",ReferenceData!$AE$81),"")</f>
        <v/>
      </c>
      <c r="AF81" t="str">
        <f ca="1">IFERROR(IF(0=LEN(ReferenceData!$AF$81),"",ReferenceData!$AF$81),"")</f>
        <v/>
      </c>
      <c r="AG81" t="str">
        <f ca="1">IFERROR(IF(0=LEN(ReferenceData!$AG$81),"",ReferenceData!$AG$81),"")</f>
        <v/>
      </c>
      <c r="AH81" t="str">
        <f ca="1">IFERROR(IF(0=LEN(ReferenceData!$AH$81),"",ReferenceData!$AH$81),"")</f>
        <v/>
      </c>
      <c r="AI81" t="str">
        <f ca="1">IFERROR(IF(0=LEN(ReferenceData!$AI$81),"",ReferenceData!$AI$81),"")</f>
        <v/>
      </c>
      <c r="AJ81" t="str">
        <f ca="1">IFERROR(IF(0=LEN(ReferenceData!$AJ$81),"",ReferenceData!$AJ$81),"")</f>
        <v/>
      </c>
      <c r="AK81" t="str">
        <f ca="1">IFERROR(IF(0=LEN(ReferenceData!$AK$81),"",ReferenceData!$AK$81),"")</f>
        <v/>
      </c>
      <c r="AL81" t="str">
        <f ca="1">IFERROR(IF(0=LEN(ReferenceData!$AL$81),"",ReferenceData!$AL$81),"")</f>
        <v/>
      </c>
      <c r="AM81" t="str">
        <f ca="1">IFERROR(IF(0=LEN(ReferenceData!$AM$81),"",ReferenceData!$AM$81),"")</f>
        <v/>
      </c>
      <c r="AN81" t="str">
        <f ca="1">IFERROR(IF(0=LEN(ReferenceData!$AN$81),"",ReferenceData!$AN$81),"")</f>
        <v/>
      </c>
      <c r="AO81" t="str">
        <f ca="1">IFERROR(IF(0=LEN(ReferenceData!$AO$81),"",ReferenceData!$AO$81),"")</f>
        <v/>
      </c>
      <c r="AP81" t="str">
        <f ca="1">IFERROR(IF(0=LEN(ReferenceData!$AP$81),"",ReferenceData!$AP$81),"")</f>
        <v/>
      </c>
      <c r="AQ81" t="str">
        <f ca="1">IFERROR(IF(0=LEN(ReferenceData!$AQ$81),"",ReferenceData!$AQ$81),"")</f>
        <v/>
      </c>
      <c r="AR81" t="str">
        <f ca="1">IFERROR(IF(0=LEN(ReferenceData!$AR$81),"",ReferenceData!$AR$81),"")</f>
        <v/>
      </c>
      <c r="AS81" t="str">
        <f ca="1">IFERROR(IF(0=LEN(ReferenceData!$AS$81),"",ReferenceData!$AS$81),"")</f>
        <v/>
      </c>
      <c r="AT81" t="str">
        <f ca="1">IFERROR(IF(0=LEN(ReferenceData!$AT$81),"",ReferenceData!$AT$81),"")</f>
        <v/>
      </c>
      <c r="AU81" t="str">
        <f ca="1">IFERROR(IF(0=LEN(ReferenceData!$AU$81),"",ReferenceData!$AU$81),"")</f>
        <v/>
      </c>
      <c r="AV81" t="str">
        <f ca="1">IFERROR(IF(0=LEN(ReferenceData!$AV$81),"",ReferenceData!$AV$81),"")</f>
        <v/>
      </c>
      <c r="AW81" t="str">
        <f ca="1">IFERROR(IF(0=LEN(ReferenceData!$AW$81),"",ReferenceData!$AW$81),"")</f>
        <v/>
      </c>
      <c r="AX81" t="str">
        <f ca="1">IFERROR(IF(0=LEN(ReferenceData!$AX$81),"",ReferenceData!$AX$81),"")</f>
        <v/>
      </c>
      <c r="AY81" t="str">
        <f ca="1">IFERROR(IF(0=LEN(ReferenceData!$AY$81),"",ReferenceData!$AY$81),"")</f>
        <v/>
      </c>
      <c r="AZ81" t="str">
        <f ca="1">IFERROR(IF(0=LEN(ReferenceData!$AZ$81),"",ReferenceData!$AZ$81),"")</f>
        <v/>
      </c>
      <c r="BA81" t="str">
        <f ca="1">IFERROR(IF(0=LEN(ReferenceData!$BA$81),"",ReferenceData!$BA$81),"")</f>
        <v/>
      </c>
      <c r="BB81" t="str">
        <f ca="1">IFERROR(IF(0=LEN(ReferenceData!$BB$81),"",ReferenceData!$BB$81),"")</f>
        <v/>
      </c>
      <c r="BC81" t="str">
        <f ca="1">IFERROR(IF(0=LEN(ReferenceData!$BC$81),"",ReferenceData!$BC$81),"")</f>
        <v/>
      </c>
      <c r="BD81" t="str">
        <f ca="1">IFERROR(IF(0=LEN(ReferenceData!$BD$81),"",ReferenceData!$BD$81),"")</f>
        <v/>
      </c>
      <c r="BE81" t="str">
        <f ca="1">IFERROR(IF(0=LEN(ReferenceData!$BE$81),"",ReferenceData!$BE$81),"")</f>
        <v/>
      </c>
      <c r="BF81" t="str">
        <f ca="1">IFERROR(IF(0=LEN(ReferenceData!$BF$81),"",ReferenceData!$BF$81),"")</f>
        <v/>
      </c>
      <c r="BG81" t="str">
        <f ca="1">IFERROR(IF(0=LEN(ReferenceData!$BG$81),"",ReferenceData!$BG$81),"")</f>
        <v/>
      </c>
      <c r="BH81" t="str">
        <f ca="1">IFERROR(IF(0=LEN(ReferenceData!$BH$81),"",ReferenceData!$BH$81),"")</f>
        <v/>
      </c>
      <c r="BI81" t="str">
        <f ca="1">IFERROR(IF(0=LEN(ReferenceData!$BI$81),"",ReferenceData!$BI$81),"")</f>
        <v/>
      </c>
      <c r="BJ81" t="str">
        <f ca="1">IFERROR(IF(0=LEN(ReferenceData!$BJ$81),"",ReferenceData!$BJ$81),"")</f>
        <v/>
      </c>
      <c r="BK81" t="str">
        <f ca="1">IFERROR(IF(0=LEN(ReferenceData!$BK$81),"",ReferenceData!$BK$81),"")</f>
        <v/>
      </c>
      <c r="BL81" t="str">
        <f ca="1">IFERROR(IF(0=LEN(ReferenceData!$BL$81),"",ReferenceData!$BL$81),"")</f>
        <v/>
      </c>
      <c r="BM81" t="str">
        <f ca="1">IFERROR(IF(0=LEN(ReferenceData!$BM$81),"",ReferenceData!$BM$81),"")</f>
        <v/>
      </c>
    </row>
    <row r="82" spans="1:65" x14ac:dyDescent="0.25">
      <c r="A82" t="str">
        <f>IFERROR(IF(0=LEN(ReferenceData!$A$82),"",ReferenceData!$A$82),"")</f>
        <v xml:space="preserve">                Bottega Venetta</v>
      </c>
      <c r="B82" t="str">
        <f>IFERROR(IF(0=LEN(ReferenceData!$B$82),"",ReferenceData!$B$82),"")</f>
        <v>KER FP Equity</v>
      </c>
      <c r="C82" t="str">
        <f>IFERROR(IF(0=LEN(ReferenceData!$C$82),"",ReferenceData!$C$82),"")</f>
        <v>BI047</v>
      </c>
      <c r="D82" t="str">
        <f>IFERROR(IF(0=LEN(ReferenceData!$D$82),"",ReferenceData!$D$82),"")</f>
        <v>BICS_SEGMENT_DATA</v>
      </c>
      <c r="E82" t="str">
        <f>IFERROR(IF(0=LEN(ReferenceData!$E$82),"",ReferenceData!$E$82),"")</f>
        <v>Dynamic</v>
      </c>
      <c r="F82" t="str">
        <f ca="1">IFERROR(IF(0=LEN(ReferenceData!$F$82),"",ReferenceData!$F$82),"")</f>
        <v/>
      </c>
      <c r="G82">
        <f ca="1">IFERROR(IF(0=LEN(ReferenceData!$G$82),"",ReferenceData!$G$82),"")</f>
        <v>75</v>
      </c>
      <c r="H82" t="str">
        <f ca="1">IFERROR(IF(0=LEN(ReferenceData!$H$82),"",ReferenceData!$H$82),"")</f>
        <v/>
      </c>
      <c r="I82">
        <f ca="1">IFERROR(IF(0=LEN(ReferenceData!$I$82),"",ReferenceData!$I$82),"")</f>
        <v>75</v>
      </c>
      <c r="J82" t="str">
        <f ca="1">IFERROR(IF(0=LEN(ReferenceData!$J$82),"",ReferenceData!$J$82),"")</f>
        <v/>
      </c>
      <c r="K82">
        <f ca="1">IFERROR(IF(0=LEN(ReferenceData!$K$82),"",ReferenceData!$K$82),"")</f>
        <v>77</v>
      </c>
      <c r="L82" t="str">
        <f ca="1">IFERROR(IF(0=LEN(ReferenceData!$L$82),"",ReferenceData!$L$82),"")</f>
        <v/>
      </c>
      <c r="M82">
        <f ca="1">IFERROR(IF(0=LEN(ReferenceData!$M$82),"",ReferenceData!$M$82),"")</f>
        <v>76</v>
      </c>
      <c r="N82" t="str">
        <f ca="1">IFERROR(IF(0=LEN(ReferenceData!$N$82),"",ReferenceData!$N$82),"")</f>
        <v/>
      </c>
      <c r="O82">
        <f ca="1">IFERROR(IF(0=LEN(ReferenceData!$O$82),"",ReferenceData!$O$82),"")</f>
        <v>83</v>
      </c>
      <c r="P82" t="str">
        <f ca="1">IFERROR(IF(0=LEN(ReferenceData!$P$82),"",ReferenceData!$P$82),"")</f>
        <v/>
      </c>
      <c r="Q82">
        <f ca="1">IFERROR(IF(0=LEN(ReferenceData!$Q$82),"",ReferenceData!$Q$82),"")</f>
        <v>83</v>
      </c>
      <c r="R82" t="str">
        <f ca="1">IFERROR(IF(0=LEN(ReferenceData!$R$82),"",ReferenceData!$R$82),"")</f>
        <v/>
      </c>
      <c r="S82">
        <f ca="1">IFERROR(IF(0=LEN(ReferenceData!$S$82),"",ReferenceData!$S$82),"")</f>
        <v>83</v>
      </c>
      <c r="T82" t="str">
        <f ca="1">IFERROR(IF(0=LEN(ReferenceData!$T$82),"",ReferenceData!$T$82),"")</f>
        <v/>
      </c>
      <c r="U82">
        <f ca="1">IFERROR(IF(0=LEN(ReferenceData!$U$82),"",ReferenceData!$U$82),"")</f>
        <v>84</v>
      </c>
      <c r="V82" t="str">
        <f ca="1">IFERROR(IF(0=LEN(ReferenceData!$V$82),"",ReferenceData!$V$82),"")</f>
        <v/>
      </c>
      <c r="W82">
        <f ca="1">IFERROR(IF(0=LEN(ReferenceData!$W$82),"",ReferenceData!$W$82),"")</f>
        <v>85</v>
      </c>
      <c r="X82">
        <f ca="1">IFERROR(IF(0=LEN(ReferenceData!$X$82),"",ReferenceData!$X$82),"")</f>
        <v>12</v>
      </c>
      <c r="Y82">
        <f ca="1">IFERROR(IF(0=LEN(ReferenceData!$Y$82),"",ReferenceData!$Y$82),"")</f>
        <v>83</v>
      </c>
      <c r="Z82" t="str">
        <f ca="1">IFERROR(IF(0=LEN(ReferenceData!$Z$82),"",ReferenceData!$Z$82),"")</f>
        <v/>
      </c>
      <c r="AA82">
        <f ca="1">IFERROR(IF(0=LEN(ReferenceData!$AA$82),"",ReferenceData!$AA$82),"")</f>
        <v>83</v>
      </c>
      <c r="AB82" t="str">
        <f ca="1">IFERROR(IF(0=LEN(ReferenceData!$AB$82),"",ReferenceData!$AB$82),"")</f>
        <v/>
      </c>
      <c r="AC82">
        <f ca="1">IFERROR(IF(0=LEN(ReferenceData!$AC$82),"",ReferenceData!$AC$82),"")</f>
        <v>82</v>
      </c>
      <c r="AD82" t="str">
        <f ca="1">IFERROR(IF(0=LEN(ReferenceData!$AD$82),"",ReferenceData!$AD$82),"")</f>
        <v/>
      </c>
      <c r="AE82" t="str">
        <f ca="1">IFERROR(IF(0=LEN(ReferenceData!$AE$82),"",ReferenceData!$AE$82),"")</f>
        <v/>
      </c>
      <c r="AF82" t="str">
        <f ca="1">IFERROR(IF(0=LEN(ReferenceData!$AF$82),"",ReferenceData!$AF$82),"")</f>
        <v/>
      </c>
      <c r="AG82" t="str">
        <f ca="1">IFERROR(IF(0=LEN(ReferenceData!$AG$82),"",ReferenceData!$AG$82),"")</f>
        <v/>
      </c>
      <c r="AH82" t="str">
        <f ca="1">IFERROR(IF(0=LEN(ReferenceData!$AH$82),"",ReferenceData!$AH$82),"")</f>
        <v/>
      </c>
      <c r="AI82" t="str">
        <f ca="1">IFERROR(IF(0=LEN(ReferenceData!$AI$82),"",ReferenceData!$AI$82),"")</f>
        <v/>
      </c>
      <c r="AJ82" t="str">
        <f ca="1">IFERROR(IF(0=LEN(ReferenceData!$AJ$82),"",ReferenceData!$AJ$82),"")</f>
        <v/>
      </c>
      <c r="AK82" t="str">
        <f ca="1">IFERROR(IF(0=LEN(ReferenceData!$AK$82),"",ReferenceData!$AK$82),"")</f>
        <v/>
      </c>
      <c r="AL82" t="str">
        <f ca="1">IFERROR(IF(0=LEN(ReferenceData!$AL$82),"",ReferenceData!$AL$82),"")</f>
        <v/>
      </c>
      <c r="AM82" t="str">
        <f ca="1">IFERROR(IF(0=LEN(ReferenceData!$AM$82),"",ReferenceData!$AM$82),"")</f>
        <v/>
      </c>
      <c r="AN82" t="str">
        <f ca="1">IFERROR(IF(0=LEN(ReferenceData!$AN$82),"",ReferenceData!$AN$82),"")</f>
        <v/>
      </c>
      <c r="AO82" t="str">
        <f ca="1">IFERROR(IF(0=LEN(ReferenceData!$AO$82),"",ReferenceData!$AO$82),"")</f>
        <v/>
      </c>
      <c r="AP82" t="str">
        <f ca="1">IFERROR(IF(0=LEN(ReferenceData!$AP$82),"",ReferenceData!$AP$82),"")</f>
        <v/>
      </c>
      <c r="AQ82" t="str">
        <f ca="1">IFERROR(IF(0=LEN(ReferenceData!$AQ$82),"",ReferenceData!$AQ$82),"")</f>
        <v/>
      </c>
      <c r="AR82" t="str">
        <f ca="1">IFERROR(IF(0=LEN(ReferenceData!$AR$82),"",ReferenceData!$AR$82),"")</f>
        <v/>
      </c>
      <c r="AS82" t="str">
        <f ca="1">IFERROR(IF(0=LEN(ReferenceData!$AS$82),"",ReferenceData!$AS$82),"")</f>
        <v/>
      </c>
      <c r="AT82" t="str">
        <f ca="1">IFERROR(IF(0=LEN(ReferenceData!$AT$82),"",ReferenceData!$AT$82),"")</f>
        <v/>
      </c>
      <c r="AU82" t="str">
        <f ca="1">IFERROR(IF(0=LEN(ReferenceData!$AU$82),"",ReferenceData!$AU$82),"")</f>
        <v/>
      </c>
      <c r="AV82" t="str">
        <f ca="1">IFERROR(IF(0=LEN(ReferenceData!$AV$82),"",ReferenceData!$AV$82),"")</f>
        <v/>
      </c>
      <c r="AW82" t="str">
        <f ca="1">IFERROR(IF(0=LEN(ReferenceData!$AW$82),"",ReferenceData!$AW$82),"")</f>
        <v/>
      </c>
      <c r="AX82" t="str">
        <f ca="1">IFERROR(IF(0=LEN(ReferenceData!$AX$82),"",ReferenceData!$AX$82),"")</f>
        <v/>
      </c>
      <c r="AY82" t="str">
        <f ca="1">IFERROR(IF(0=LEN(ReferenceData!$AY$82),"",ReferenceData!$AY$82),"")</f>
        <v/>
      </c>
      <c r="AZ82" t="str">
        <f ca="1">IFERROR(IF(0=LEN(ReferenceData!$AZ$82),"",ReferenceData!$AZ$82),"")</f>
        <v/>
      </c>
      <c r="BA82" t="str">
        <f ca="1">IFERROR(IF(0=LEN(ReferenceData!$BA$82),"",ReferenceData!$BA$82),"")</f>
        <v/>
      </c>
      <c r="BB82" t="str">
        <f ca="1">IFERROR(IF(0=LEN(ReferenceData!$BB$82),"",ReferenceData!$BB$82),"")</f>
        <v/>
      </c>
      <c r="BC82" t="str">
        <f ca="1">IFERROR(IF(0=LEN(ReferenceData!$BC$82),"",ReferenceData!$BC$82),"")</f>
        <v/>
      </c>
      <c r="BD82" t="str">
        <f ca="1">IFERROR(IF(0=LEN(ReferenceData!$BD$82),"",ReferenceData!$BD$82),"")</f>
        <v/>
      </c>
      <c r="BE82" t="str">
        <f ca="1">IFERROR(IF(0=LEN(ReferenceData!$BE$82),"",ReferenceData!$BE$82),"")</f>
        <v/>
      </c>
      <c r="BF82" t="str">
        <f ca="1">IFERROR(IF(0=LEN(ReferenceData!$BF$82),"",ReferenceData!$BF$82),"")</f>
        <v/>
      </c>
      <c r="BG82" t="str">
        <f ca="1">IFERROR(IF(0=LEN(ReferenceData!$BG$82),"",ReferenceData!$BG$82),"")</f>
        <v/>
      </c>
      <c r="BH82" t="str">
        <f ca="1">IFERROR(IF(0=LEN(ReferenceData!$BH$82),"",ReferenceData!$BH$82),"")</f>
        <v/>
      </c>
      <c r="BI82" t="str">
        <f ca="1">IFERROR(IF(0=LEN(ReferenceData!$BI$82),"",ReferenceData!$BI$82),"")</f>
        <v/>
      </c>
      <c r="BJ82" t="str">
        <f ca="1">IFERROR(IF(0=LEN(ReferenceData!$BJ$82),"",ReferenceData!$BJ$82),"")</f>
        <v/>
      </c>
      <c r="BK82" t="str">
        <f ca="1">IFERROR(IF(0=LEN(ReferenceData!$BK$82),"",ReferenceData!$BK$82),"")</f>
        <v/>
      </c>
      <c r="BL82" t="str">
        <f ca="1">IFERROR(IF(0=LEN(ReferenceData!$BL$82),"",ReferenceData!$BL$82),"")</f>
        <v/>
      </c>
      <c r="BM82" t="str">
        <f ca="1">IFERROR(IF(0=LEN(ReferenceData!$BM$82),"",ReferenceData!$BM$82),"")</f>
        <v/>
      </c>
    </row>
    <row r="83" spans="1:65" x14ac:dyDescent="0.25">
      <c r="A83" t="str">
        <f>IFERROR(IF(0=LEN(ReferenceData!$A$83),"",ReferenceData!$A$83),"")</f>
        <v xml:space="preserve">                Other Luxury Brands</v>
      </c>
      <c r="B83" t="str">
        <f>IFERROR(IF(0=LEN(ReferenceData!$B$83),"",ReferenceData!$B$83),"")</f>
        <v>KER FP Equity</v>
      </c>
      <c r="C83" t="str">
        <f>IFERROR(IF(0=LEN(ReferenceData!$C$83),"",ReferenceData!$C$83),"")</f>
        <v>BI047</v>
      </c>
      <c r="D83" t="str">
        <f>IFERROR(IF(0=LEN(ReferenceData!$D$83),"",ReferenceData!$D$83),"")</f>
        <v>BICS_SEGMENT_DATA</v>
      </c>
      <c r="E83" t="str">
        <f>IFERROR(IF(0=LEN(ReferenceData!$E$83),"",ReferenceData!$E$83),"")</f>
        <v>Dynamic</v>
      </c>
      <c r="F83" t="str">
        <f ca="1">IFERROR(IF(0=LEN(ReferenceData!$F$83),"",ReferenceData!$F$83),"")</f>
        <v/>
      </c>
      <c r="G83">
        <f ca="1">IFERROR(IF(0=LEN(ReferenceData!$G$83),"",ReferenceData!$G$83),"")</f>
        <v>54</v>
      </c>
      <c r="H83" t="str">
        <f ca="1">IFERROR(IF(0=LEN(ReferenceData!$H$83),"",ReferenceData!$H$83),"")</f>
        <v/>
      </c>
      <c r="I83">
        <f ca="1">IFERROR(IF(0=LEN(ReferenceData!$I$83),"",ReferenceData!$I$83),"")</f>
        <v>75</v>
      </c>
      <c r="J83" t="str">
        <f ca="1">IFERROR(IF(0=LEN(ReferenceData!$J$83),"",ReferenceData!$J$83),"")</f>
        <v/>
      </c>
      <c r="K83">
        <f ca="1">IFERROR(IF(0=LEN(ReferenceData!$K$83),"",ReferenceData!$K$83),"")</f>
        <v>54</v>
      </c>
      <c r="L83" t="str">
        <f ca="1">IFERROR(IF(0=LEN(ReferenceData!$L$83),"",ReferenceData!$L$83),"")</f>
        <v/>
      </c>
      <c r="M83">
        <f ca="1">IFERROR(IF(0=LEN(ReferenceData!$M$83),"",ReferenceData!$M$83),"")</f>
        <v>54</v>
      </c>
      <c r="N83" t="str">
        <f ca="1">IFERROR(IF(0=LEN(ReferenceData!$N$83),"",ReferenceData!$N$83),"")</f>
        <v/>
      </c>
      <c r="O83">
        <f ca="1">IFERROR(IF(0=LEN(ReferenceData!$O$83),"",ReferenceData!$O$83),"")</f>
        <v>56</v>
      </c>
      <c r="P83" t="str">
        <f ca="1">IFERROR(IF(0=LEN(ReferenceData!$P$83),"",ReferenceData!$P$83),"")</f>
        <v/>
      </c>
      <c r="Q83">
        <f ca="1">IFERROR(IF(0=LEN(ReferenceData!$Q$83),"",ReferenceData!$Q$83),"")</f>
        <v>54</v>
      </c>
      <c r="R83" t="str">
        <f ca="1">IFERROR(IF(0=LEN(ReferenceData!$R$83),"",ReferenceData!$R$83),"")</f>
        <v/>
      </c>
      <c r="S83" t="str">
        <f ca="1">IFERROR(IF(0=LEN(ReferenceData!$S$83),"",ReferenceData!$S$83),"")</f>
        <v/>
      </c>
      <c r="T83" t="str">
        <f ca="1">IFERROR(IF(0=LEN(ReferenceData!$T$83),"",ReferenceData!$T$83),"")</f>
        <v/>
      </c>
      <c r="U83">
        <f ca="1">IFERROR(IF(0=LEN(ReferenceData!$U$83),"",ReferenceData!$U$83),"")</f>
        <v>50</v>
      </c>
      <c r="V83" t="str">
        <f ca="1">IFERROR(IF(0=LEN(ReferenceData!$V$83),"",ReferenceData!$V$83),"")</f>
        <v/>
      </c>
      <c r="W83" t="str">
        <f ca="1">IFERROR(IF(0=LEN(ReferenceData!$W$83),"",ReferenceData!$W$83),"")</f>
        <v/>
      </c>
      <c r="X83">
        <f ca="1">IFERROR(IF(0=LEN(ReferenceData!$X$83),"",ReferenceData!$X$83),"")</f>
        <v>18</v>
      </c>
      <c r="Y83" t="str">
        <f ca="1">IFERROR(IF(0=LEN(ReferenceData!$Y$83),"",ReferenceData!$Y$83),"")</f>
        <v/>
      </c>
      <c r="Z83" t="str">
        <f ca="1">IFERROR(IF(0=LEN(ReferenceData!$Z$83),"",ReferenceData!$Z$83),"")</f>
        <v/>
      </c>
      <c r="AA83">
        <f ca="1">IFERROR(IF(0=LEN(ReferenceData!$AA$83),"",ReferenceData!$AA$83),"")</f>
        <v>43</v>
      </c>
      <c r="AB83" t="str">
        <f ca="1">IFERROR(IF(0=LEN(ReferenceData!$AB$83),"",ReferenceData!$AB$83),"")</f>
        <v/>
      </c>
      <c r="AC83" t="str">
        <f ca="1">IFERROR(IF(0=LEN(ReferenceData!$AC$83),"",ReferenceData!$AC$83),"")</f>
        <v/>
      </c>
      <c r="AD83" t="str">
        <f ca="1">IFERROR(IF(0=LEN(ReferenceData!$AD$83),"",ReferenceData!$AD$83),"")</f>
        <v/>
      </c>
      <c r="AE83" t="str">
        <f ca="1">IFERROR(IF(0=LEN(ReferenceData!$AE$83),"",ReferenceData!$AE$83),"")</f>
        <v/>
      </c>
      <c r="AF83" t="str">
        <f ca="1">IFERROR(IF(0=LEN(ReferenceData!$AF$83),"",ReferenceData!$AF$83),"")</f>
        <v/>
      </c>
      <c r="AG83" t="str">
        <f ca="1">IFERROR(IF(0=LEN(ReferenceData!$AG$83),"",ReferenceData!$AG$83),"")</f>
        <v/>
      </c>
      <c r="AH83" t="str">
        <f ca="1">IFERROR(IF(0=LEN(ReferenceData!$AH$83),"",ReferenceData!$AH$83),"")</f>
        <v/>
      </c>
      <c r="AI83" t="str">
        <f ca="1">IFERROR(IF(0=LEN(ReferenceData!$AI$83),"",ReferenceData!$AI$83),"")</f>
        <v/>
      </c>
      <c r="AJ83" t="str">
        <f ca="1">IFERROR(IF(0=LEN(ReferenceData!$AJ$83),"",ReferenceData!$AJ$83),"")</f>
        <v/>
      </c>
      <c r="AK83" t="str">
        <f ca="1">IFERROR(IF(0=LEN(ReferenceData!$AK$83),"",ReferenceData!$AK$83),"")</f>
        <v/>
      </c>
      <c r="AL83" t="str">
        <f ca="1">IFERROR(IF(0=LEN(ReferenceData!$AL$83),"",ReferenceData!$AL$83),"")</f>
        <v/>
      </c>
      <c r="AM83" t="str">
        <f ca="1">IFERROR(IF(0=LEN(ReferenceData!$AM$83),"",ReferenceData!$AM$83),"")</f>
        <v/>
      </c>
      <c r="AN83" t="str">
        <f ca="1">IFERROR(IF(0=LEN(ReferenceData!$AN$83),"",ReferenceData!$AN$83),"")</f>
        <v/>
      </c>
      <c r="AO83" t="str">
        <f ca="1">IFERROR(IF(0=LEN(ReferenceData!$AO$83),"",ReferenceData!$AO$83),"")</f>
        <v/>
      </c>
      <c r="AP83" t="str">
        <f ca="1">IFERROR(IF(0=LEN(ReferenceData!$AP$83),"",ReferenceData!$AP$83),"")</f>
        <v/>
      </c>
      <c r="AQ83" t="str">
        <f ca="1">IFERROR(IF(0=LEN(ReferenceData!$AQ$83),"",ReferenceData!$AQ$83),"")</f>
        <v/>
      </c>
      <c r="AR83" t="str">
        <f ca="1">IFERROR(IF(0=LEN(ReferenceData!$AR$83),"",ReferenceData!$AR$83),"")</f>
        <v/>
      </c>
      <c r="AS83" t="str">
        <f ca="1">IFERROR(IF(0=LEN(ReferenceData!$AS$83),"",ReferenceData!$AS$83),"")</f>
        <v/>
      </c>
      <c r="AT83" t="str">
        <f ca="1">IFERROR(IF(0=LEN(ReferenceData!$AT$83),"",ReferenceData!$AT$83),"")</f>
        <v/>
      </c>
      <c r="AU83" t="str">
        <f ca="1">IFERROR(IF(0=LEN(ReferenceData!$AU$83),"",ReferenceData!$AU$83),"")</f>
        <v/>
      </c>
      <c r="AV83" t="str">
        <f ca="1">IFERROR(IF(0=LEN(ReferenceData!$AV$83),"",ReferenceData!$AV$83),"")</f>
        <v/>
      </c>
      <c r="AW83" t="str">
        <f ca="1">IFERROR(IF(0=LEN(ReferenceData!$AW$83),"",ReferenceData!$AW$83),"")</f>
        <v/>
      </c>
      <c r="AX83" t="str">
        <f ca="1">IFERROR(IF(0=LEN(ReferenceData!$AX$83),"",ReferenceData!$AX$83),"")</f>
        <v/>
      </c>
      <c r="AY83" t="str">
        <f ca="1">IFERROR(IF(0=LEN(ReferenceData!$AY$83),"",ReferenceData!$AY$83),"")</f>
        <v/>
      </c>
      <c r="AZ83" t="str">
        <f ca="1">IFERROR(IF(0=LEN(ReferenceData!$AZ$83),"",ReferenceData!$AZ$83),"")</f>
        <v/>
      </c>
      <c r="BA83" t="str">
        <f ca="1">IFERROR(IF(0=LEN(ReferenceData!$BA$83),"",ReferenceData!$BA$83),"")</f>
        <v/>
      </c>
      <c r="BB83" t="str">
        <f ca="1">IFERROR(IF(0=LEN(ReferenceData!$BB$83),"",ReferenceData!$BB$83),"")</f>
        <v/>
      </c>
      <c r="BC83" t="str">
        <f ca="1">IFERROR(IF(0=LEN(ReferenceData!$BC$83),"",ReferenceData!$BC$83),"")</f>
        <v/>
      </c>
      <c r="BD83" t="str">
        <f ca="1">IFERROR(IF(0=LEN(ReferenceData!$BD$83),"",ReferenceData!$BD$83),"")</f>
        <v/>
      </c>
      <c r="BE83" t="str">
        <f ca="1">IFERROR(IF(0=LEN(ReferenceData!$BE$83),"",ReferenceData!$BE$83),"")</f>
        <v/>
      </c>
      <c r="BF83" t="str">
        <f ca="1">IFERROR(IF(0=LEN(ReferenceData!$BF$83),"",ReferenceData!$BF$83),"")</f>
        <v/>
      </c>
      <c r="BG83" t="str">
        <f ca="1">IFERROR(IF(0=LEN(ReferenceData!$BG$83),"",ReferenceData!$BG$83),"")</f>
        <v/>
      </c>
      <c r="BH83" t="str">
        <f ca="1">IFERROR(IF(0=LEN(ReferenceData!$BH$83),"",ReferenceData!$BH$83),"")</f>
        <v/>
      </c>
      <c r="BI83" t="str">
        <f ca="1">IFERROR(IF(0=LEN(ReferenceData!$BI$83),"",ReferenceData!$BI$83),"")</f>
        <v/>
      </c>
      <c r="BJ83" t="str">
        <f ca="1">IFERROR(IF(0=LEN(ReferenceData!$BJ$83),"",ReferenceData!$BJ$83),"")</f>
        <v/>
      </c>
      <c r="BK83" t="str">
        <f ca="1">IFERROR(IF(0=LEN(ReferenceData!$BK$83),"",ReferenceData!$BK$83),"")</f>
        <v/>
      </c>
      <c r="BL83" t="str">
        <f ca="1">IFERROR(IF(0=LEN(ReferenceData!$BL$83),"",ReferenceData!$BL$83),"")</f>
        <v/>
      </c>
      <c r="BM83" t="str">
        <f ca="1">IFERROR(IF(0=LEN(ReferenceData!$BM$83),"",ReferenceData!$BM$83),"")</f>
        <v/>
      </c>
    </row>
    <row r="84" spans="1:65" x14ac:dyDescent="0.25">
      <c r="A84" t="str">
        <f>IFERROR(IF(0=LEN(ReferenceData!$A$84),"",ReferenceData!$A$84),"")</f>
        <v xml:space="preserve">        Recurring Operating Income</v>
      </c>
      <c r="B84" t="str">
        <f>IFERROR(IF(0=LEN(ReferenceData!$B$84),"",ReferenceData!$B$84),"")</f>
        <v>KER FP Equity</v>
      </c>
      <c r="C84" t="str">
        <f>IFERROR(IF(0=LEN(ReferenceData!$C$84),"",ReferenceData!$C$84),"")</f>
        <v>BI047</v>
      </c>
      <c r="D84" t="str">
        <f>IFERROR(IF(0=LEN(ReferenceData!$D$84),"",ReferenceData!$D$84),"")</f>
        <v>BICS_SEGMENT_DATA</v>
      </c>
      <c r="E84" t="str">
        <f>IFERROR(IF(0=LEN(ReferenceData!$E$84),"",ReferenceData!$E$84),"")</f>
        <v>Dynamic</v>
      </c>
      <c r="F84" t="str">
        <f ca="1">IFERROR(IF(0=LEN(ReferenceData!$F$84),"",ReferenceData!$F$84),"")</f>
        <v/>
      </c>
      <c r="G84" t="str">
        <f ca="1">IFERROR(IF(0=LEN(ReferenceData!$G$84),"",ReferenceData!$G$84),"")</f>
        <v/>
      </c>
      <c r="H84" t="str">
        <f ca="1">IFERROR(IF(0=LEN(ReferenceData!$H$84),"",ReferenceData!$H$84),"")</f>
        <v/>
      </c>
      <c r="I84" t="str">
        <f ca="1">IFERROR(IF(0=LEN(ReferenceData!$I$84),"",ReferenceData!$I$84),"")</f>
        <v/>
      </c>
      <c r="J84" t="str">
        <f ca="1">IFERROR(IF(0=LEN(ReferenceData!$J$84),"",ReferenceData!$J$84),"")</f>
        <v/>
      </c>
      <c r="K84" t="str">
        <f ca="1">IFERROR(IF(0=LEN(ReferenceData!$K$84),"",ReferenceData!$K$84),"")</f>
        <v/>
      </c>
      <c r="L84" t="str">
        <f ca="1">IFERROR(IF(0=LEN(ReferenceData!$L$84),"",ReferenceData!$L$84),"")</f>
        <v/>
      </c>
      <c r="M84" t="str">
        <f ca="1">IFERROR(IF(0=LEN(ReferenceData!$M$84),"",ReferenceData!$M$84),"")</f>
        <v/>
      </c>
      <c r="N84" t="str">
        <f ca="1">IFERROR(IF(0=LEN(ReferenceData!$N$84),"",ReferenceData!$N$84),"")</f>
        <v/>
      </c>
      <c r="O84" t="str">
        <f ca="1">IFERROR(IF(0=LEN(ReferenceData!$O$84),"",ReferenceData!$O$84),"")</f>
        <v/>
      </c>
      <c r="P84" t="str">
        <f ca="1">IFERROR(IF(0=LEN(ReferenceData!$P$84),"",ReferenceData!$P$84),"")</f>
        <v/>
      </c>
      <c r="Q84" t="str">
        <f ca="1">IFERROR(IF(0=LEN(ReferenceData!$Q$84),"",ReferenceData!$Q$84),"")</f>
        <v/>
      </c>
      <c r="R84" t="str">
        <f ca="1">IFERROR(IF(0=LEN(ReferenceData!$R$84),"",ReferenceData!$R$84),"")</f>
        <v/>
      </c>
      <c r="S84" t="str">
        <f ca="1">IFERROR(IF(0=LEN(ReferenceData!$S$84),"",ReferenceData!$S$84),"")</f>
        <v/>
      </c>
      <c r="T84" t="str">
        <f ca="1">IFERROR(IF(0=LEN(ReferenceData!$T$84),"",ReferenceData!$T$84),"")</f>
        <v/>
      </c>
      <c r="U84" t="str">
        <f ca="1">IFERROR(IF(0=LEN(ReferenceData!$U$84),"",ReferenceData!$U$84),"")</f>
        <v/>
      </c>
      <c r="V84" t="str">
        <f ca="1">IFERROR(IF(0=LEN(ReferenceData!$V$84),"",ReferenceData!$V$84),"")</f>
        <v/>
      </c>
      <c r="W84" t="str">
        <f ca="1">IFERROR(IF(0=LEN(ReferenceData!$W$84),"",ReferenceData!$W$84),"")</f>
        <v/>
      </c>
      <c r="X84" t="str">
        <f ca="1">IFERROR(IF(0=LEN(ReferenceData!$X$84),"",ReferenceData!$X$84),"")</f>
        <v/>
      </c>
      <c r="Y84" t="str">
        <f ca="1">IFERROR(IF(0=LEN(ReferenceData!$Y$84),"",ReferenceData!$Y$84),"")</f>
        <v/>
      </c>
      <c r="Z84" t="str">
        <f ca="1">IFERROR(IF(0=LEN(ReferenceData!$Z$84),"",ReferenceData!$Z$84),"")</f>
        <v/>
      </c>
      <c r="AA84" t="str">
        <f ca="1">IFERROR(IF(0=LEN(ReferenceData!$AA$84),"",ReferenceData!$AA$84),"")</f>
        <v/>
      </c>
      <c r="AB84" t="str">
        <f ca="1">IFERROR(IF(0=LEN(ReferenceData!$AB$84),"",ReferenceData!$AB$84),"")</f>
        <v/>
      </c>
      <c r="AC84" t="str">
        <f ca="1">IFERROR(IF(0=LEN(ReferenceData!$AC$84),"",ReferenceData!$AC$84),"")</f>
        <v/>
      </c>
      <c r="AD84" t="str">
        <f ca="1">IFERROR(IF(0=LEN(ReferenceData!$AD$84),"",ReferenceData!$AD$84),"")</f>
        <v/>
      </c>
      <c r="AE84" t="str">
        <f ca="1">IFERROR(IF(0=LEN(ReferenceData!$AE$84),"",ReferenceData!$AE$84),"")</f>
        <v/>
      </c>
      <c r="AF84" t="str">
        <f ca="1">IFERROR(IF(0=LEN(ReferenceData!$AF$84),"",ReferenceData!$AF$84),"")</f>
        <v/>
      </c>
      <c r="AG84" t="str">
        <f ca="1">IFERROR(IF(0=LEN(ReferenceData!$AG$84),"",ReferenceData!$AG$84),"")</f>
        <v/>
      </c>
      <c r="AH84" t="str">
        <f ca="1">IFERROR(IF(0=LEN(ReferenceData!$AH$84),"",ReferenceData!$AH$84),"")</f>
        <v/>
      </c>
      <c r="AI84" t="str">
        <f ca="1">IFERROR(IF(0=LEN(ReferenceData!$AI$84),"",ReferenceData!$AI$84),"")</f>
        <v/>
      </c>
      <c r="AJ84" t="str">
        <f ca="1">IFERROR(IF(0=LEN(ReferenceData!$AJ$84),"",ReferenceData!$AJ$84),"")</f>
        <v/>
      </c>
      <c r="AK84" t="str">
        <f ca="1">IFERROR(IF(0=LEN(ReferenceData!$AK$84),"",ReferenceData!$AK$84),"")</f>
        <v/>
      </c>
      <c r="AL84" t="str">
        <f ca="1">IFERROR(IF(0=LEN(ReferenceData!$AL$84),"",ReferenceData!$AL$84),"")</f>
        <v/>
      </c>
      <c r="AM84" t="str">
        <f ca="1">IFERROR(IF(0=LEN(ReferenceData!$AM$84),"",ReferenceData!$AM$84),"")</f>
        <v/>
      </c>
      <c r="AN84" t="str">
        <f ca="1">IFERROR(IF(0=LEN(ReferenceData!$AN$84),"",ReferenceData!$AN$84),"")</f>
        <v/>
      </c>
      <c r="AO84" t="str">
        <f ca="1">IFERROR(IF(0=LEN(ReferenceData!$AO$84),"",ReferenceData!$AO$84),"")</f>
        <v/>
      </c>
      <c r="AP84" t="str">
        <f ca="1">IFERROR(IF(0=LEN(ReferenceData!$AP$84),"",ReferenceData!$AP$84),"")</f>
        <v/>
      </c>
      <c r="AQ84" t="str">
        <f ca="1">IFERROR(IF(0=LEN(ReferenceData!$AQ$84),"",ReferenceData!$AQ$84),"")</f>
        <v/>
      </c>
      <c r="AR84" t="str">
        <f ca="1">IFERROR(IF(0=LEN(ReferenceData!$AR$84),"",ReferenceData!$AR$84),"")</f>
        <v/>
      </c>
      <c r="AS84" t="str">
        <f ca="1">IFERROR(IF(0=LEN(ReferenceData!$AS$84),"",ReferenceData!$AS$84),"")</f>
        <v/>
      </c>
      <c r="AT84" t="str">
        <f ca="1">IFERROR(IF(0=LEN(ReferenceData!$AT$84),"",ReferenceData!$AT$84),"")</f>
        <v/>
      </c>
      <c r="AU84" t="str">
        <f ca="1">IFERROR(IF(0=LEN(ReferenceData!$AU$84),"",ReferenceData!$AU$84),"")</f>
        <v/>
      </c>
      <c r="AV84" t="str">
        <f ca="1">IFERROR(IF(0=LEN(ReferenceData!$AV$84),"",ReferenceData!$AV$84),"")</f>
        <v/>
      </c>
      <c r="AW84" t="str">
        <f ca="1">IFERROR(IF(0=LEN(ReferenceData!$AW$84),"",ReferenceData!$AW$84),"")</f>
        <v/>
      </c>
      <c r="AX84" t="str">
        <f ca="1">IFERROR(IF(0=LEN(ReferenceData!$AX$84),"",ReferenceData!$AX$84),"")</f>
        <v/>
      </c>
      <c r="AY84" t="str">
        <f ca="1">IFERROR(IF(0=LEN(ReferenceData!$AY$84),"",ReferenceData!$AY$84),"")</f>
        <v/>
      </c>
      <c r="AZ84" t="str">
        <f ca="1">IFERROR(IF(0=LEN(ReferenceData!$AZ$84),"",ReferenceData!$AZ$84),"")</f>
        <v/>
      </c>
      <c r="BA84" t="str">
        <f ca="1">IFERROR(IF(0=LEN(ReferenceData!$BA$84),"",ReferenceData!$BA$84),"")</f>
        <v/>
      </c>
      <c r="BB84" t="str">
        <f ca="1">IFERROR(IF(0=LEN(ReferenceData!$BB$84),"",ReferenceData!$BB$84),"")</f>
        <v/>
      </c>
      <c r="BC84" t="str">
        <f ca="1">IFERROR(IF(0=LEN(ReferenceData!$BC$84),"",ReferenceData!$BC$84),"")</f>
        <v/>
      </c>
      <c r="BD84" t="str">
        <f ca="1">IFERROR(IF(0=LEN(ReferenceData!$BD$84),"",ReferenceData!$BD$84),"")</f>
        <v/>
      </c>
      <c r="BE84" t="str">
        <f ca="1">IFERROR(IF(0=LEN(ReferenceData!$BE$84),"",ReferenceData!$BE$84),"")</f>
        <v/>
      </c>
      <c r="BF84" t="str">
        <f ca="1">IFERROR(IF(0=LEN(ReferenceData!$BF$84),"",ReferenceData!$BF$84),"")</f>
        <v/>
      </c>
      <c r="BG84" t="str">
        <f ca="1">IFERROR(IF(0=LEN(ReferenceData!$BG$84),"",ReferenceData!$BG$84),"")</f>
        <v/>
      </c>
      <c r="BH84" t="str">
        <f ca="1">IFERROR(IF(0=LEN(ReferenceData!$BH$84),"",ReferenceData!$BH$84),"")</f>
        <v/>
      </c>
      <c r="BI84" t="str">
        <f ca="1">IFERROR(IF(0=LEN(ReferenceData!$BI$84),"",ReferenceData!$BI$84),"")</f>
        <v/>
      </c>
      <c r="BJ84" t="str">
        <f ca="1">IFERROR(IF(0=LEN(ReferenceData!$BJ$84),"",ReferenceData!$BJ$84),"")</f>
        <v/>
      </c>
      <c r="BK84" t="str">
        <f ca="1">IFERROR(IF(0=LEN(ReferenceData!$BK$84),"",ReferenceData!$BK$84),"")</f>
        <v/>
      </c>
      <c r="BL84" t="str">
        <f ca="1">IFERROR(IF(0=LEN(ReferenceData!$BL$84),"",ReferenceData!$BL$84),"")</f>
        <v/>
      </c>
      <c r="BM84" t="str">
        <f ca="1">IFERROR(IF(0=LEN(ReferenceData!$BM$84),"",ReferenceData!$BM$84),"")</f>
        <v/>
      </c>
    </row>
    <row r="85" spans="1:65" x14ac:dyDescent="0.25">
      <c r="A85" t="str">
        <f>IFERROR(IF(0=LEN(ReferenceData!$A$85),"",ReferenceData!$A$85),"")</f>
        <v xml:space="preserve">        Recurring Operating Margin (%)</v>
      </c>
      <c r="B85" t="str">
        <f>IFERROR(IF(0=LEN(ReferenceData!$B$85),"",ReferenceData!$B$85),"")</f>
        <v>KER FP Equity</v>
      </c>
      <c r="C85" t="str">
        <f>IFERROR(IF(0=LEN(ReferenceData!$C$85),"",ReferenceData!$C$85),"")</f>
        <v/>
      </c>
      <c r="D85" t="str">
        <f>IFERROR(IF(0=LEN(ReferenceData!$D$85),"",ReferenceData!$D$85),"")</f>
        <v/>
      </c>
      <c r="E85" t="str">
        <f>IFERROR(IF(0=LEN(ReferenceData!$E$85),"",ReferenceData!$E$85),"")</f>
        <v>Expression</v>
      </c>
      <c r="F85" t="str">
        <f ca="1">IFERROR(IF(0=LEN(ReferenceData!$F$85),"",ReferenceData!$F$85),"")</f>
        <v/>
      </c>
      <c r="G85" t="str">
        <f ca="1">IFERROR(IF(0=LEN(ReferenceData!$G$85),"",ReferenceData!$G$85),"")</f>
        <v/>
      </c>
      <c r="H85" t="str">
        <f ca="1">IFERROR(IF(0=LEN(ReferenceData!$H$85),"",ReferenceData!$H$85),"")</f>
        <v/>
      </c>
      <c r="I85" t="str">
        <f ca="1">IFERROR(IF(0=LEN(ReferenceData!$I$85),"",ReferenceData!$I$85),"")</f>
        <v/>
      </c>
      <c r="J85" t="str">
        <f ca="1">IFERROR(IF(0=LEN(ReferenceData!$J$85),"",ReferenceData!$J$85),"")</f>
        <v/>
      </c>
      <c r="K85" t="str">
        <f ca="1">IFERROR(IF(0=LEN(ReferenceData!$K$85),"",ReferenceData!$K$85),"")</f>
        <v/>
      </c>
      <c r="L85" t="str">
        <f ca="1">IFERROR(IF(0=LEN(ReferenceData!$L$85),"",ReferenceData!$L$85),"")</f>
        <v/>
      </c>
      <c r="M85" t="str">
        <f ca="1">IFERROR(IF(0=LEN(ReferenceData!$M$85),"",ReferenceData!$M$85),"")</f>
        <v/>
      </c>
      <c r="N85" t="str">
        <f ca="1">IFERROR(IF(0=LEN(ReferenceData!$N$85),"",ReferenceData!$N$85),"")</f>
        <v/>
      </c>
      <c r="O85" t="str">
        <f ca="1">IFERROR(IF(0=LEN(ReferenceData!$O$85),"",ReferenceData!$O$85),"")</f>
        <v/>
      </c>
      <c r="P85" t="str">
        <f ca="1">IFERROR(IF(0=LEN(ReferenceData!$P$85),"",ReferenceData!$P$85),"")</f>
        <v/>
      </c>
      <c r="Q85" t="str">
        <f ca="1">IFERROR(IF(0=LEN(ReferenceData!$Q$85),"",ReferenceData!$Q$85),"")</f>
        <v/>
      </c>
      <c r="R85" t="str">
        <f ca="1">IFERROR(IF(0=LEN(ReferenceData!$R$85),"",ReferenceData!$R$85),"")</f>
        <v/>
      </c>
      <c r="S85" t="str">
        <f ca="1">IFERROR(IF(0=LEN(ReferenceData!$S$85),"",ReferenceData!$S$85),"")</f>
        <v/>
      </c>
      <c r="T85" t="str">
        <f ca="1">IFERROR(IF(0=LEN(ReferenceData!$T$85),"",ReferenceData!$T$85),"")</f>
        <v/>
      </c>
      <c r="U85" t="str">
        <f ca="1">IFERROR(IF(0=LEN(ReferenceData!$U$85),"",ReferenceData!$U$85),"")</f>
        <v/>
      </c>
      <c r="V85" t="str">
        <f ca="1">IFERROR(IF(0=LEN(ReferenceData!$V$85),"",ReferenceData!$V$85),"")</f>
        <v/>
      </c>
      <c r="W85" t="str">
        <f ca="1">IFERROR(IF(0=LEN(ReferenceData!$W$85),"",ReferenceData!$W$85),"")</f>
        <v/>
      </c>
      <c r="X85" t="str">
        <f ca="1">IFERROR(IF(0=LEN(ReferenceData!$X$85),"",ReferenceData!$X$85),"")</f>
        <v/>
      </c>
      <c r="Y85" t="str">
        <f ca="1">IFERROR(IF(0=LEN(ReferenceData!$Y$85),"",ReferenceData!$Y$85),"")</f>
        <v/>
      </c>
      <c r="Z85" t="str">
        <f ca="1">IFERROR(IF(0=LEN(ReferenceData!$Z$85),"",ReferenceData!$Z$85),"")</f>
        <v/>
      </c>
      <c r="AA85" t="str">
        <f ca="1">IFERROR(IF(0=LEN(ReferenceData!$AA$85),"",ReferenceData!$AA$85),"")</f>
        <v/>
      </c>
      <c r="AB85" t="str">
        <f ca="1">IFERROR(IF(0=LEN(ReferenceData!$AB$85),"",ReferenceData!$AB$85),"")</f>
        <v/>
      </c>
      <c r="AC85" t="str">
        <f ca="1">IFERROR(IF(0=LEN(ReferenceData!$AC$85),"",ReferenceData!$AC$85),"")</f>
        <v/>
      </c>
      <c r="AD85" t="str">
        <f ca="1">IFERROR(IF(0=LEN(ReferenceData!$AD$85),"",ReferenceData!$AD$85),"")</f>
        <v/>
      </c>
      <c r="AE85" t="str">
        <f ca="1">IFERROR(IF(0=LEN(ReferenceData!$AE$85),"",ReferenceData!$AE$85),"")</f>
        <v/>
      </c>
      <c r="AF85" t="str">
        <f ca="1">IFERROR(IF(0=LEN(ReferenceData!$AF$85),"",ReferenceData!$AF$85),"")</f>
        <v/>
      </c>
      <c r="AG85" t="str">
        <f ca="1">IFERROR(IF(0=LEN(ReferenceData!$AG$85),"",ReferenceData!$AG$85),"")</f>
        <v/>
      </c>
      <c r="AH85" t="str">
        <f ca="1">IFERROR(IF(0=LEN(ReferenceData!$AH$85),"",ReferenceData!$AH$85),"")</f>
        <v/>
      </c>
      <c r="AI85" t="str">
        <f ca="1">IFERROR(IF(0=LEN(ReferenceData!$AI$85),"",ReferenceData!$AI$85),"")</f>
        <v/>
      </c>
      <c r="AJ85" t="str">
        <f ca="1">IFERROR(IF(0=LEN(ReferenceData!$AJ$85),"",ReferenceData!$AJ$85),"")</f>
        <v/>
      </c>
      <c r="AK85" t="str">
        <f ca="1">IFERROR(IF(0=LEN(ReferenceData!$AK$85),"",ReferenceData!$AK$85),"")</f>
        <v/>
      </c>
      <c r="AL85" t="str">
        <f ca="1">IFERROR(IF(0=LEN(ReferenceData!$AL$85),"",ReferenceData!$AL$85),"")</f>
        <v/>
      </c>
      <c r="AM85" t="str">
        <f ca="1">IFERROR(IF(0=LEN(ReferenceData!$AM$85),"",ReferenceData!$AM$85),"")</f>
        <v/>
      </c>
      <c r="AN85" t="str">
        <f ca="1">IFERROR(IF(0=LEN(ReferenceData!$AN$85),"",ReferenceData!$AN$85),"")</f>
        <v/>
      </c>
      <c r="AO85" t="str">
        <f ca="1">IFERROR(IF(0=LEN(ReferenceData!$AO$85),"",ReferenceData!$AO$85),"")</f>
        <v/>
      </c>
      <c r="AP85" t="str">
        <f ca="1">IFERROR(IF(0=LEN(ReferenceData!$AP$85),"",ReferenceData!$AP$85),"")</f>
        <v/>
      </c>
      <c r="AQ85" t="str">
        <f ca="1">IFERROR(IF(0=LEN(ReferenceData!$AQ$85),"",ReferenceData!$AQ$85),"")</f>
        <v/>
      </c>
      <c r="AR85" t="str">
        <f ca="1">IFERROR(IF(0=LEN(ReferenceData!$AR$85),"",ReferenceData!$AR$85),"")</f>
        <v/>
      </c>
      <c r="AS85" t="str">
        <f ca="1">IFERROR(IF(0=LEN(ReferenceData!$AS$85),"",ReferenceData!$AS$85),"")</f>
        <v/>
      </c>
      <c r="AT85" t="str">
        <f ca="1">IFERROR(IF(0=LEN(ReferenceData!$AT$85),"",ReferenceData!$AT$85),"")</f>
        <v/>
      </c>
      <c r="AU85" t="str">
        <f ca="1">IFERROR(IF(0=LEN(ReferenceData!$AU$85),"",ReferenceData!$AU$85),"")</f>
        <v/>
      </c>
      <c r="AV85" t="str">
        <f ca="1">IFERROR(IF(0=LEN(ReferenceData!$AV$85),"",ReferenceData!$AV$85),"")</f>
        <v/>
      </c>
      <c r="AW85" t="str">
        <f ca="1">IFERROR(IF(0=LEN(ReferenceData!$AW$85),"",ReferenceData!$AW$85),"")</f>
        <v/>
      </c>
      <c r="AX85" t="str">
        <f ca="1">IFERROR(IF(0=LEN(ReferenceData!$AX$85),"",ReferenceData!$AX$85),"")</f>
        <v/>
      </c>
      <c r="AY85" t="str">
        <f ca="1">IFERROR(IF(0=LEN(ReferenceData!$AY$85),"",ReferenceData!$AY$85),"")</f>
        <v/>
      </c>
      <c r="AZ85" t="str">
        <f ca="1">IFERROR(IF(0=LEN(ReferenceData!$AZ$85),"",ReferenceData!$AZ$85),"")</f>
        <v/>
      </c>
      <c r="BA85" t="str">
        <f ca="1">IFERROR(IF(0=LEN(ReferenceData!$BA$85),"",ReferenceData!$BA$85),"")</f>
        <v/>
      </c>
      <c r="BB85" t="str">
        <f ca="1">IFERROR(IF(0=LEN(ReferenceData!$BB$85),"",ReferenceData!$BB$85),"")</f>
        <v/>
      </c>
      <c r="BC85" t="str">
        <f ca="1">IFERROR(IF(0=LEN(ReferenceData!$BC$85),"",ReferenceData!$BC$85),"")</f>
        <v/>
      </c>
      <c r="BD85" t="str">
        <f ca="1">IFERROR(IF(0=LEN(ReferenceData!$BD$85),"",ReferenceData!$BD$85),"")</f>
        <v/>
      </c>
      <c r="BE85" t="str">
        <f ca="1">IFERROR(IF(0=LEN(ReferenceData!$BE$85),"",ReferenceData!$BE$85),"")</f>
        <v/>
      </c>
      <c r="BF85" t="str">
        <f ca="1">IFERROR(IF(0=LEN(ReferenceData!$BF$85),"",ReferenceData!$BF$85),"")</f>
        <v/>
      </c>
      <c r="BG85" t="str">
        <f ca="1">IFERROR(IF(0=LEN(ReferenceData!$BG$85),"",ReferenceData!$BG$85),"")</f>
        <v/>
      </c>
      <c r="BH85" t="str">
        <f ca="1">IFERROR(IF(0=LEN(ReferenceData!$BH$85),"",ReferenceData!$BH$85),"")</f>
        <v/>
      </c>
      <c r="BI85" t="str">
        <f ca="1">IFERROR(IF(0=LEN(ReferenceData!$BI$85),"",ReferenceData!$BI$85),"")</f>
        <v/>
      </c>
      <c r="BJ85" t="str">
        <f ca="1">IFERROR(IF(0=LEN(ReferenceData!$BJ$85),"",ReferenceData!$BJ$85),"")</f>
        <v/>
      </c>
      <c r="BK85" t="str">
        <f ca="1">IFERROR(IF(0=LEN(ReferenceData!$BK$85),"",ReferenceData!$BK$85),"")</f>
        <v/>
      </c>
      <c r="BL85" t="str">
        <f ca="1">IFERROR(IF(0=LEN(ReferenceData!$BL$85),"",ReferenceData!$BL$85),"")</f>
        <v/>
      </c>
      <c r="BM85" t="str">
        <f ca="1">IFERROR(IF(0=LEN(ReferenceData!$BM$85),"",ReferenceData!$BM$85),"")</f>
        <v/>
      </c>
    </row>
    <row r="86" spans="1:65" x14ac:dyDescent="0.25">
      <c r="A86" t="str">
        <f>IFERROR(IF(0=LEN(ReferenceData!$A$86),"",ReferenceData!$A$86),"")</f>
        <v xml:space="preserve">    </v>
      </c>
      <c r="B86" t="str">
        <f>IFERROR(IF(0=LEN(ReferenceData!$B$86),"",ReferenceData!$B$86),"")</f>
        <v/>
      </c>
      <c r="C86" t="str">
        <f>IFERROR(IF(0=LEN(ReferenceData!$C$86),"",ReferenceData!$C$86),"")</f>
        <v/>
      </c>
      <c r="D86" t="str">
        <f>IFERROR(IF(0=LEN(ReferenceData!$D$86),"",ReferenceData!$D$86),"")</f>
        <v/>
      </c>
      <c r="E86" t="str">
        <f>IFERROR(IF(0=LEN(ReferenceData!$E$86),"",ReferenceData!$E$86),"")</f>
        <v>Static</v>
      </c>
      <c r="F86" t="str">
        <f ca="1">IFERROR(IF(0=LEN(ReferenceData!$F$86),"",ReferenceData!$F$86),"")</f>
        <v/>
      </c>
      <c r="G86" t="str">
        <f ca="1">IFERROR(IF(0=LEN(ReferenceData!$G$86),"",ReferenceData!$G$86),"")</f>
        <v/>
      </c>
      <c r="H86" t="str">
        <f ca="1">IFERROR(IF(0=LEN(ReferenceData!$H$86),"",ReferenceData!$H$86),"")</f>
        <v/>
      </c>
      <c r="I86" t="str">
        <f ca="1">IFERROR(IF(0=LEN(ReferenceData!$I$86),"",ReferenceData!$I$86),"")</f>
        <v/>
      </c>
      <c r="J86" t="str">
        <f ca="1">IFERROR(IF(0=LEN(ReferenceData!$J$86),"",ReferenceData!$J$86),"")</f>
        <v/>
      </c>
      <c r="K86" t="str">
        <f ca="1">IFERROR(IF(0=LEN(ReferenceData!$K$86),"",ReferenceData!$K$86),"")</f>
        <v/>
      </c>
      <c r="L86" t="str">
        <f ca="1">IFERROR(IF(0=LEN(ReferenceData!$L$86),"",ReferenceData!$L$86),"")</f>
        <v/>
      </c>
      <c r="M86" t="str">
        <f ca="1">IFERROR(IF(0=LEN(ReferenceData!$M$86),"",ReferenceData!$M$86),"")</f>
        <v/>
      </c>
      <c r="N86" t="str">
        <f ca="1">IFERROR(IF(0=LEN(ReferenceData!$N$86),"",ReferenceData!$N$86),"")</f>
        <v/>
      </c>
      <c r="O86" t="str">
        <f ca="1">IFERROR(IF(0=LEN(ReferenceData!$O$86),"",ReferenceData!$O$86),"")</f>
        <v/>
      </c>
      <c r="P86" t="str">
        <f ca="1">IFERROR(IF(0=LEN(ReferenceData!$P$86),"",ReferenceData!$P$86),"")</f>
        <v/>
      </c>
      <c r="Q86" t="str">
        <f ca="1">IFERROR(IF(0=LEN(ReferenceData!$Q$86),"",ReferenceData!$Q$86),"")</f>
        <v/>
      </c>
      <c r="R86" t="str">
        <f ca="1">IFERROR(IF(0=LEN(ReferenceData!$R$86),"",ReferenceData!$R$86),"")</f>
        <v/>
      </c>
      <c r="S86" t="str">
        <f ca="1">IFERROR(IF(0=LEN(ReferenceData!$S$86),"",ReferenceData!$S$86),"")</f>
        <v/>
      </c>
      <c r="T86" t="str">
        <f ca="1">IFERROR(IF(0=LEN(ReferenceData!$T$86),"",ReferenceData!$T$86),"")</f>
        <v/>
      </c>
      <c r="U86" t="str">
        <f ca="1">IFERROR(IF(0=LEN(ReferenceData!$U$86),"",ReferenceData!$U$86),"")</f>
        <v/>
      </c>
      <c r="V86" t="str">
        <f ca="1">IFERROR(IF(0=LEN(ReferenceData!$V$86),"",ReferenceData!$V$86),"")</f>
        <v/>
      </c>
      <c r="W86" t="str">
        <f ca="1">IFERROR(IF(0=LEN(ReferenceData!$W$86),"",ReferenceData!$W$86),"")</f>
        <v/>
      </c>
      <c r="X86" t="str">
        <f ca="1">IFERROR(IF(0=LEN(ReferenceData!$X$86),"",ReferenceData!$X$86),"")</f>
        <v/>
      </c>
      <c r="Y86" t="str">
        <f ca="1">IFERROR(IF(0=LEN(ReferenceData!$Y$86),"",ReferenceData!$Y$86),"")</f>
        <v/>
      </c>
      <c r="Z86" t="str">
        <f ca="1">IFERROR(IF(0=LEN(ReferenceData!$Z$86),"",ReferenceData!$Z$86),"")</f>
        <v/>
      </c>
      <c r="AA86" t="str">
        <f ca="1">IFERROR(IF(0=LEN(ReferenceData!$AA$86),"",ReferenceData!$AA$86),"")</f>
        <v/>
      </c>
      <c r="AB86" t="str">
        <f ca="1">IFERROR(IF(0=LEN(ReferenceData!$AB$86),"",ReferenceData!$AB$86),"")</f>
        <v/>
      </c>
      <c r="AC86" t="str">
        <f ca="1">IFERROR(IF(0=LEN(ReferenceData!$AC$86),"",ReferenceData!$AC$86),"")</f>
        <v/>
      </c>
      <c r="AD86" t="str">
        <f ca="1">IFERROR(IF(0=LEN(ReferenceData!$AD$86),"",ReferenceData!$AD$86),"")</f>
        <v/>
      </c>
      <c r="AE86" t="str">
        <f ca="1">IFERROR(IF(0=LEN(ReferenceData!$AE$86),"",ReferenceData!$AE$86),"")</f>
        <v/>
      </c>
      <c r="AF86" t="str">
        <f ca="1">IFERROR(IF(0=LEN(ReferenceData!$AF$86),"",ReferenceData!$AF$86),"")</f>
        <v/>
      </c>
      <c r="AG86" t="str">
        <f ca="1">IFERROR(IF(0=LEN(ReferenceData!$AG$86),"",ReferenceData!$AG$86),"")</f>
        <v/>
      </c>
      <c r="AH86" t="str">
        <f ca="1">IFERROR(IF(0=LEN(ReferenceData!$AH$86),"",ReferenceData!$AH$86),"")</f>
        <v/>
      </c>
      <c r="AI86" t="str">
        <f ca="1">IFERROR(IF(0=LEN(ReferenceData!$AI$86),"",ReferenceData!$AI$86),"")</f>
        <v/>
      </c>
      <c r="AJ86" t="str">
        <f ca="1">IFERROR(IF(0=LEN(ReferenceData!$AJ$86),"",ReferenceData!$AJ$86),"")</f>
        <v/>
      </c>
      <c r="AK86" t="str">
        <f ca="1">IFERROR(IF(0=LEN(ReferenceData!$AK$86),"",ReferenceData!$AK$86),"")</f>
        <v/>
      </c>
      <c r="AL86" t="str">
        <f ca="1">IFERROR(IF(0=LEN(ReferenceData!$AL$86),"",ReferenceData!$AL$86),"")</f>
        <v/>
      </c>
      <c r="AM86" t="str">
        <f ca="1">IFERROR(IF(0=LEN(ReferenceData!$AM$86),"",ReferenceData!$AM$86),"")</f>
        <v/>
      </c>
      <c r="AN86" t="str">
        <f ca="1">IFERROR(IF(0=LEN(ReferenceData!$AN$86),"",ReferenceData!$AN$86),"")</f>
        <v/>
      </c>
      <c r="AO86" t="str">
        <f ca="1">IFERROR(IF(0=LEN(ReferenceData!$AO$86),"",ReferenceData!$AO$86),"")</f>
        <v/>
      </c>
      <c r="AP86" t="str">
        <f ca="1">IFERROR(IF(0=LEN(ReferenceData!$AP$86),"",ReferenceData!$AP$86),"")</f>
        <v/>
      </c>
      <c r="AQ86" t="str">
        <f ca="1">IFERROR(IF(0=LEN(ReferenceData!$AQ$86),"",ReferenceData!$AQ$86),"")</f>
        <v/>
      </c>
      <c r="AR86" t="str">
        <f ca="1">IFERROR(IF(0=LEN(ReferenceData!$AR$86),"",ReferenceData!$AR$86),"")</f>
        <v/>
      </c>
      <c r="AS86" t="str">
        <f ca="1">IFERROR(IF(0=LEN(ReferenceData!$AS$86),"",ReferenceData!$AS$86),"")</f>
        <v/>
      </c>
      <c r="AT86" t="str">
        <f ca="1">IFERROR(IF(0=LEN(ReferenceData!$AT$86),"",ReferenceData!$AT$86),"")</f>
        <v/>
      </c>
      <c r="AU86" t="str">
        <f ca="1">IFERROR(IF(0=LEN(ReferenceData!$AU$86),"",ReferenceData!$AU$86),"")</f>
        <v/>
      </c>
      <c r="AV86" t="str">
        <f ca="1">IFERROR(IF(0=LEN(ReferenceData!$AV$86),"",ReferenceData!$AV$86),"")</f>
        <v/>
      </c>
      <c r="AW86" t="str">
        <f ca="1">IFERROR(IF(0=LEN(ReferenceData!$AW$86),"",ReferenceData!$AW$86),"")</f>
        <v/>
      </c>
      <c r="AX86" t="str">
        <f ca="1">IFERROR(IF(0=LEN(ReferenceData!$AX$86),"",ReferenceData!$AX$86),"")</f>
        <v/>
      </c>
      <c r="AY86" t="str">
        <f ca="1">IFERROR(IF(0=LEN(ReferenceData!$AY$86),"",ReferenceData!$AY$86),"")</f>
        <v/>
      </c>
      <c r="AZ86" t="str">
        <f ca="1">IFERROR(IF(0=LEN(ReferenceData!$AZ$86),"",ReferenceData!$AZ$86),"")</f>
        <v/>
      </c>
      <c r="BA86" t="str">
        <f ca="1">IFERROR(IF(0=LEN(ReferenceData!$BA$86),"",ReferenceData!$BA$86),"")</f>
        <v/>
      </c>
      <c r="BB86" t="str">
        <f ca="1">IFERROR(IF(0=LEN(ReferenceData!$BB$86),"",ReferenceData!$BB$86),"")</f>
        <v/>
      </c>
      <c r="BC86" t="str">
        <f ca="1">IFERROR(IF(0=LEN(ReferenceData!$BC$86),"",ReferenceData!$BC$86),"")</f>
        <v/>
      </c>
      <c r="BD86" t="str">
        <f ca="1">IFERROR(IF(0=LEN(ReferenceData!$BD$86),"",ReferenceData!$BD$86),"")</f>
        <v/>
      </c>
      <c r="BE86" t="str">
        <f ca="1">IFERROR(IF(0=LEN(ReferenceData!$BE$86),"",ReferenceData!$BE$86),"")</f>
        <v/>
      </c>
      <c r="BF86" t="str">
        <f ca="1">IFERROR(IF(0=LEN(ReferenceData!$BF$86),"",ReferenceData!$BF$86),"")</f>
        <v/>
      </c>
      <c r="BG86" t="str">
        <f ca="1">IFERROR(IF(0=LEN(ReferenceData!$BG$86),"",ReferenceData!$BG$86),"")</f>
        <v/>
      </c>
      <c r="BH86" t="str">
        <f ca="1">IFERROR(IF(0=LEN(ReferenceData!$BH$86),"",ReferenceData!$BH$86),"")</f>
        <v/>
      </c>
      <c r="BI86" t="str">
        <f ca="1">IFERROR(IF(0=LEN(ReferenceData!$BI$86),"",ReferenceData!$BI$86),"")</f>
        <v/>
      </c>
      <c r="BJ86" t="str">
        <f ca="1">IFERROR(IF(0=LEN(ReferenceData!$BJ$86),"",ReferenceData!$BJ$86),"")</f>
        <v/>
      </c>
      <c r="BK86" t="str">
        <f ca="1">IFERROR(IF(0=LEN(ReferenceData!$BK$86),"",ReferenceData!$BK$86),"")</f>
        <v/>
      </c>
      <c r="BL86" t="str">
        <f ca="1">IFERROR(IF(0=LEN(ReferenceData!$BL$86),"",ReferenceData!$BL$86),"")</f>
        <v/>
      </c>
      <c r="BM86" t="str">
        <f ca="1">IFERROR(IF(0=LEN(ReferenceData!$BM$86),"",ReferenceData!$BM$86),"")</f>
        <v/>
      </c>
    </row>
    <row r="87" spans="1:65" x14ac:dyDescent="0.25">
      <c r="A87" t="str">
        <f>IFERROR(IF(0=LEN(ReferenceData!$A$87),"",ReferenceData!$A$87),"")</f>
        <v xml:space="preserve">    Corporate &amp; Other Revenue</v>
      </c>
      <c r="B87" t="str">
        <f>IFERROR(IF(0=LEN(ReferenceData!$B$87),"",ReferenceData!$B$87),"")</f>
        <v>KER FP Equity</v>
      </c>
      <c r="C87" t="str">
        <f>IFERROR(IF(0=LEN(ReferenceData!$C$87),"",ReferenceData!$C$87),"")</f>
        <v>BI047</v>
      </c>
      <c r="D87" t="str">
        <f>IFERROR(IF(0=LEN(ReferenceData!$D$87),"",ReferenceData!$D$87),"")</f>
        <v>BICS_SEGMENT_DATA</v>
      </c>
      <c r="E87" t="str">
        <f>IFERROR(IF(0=LEN(ReferenceData!$E$87),"",ReferenceData!$E$87),"")</f>
        <v>Dynamic</v>
      </c>
      <c r="F87" t="str">
        <f ca="1">IFERROR(IF(0=LEN(ReferenceData!$F$87),"",ReferenceData!$F$87),"")</f>
        <v/>
      </c>
      <c r="G87">
        <f ca="1">IFERROR(IF(0=LEN(ReferenceData!$G$87),"",ReferenceData!$G$87),"")</f>
        <v>146</v>
      </c>
      <c r="H87">
        <f ca="1">IFERROR(IF(0=LEN(ReferenceData!$H$87),"",ReferenceData!$H$87),"")</f>
        <v>176.1</v>
      </c>
      <c r="I87">
        <f ca="1">IFERROR(IF(0=LEN(ReferenceData!$I$87),"",ReferenceData!$I$87),"")</f>
        <v>163.1</v>
      </c>
      <c r="J87">
        <f ca="1">IFERROR(IF(0=LEN(ReferenceData!$J$87),"",ReferenceData!$J$87),"")</f>
        <v>103.2</v>
      </c>
      <c r="K87">
        <f ca="1">IFERROR(IF(0=LEN(ReferenceData!$K$87),"",ReferenceData!$K$87),"")</f>
        <v>117.6</v>
      </c>
      <c r="L87">
        <f ca="1">IFERROR(IF(0=LEN(ReferenceData!$L$87),"",ReferenceData!$L$87),"")</f>
        <v>65.3</v>
      </c>
      <c r="M87">
        <f ca="1">IFERROR(IF(0=LEN(ReferenceData!$M$87),"",ReferenceData!$M$87),"")</f>
        <v>137.5</v>
      </c>
      <c r="N87">
        <f ca="1">IFERROR(IF(0=LEN(ReferenceData!$N$87),"",ReferenceData!$N$87),"")</f>
        <v>120.1</v>
      </c>
      <c r="O87">
        <f ca="1">IFERROR(IF(0=LEN(ReferenceData!$O$87),"",ReferenceData!$O$87),"")</f>
        <v>106.8</v>
      </c>
      <c r="P87">
        <f ca="1">IFERROR(IF(0=LEN(ReferenceData!$P$87),"",ReferenceData!$P$87),"")</f>
        <v>136.80000000000001</v>
      </c>
      <c r="Q87">
        <f ca="1">IFERROR(IF(0=LEN(ReferenceData!$Q$87),"",ReferenceData!$Q$87),"")</f>
        <v>137.19999999999999</v>
      </c>
      <c r="R87">
        <f ca="1">IFERROR(IF(0=LEN(ReferenceData!$R$87),"",ReferenceData!$R$87),"")</f>
        <v>111.5</v>
      </c>
      <c r="S87">
        <f ca="1">IFERROR(IF(0=LEN(ReferenceData!$S$87),"",ReferenceData!$S$87),"")</f>
        <v>83.8</v>
      </c>
      <c r="T87">
        <f ca="1">IFERROR(IF(0=LEN(ReferenceData!$T$87),"",ReferenceData!$T$87),"")</f>
        <v>114.7</v>
      </c>
      <c r="U87">
        <f ca="1">IFERROR(IF(0=LEN(ReferenceData!$U$87),"",ReferenceData!$U$87),"")</f>
        <v>108.5</v>
      </c>
      <c r="V87">
        <f ca="1">IFERROR(IF(0=LEN(ReferenceData!$V$87),"",ReferenceData!$V$87),"")</f>
        <v>65.599999999999994</v>
      </c>
      <c r="W87">
        <f ca="1">IFERROR(IF(0=LEN(ReferenceData!$W$87),"",ReferenceData!$W$87),"")</f>
        <v>56.3</v>
      </c>
      <c r="X87">
        <f ca="1">IFERROR(IF(0=LEN(ReferenceData!$X$87),"",ReferenceData!$X$87),"")</f>
        <v>86.9</v>
      </c>
      <c r="Y87">
        <f ca="1">IFERROR(IF(0=LEN(ReferenceData!$Y$87),"",ReferenceData!$Y$87),"")</f>
        <v>92.9</v>
      </c>
      <c r="Z87">
        <f ca="1">IFERROR(IF(0=LEN(ReferenceData!$Z$87),"",ReferenceData!$Z$87),"")</f>
        <v>8.1999999999999993</v>
      </c>
      <c r="AA87">
        <f ca="1">IFERROR(IF(0=LEN(ReferenceData!$AA$87),"",ReferenceData!$AA$87),"")</f>
        <v>5.4</v>
      </c>
      <c r="AB87">
        <f ca="1">IFERROR(IF(0=LEN(ReferenceData!$AB$87),"",ReferenceData!$AB$87),"")</f>
        <v>11.2</v>
      </c>
      <c r="AC87">
        <f ca="1">IFERROR(IF(0=LEN(ReferenceData!$AC$87),"",ReferenceData!$AC$87),"")</f>
        <v>7</v>
      </c>
      <c r="AD87">
        <f ca="1">IFERROR(IF(0=LEN(ReferenceData!$AD$87),"",ReferenceData!$AD$87),"")</f>
        <v>9.8000000000000007</v>
      </c>
      <c r="AE87">
        <f ca="1">IFERROR(IF(0=LEN(ReferenceData!$AE$87),"",ReferenceData!$AE$87),"")</f>
        <v>7.1</v>
      </c>
      <c r="AF87">
        <f ca="1">IFERROR(IF(0=LEN(ReferenceData!$AF$87),"",ReferenceData!$AF$87),"")</f>
        <v>12.3</v>
      </c>
      <c r="AG87">
        <f ca="1">IFERROR(IF(0=LEN(ReferenceData!$AG$87),"",ReferenceData!$AG$87),"")</f>
        <v>7</v>
      </c>
      <c r="AH87">
        <f ca="1">IFERROR(IF(0=LEN(ReferenceData!$AH$87),"",ReferenceData!$AH$87),"")</f>
        <v>8.4</v>
      </c>
      <c r="AI87">
        <f ca="1">IFERROR(IF(0=LEN(ReferenceData!$AI$87),"",ReferenceData!$AI$87),"")</f>
        <v>7.3</v>
      </c>
      <c r="AJ87">
        <f ca="1">IFERROR(IF(0=LEN(ReferenceData!$AJ$87),"",ReferenceData!$AJ$87),"")</f>
        <v>10.4</v>
      </c>
      <c r="AK87">
        <f ca="1">IFERROR(IF(0=LEN(ReferenceData!$AK$87),"",ReferenceData!$AK$87),"")</f>
        <v>7</v>
      </c>
      <c r="AL87">
        <f ca="1">IFERROR(IF(0=LEN(ReferenceData!$AL$87),"",ReferenceData!$AL$87),"")</f>
        <v>8.4</v>
      </c>
      <c r="AM87">
        <f ca="1">IFERROR(IF(0=LEN(ReferenceData!$AM$87),"",ReferenceData!$AM$87),"")</f>
        <v>9.6999999999999993</v>
      </c>
      <c r="AN87">
        <f ca="1">IFERROR(IF(0=LEN(ReferenceData!$AN$87),"",ReferenceData!$AN$87),"")</f>
        <v>8.8000000000000007</v>
      </c>
      <c r="AO87">
        <f ca="1">IFERROR(IF(0=LEN(ReferenceData!$AO$87),"",ReferenceData!$AO$87),"")</f>
        <v>4.4000000000000004</v>
      </c>
      <c r="AP87">
        <f ca="1">IFERROR(IF(0=LEN(ReferenceData!$AP$87),"",ReferenceData!$AP$87),"")</f>
        <v>-0.9</v>
      </c>
      <c r="AQ87">
        <f ca="1">IFERROR(IF(0=LEN(ReferenceData!$AQ$87),"",ReferenceData!$AQ$87),"")</f>
        <v>-2.2000000000000002</v>
      </c>
      <c r="AR87">
        <f ca="1">IFERROR(IF(0=LEN(ReferenceData!$AR$87),"",ReferenceData!$AR$87),"")</f>
        <v>-2.2999999999999998</v>
      </c>
      <c r="AS87">
        <f ca="1">IFERROR(IF(0=LEN(ReferenceData!$AS$87),"",ReferenceData!$AS$87),"")</f>
        <v>-2.5</v>
      </c>
      <c r="AT87" t="str">
        <f ca="1">IFERROR(IF(0=LEN(ReferenceData!$AT$87),"",ReferenceData!$AT$87),"")</f>
        <v/>
      </c>
      <c r="AU87" t="str">
        <f ca="1">IFERROR(IF(0=LEN(ReferenceData!$AU$87),"",ReferenceData!$AU$87),"")</f>
        <v/>
      </c>
      <c r="AV87">
        <f ca="1">IFERROR(IF(0=LEN(ReferenceData!$AV$87),"",ReferenceData!$AV$87),"")</f>
        <v>-2.1</v>
      </c>
      <c r="AW87">
        <f ca="1">IFERROR(IF(0=LEN(ReferenceData!$AW$87),"",ReferenceData!$AW$87),"")</f>
        <v>-3.2</v>
      </c>
      <c r="AX87">
        <f ca="1">IFERROR(IF(0=LEN(ReferenceData!$AX$87),"",ReferenceData!$AX$87),"")</f>
        <v>-4.5999999999999996</v>
      </c>
      <c r="AY87">
        <f ca="1">IFERROR(IF(0=LEN(ReferenceData!$AY$87),"",ReferenceData!$AY$87),"")</f>
        <v>-6.6</v>
      </c>
      <c r="AZ87">
        <f ca="1">IFERROR(IF(0=LEN(ReferenceData!$AZ$87),"",ReferenceData!$AZ$87),"")</f>
        <v>-5.4</v>
      </c>
      <c r="BA87">
        <f ca="1">IFERROR(IF(0=LEN(ReferenceData!$BA$87),"",ReferenceData!$BA$87),"")</f>
        <v>-4.4000000000000004</v>
      </c>
      <c r="BB87">
        <f ca="1">IFERROR(IF(0=LEN(ReferenceData!$BB$87),"",ReferenceData!$BB$87),"")</f>
        <v>-2.8</v>
      </c>
      <c r="BC87">
        <f ca="1">IFERROR(IF(0=LEN(ReferenceData!$BC$87),"",ReferenceData!$BC$87),"")</f>
        <v>-4.4000000000000004</v>
      </c>
      <c r="BD87">
        <f ca="1">IFERROR(IF(0=LEN(ReferenceData!$BD$87),"",ReferenceData!$BD$87),"")</f>
        <v>-3.1</v>
      </c>
      <c r="BE87">
        <f ca="1">IFERROR(IF(0=LEN(ReferenceData!$BE$87),"",ReferenceData!$BE$87),"")</f>
        <v>-5.4</v>
      </c>
      <c r="BF87" t="str">
        <f ca="1">IFERROR(IF(0=LEN(ReferenceData!$BF$87),"",ReferenceData!$BF$87),"")</f>
        <v/>
      </c>
      <c r="BG87" t="str">
        <f ca="1">IFERROR(IF(0=LEN(ReferenceData!$BG$87),"",ReferenceData!$BG$87),"")</f>
        <v/>
      </c>
      <c r="BH87" t="str">
        <f ca="1">IFERROR(IF(0=LEN(ReferenceData!$BH$87),"",ReferenceData!$BH$87),"")</f>
        <v/>
      </c>
      <c r="BI87" t="str">
        <f ca="1">IFERROR(IF(0=LEN(ReferenceData!$BI$87),"",ReferenceData!$BI$87),"")</f>
        <v/>
      </c>
      <c r="BJ87" t="str">
        <f ca="1">IFERROR(IF(0=LEN(ReferenceData!$BJ$87),"",ReferenceData!$BJ$87),"")</f>
        <v/>
      </c>
      <c r="BK87" t="str">
        <f ca="1">IFERROR(IF(0=LEN(ReferenceData!$BK$87),"",ReferenceData!$BK$87),"")</f>
        <v/>
      </c>
      <c r="BL87" t="str">
        <f ca="1">IFERROR(IF(0=LEN(ReferenceData!$BL$87),"",ReferenceData!$BL$87),"")</f>
        <v/>
      </c>
      <c r="BM87" t="str">
        <f ca="1">IFERROR(IF(0=LEN(ReferenceData!$BM$87),"",ReferenceData!$BM$87),"")</f>
        <v/>
      </c>
    </row>
    <row r="88" spans="1:65" x14ac:dyDescent="0.25">
      <c r="A88" t="str">
        <f>IFERROR(IF(0=LEN(ReferenceData!$A$88),"",ReferenceData!$A$88),"")</f>
        <v xml:space="preserve">    </v>
      </c>
      <c r="B88" t="str">
        <f>IFERROR(IF(0=LEN(ReferenceData!$B$88),"",ReferenceData!$B$88),"")</f>
        <v/>
      </c>
      <c r="C88" t="str">
        <f>IFERROR(IF(0=LEN(ReferenceData!$C$88),"",ReferenceData!$C$88),"")</f>
        <v/>
      </c>
      <c r="D88" t="str">
        <f>IFERROR(IF(0=LEN(ReferenceData!$D$88),"",ReferenceData!$D$88),"")</f>
        <v/>
      </c>
      <c r="E88" t="str">
        <f>IFERROR(IF(0=LEN(ReferenceData!$E$88),"",ReferenceData!$E$88),"")</f>
        <v>Static</v>
      </c>
      <c r="F88" t="str">
        <f ca="1">IFERROR(IF(0=LEN(ReferenceData!$F$88),"",ReferenceData!$F$88),"")</f>
        <v/>
      </c>
      <c r="G88" t="str">
        <f ca="1">IFERROR(IF(0=LEN(ReferenceData!$G$88),"",ReferenceData!$G$88),"")</f>
        <v/>
      </c>
      <c r="H88" t="str">
        <f ca="1">IFERROR(IF(0=LEN(ReferenceData!$H$88),"",ReferenceData!$H$88),"")</f>
        <v/>
      </c>
      <c r="I88" t="str">
        <f ca="1">IFERROR(IF(0=LEN(ReferenceData!$I$88),"",ReferenceData!$I$88),"")</f>
        <v/>
      </c>
      <c r="J88" t="str">
        <f ca="1">IFERROR(IF(0=LEN(ReferenceData!$J$88),"",ReferenceData!$J$88),"")</f>
        <v/>
      </c>
      <c r="K88" t="str">
        <f ca="1">IFERROR(IF(0=LEN(ReferenceData!$K$88),"",ReferenceData!$K$88),"")</f>
        <v/>
      </c>
      <c r="L88" t="str">
        <f ca="1">IFERROR(IF(0=LEN(ReferenceData!$L$88),"",ReferenceData!$L$88),"")</f>
        <v/>
      </c>
      <c r="M88" t="str">
        <f ca="1">IFERROR(IF(0=LEN(ReferenceData!$M$88),"",ReferenceData!$M$88),"")</f>
        <v/>
      </c>
      <c r="N88" t="str">
        <f ca="1">IFERROR(IF(0=LEN(ReferenceData!$N$88),"",ReferenceData!$N$88),"")</f>
        <v/>
      </c>
      <c r="O88" t="str">
        <f ca="1">IFERROR(IF(0=LEN(ReferenceData!$O$88),"",ReferenceData!$O$88),"")</f>
        <v/>
      </c>
      <c r="P88" t="str">
        <f ca="1">IFERROR(IF(0=LEN(ReferenceData!$P$88),"",ReferenceData!$P$88),"")</f>
        <v/>
      </c>
      <c r="Q88" t="str">
        <f ca="1">IFERROR(IF(0=LEN(ReferenceData!$Q$88),"",ReferenceData!$Q$88),"")</f>
        <v/>
      </c>
      <c r="R88" t="str">
        <f ca="1">IFERROR(IF(0=LEN(ReferenceData!$R$88),"",ReferenceData!$R$88),"")</f>
        <v/>
      </c>
      <c r="S88" t="str">
        <f ca="1">IFERROR(IF(0=LEN(ReferenceData!$S$88),"",ReferenceData!$S$88),"")</f>
        <v/>
      </c>
      <c r="T88" t="str">
        <f ca="1">IFERROR(IF(0=LEN(ReferenceData!$T$88),"",ReferenceData!$T$88),"")</f>
        <v/>
      </c>
      <c r="U88" t="str">
        <f ca="1">IFERROR(IF(0=LEN(ReferenceData!$U$88),"",ReferenceData!$U$88),"")</f>
        <v/>
      </c>
      <c r="V88" t="str">
        <f ca="1">IFERROR(IF(0=LEN(ReferenceData!$V$88),"",ReferenceData!$V$88),"")</f>
        <v/>
      </c>
      <c r="W88" t="str">
        <f ca="1">IFERROR(IF(0=LEN(ReferenceData!$W$88),"",ReferenceData!$W$88),"")</f>
        <v/>
      </c>
      <c r="X88" t="str">
        <f ca="1">IFERROR(IF(0=LEN(ReferenceData!$X$88),"",ReferenceData!$X$88),"")</f>
        <v/>
      </c>
      <c r="Y88" t="str">
        <f ca="1">IFERROR(IF(0=LEN(ReferenceData!$Y$88),"",ReferenceData!$Y$88),"")</f>
        <v/>
      </c>
      <c r="Z88" t="str">
        <f ca="1">IFERROR(IF(0=LEN(ReferenceData!$Z$88),"",ReferenceData!$Z$88),"")</f>
        <v/>
      </c>
      <c r="AA88" t="str">
        <f ca="1">IFERROR(IF(0=LEN(ReferenceData!$AA$88),"",ReferenceData!$AA$88),"")</f>
        <v/>
      </c>
      <c r="AB88" t="str">
        <f ca="1">IFERROR(IF(0=LEN(ReferenceData!$AB$88),"",ReferenceData!$AB$88),"")</f>
        <v/>
      </c>
      <c r="AC88" t="str">
        <f ca="1">IFERROR(IF(0=LEN(ReferenceData!$AC$88),"",ReferenceData!$AC$88),"")</f>
        <v/>
      </c>
      <c r="AD88" t="str">
        <f ca="1">IFERROR(IF(0=LEN(ReferenceData!$AD$88),"",ReferenceData!$AD$88),"")</f>
        <v/>
      </c>
      <c r="AE88" t="str">
        <f ca="1">IFERROR(IF(0=LEN(ReferenceData!$AE$88),"",ReferenceData!$AE$88),"")</f>
        <v/>
      </c>
      <c r="AF88" t="str">
        <f ca="1">IFERROR(IF(0=LEN(ReferenceData!$AF$88),"",ReferenceData!$AF$88),"")</f>
        <v/>
      </c>
      <c r="AG88" t="str">
        <f ca="1">IFERROR(IF(0=LEN(ReferenceData!$AG$88),"",ReferenceData!$AG$88),"")</f>
        <v/>
      </c>
      <c r="AH88" t="str">
        <f ca="1">IFERROR(IF(0=LEN(ReferenceData!$AH$88),"",ReferenceData!$AH$88),"")</f>
        <v/>
      </c>
      <c r="AI88" t="str">
        <f ca="1">IFERROR(IF(0=LEN(ReferenceData!$AI$88),"",ReferenceData!$AI$88),"")</f>
        <v/>
      </c>
      <c r="AJ88" t="str">
        <f ca="1">IFERROR(IF(0=LEN(ReferenceData!$AJ$88),"",ReferenceData!$AJ$88),"")</f>
        <v/>
      </c>
      <c r="AK88" t="str">
        <f ca="1">IFERROR(IF(0=LEN(ReferenceData!$AK$88),"",ReferenceData!$AK$88),"")</f>
        <v/>
      </c>
      <c r="AL88" t="str">
        <f ca="1">IFERROR(IF(0=LEN(ReferenceData!$AL$88),"",ReferenceData!$AL$88),"")</f>
        <v/>
      </c>
      <c r="AM88" t="str">
        <f ca="1">IFERROR(IF(0=LEN(ReferenceData!$AM$88),"",ReferenceData!$AM$88),"")</f>
        <v/>
      </c>
      <c r="AN88" t="str">
        <f ca="1">IFERROR(IF(0=LEN(ReferenceData!$AN$88),"",ReferenceData!$AN$88),"")</f>
        <v/>
      </c>
      <c r="AO88" t="str">
        <f ca="1">IFERROR(IF(0=LEN(ReferenceData!$AO$88),"",ReferenceData!$AO$88),"")</f>
        <v/>
      </c>
      <c r="AP88" t="str">
        <f ca="1">IFERROR(IF(0=LEN(ReferenceData!$AP$88),"",ReferenceData!$AP$88),"")</f>
        <v/>
      </c>
      <c r="AQ88" t="str">
        <f ca="1">IFERROR(IF(0=LEN(ReferenceData!$AQ$88),"",ReferenceData!$AQ$88),"")</f>
        <v/>
      </c>
      <c r="AR88" t="str">
        <f ca="1">IFERROR(IF(0=LEN(ReferenceData!$AR$88),"",ReferenceData!$AR$88),"")</f>
        <v/>
      </c>
      <c r="AS88" t="str">
        <f ca="1">IFERROR(IF(0=LEN(ReferenceData!$AS$88),"",ReferenceData!$AS$88),"")</f>
        <v/>
      </c>
      <c r="AT88" t="str">
        <f ca="1">IFERROR(IF(0=LEN(ReferenceData!$AT$88),"",ReferenceData!$AT$88),"")</f>
        <v/>
      </c>
      <c r="AU88" t="str">
        <f ca="1">IFERROR(IF(0=LEN(ReferenceData!$AU$88),"",ReferenceData!$AU$88),"")</f>
        <v/>
      </c>
      <c r="AV88" t="str">
        <f ca="1">IFERROR(IF(0=LEN(ReferenceData!$AV$88),"",ReferenceData!$AV$88),"")</f>
        <v/>
      </c>
      <c r="AW88" t="str">
        <f ca="1">IFERROR(IF(0=LEN(ReferenceData!$AW$88),"",ReferenceData!$AW$88),"")</f>
        <v/>
      </c>
      <c r="AX88" t="str">
        <f ca="1">IFERROR(IF(0=LEN(ReferenceData!$AX$88),"",ReferenceData!$AX$88),"")</f>
        <v/>
      </c>
      <c r="AY88" t="str">
        <f ca="1">IFERROR(IF(0=LEN(ReferenceData!$AY$88),"",ReferenceData!$AY$88),"")</f>
        <v/>
      </c>
      <c r="AZ88" t="str">
        <f ca="1">IFERROR(IF(0=LEN(ReferenceData!$AZ$88),"",ReferenceData!$AZ$88),"")</f>
        <v/>
      </c>
      <c r="BA88" t="str">
        <f ca="1">IFERROR(IF(0=LEN(ReferenceData!$BA$88),"",ReferenceData!$BA$88),"")</f>
        <v/>
      </c>
      <c r="BB88" t="str">
        <f ca="1">IFERROR(IF(0=LEN(ReferenceData!$BB$88),"",ReferenceData!$BB$88),"")</f>
        <v/>
      </c>
      <c r="BC88" t="str">
        <f ca="1">IFERROR(IF(0=LEN(ReferenceData!$BC$88),"",ReferenceData!$BC$88),"")</f>
        <v/>
      </c>
      <c r="BD88" t="str">
        <f ca="1">IFERROR(IF(0=LEN(ReferenceData!$BD$88),"",ReferenceData!$BD$88),"")</f>
        <v/>
      </c>
      <c r="BE88" t="str">
        <f ca="1">IFERROR(IF(0=LEN(ReferenceData!$BE$88),"",ReferenceData!$BE$88),"")</f>
        <v/>
      </c>
      <c r="BF88" t="str">
        <f ca="1">IFERROR(IF(0=LEN(ReferenceData!$BF$88),"",ReferenceData!$BF$88),"")</f>
        <v/>
      </c>
      <c r="BG88" t="str">
        <f ca="1">IFERROR(IF(0=LEN(ReferenceData!$BG$88),"",ReferenceData!$BG$88),"")</f>
        <v/>
      </c>
      <c r="BH88" t="str">
        <f ca="1">IFERROR(IF(0=LEN(ReferenceData!$BH$88),"",ReferenceData!$BH$88),"")</f>
        <v/>
      </c>
      <c r="BI88" t="str">
        <f ca="1">IFERROR(IF(0=LEN(ReferenceData!$BI$88),"",ReferenceData!$BI$88),"")</f>
        <v/>
      </c>
      <c r="BJ88" t="str">
        <f ca="1">IFERROR(IF(0=LEN(ReferenceData!$BJ$88),"",ReferenceData!$BJ$88),"")</f>
        <v/>
      </c>
      <c r="BK88" t="str">
        <f ca="1">IFERROR(IF(0=LEN(ReferenceData!$BK$88),"",ReferenceData!$BK$88),"")</f>
        <v/>
      </c>
      <c r="BL88" t="str">
        <f ca="1">IFERROR(IF(0=LEN(ReferenceData!$BL$88),"",ReferenceData!$BL$88),"")</f>
        <v/>
      </c>
      <c r="BM88" t="str">
        <f ca="1">IFERROR(IF(0=LEN(ReferenceData!$BM$88),"",ReferenceData!$BM$88),"")</f>
        <v/>
      </c>
    </row>
    <row r="89" spans="1:65" x14ac:dyDescent="0.25">
      <c r="A89" t="str">
        <f>IFERROR(IF(0=LEN(ReferenceData!$A$89),"",ReferenceData!$A$89),"")</f>
        <v xml:space="preserve">    Old Segment</v>
      </c>
      <c r="B89" t="str">
        <f>IFERROR(IF(0=LEN(ReferenceData!$B$89),"",ReferenceData!$B$89),"")</f>
        <v/>
      </c>
      <c r="C89" t="str">
        <f>IFERROR(IF(0=LEN(ReferenceData!$C$89),"",ReferenceData!$C$89),"")</f>
        <v/>
      </c>
      <c r="D89" t="str">
        <f>IFERROR(IF(0=LEN(ReferenceData!$D$89),"",ReferenceData!$D$89),"")</f>
        <v/>
      </c>
      <c r="E89" t="str">
        <f>IFERROR(IF(0=LEN(ReferenceData!$E$89),"",ReferenceData!$E$89),"")</f>
        <v>Heading</v>
      </c>
      <c r="F89" t="str">
        <f>IFERROR(IF(0=LEN(ReferenceData!$F$89),"",ReferenceData!$F$89),"")</f>
        <v/>
      </c>
      <c r="G89" t="str">
        <f>IFERROR(IF(0=LEN(ReferenceData!$G$89),"",ReferenceData!$G$89),"")</f>
        <v/>
      </c>
      <c r="H89" t="str">
        <f>IFERROR(IF(0=LEN(ReferenceData!$H$89),"",ReferenceData!$H$89),"")</f>
        <v/>
      </c>
      <c r="I89" t="str">
        <f>IFERROR(IF(0=LEN(ReferenceData!$I$89),"",ReferenceData!$I$89),"")</f>
        <v/>
      </c>
      <c r="J89" t="str">
        <f>IFERROR(IF(0=LEN(ReferenceData!$J$89),"",ReferenceData!$J$89),"")</f>
        <v/>
      </c>
      <c r="K89" t="str">
        <f>IFERROR(IF(0=LEN(ReferenceData!$K$89),"",ReferenceData!$K$89),"")</f>
        <v/>
      </c>
      <c r="L89" t="str">
        <f>IFERROR(IF(0=LEN(ReferenceData!$L$89),"",ReferenceData!$L$89),"")</f>
        <v/>
      </c>
      <c r="M89" t="str">
        <f>IFERROR(IF(0=LEN(ReferenceData!$M$89),"",ReferenceData!$M$89),"")</f>
        <v/>
      </c>
      <c r="N89" t="str">
        <f>IFERROR(IF(0=LEN(ReferenceData!$N$89),"",ReferenceData!$N$89),"")</f>
        <v/>
      </c>
      <c r="O89" t="str">
        <f>IFERROR(IF(0=LEN(ReferenceData!$O$89),"",ReferenceData!$O$89),"")</f>
        <v/>
      </c>
      <c r="P89" t="str">
        <f>IFERROR(IF(0=LEN(ReferenceData!$P$89),"",ReferenceData!$P$89),"")</f>
        <v/>
      </c>
      <c r="Q89" t="str">
        <f>IFERROR(IF(0=LEN(ReferenceData!$Q$89),"",ReferenceData!$Q$89),"")</f>
        <v/>
      </c>
      <c r="R89" t="str">
        <f>IFERROR(IF(0=LEN(ReferenceData!$R$89),"",ReferenceData!$R$89),"")</f>
        <v/>
      </c>
      <c r="S89" t="str">
        <f>IFERROR(IF(0=LEN(ReferenceData!$S$89),"",ReferenceData!$S$89),"")</f>
        <v/>
      </c>
      <c r="T89" t="str">
        <f>IFERROR(IF(0=LEN(ReferenceData!$T$89),"",ReferenceData!$T$89),"")</f>
        <v/>
      </c>
      <c r="U89" t="str">
        <f>IFERROR(IF(0=LEN(ReferenceData!$U$89),"",ReferenceData!$U$89),"")</f>
        <v/>
      </c>
      <c r="V89" t="str">
        <f>IFERROR(IF(0=LEN(ReferenceData!$V$89),"",ReferenceData!$V$89),"")</f>
        <v/>
      </c>
      <c r="W89" t="str">
        <f>IFERROR(IF(0=LEN(ReferenceData!$W$89),"",ReferenceData!$W$89),"")</f>
        <v/>
      </c>
      <c r="X89" t="str">
        <f>IFERROR(IF(0=LEN(ReferenceData!$X$89),"",ReferenceData!$X$89),"")</f>
        <v/>
      </c>
      <c r="Y89" t="str">
        <f>IFERROR(IF(0=LEN(ReferenceData!$Y$89),"",ReferenceData!$Y$89),"")</f>
        <v/>
      </c>
      <c r="Z89" t="str">
        <f>IFERROR(IF(0=LEN(ReferenceData!$Z$89),"",ReferenceData!$Z$89),"")</f>
        <v/>
      </c>
      <c r="AA89" t="str">
        <f>IFERROR(IF(0=LEN(ReferenceData!$AA$89),"",ReferenceData!$AA$89),"")</f>
        <v/>
      </c>
      <c r="AB89" t="str">
        <f>IFERROR(IF(0=LEN(ReferenceData!$AB$89),"",ReferenceData!$AB$89),"")</f>
        <v/>
      </c>
      <c r="AC89" t="str">
        <f>IFERROR(IF(0=LEN(ReferenceData!$AC$89),"",ReferenceData!$AC$89),"")</f>
        <v/>
      </c>
      <c r="AD89" t="str">
        <f>IFERROR(IF(0=LEN(ReferenceData!$AD$89),"",ReferenceData!$AD$89),"")</f>
        <v/>
      </c>
      <c r="AE89" t="str">
        <f>IFERROR(IF(0=LEN(ReferenceData!$AE$89),"",ReferenceData!$AE$89),"")</f>
        <v/>
      </c>
      <c r="AF89" t="str">
        <f>IFERROR(IF(0=LEN(ReferenceData!$AF$89),"",ReferenceData!$AF$89),"")</f>
        <v/>
      </c>
      <c r="AG89" t="str">
        <f>IFERROR(IF(0=LEN(ReferenceData!$AG$89),"",ReferenceData!$AG$89),"")</f>
        <v/>
      </c>
      <c r="AH89" t="str">
        <f>IFERROR(IF(0=LEN(ReferenceData!$AH$89),"",ReferenceData!$AH$89),"")</f>
        <v/>
      </c>
      <c r="AI89" t="str">
        <f>IFERROR(IF(0=LEN(ReferenceData!$AI$89),"",ReferenceData!$AI$89),"")</f>
        <v/>
      </c>
      <c r="AJ89" t="str">
        <f>IFERROR(IF(0=LEN(ReferenceData!$AJ$89),"",ReferenceData!$AJ$89),"")</f>
        <v/>
      </c>
      <c r="AK89" t="str">
        <f>IFERROR(IF(0=LEN(ReferenceData!$AK$89),"",ReferenceData!$AK$89),"")</f>
        <v/>
      </c>
      <c r="AL89" t="str">
        <f>IFERROR(IF(0=LEN(ReferenceData!$AL$89),"",ReferenceData!$AL$89),"")</f>
        <v/>
      </c>
      <c r="AM89" t="str">
        <f>IFERROR(IF(0=LEN(ReferenceData!$AM$89),"",ReferenceData!$AM$89),"")</f>
        <v/>
      </c>
      <c r="AN89" t="str">
        <f>IFERROR(IF(0=LEN(ReferenceData!$AN$89),"",ReferenceData!$AN$89),"")</f>
        <v/>
      </c>
      <c r="AO89" t="str">
        <f>IFERROR(IF(0=LEN(ReferenceData!$AO$89),"",ReferenceData!$AO$89),"")</f>
        <v/>
      </c>
      <c r="AP89" t="str">
        <f>IFERROR(IF(0=LEN(ReferenceData!$AP$89),"",ReferenceData!$AP$89),"")</f>
        <v/>
      </c>
      <c r="AQ89" t="str">
        <f>IFERROR(IF(0=LEN(ReferenceData!$AQ$89),"",ReferenceData!$AQ$89),"")</f>
        <v/>
      </c>
      <c r="AR89" t="str">
        <f>IFERROR(IF(0=LEN(ReferenceData!$AR$89),"",ReferenceData!$AR$89),"")</f>
        <v/>
      </c>
      <c r="AS89" t="str">
        <f>IFERROR(IF(0=LEN(ReferenceData!$AS$89),"",ReferenceData!$AS$89),"")</f>
        <v/>
      </c>
      <c r="AT89" t="str">
        <f>IFERROR(IF(0=LEN(ReferenceData!$AT$89),"",ReferenceData!$AT$89),"")</f>
        <v/>
      </c>
      <c r="AU89" t="str">
        <f>IFERROR(IF(0=LEN(ReferenceData!$AU$89),"",ReferenceData!$AU$89),"")</f>
        <v/>
      </c>
      <c r="AV89" t="str">
        <f>IFERROR(IF(0=LEN(ReferenceData!$AV$89),"",ReferenceData!$AV$89),"")</f>
        <v/>
      </c>
      <c r="AW89" t="str">
        <f>IFERROR(IF(0=LEN(ReferenceData!$AW$89),"",ReferenceData!$AW$89),"")</f>
        <v/>
      </c>
      <c r="AX89" t="str">
        <f>IFERROR(IF(0=LEN(ReferenceData!$AX$89),"",ReferenceData!$AX$89),"")</f>
        <v/>
      </c>
      <c r="AY89" t="str">
        <f>IFERROR(IF(0=LEN(ReferenceData!$AY$89),"",ReferenceData!$AY$89),"")</f>
        <v/>
      </c>
      <c r="AZ89" t="str">
        <f>IFERROR(IF(0=LEN(ReferenceData!$AZ$89),"",ReferenceData!$AZ$89),"")</f>
        <v/>
      </c>
      <c r="BA89" t="str">
        <f>IFERROR(IF(0=LEN(ReferenceData!$BA$89),"",ReferenceData!$BA$89),"")</f>
        <v/>
      </c>
      <c r="BB89" t="str">
        <f>IFERROR(IF(0=LEN(ReferenceData!$BB$89),"",ReferenceData!$BB$89),"")</f>
        <v/>
      </c>
      <c r="BC89" t="str">
        <f>IFERROR(IF(0=LEN(ReferenceData!$BC$89),"",ReferenceData!$BC$89),"")</f>
        <v/>
      </c>
      <c r="BD89" t="str">
        <f>IFERROR(IF(0=LEN(ReferenceData!$BD$89),"",ReferenceData!$BD$89),"")</f>
        <v/>
      </c>
      <c r="BE89" t="str">
        <f>IFERROR(IF(0=LEN(ReferenceData!$BE$89),"",ReferenceData!$BE$89),"")</f>
        <v/>
      </c>
      <c r="BF89" t="str">
        <f>IFERROR(IF(0=LEN(ReferenceData!$BF$89),"",ReferenceData!$BF$89),"")</f>
        <v/>
      </c>
      <c r="BG89" t="str">
        <f>IFERROR(IF(0=LEN(ReferenceData!$BG$89),"",ReferenceData!$BG$89),"")</f>
        <v/>
      </c>
      <c r="BH89" t="str">
        <f>IFERROR(IF(0=LEN(ReferenceData!$BH$89),"",ReferenceData!$BH$89),"")</f>
        <v/>
      </c>
      <c r="BI89" t="str">
        <f>IFERROR(IF(0=LEN(ReferenceData!$BI$89),"",ReferenceData!$BI$89),"")</f>
        <v/>
      </c>
      <c r="BJ89" t="str">
        <f>IFERROR(IF(0=LEN(ReferenceData!$BJ$89),"",ReferenceData!$BJ$89),"")</f>
        <v/>
      </c>
      <c r="BK89" t="str">
        <f>IFERROR(IF(0=LEN(ReferenceData!$BK$89),"",ReferenceData!$BK$89),"")</f>
        <v/>
      </c>
      <c r="BL89" t="str">
        <f>IFERROR(IF(0=LEN(ReferenceData!$BL$89),"",ReferenceData!$BL$89),"")</f>
        <v/>
      </c>
      <c r="BM89" t="str">
        <f>IFERROR(IF(0=LEN(ReferenceData!$BM$89),"",ReferenceData!$BM$89),"")</f>
        <v/>
      </c>
    </row>
    <row r="90" spans="1:65" x14ac:dyDescent="0.25">
      <c r="A90" t="str">
        <f>IFERROR(IF(0=LEN(ReferenceData!$A$90),"",ReferenceData!$A$90),"")</f>
        <v xml:space="preserve">        Sport Lifestyle (Divested 2Q18)</v>
      </c>
      <c r="B90" t="str">
        <f>IFERROR(IF(0=LEN(ReferenceData!$B$90),"",ReferenceData!$B$90),"")</f>
        <v/>
      </c>
      <c r="C90" t="str">
        <f>IFERROR(IF(0=LEN(ReferenceData!$C$90),"",ReferenceData!$C$90),"")</f>
        <v/>
      </c>
      <c r="D90" t="str">
        <f>IFERROR(IF(0=LEN(ReferenceData!$D$90),"",ReferenceData!$D$90),"")</f>
        <v/>
      </c>
      <c r="E90" t="str">
        <f>IFERROR(IF(0=LEN(ReferenceData!$E$90),"",ReferenceData!$E$90),"")</f>
        <v>Heading</v>
      </c>
      <c r="F90" t="str">
        <f>IFERROR(IF(0=LEN(ReferenceData!$F$90),"",ReferenceData!$F$90),"")</f>
        <v/>
      </c>
      <c r="G90" t="str">
        <f>IFERROR(IF(0=LEN(ReferenceData!$G$90),"",ReferenceData!$G$90),"")</f>
        <v/>
      </c>
      <c r="H90" t="str">
        <f>IFERROR(IF(0=LEN(ReferenceData!$H$90),"",ReferenceData!$H$90),"")</f>
        <v/>
      </c>
      <c r="I90" t="str">
        <f>IFERROR(IF(0=LEN(ReferenceData!$I$90),"",ReferenceData!$I$90),"")</f>
        <v/>
      </c>
      <c r="J90" t="str">
        <f>IFERROR(IF(0=LEN(ReferenceData!$J$90),"",ReferenceData!$J$90),"")</f>
        <v/>
      </c>
      <c r="K90" t="str">
        <f>IFERROR(IF(0=LEN(ReferenceData!$K$90),"",ReferenceData!$K$90),"")</f>
        <v/>
      </c>
      <c r="L90" t="str">
        <f>IFERROR(IF(0=LEN(ReferenceData!$L$90),"",ReferenceData!$L$90),"")</f>
        <v/>
      </c>
      <c r="M90" t="str">
        <f>IFERROR(IF(0=LEN(ReferenceData!$M$90),"",ReferenceData!$M$90),"")</f>
        <v/>
      </c>
      <c r="N90" t="str">
        <f>IFERROR(IF(0=LEN(ReferenceData!$N$90),"",ReferenceData!$N$90),"")</f>
        <v/>
      </c>
      <c r="O90" t="str">
        <f>IFERROR(IF(0=LEN(ReferenceData!$O$90),"",ReferenceData!$O$90),"")</f>
        <v/>
      </c>
      <c r="P90" t="str">
        <f>IFERROR(IF(0=LEN(ReferenceData!$P$90),"",ReferenceData!$P$90),"")</f>
        <v/>
      </c>
      <c r="Q90" t="str">
        <f>IFERROR(IF(0=LEN(ReferenceData!$Q$90),"",ReferenceData!$Q$90),"")</f>
        <v/>
      </c>
      <c r="R90" t="str">
        <f>IFERROR(IF(0=LEN(ReferenceData!$R$90),"",ReferenceData!$R$90),"")</f>
        <v/>
      </c>
      <c r="S90" t="str">
        <f>IFERROR(IF(0=LEN(ReferenceData!$S$90),"",ReferenceData!$S$90),"")</f>
        <v/>
      </c>
      <c r="T90" t="str">
        <f>IFERROR(IF(0=LEN(ReferenceData!$T$90),"",ReferenceData!$T$90),"")</f>
        <v/>
      </c>
      <c r="U90" t="str">
        <f>IFERROR(IF(0=LEN(ReferenceData!$U$90),"",ReferenceData!$U$90),"")</f>
        <v/>
      </c>
      <c r="V90" t="str">
        <f>IFERROR(IF(0=LEN(ReferenceData!$V$90),"",ReferenceData!$V$90),"")</f>
        <v/>
      </c>
      <c r="W90" t="str">
        <f>IFERROR(IF(0=LEN(ReferenceData!$W$90),"",ReferenceData!$W$90),"")</f>
        <v/>
      </c>
      <c r="X90" t="str">
        <f>IFERROR(IF(0=LEN(ReferenceData!$X$90),"",ReferenceData!$X$90),"")</f>
        <v/>
      </c>
      <c r="Y90" t="str">
        <f>IFERROR(IF(0=LEN(ReferenceData!$Y$90),"",ReferenceData!$Y$90),"")</f>
        <v/>
      </c>
      <c r="Z90" t="str">
        <f>IFERROR(IF(0=LEN(ReferenceData!$Z$90),"",ReferenceData!$Z$90),"")</f>
        <v/>
      </c>
      <c r="AA90" t="str">
        <f>IFERROR(IF(0=LEN(ReferenceData!$AA$90),"",ReferenceData!$AA$90),"")</f>
        <v/>
      </c>
      <c r="AB90" t="str">
        <f>IFERROR(IF(0=LEN(ReferenceData!$AB$90),"",ReferenceData!$AB$90),"")</f>
        <v/>
      </c>
      <c r="AC90" t="str">
        <f>IFERROR(IF(0=LEN(ReferenceData!$AC$90),"",ReferenceData!$AC$90),"")</f>
        <v/>
      </c>
      <c r="AD90" t="str">
        <f>IFERROR(IF(0=LEN(ReferenceData!$AD$90),"",ReferenceData!$AD$90),"")</f>
        <v/>
      </c>
      <c r="AE90" t="str">
        <f>IFERROR(IF(0=LEN(ReferenceData!$AE$90),"",ReferenceData!$AE$90),"")</f>
        <v/>
      </c>
      <c r="AF90" t="str">
        <f>IFERROR(IF(0=LEN(ReferenceData!$AF$90),"",ReferenceData!$AF$90),"")</f>
        <v/>
      </c>
      <c r="AG90" t="str">
        <f>IFERROR(IF(0=LEN(ReferenceData!$AG$90),"",ReferenceData!$AG$90),"")</f>
        <v/>
      </c>
      <c r="AH90" t="str">
        <f>IFERROR(IF(0=LEN(ReferenceData!$AH$90),"",ReferenceData!$AH$90),"")</f>
        <v/>
      </c>
      <c r="AI90" t="str">
        <f>IFERROR(IF(0=LEN(ReferenceData!$AI$90),"",ReferenceData!$AI$90),"")</f>
        <v/>
      </c>
      <c r="AJ90" t="str">
        <f>IFERROR(IF(0=LEN(ReferenceData!$AJ$90),"",ReferenceData!$AJ$90),"")</f>
        <v/>
      </c>
      <c r="AK90" t="str">
        <f>IFERROR(IF(0=LEN(ReferenceData!$AK$90),"",ReferenceData!$AK$90),"")</f>
        <v/>
      </c>
      <c r="AL90" t="str">
        <f>IFERROR(IF(0=LEN(ReferenceData!$AL$90),"",ReferenceData!$AL$90),"")</f>
        <v/>
      </c>
      <c r="AM90" t="str">
        <f>IFERROR(IF(0=LEN(ReferenceData!$AM$90),"",ReferenceData!$AM$90),"")</f>
        <v/>
      </c>
      <c r="AN90" t="str">
        <f>IFERROR(IF(0=LEN(ReferenceData!$AN$90),"",ReferenceData!$AN$90),"")</f>
        <v/>
      </c>
      <c r="AO90" t="str">
        <f>IFERROR(IF(0=LEN(ReferenceData!$AO$90),"",ReferenceData!$AO$90),"")</f>
        <v/>
      </c>
      <c r="AP90" t="str">
        <f>IFERROR(IF(0=LEN(ReferenceData!$AP$90),"",ReferenceData!$AP$90),"")</f>
        <v/>
      </c>
      <c r="AQ90" t="str">
        <f>IFERROR(IF(0=LEN(ReferenceData!$AQ$90),"",ReferenceData!$AQ$90),"")</f>
        <v/>
      </c>
      <c r="AR90" t="str">
        <f>IFERROR(IF(0=LEN(ReferenceData!$AR$90),"",ReferenceData!$AR$90),"")</f>
        <v/>
      </c>
      <c r="AS90" t="str">
        <f>IFERROR(IF(0=LEN(ReferenceData!$AS$90),"",ReferenceData!$AS$90),"")</f>
        <v/>
      </c>
      <c r="AT90" t="str">
        <f>IFERROR(IF(0=LEN(ReferenceData!$AT$90),"",ReferenceData!$AT$90),"")</f>
        <v/>
      </c>
      <c r="AU90" t="str">
        <f>IFERROR(IF(0=LEN(ReferenceData!$AU$90),"",ReferenceData!$AU$90),"")</f>
        <v/>
      </c>
      <c r="AV90" t="str">
        <f>IFERROR(IF(0=LEN(ReferenceData!$AV$90),"",ReferenceData!$AV$90),"")</f>
        <v/>
      </c>
      <c r="AW90" t="str">
        <f>IFERROR(IF(0=LEN(ReferenceData!$AW$90),"",ReferenceData!$AW$90),"")</f>
        <v/>
      </c>
      <c r="AX90" t="str">
        <f>IFERROR(IF(0=LEN(ReferenceData!$AX$90),"",ReferenceData!$AX$90),"")</f>
        <v/>
      </c>
      <c r="AY90" t="str">
        <f>IFERROR(IF(0=LEN(ReferenceData!$AY$90),"",ReferenceData!$AY$90),"")</f>
        <v/>
      </c>
      <c r="AZ90" t="str">
        <f>IFERROR(IF(0=LEN(ReferenceData!$AZ$90),"",ReferenceData!$AZ$90),"")</f>
        <v/>
      </c>
      <c r="BA90" t="str">
        <f>IFERROR(IF(0=LEN(ReferenceData!$BA$90),"",ReferenceData!$BA$90),"")</f>
        <v/>
      </c>
      <c r="BB90" t="str">
        <f>IFERROR(IF(0=LEN(ReferenceData!$BB$90),"",ReferenceData!$BB$90),"")</f>
        <v/>
      </c>
      <c r="BC90" t="str">
        <f>IFERROR(IF(0=LEN(ReferenceData!$BC$90),"",ReferenceData!$BC$90),"")</f>
        <v/>
      </c>
      <c r="BD90" t="str">
        <f>IFERROR(IF(0=LEN(ReferenceData!$BD$90),"",ReferenceData!$BD$90),"")</f>
        <v/>
      </c>
      <c r="BE90" t="str">
        <f>IFERROR(IF(0=LEN(ReferenceData!$BE$90),"",ReferenceData!$BE$90),"")</f>
        <v/>
      </c>
      <c r="BF90" t="str">
        <f>IFERROR(IF(0=LEN(ReferenceData!$BF$90),"",ReferenceData!$BF$90),"")</f>
        <v/>
      </c>
      <c r="BG90" t="str">
        <f>IFERROR(IF(0=LEN(ReferenceData!$BG$90),"",ReferenceData!$BG$90),"")</f>
        <v/>
      </c>
      <c r="BH90" t="str">
        <f>IFERROR(IF(0=LEN(ReferenceData!$BH$90),"",ReferenceData!$BH$90),"")</f>
        <v/>
      </c>
      <c r="BI90" t="str">
        <f>IFERROR(IF(0=LEN(ReferenceData!$BI$90),"",ReferenceData!$BI$90),"")</f>
        <v/>
      </c>
      <c r="BJ90" t="str">
        <f>IFERROR(IF(0=LEN(ReferenceData!$BJ$90),"",ReferenceData!$BJ$90),"")</f>
        <v/>
      </c>
      <c r="BK90" t="str">
        <f>IFERROR(IF(0=LEN(ReferenceData!$BK$90),"",ReferenceData!$BK$90),"")</f>
        <v/>
      </c>
      <c r="BL90" t="str">
        <f>IFERROR(IF(0=LEN(ReferenceData!$BL$90),"",ReferenceData!$BL$90),"")</f>
        <v/>
      </c>
      <c r="BM90" t="str">
        <f>IFERROR(IF(0=LEN(ReferenceData!$BM$90),"",ReferenceData!$BM$90),"")</f>
        <v/>
      </c>
    </row>
    <row r="91" spans="1:65" x14ac:dyDescent="0.25">
      <c r="A91" t="str">
        <f>IFERROR(IF(0=LEN(ReferenceData!$A$91),"",ReferenceData!$A$91),"")</f>
        <v xml:space="preserve">            Revenue</v>
      </c>
      <c r="B91" t="str">
        <f>IFERROR(IF(0=LEN(ReferenceData!$B$91),"",ReferenceData!$B$91),"")</f>
        <v>KER FP Equity</v>
      </c>
      <c r="C91" t="str">
        <f>IFERROR(IF(0=LEN(ReferenceData!$C$91),"",ReferenceData!$C$91),"")</f>
        <v>BI047</v>
      </c>
      <c r="D91" t="str">
        <f>IFERROR(IF(0=LEN(ReferenceData!$D$91),"",ReferenceData!$D$91),"")</f>
        <v>BICS_SEGMENT_DATA</v>
      </c>
      <c r="E91" t="str">
        <f>IFERROR(IF(0=LEN(ReferenceData!$E$91),"",ReferenceData!$E$91),"")</f>
        <v>Dynamic</v>
      </c>
      <c r="F91" t="str">
        <f ca="1">IFERROR(IF(0=LEN(ReferenceData!$F$91),"",ReferenceData!$F$91),"")</f>
        <v/>
      </c>
      <c r="G91" t="str">
        <f ca="1">IFERROR(IF(0=LEN(ReferenceData!$G$91),"",ReferenceData!$G$91),"")</f>
        <v/>
      </c>
      <c r="H91" t="str">
        <f ca="1">IFERROR(IF(0=LEN(ReferenceData!$H$91),"",ReferenceData!$H$91),"")</f>
        <v/>
      </c>
      <c r="I91" t="str">
        <f ca="1">IFERROR(IF(0=LEN(ReferenceData!$I$91),"",ReferenceData!$I$91),"")</f>
        <v/>
      </c>
      <c r="J91" t="str">
        <f ca="1">IFERROR(IF(0=LEN(ReferenceData!$J$91),"",ReferenceData!$J$91),"")</f>
        <v/>
      </c>
      <c r="K91" t="str">
        <f ca="1">IFERROR(IF(0=LEN(ReferenceData!$K$91),"",ReferenceData!$K$91),"")</f>
        <v/>
      </c>
      <c r="L91" t="str">
        <f ca="1">IFERROR(IF(0=LEN(ReferenceData!$L$91),"",ReferenceData!$L$91),"")</f>
        <v/>
      </c>
      <c r="M91" t="str">
        <f ca="1">IFERROR(IF(0=LEN(ReferenceData!$M$91),"",ReferenceData!$M$91),"")</f>
        <v/>
      </c>
      <c r="N91" t="str">
        <f ca="1">IFERROR(IF(0=LEN(ReferenceData!$N$91),"",ReferenceData!$N$91),"")</f>
        <v/>
      </c>
      <c r="O91" t="str">
        <f ca="1">IFERROR(IF(0=LEN(ReferenceData!$O$91),"",ReferenceData!$O$91),"")</f>
        <v/>
      </c>
      <c r="P91" t="str">
        <f ca="1">IFERROR(IF(0=LEN(ReferenceData!$P$91),"",ReferenceData!$P$91),"")</f>
        <v/>
      </c>
      <c r="Q91" t="str">
        <f ca="1">IFERROR(IF(0=LEN(ReferenceData!$Q$91),"",ReferenceData!$Q$91),"")</f>
        <v/>
      </c>
      <c r="R91" t="str">
        <f ca="1">IFERROR(IF(0=LEN(ReferenceData!$R$91),"",ReferenceData!$R$91),"")</f>
        <v/>
      </c>
      <c r="S91" t="str">
        <f ca="1">IFERROR(IF(0=LEN(ReferenceData!$S$91),"",ReferenceData!$S$91),"")</f>
        <v/>
      </c>
      <c r="T91" t="str">
        <f ca="1">IFERROR(IF(0=LEN(ReferenceData!$T$91),"",ReferenceData!$T$91),"")</f>
        <v/>
      </c>
      <c r="U91" t="str">
        <f ca="1">IFERROR(IF(0=LEN(ReferenceData!$U$91),"",ReferenceData!$U$91),"")</f>
        <v/>
      </c>
      <c r="V91" t="str">
        <f ca="1">IFERROR(IF(0=LEN(ReferenceData!$V$91),"",ReferenceData!$V$91),"")</f>
        <v/>
      </c>
      <c r="W91" t="str">
        <f ca="1">IFERROR(IF(0=LEN(ReferenceData!$W$91),"",ReferenceData!$W$91),"")</f>
        <v/>
      </c>
      <c r="X91" t="str">
        <f ca="1">IFERROR(IF(0=LEN(ReferenceData!$X$91),"",ReferenceData!$X$91),"")</f>
        <v/>
      </c>
      <c r="Y91" t="str">
        <f ca="1">IFERROR(IF(0=LEN(ReferenceData!$Y$91),"",ReferenceData!$Y$91),"")</f>
        <v/>
      </c>
      <c r="Z91" t="str">
        <f ca="1">IFERROR(IF(0=LEN(ReferenceData!$Z$91),"",ReferenceData!$Z$91),"")</f>
        <v/>
      </c>
      <c r="AA91" t="str">
        <f ca="1">IFERROR(IF(0=LEN(ReferenceData!$AA$91),"",ReferenceData!$AA$91),"")</f>
        <v/>
      </c>
      <c r="AB91" t="str">
        <f ca="1">IFERROR(IF(0=LEN(ReferenceData!$AB$91),"",ReferenceData!$AB$91),"")</f>
        <v/>
      </c>
      <c r="AC91" t="str">
        <f ca="1">IFERROR(IF(0=LEN(ReferenceData!$AC$91),"",ReferenceData!$AC$91),"")</f>
        <v/>
      </c>
      <c r="AD91">
        <f ca="1">IFERROR(IF(0=LEN(ReferenceData!$AD$91),"",ReferenceData!$AD$91),"")</f>
        <v>951.9</v>
      </c>
      <c r="AE91">
        <f ca="1">IFERROR(IF(0=LEN(ReferenceData!$AE$91),"",ReferenceData!$AE$91),"")</f>
        <v>999.6</v>
      </c>
      <c r="AF91">
        <f ca="1">IFERROR(IF(0=LEN(ReferenceData!$AF$91),"",ReferenceData!$AF$91),"")</f>
        <v>841</v>
      </c>
      <c r="AG91">
        <f ca="1">IFERROR(IF(0=LEN(ReferenceData!$AG$91),"",ReferenceData!$AG$91),"")</f>
        <v>890</v>
      </c>
      <c r="AH91">
        <f ca="1">IFERROR(IF(0=LEN(ReferenceData!$AH$91),"",ReferenceData!$AH$91),"")</f>
        <v>824.3</v>
      </c>
      <c r="AI91">
        <f ca="1">IFERROR(IF(0=LEN(ReferenceData!$AI$91),"",ReferenceData!$AI$91),"")</f>
        <v>922.1</v>
      </c>
      <c r="AJ91">
        <f ca="1">IFERROR(IF(0=LEN(ReferenceData!$AJ$91),"",ReferenceData!$AJ$91),"")</f>
        <v>709.1</v>
      </c>
      <c r="AK91">
        <f ca="1">IFERROR(IF(0=LEN(ReferenceData!$AK$91),"",ReferenceData!$AK$91),"")</f>
        <v>790</v>
      </c>
      <c r="AL91">
        <f ca="1">IFERROR(IF(0=LEN(ReferenceData!$AL$91),"",ReferenceData!$AL$91),"")</f>
        <v>763.9</v>
      </c>
      <c r="AM91">
        <f ca="1">IFERROR(IF(0=LEN(ReferenceData!$AM$91),"",ReferenceData!$AM$91),"")</f>
        <v>896.2</v>
      </c>
      <c r="AN91">
        <f ca="1">IFERROR(IF(0=LEN(ReferenceData!$AN$91),"",ReferenceData!$AN$91),"")</f>
        <v>744.2</v>
      </c>
      <c r="AO91">
        <f ca="1">IFERROR(IF(0=LEN(ReferenceData!$AO$91),"",ReferenceData!$AO$91),"")</f>
        <v>843</v>
      </c>
      <c r="AP91">
        <f ca="1">IFERROR(IF(0=LEN(ReferenceData!$AP$91),"",ReferenceData!$AP$91),"")</f>
        <v>868.2</v>
      </c>
      <c r="AQ91">
        <f ca="1">IFERROR(IF(0=LEN(ReferenceData!$AQ$91),"",ReferenceData!$AQ$91),"")</f>
        <v>969.7</v>
      </c>
      <c r="AR91">
        <f ca="1">IFERROR(IF(0=LEN(ReferenceData!$AR$91),"",ReferenceData!$AR$91),"")</f>
        <v>807.5</v>
      </c>
      <c r="AS91">
        <f ca="1">IFERROR(IF(0=LEN(ReferenceData!$AS$91),"",ReferenceData!$AS$91),"")</f>
        <v>886.5</v>
      </c>
      <c r="AT91" t="str">
        <f ca="1">IFERROR(IF(0=LEN(ReferenceData!$AT$91),"",ReferenceData!$AT$91),"")</f>
        <v/>
      </c>
      <c r="AU91" t="str">
        <f ca="1">IFERROR(IF(0=LEN(ReferenceData!$AU$91),"",ReferenceData!$AU$91),"")</f>
        <v/>
      </c>
      <c r="AV91">
        <f ca="1">IFERROR(IF(0=LEN(ReferenceData!$AV$91),"",ReferenceData!$AV$91),"")</f>
        <v>1544.5</v>
      </c>
      <c r="AW91">
        <f ca="1">IFERROR(IF(0=LEN(ReferenceData!$AW$91),"",ReferenceData!$AW$91),"")</f>
        <v>1695.8</v>
      </c>
      <c r="AX91">
        <f ca="1">IFERROR(IF(0=LEN(ReferenceData!$AX$91),"",ReferenceData!$AX$91),"")</f>
        <v>3104.9</v>
      </c>
      <c r="AY91">
        <f ca="1">IFERROR(IF(0=LEN(ReferenceData!$AY$91),"",ReferenceData!$AY$91),"")</f>
        <v>2535.8000000000002</v>
      </c>
      <c r="AZ91">
        <f ca="1">IFERROR(IF(0=LEN(ReferenceData!$AZ$91),"",ReferenceData!$AZ$91),"")</f>
        <v>2402</v>
      </c>
      <c r="BA91">
        <f ca="1">IFERROR(IF(0=LEN(ReferenceData!$BA$91),"",ReferenceData!$BA$91),"")</f>
        <v>2509.1999999999998</v>
      </c>
      <c r="BB91">
        <f ca="1">IFERROR(IF(0=LEN(ReferenceData!$BB$91),"",ReferenceData!$BB$91),"")</f>
        <v>2946.8</v>
      </c>
      <c r="BC91">
        <f ca="1">IFERROR(IF(0=LEN(ReferenceData!$BC$91),"",ReferenceData!$BC$91),"")</f>
        <v>3748.6</v>
      </c>
      <c r="BD91">
        <f ca="1">IFERROR(IF(0=LEN(ReferenceData!$BD$91),"",ReferenceData!$BD$91),"")</f>
        <v>2986.5</v>
      </c>
      <c r="BE91">
        <f ca="1">IFERROR(IF(0=LEN(ReferenceData!$BE$91),"",ReferenceData!$BE$91),"")</f>
        <v>3927.6</v>
      </c>
      <c r="BF91" t="str">
        <f ca="1">IFERROR(IF(0=LEN(ReferenceData!$BF$91),"",ReferenceData!$BF$91),"")</f>
        <v/>
      </c>
      <c r="BG91" t="str">
        <f ca="1">IFERROR(IF(0=LEN(ReferenceData!$BG$91),"",ReferenceData!$BG$91),"")</f>
        <v/>
      </c>
      <c r="BH91" t="str">
        <f ca="1">IFERROR(IF(0=LEN(ReferenceData!$BH$91),"",ReferenceData!$BH$91),"")</f>
        <v/>
      </c>
      <c r="BI91" t="str">
        <f ca="1">IFERROR(IF(0=LEN(ReferenceData!$BI$91),"",ReferenceData!$BI$91),"")</f>
        <v/>
      </c>
      <c r="BJ91" t="str">
        <f ca="1">IFERROR(IF(0=LEN(ReferenceData!$BJ$91),"",ReferenceData!$BJ$91),"")</f>
        <v/>
      </c>
      <c r="BK91" t="str">
        <f ca="1">IFERROR(IF(0=LEN(ReferenceData!$BK$91),"",ReferenceData!$BK$91),"")</f>
        <v/>
      </c>
      <c r="BL91" t="str">
        <f ca="1">IFERROR(IF(0=LEN(ReferenceData!$BL$91),"",ReferenceData!$BL$91),"")</f>
        <v/>
      </c>
      <c r="BM91" t="str">
        <f ca="1">IFERROR(IF(0=LEN(ReferenceData!$BM$91),"",ReferenceData!$BM$91),"")</f>
        <v/>
      </c>
    </row>
    <row r="92" spans="1:65" x14ac:dyDescent="0.25">
      <c r="A92" t="str">
        <f>IFERROR(IF(0=LEN(ReferenceData!$A$92),"",ReferenceData!$A$92),"")</f>
        <v xml:space="preserve">                of Total Kering Sales (%)</v>
      </c>
      <c r="B92" t="str">
        <f>IFERROR(IF(0=LEN(ReferenceData!$B$92),"",ReferenceData!$B$92),"")</f>
        <v>KER FP Equity</v>
      </c>
      <c r="C92" t="str">
        <f>IFERROR(IF(0=LEN(ReferenceData!$C$92),"",ReferenceData!$C$92),"")</f>
        <v/>
      </c>
      <c r="D92" t="str">
        <f>IFERROR(IF(0=LEN(ReferenceData!$D$92),"",ReferenceData!$D$92),"")</f>
        <v/>
      </c>
      <c r="E92" t="str">
        <f>IFERROR(IF(0=LEN(ReferenceData!$E$92),"",ReferenceData!$E$92),"")</f>
        <v>Expression</v>
      </c>
      <c r="F92" t="str">
        <f ca="1">IFERROR(IF(0=LEN(ReferenceData!$F$92),"",ReferenceData!$F$92),"")</f>
        <v/>
      </c>
      <c r="G92" t="str">
        <f ca="1">IFERROR(IF(0=LEN(ReferenceData!$G$92),"",ReferenceData!$G$92),"")</f>
        <v/>
      </c>
      <c r="H92" t="str">
        <f ca="1">IFERROR(IF(0=LEN(ReferenceData!$H$92),"",ReferenceData!$H$92),"")</f>
        <v/>
      </c>
      <c r="I92" t="str">
        <f ca="1">IFERROR(IF(0=LEN(ReferenceData!$I$92),"",ReferenceData!$I$92),"")</f>
        <v/>
      </c>
      <c r="J92" t="str">
        <f ca="1">IFERROR(IF(0=LEN(ReferenceData!$J$92),"",ReferenceData!$J$92),"")</f>
        <v/>
      </c>
      <c r="K92" t="str">
        <f ca="1">IFERROR(IF(0=LEN(ReferenceData!$K$92),"",ReferenceData!$K$92),"")</f>
        <v/>
      </c>
      <c r="L92" t="str">
        <f ca="1">IFERROR(IF(0=LEN(ReferenceData!$L$92),"",ReferenceData!$L$92),"")</f>
        <v/>
      </c>
      <c r="M92" t="str">
        <f ca="1">IFERROR(IF(0=LEN(ReferenceData!$M$92),"",ReferenceData!$M$92),"")</f>
        <v/>
      </c>
      <c r="N92" t="str">
        <f ca="1">IFERROR(IF(0=LEN(ReferenceData!$N$92),"",ReferenceData!$N$92),"")</f>
        <v/>
      </c>
      <c r="O92" t="str">
        <f ca="1">IFERROR(IF(0=LEN(ReferenceData!$O$92),"",ReferenceData!$O$92),"")</f>
        <v/>
      </c>
      <c r="P92" t="str">
        <f ca="1">IFERROR(IF(0=LEN(ReferenceData!$P$92),"",ReferenceData!$P$92),"")</f>
        <v/>
      </c>
      <c r="Q92" t="str">
        <f ca="1">IFERROR(IF(0=LEN(ReferenceData!$Q$92),"",ReferenceData!$Q$92),"")</f>
        <v/>
      </c>
      <c r="R92" t="str">
        <f ca="1">IFERROR(IF(0=LEN(ReferenceData!$R$92),"",ReferenceData!$R$92),"")</f>
        <v/>
      </c>
      <c r="S92" t="str">
        <f ca="1">IFERROR(IF(0=LEN(ReferenceData!$S$92),"",ReferenceData!$S$92),"")</f>
        <v/>
      </c>
      <c r="T92" t="str">
        <f ca="1">IFERROR(IF(0=LEN(ReferenceData!$T$92),"",ReferenceData!$T$92),"")</f>
        <v/>
      </c>
      <c r="U92" t="str">
        <f ca="1">IFERROR(IF(0=LEN(ReferenceData!$U$92),"",ReferenceData!$U$92),"")</f>
        <v/>
      </c>
      <c r="V92" t="str">
        <f ca="1">IFERROR(IF(0=LEN(ReferenceData!$V$92),"",ReferenceData!$V$92),"")</f>
        <v/>
      </c>
      <c r="W92" t="str">
        <f ca="1">IFERROR(IF(0=LEN(ReferenceData!$W$92),"",ReferenceData!$W$92),"")</f>
        <v/>
      </c>
      <c r="X92" t="str">
        <f ca="1">IFERROR(IF(0=LEN(ReferenceData!$X$92),"",ReferenceData!$X$92),"")</f>
        <v/>
      </c>
      <c r="Y92" t="str">
        <f ca="1">IFERROR(IF(0=LEN(ReferenceData!$Y$92),"",ReferenceData!$Y$92),"")</f>
        <v/>
      </c>
      <c r="Z92" t="str">
        <f ca="1">IFERROR(IF(0=LEN(ReferenceData!$Z$92),"",ReferenceData!$Z$92),"")</f>
        <v/>
      </c>
      <c r="AA92" t="str">
        <f ca="1">IFERROR(IF(0=LEN(ReferenceData!$AA$92),"",ReferenceData!$AA$92),"")</f>
        <v/>
      </c>
      <c r="AB92" t="str">
        <f ca="1">IFERROR(IF(0=LEN(ReferenceData!$AB$92),"",ReferenceData!$AB$92),"")</f>
        <v/>
      </c>
      <c r="AC92" t="str">
        <f ca="1">IFERROR(IF(0=LEN(ReferenceData!$AC$92),"",ReferenceData!$AC$92),"")</f>
        <v/>
      </c>
      <c r="AD92">
        <f ca="1">IFERROR(IF(0=LEN(ReferenceData!$AD$92),"",ReferenceData!$AD$92),"")</f>
        <v>29.96694475</v>
      </c>
      <c r="AE92">
        <f ca="1">IFERROR(IF(0=LEN(ReferenceData!$AE$92),"",ReferenceData!$AE$92),"")</f>
        <v>34.526112189999999</v>
      </c>
      <c r="AF92">
        <f ca="1">IFERROR(IF(0=LEN(ReferenceData!$AF$92),"",ReferenceData!$AF$92),"")</f>
        <v>29.392234299999998</v>
      </c>
      <c r="AG92">
        <f ca="1">IFERROR(IF(0=LEN(ReferenceData!$AG$92),"",ReferenceData!$AG$92),"")</f>
        <v>33.572236889999999</v>
      </c>
      <c r="AH92">
        <f ca="1">IFERROR(IF(0=LEN(ReferenceData!$AH$92),"",ReferenceData!$AH$92),"")</f>
        <v>30.064191409999999</v>
      </c>
      <c r="AI92">
        <f ca="1">IFERROR(IF(0=LEN(ReferenceData!$AI$92),"",ReferenceData!$AI$92),"")</f>
        <v>35.667040579999998</v>
      </c>
      <c r="AJ92">
        <f ca="1">IFERROR(IF(0=LEN(ReferenceData!$AJ$92),"",ReferenceData!$AJ$92),"")</f>
        <v>30.184743739999998</v>
      </c>
      <c r="AK92">
        <f ca="1">IFERROR(IF(0=LEN(ReferenceData!$AK$92),"",ReferenceData!$AK$92),"")</f>
        <v>32.944120099999999</v>
      </c>
      <c r="AL92">
        <f ca="1">IFERROR(IF(0=LEN(ReferenceData!$AL$92),"",ReferenceData!$AL$92),"")</f>
        <v>30.29065387</v>
      </c>
      <c r="AM92">
        <f ca="1">IFERROR(IF(0=LEN(ReferenceData!$AM$92),"",ReferenceData!$AM$92),"")</f>
        <v>35.521204910000002</v>
      </c>
      <c r="AN92">
        <f ca="1">IFERROR(IF(0=LEN(ReferenceData!$AN$92),"",ReferenceData!$AN$92),"")</f>
        <v>32.244367420000003</v>
      </c>
      <c r="AO92">
        <f ca="1">IFERROR(IF(0=LEN(ReferenceData!$AO$92),"",ReferenceData!$AO$92),"")</f>
        <v>35.563617950000001</v>
      </c>
      <c r="AP92">
        <f ca="1">IFERROR(IF(0=LEN(ReferenceData!$AP$92),"",ReferenceData!$AP$92),"")</f>
        <v>33.884942629999998</v>
      </c>
      <c r="AQ92">
        <f ca="1">IFERROR(IF(0=LEN(ReferenceData!$AQ$92),"",ReferenceData!$AQ$92),"")</f>
        <v>37.872988599999999</v>
      </c>
      <c r="AR92">
        <f ca="1">IFERROR(IF(0=LEN(ReferenceData!$AR$92),"",ReferenceData!$AR$92),"")</f>
        <v>35.54450216</v>
      </c>
      <c r="AS92">
        <f ca="1">IFERROR(IF(0=LEN(ReferenceData!$AS$92),"",ReferenceData!$AS$92),"")</f>
        <v>37.853879329999998</v>
      </c>
      <c r="AT92" t="str">
        <f ca="1">IFERROR(IF(0=LEN(ReferenceData!$AT$92),"",ReferenceData!$AT$92),"")</f>
        <v/>
      </c>
      <c r="AU92" t="str">
        <f ca="1">IFERROR(IF(0=LEN(ReferenceData!$AU$92),"",ReferenceData!$AU$92),"")</f>
        <v/>
      </c>
      <c r="AV92">
        <f ca="1">IFERROR(IF(0=LEN(ReferenceData!$AV$92),"",ReferenceData!$AV$92),"")</f>
        <v>58.278620480000001</v>
      </c>
      <c r="AW92">
        <f ca="1">IFERROR(IF(0=LEN(ReferenceData!$AW$92),"",ReferenceData!$AW$92),"")</f>
        <v>60.096392369999997</v>
      </c>
      <c r="AX92">
        <f ca="1">IFERROR(IF(0=LEN(ReferenceData!$AX$92),"",ReferenceData!$AX$92),"")</f>
        <v>73.127016650000002</v>
      </c>
      <c r="AY92">
        <f ca="1">IFERROR(IF(0=LEN(ReferenceData!$AY$92),"",ReferenceData!$AY$92),"")</f>
        <v>71.026833229999994</v>
      </c>
      <c r="AZ92">
        <f ca="1">IFERROR(IF(0=LEN(ReferenceData!$AZ$92),"",ReferenceData!$AZ$92),"")</f>
        <v>59.900249379999998</v>
      </c>
      <c r="BA92">
        <f ca="1">IFERROR(IF(0=LEN(ReferenceData!$BA$92),"",ReferenceData!$BA$92),"")</f>
        <v>73.808683369999997</v>
      </c>
      <c r="BB92">
        <f ca="1">IFERROR(IF(0=LEN(ReferenceData!$BB$92),"",ReferenceData!$BB$92),"")</f>
        <v>62.363497840000001</v>
      </c>
      <c r="BC92">
        <f ca="1">IFERROR(IF(0=LEN(ReferenceData!$BC$92),"",ReferenceData!$BC$92),"")</f>
        <v>82.148488779999994</v>
      </c>
      <c r="BD92">
        <f ca="1">IFERROR(IF(0=LEN(ReferenceData!$BD$92),"",ReferenceData!$BD$92),"")</f>
        <v>66.987416730000007</v>
      </c>
      <c r="BE92">
        <f ca="1">IFERROR(IF(0=LEN(ReferenceData!$BE$92),"",ReferenceData!$BE$92),"")</f>
        <v>82.218965879999999</v>
      </c>
      <c r="BF92" t="str">
        <f ca="1">IFERROR(IF(0=LEN(ReferenceData!$BF$92),"",ReferenceData!$BF$92),"")</f>
        <v/>
      </c>
      <c r="BG92" t="str">
        <f ca="1">IFERROR(IF(0=LEN(ReferenceData!$BG$92),"",ReferenceData!$BG$92),"")</f>
        <v/>
      </c>
      <c r="BH92" t="str">
        <f ca="1">IFERROR(IF(0=LEN(ReferenceData!$BH$92),"",ReferenceData!$BH$92),"")</f>
        <v/>
      </c>
      <c r="BI92" t="str">
        <f ca="1">IFERROR(IF(0=LEN(ReferenceData!$BI$92),"",ReferenceData!$BI$92),"")</f>
        <v/>
      </c>
      <c r="BJ92" t="str">
        <f ca="1">IFERROR(IF(0=LEN(ReferenceData!$BJ$92),"",ReferenceData!$BJ$92),"")</f>
        <v/>
      </c>
      <c r="BK92" t="str">
        <f ca="1">IFERROR(IF(0=LEN(ReferenceData!$BK$92),"",ReferenceData!$BK$92),"")</f>
        <v/>
      </c>
      <c r="BL92" t="str">
        <f ca="1">IFERROR(IF(0=LEN(ReferenceData!$BL$92),"",ReferenceData!$BL$92),"")</f>
        <v/>
      </c>
      <c r="BM92" t="str">
        <f ca="1">IFERROR(IF(0=LEN(ReferenceData!$BM$92),"",ReferenceData!$BM$92),"")</f>
        <v/>
      </c>
    </row>
    <row r="93" spans="1:65" x14ac:dyDescent="0.25">
      <c r="A93" t="str">
        <f>IFERROR(IF(0=LEN(ReferenceData!$A$93),"",ReferenceData!$A$93),"")</f>
        <v xml:space="preserve">            Recurring Operating Income</v>
      </c>
      <c r="B93" t="str">
        <f>IFERROR(IF(0=LEN(ReferenceData!$B$93),"",ReferenceData!$B$93),"")</f>
        <v>KER FP Equity</v>
      </c>
      <c r="C93" t="str">
        <f>IFERROR(IF(0=LEN(ReferenceData!$C$93),"",ReferenceData!$C$93),"")</f>
        <v>BI047</v>
      </c>
      <c r="D93" t="str">
        <f>IFERROR(IF(0=LEN(ReferenceData!$D$93),"",ReferenceData!$D$93),"")</f>
        <v>BICS_SEGMENT_DATA</v>
      </c>
      <c r="E93" t="str">
        <f>IFERROR(IF(0=LEN(ReferenceData!$E$93),"",ReferenceData!$E$93),"")</f>
        <v>Dynamic</v>
      </c>
      <c r="F93" t="str">
        <f ca="1">IFERROR(IF(0=LEN(ReferenceData!$F$93),"",ReferenceData!$F$93),"")</f>
        <v/>
      </c>
      <c r="G93" t="str">
        <f ca="1">IFERROR(IF(0=LEN(ReferenceData!$G$93),"",ReferenceData!$G$93),"")</f>
        <v/>
      </c>
      <c r="H93" t="str">
        <f ca="1">IFERROR(IF(0=LEN(ReferenceData!$H$93),"",ReferenceData!$H$93),"")</f>
        <v/>
      </c>
      <c r="I93" t="str">
        <f ca="1">IFERROR(IF(0=LEN(ReferenceData!$I$93),"",ReferenceData!$I$93),"")</f>
        <v/>
      </c>
      <c r="J93" t="str">
        <f ca="1">IFERROR(IF(0=LEN(ReferenceData!$J$93),"",ReferenceData!$J$93),"")</f>
        <v/>
      </c>
      <c r="K93" t="str">
        <f ca="1">IFERROR(IF(0=LEN(ReferenceData!$K$93),"",ReferenceData!$K$93),"")</f>
        <v/>
      </c>
      <c r="L93" t="str">
        <f ca="1">IFERROR(IF(0=LEN(ReferenceData!$L$93),"",ReferenceData!$L$93),"")</f>
        <v/>
      </c>
      <c r="M93" t="str">
        <f ca="1">IFERROR(IF(0=LEN(ReferenceData!$M$93),"",ReferenceData!$M$93),"")</f>
        <v/>
      </c>
      <c r="N93" t="str">
        <f ca="1">IFERROR(IF(0=LEN(ReferenceData!$N$93),"",ReferenceData!$N$93),"")</f>
        <v/>
      </c>
      <c r="O93" t="str">
        <f ca="1">IFERROR(IF(0=LEN(ReferenceData!$O$93),"",ReferenceData!$O$93),"")</f>
        <v/>
      </c>
      <c r="P93" t="str">
        <f ca="1">IFERROR(IF(0=LEN(ReferenceData!$P$93),"",ReferenceData!$P$93),"")</f>
        <v/>
      </c>
      <c r="Q93" t="str">
        <f ca="1">IFERROR(IF(0=LEN(ReferenceData!$Q$93),"",ReferenceData!$Q$93),"")</f>
        <v/>
      </c>
      <c r="R93" t="str">
        <f ca="1">IFERROR(IF(0=LEN(ReferenceData!$R$93),"",ReferenceData!$R$93),"")</f>
        <v/>
      </c>
      <c r="S93" t="str">
        <f ca="1">IFERROR(IF(0=LEN(ReferenceData!$S$93),"",ReferenceData!$S$93),"")</f>
        <v/>
      </c>
      <c r="T93" t="str">
        <f ca="1">IFERROR(IF(0=LEN(ReferenceData!$T$93),"",ReferenceData!$T$93),"")</f>
        <v/>
      </c>
      <c r="U93" t="str">
        <f ca="1">IFERROR(IF(0=LEN(ReferenceData!$U$93),"",ReferenceData!$U$93),"")</f>
        <v/>
      </c>
      <c r="V93" t="str">
        <f ca="1">IFERROR(IF(0=LEN(ReferenceData!$V$93),"",ReferenceData!$V$93),"")</f>
        <v/>
      </c>
      <c r="W93" t="str">
        <f ca="1">IFERROR(IF(0=LEN(ReferenceData!$W$93),"",ReferenceData!$W$93),"")</f>
        <v/>
      </c>
      <c r="X93" t="str">
        <f ca="1">IFERROR(IF(0=LEN(ReferenceData!$X$93),"",ReferenceData!$X$93),"")</f>
        <v/>
      </c>
      <c r="Y93" t="str">
        <f ca="1">IFERROR(IF(0=LEN(ReferenceData!$Y$93),"",ReferenceData!$Y$93),"")</f>
        <v/>
      </c>
      <c r="Z93" t="str">
        <f ca="1">IFERROR(IF(0=LEN(ReferenceData!$Z$93),"",ReferenceData!$Z$93),"")</f>
        <v/>
      </c>
      <c r="AA93" t="str">
        <f ca="1">IFERROR(IF(0=LEN(ReferenceData!$AA$93),"",ReferenceData!$AA$93),"")</f>
        <v/>
      </c>
      <c r="AB93" t="str">
        <f ca="1">IFERROR(IF(0=LEN(ReferenceData!$AB$93),"",ReferenceData!$AB$93),"")</f>
        <v/>
      </c>
      <c r="AC93" t="str">
        <f ca="1">IFERROR(IF(0=LEN(ReferenceData!$AC$93),"",ReferenceData!$AC$93),"")</f>
        <v/>
      </c>
      <c r="AD93" t="str">
        <f ca="1">IFERROR(IF(0=LEN(ReferenceData!$AD$93),"",ReferenceData!$AD$93),"")</f>
        <v/>
      </c>
      <c r="AE93" t="str">
        <f ca="1">IFERROR(IF(0=LEN(ReferenceData!$AE$93),"",ReferenceData!$AE$93),"")</f>
        <v/>
      </c>
      <c r="AF93" t="str">
        <f ca="1">IFERROR(IF(0=LEN(ReferenceData!$AF$93),"",ReferenceData!$AF$93),"")</f>
        <v/>
      </c>
      <c r="AG93" t="str">
        <f ca="1">IFERROR(IF(0=LEN(ReferenceData!$AG$93),"",ReferenceData!$AG$93),"")</f>
        <v/>
      </c>
      <c r="AH93" t="str">
        <f ca="1">IFERROR(IF(0=LEN(ReferenceData!$AH$93),"",ReferenceData!$AH$93),"")</f>
        <v/>
      </c>
      <c r="AI93" t="str">
        <f ca="1">IFERROR(IF(0=LEN(ReferenceData!$AI$93),"",ReferenceData!$AI$93),"")</f>
        <v/>
      </c>
      <c r="AJ93" t="str">
        <f ca="1">IFERROR(IF(0=LEN(ReferenceData!$AJ$93),"",ReferenceData!$AJ$93),"")</f>
        <v/>
      </c>
      <c r="AK93" t="str">
        <f ca="1">IFERROR(IF(0=LEN(ReferenceData!$AK$93),"",ReferenceData!$AK$93),"")</f>
        <v/>
      </c>
      <c r="AL93" t="str">
        <f ca="1">IFERROR(IF(0=LEN(ReferenceData!$AL$93),"",ReferenceData!$AL$93),"")</f>
        <v/>
      </c>
      <c r="AM93" t="str">
        <f ca="1">IFERROR(IF(0=LEN(ReferenceData!$AM$93),"",ReferenceData!$AM$93),"")</f>
        <v/>
      </c>
      <c r="AN93" t="str">
        <f ca="1">IFERROR(IF(0=LEN(ReferenceData!$AN$93),"",ReferenceData!$AN$93),"")</f>
        <v/>
      </c>
      <c r="AO93" t="str">
        <f ca="1">IFERROR(IF(0=LEN(ReferenceData!$AO$93),"",ReferenceData!$AO$93),"")</f>
        <v/>
      </c>
      <c r="AP93" t="str">
        <f ca="1">IFERROR(IF(0=LEN(ReferenceData!$AP$93),"",ReferenceData!$AP$93),"")</f>
        <v/>
      </c>
      <c r="AQ93" t="str">
        <f ca="1">IFERROR(IF(0=LEN(ReferenceData!$AQ$93),"",ReferenceData!$AQ$93),"")</f>
        <v/>
      </c>
      <c r="AR93" t="str">
        <f ca="1">IFERROR(IF(0=LEN(ReferenceData!$AR$93),"",ReferenceData!$AR$93),"")</f>
        <v/>
      </c>
      <c r="AS93" t="str">
        <f ca="1">IFERROR(IF(0=LEN(ReferenceData!$AS$93),"",ReferenceData!$AS$93),"")</f>
        <v/>
      </c>
      <c r="AT93" t="str">
        <f ca="1">IFERROR(IF(0=LEN(ReferenceData!$AT$93),"",ReferenceData!$AT$93),"")</f>
        <v/>
      </c>
      <c r="AU93" t="str">
        <f ca="1">IFERROR(IF(0=LEN(ReferenceData!$AU$93),"",ReferenceData!$AU$93),"")</f>
        <v/>
      </c>
      <c r="AV93" t="str">
        <f ca="1">IFERROR(IF(0=LEN(ReferenceData!$AV$93),"",ReferenceData!$AV$93),"")</f>
        <v/>
      </c>
      <c r="AW93" t="str">
        <f ca="1">IFERROR(IF(0=LEN(ReferenceData!$AW$93),"",ReferenceData!$AW$93),"")</f>
        <v/>
      </c>
      <c r="AX93" t="str">
        <f ca="1">IFERROR(IF(0=LEN(ReferenceData!$AX$93),"",ReferenceData!$AX$93),"")</f>
        <v/>
      </c>
      <c r="AY93" t="str">
        <f ca="1">IFERROR(IF(0=LEN(ReferenceData!$AY$93),"",ReferenceData!$AY$93),"")</f>
        <v/>
      </c>
      <c r="AZ93" t="str">
        <f ca="1">IFERROR(IF(0=LEN(ReferenceData!$AZ$93),"",ReferenceData!$AZ$93),"")</f>
        <v/>
      </c>
      <c r="BA93" t="str">
        <f ca="1">IFERROR(IF(0=LEN(ReferenceData!$BA$93),"",ReferenceData!$BA$93),"")</f>
        <v/>
      </c>
      <c r="BB93" t="str">
        <f ca="1">IFERROR(IF(0=LEN(ReferenceData!$BB$93),"",ReferenceData!$BB$93),"")</f>
        <v/>
      </c>
      <c r="BC93" t="str">
        <f ca="1">IFERROR(IF(0=LEN(ReferenceData!$BC$93),"",ReferenceData!$BC$93),"")</f>
        <v/>
      </c>
      <c r="BD93" t="str">
        <f ca="1">IFERROR(IF(0=LEN(ReferenceData!$BD$93),"",ReferenceData!$BD$93),"")</f>
        <v/>
      </c>
      <c r="BE93" t="str">
        <f ca="1">IFERROR(IF(0=LEN(ReferenceData!$BE$93),"",ReferenceData!$BE$93),"")</f>
        <v/>
      </c>
      <c r="BF93" t="str">
        <f ca="1">IFERROR(IF(0=LEN(ReferenceData!$BF$93),"",ReferenceData!$BF$93),"")</f>
        <v/>
      </c>
      <c r="BG93" t="str">
        <f ca="1">IFERROR(IF(0=LEN(ReferenceData!$BG$93),"",ReferenceData!$BG$93),"")</f>
        <v/>
      </c>
      <c r="BH93" t="str">
        <f ca="1">IFERROR(IF(0=LEN(ReferenceData!$BH$93),"",ReferenceData!$BH$93),"")</f>
        <v/>
      </c>
      <c r="BI93" t="str">
        <f ca="1">IFERROR(IF(0=LEN(ReferenceData!$BI$93),"",ReferenceData!$BI$93),"")</f>
        <v/>
      </c>
      <c r="BJ93" t="str">
        <f ca="1">IFERROR(IF(0=LEN(ReferenceData!$BJ$93),"",ReferenceData!$BJ$93),"")</f>
        <v/>
      </c>
      <c r="BK93" t="str">
        <f ca="1">IFERROR(IF(0=LEN(ReferenceData!$BK$93),"",ReferenceData!$BK$93),"")</f>
        <v/>
      </c>
      <c r="BL93" t="str">
        <f ca="1">IFERROR(IF(0=LEN(ReferenceData!$BL$93),"",ReferenceData!$BL$93),"")</f>
        <v/>
      </c>
      <c r="BM93" t="str">
        <f ca="1">IFERROR(IF(0=LEN(ReferenceData!$BM$93),"",ReferenceData!$BM$93),"")</f>
        <v/>
      </c>
    </row>
    <row r="94" spans="1:65" x14ac:dyDescent="0.25">
      <c r="A94" t="str">
        <f>IFERROR(IF(0=LEN(ReferenceData!$A$94),"",ReferenceData!$A$94),"")</f>
        <v xml:space="preserve">            Recurring Operating Margin (%)</v>
      </c>
      <c r="B94" t="str">
        <f>IFERROR(IF(0=LEN(ReferenceData!$B$94),"",ReferenceData!$B$94),"")</f>
        <v>KER FP Equity</v>
      </c>
      <c r="C94" t="str">
        <f>IFERROR(IF(0=LEN(ReferenceData!$C$94),"",ReferenceData!$C$94),"")</f>
        <v/>
      </c>
      <c r="D94" t="str">
        <f>IFERROR(IF(0=LEN(ReferenceData!$D$94),"",ReferenceData!$D$94),"")</f>
        <v/>
      </c>
      <c r="E94" t="str">
        <f>IFERROR(IF(0=LEN(ReferenceData!$E$94),"",ReferenceData!$E$94),"")</f>
        <v>Expression</v>
      </c>
      <c r="F94" t="str">
        <f ca="1">IFERROR(IF(0=LEN(ReferenceData!$F$94),"",ReferenceData!$F$94),"")</f>
        <v/>
      </c>
      <c r="G94" t="str">
        <f ca="1">IFERROR(IF(0=LEN(ReferenceData!$G$94),"",ReferenceData!$G$94),"")</f>
        <v/>
      </c>
      <c r="H94" t="str">
        <f ca="1">IFERROR(IF(0=LEN(ReferenceData!$H$94),"",ReferenceData!$H$94),"")</f>
        <v/>
      </c>
      <c r="I94" t="str">
        <f ca="1">IFERROR(IF(0=LEN(ReferenceData!$I$94),"",ReferenceData!$I$94),"")</f>
        <v/>
      </c>
      <c r="J94" t="str">
        <f ca="1">IFERROR(IF(0=LEN(ReferenceData!$J$94),"",ReferenceData!$J$94),"")</f>
        <v/>
      </c>
      <c r="K94" t="str">
        <f ca="1">IFERROR(IF(0=LEN(ReferenceData!$K$94),"",ReferenceData!$K$94),"")</f>
        <v/>
      </c>
      <c r="L94" t="str">
        <f ca="1">IFERROR(IF(0=LEN(ReferenceData!$L$94),"",ReferenceData!$L$94),"")</f>
        <v/>
      </c>
      <c r="M94" t="str">
        <f ca="1">IFERROR(IF(0=LEN(ReferenceData!$M$94),"",ReferenceData!$M$94),"")</f>
        <v/>
      </c>
      <c r="N94" t="str">
        <f ca="1">IFERROR(IF(0=LEN(ReferenceData!$N$94),"",ReferenceData!$N$94),"")</f>
        <v/>
      </c>
      <c r="O94" t="str">
        <f ca="1">IFERROR(IF(0=LEN(ReferenceData!$O$94),"",ReferenceData!$O$94),"")</f>
        <v/>
      </c>
      <c r="P94" t="str">
        <f ca="1">IFERROR(IF(0=LEN(ReferenceData!$P$94),"",ReferenceData!$P$94),"")</f>
        <v/>
      </c>
      <c r="Q94" t="str">
        <f ca="1">IFERROR(IF(0=LEN(ReferenceData!$Q$94),"",ReferenceData!$Q$94),"")</f>
        <v/>
      </c>
      <c r="R94" t="str">
        <f ca="1">IFERROR(IF(0=LEN(ReferenceData!$R$94),"",ReferenceData!$R$94),"")</f>
        <v/>
      </c>
      <c r="S94" t="str">
        <f ca="1">IFERROR(IF(0=LEN(ReferenceData!$S$94),"",ReferenceData!$S$94),"")</f>
        <v/>
      </c>
      <c r="T94" t="str">
        <f ca="1">IFERROR(IF(0=LEN(ReferenceData!$T$94),"",ReferenceData!$T$94),"")</f>
        <v/>
      </c>
      <c r="U94" t="str">
        <f ca="1">IFERROR(IF(0=LEN(ReferenceData!$U$94),"",ReferenceData!$U$94),"")</f>
        <v/>
      </c>
      <c r="V94" t="str">
        <f ca="1">IFERROR(IF(0=LEN(ReferenceData!$V$94),"",ReferenceData!$V$94),"")</f>
        <v/>
      </c>
      <c r="W94" t="str">
        <f ca="1">IFERROR(IF(0=LEN(ReferenceData!$W$94),"",ReferenceData!$W$94),"")</f>
        <v/>
      </c>
      <c r="X94" t="str">
        <f ca="1">IFERROR(IF(0=LEN(ReferenceData!$X$94),"",ReferenceData!$X$94),"")</f>
        <v/>
      </c>
      <c r="Y94" t="str">
        <f ca="1">IFERROR(IF(0=LEN(ReferenceData!$Y$94),"",ReferenceData!$Y$94),"")</f>
        <v/>
      </c>
      <c r="Z94" t="str">
        <f ca="1">IFERROR(IF(0=LEN(ReferenceData!$Z$94),"",ReferenceData!$Z$94),"")</f>
        <v/>
      </c>
      <c r="AA94" t="str">
        <f ca="1">IFERROR(IF(0=LEN(ReferenceData!$AA$94),"",ReferenceData!$AA$94),"")</f>
        <v/>
      </c>
      <c r="AB94" t="str">
        <f ca="1">IFERROR(IF(0=LEN(ReferenceData!$AB$94),"",ReferenceData!$AB$94),"")</f>
        <v/>
      </c>
      <c r="AC94" t="str">
        <f ca="1">IFERROR(IF(0=LEN(ReferenceData!$AC$94),"",ReferenceData!$AC$94),"")</f>
        <v/>
      </c>
      <c r="AD94" t="str">
        <f ca="1">IFERROR(IF(0=LEN(ReferenceData!$AD$94),"",ReferenceData!$AD$94),"")</f>
        <v/>
      </c>
      <c r="AE94" t="str">
        <f ca="1">IFERROR(IF(0=LEN(ReferenceData!$AE$94),"",ReferenceData!$AE$94),"")</f>
        <v/>
      </c>
      <c r="AF94" t="str">
        <f ca="1">IFERROR(IF(0=LEN(ReferenceData!$AF$94),"",ReferenceData!$AF$94),"")</f>
        <v/>
      </c>
      <c r="AG94" t="str">
        <f ca="1">IFERROR(IF(0=LEN(ReferenceData!$AG$94),"",ReferenceData!$AG$94),"")</f>
        <v/>
      </c>
      <c r="AH94" t="str">
        <f ca="1">IFERROR(IF(0=LEN(ReferenceData!$AH$94),"",ReferenceData!$AH$94),"")</f>
        <v/>
      </c>
      <c r="AI94" t="str">
        <f ca="1">IFERROR(IF(0=LEN(ReferenceData!$AI$94),"",ReferenceData!$AI$94),"")</f>
        <v/>
      </c>
      <c r="AJ94" t="str">
        <f ca="1">IFERROR(IF(0=LEN(ReferenceData!$AJ$94),"",ReferenceData!$AJ$94),"")</f>
        <v/>
      </c>
      <c r="AK94" t="str">
        <f ca="1">IFERROR(IF(0=LEN(ReferenceData!$AK$94),"",ReferenceData!$AK$94),"")</f>
        <v/>
      </c>
      <c r="AL94" t="str">
        <f ca="1">IFERROR(IF(0=LEN(ReferenceData!$AL$94),"",ReferenceData!$AL$94),"")</f>
        <v/>
      </c>
      <c r="AM94" t="str">
        <f ca="1">IFERROR(IF(0=LEN(ReferenceData!$AM$94),"",ReferenceData!$AM$94),"")</f>
        <v/>
      </c>
      <c r="AN94" t="str">
        <f ca="1">IFERROR(IF(0=LEN(ReferenceData!$AN$94),"",ReferenceData!$AN$94),"")</f>
        <v/>
      </c>
      <c r="AO94" t="str">
        <f ca="1">IFERROR(IF(0=LEN(ReferenceData!$AO$94),"",ReferenceData!$AO$94),"")</f>
        <v/>
      </c>
      <c r="AP94" t="str">
        <f ca="1">IFERROR(IF(0=LEN(ReferenceData!$AP$94),"",ReferenceData!$AP$94),"")</f>
        <v/>
      </c>
      <c r="AQ94" t="str">
        <f ca="1">IFERROR(IF(0=LEN(ReferenceData!$AQ$94),"",ReferenceData!$AQ$94),"")</f>
        <v/>
      </c>
      <c r="AR94" t="str">
        <f ca="1">IFERROR(IF(0=LEN(ReferenceData!$AR$94),"",ReferenceData!$AR$94),"")</f>
        <v/>
      </c>
      <c r="AS94" t="str">
        <f ca="1">IFERROR(IF(0=LEN(ReferenceData!$AS$94),"",ReferenceData!$AS$94),"")</f>
        <v/>
      </c>
      <c r="AT94" t="str">
        <f ca="1">IFERROR(IF(0=LEN(ReferenceData!$AT$94),"",ReferenceData!$AT$94),"")</f>
        <v/>
      </c>
      <c r="AU94" t="str">
        <f ca="1">IFERROR(IF(0=LEN(ReferenceData!$AU$94),"",ReferenceData!$AU$94),"")</f>
        <v/>
      </c>
      <c r="AV94" t="str">
        <f ca="1">IFERROR(IF(0=LEN(ReferenceData!$AV$94),"",ReferenceData!$AV$94),"")</f>
        <v/>
      </c>
      <c r="AW94" t="str">
        <f ca="1">IFERROR(IF(0=LEN(ReferenceData!$AW$94),"",ReferenceData!$AW$94),"")</f>
        <v/>
      </c>
      <c r="AX94" t="str">
        <f ca="1">IFERROR(IF(0=LEN(ReferenceData!$AX$94),"",ReferenceData!$AX$94),"")</f>
        <v/>
      </c>
      <c r="AY94" t="str">
        <f ca="1">IFERROR(IF(0=LEN(ReferenceData!$AY$94),"",ReferenceData!$AY$94),"")</f>
        <v/>
      </c>
      <c r="AZ94" t="str">
        <f ca="1">IFERROR(IF(0=LEN(ReferenceData!$AZ$94),"",ReferenceData!$AZ$94),"")</f>
        <v/>
      </c>
      <c r="BA94" t="str">
        <f ca="1">IFERROR(IF(0=LEN(ReferenceData!$BA$94),"",ReferenceData!$BA$94),"")</f>
        <v/>
      </c>
      <c r="BB94" t="str">
        <f ca="1">IFERROR(IF(0=LEN(ReferenceData!$BB$94),"",ReferenceData!$BB$94),"")</f>
        <v/>
      </c>
      <c r="BC94" t="str">
        <f ca="1">IFERROR(IF(0=LEN(ReferenceData!$BC$94),"",ReferenceData!$BC$94),"")</f>
        <v/>
      </c>
      <c r="BD94" t="str">
        <f ca="1">IFERROR(IF(0=LEN(ReferenceData!$BD$94),"",ReferenceData!$BD$94),"")</f>
        <v/>
      </c>
      <c r="BE94" t="str">
        <f ca="1">IFERROR(IF(0=LEN(ReferenceData!$BE$94),"",ReferenceData!$BE$94),"")</f>
        <v/>
      </c>
      <c r="BF94" t="str">
        <f ca="1">IFERROR(IF(0=LEN(ReferenceData!$BF$94),"",ReferenceData!$BF$94),"")</f>
        <v/>
      </c>
      <c r="BG94" t="str">
        <f ca="1">IFERROR(IF(0=LEN(ReferenceData!$BG$94),"",ReferenceData!$BG$94),"")</f>
        <v/>
      </c>
      <c r="BH94" t="str">
        <f ca="1">IFERROR(IF(0=LEN(ReferenceData!$BH$94),"",ReferenceData!$BH$94),"")</f>
        <v/>
      </c>
      <c r="BI94" t="str">
        <f ca="1">IFERROR(IF(0=LEN(ReferenceData!$BI$94),"",ReferenceData!$BI$94),"")</f>
        <v/>
      </c>
      <c r="BJ94" t="str">
        <f ca="1">IFERROR(IF(0=LEN(ReferenceData!$BJ$94),"",ReferenceData!$BJ$94),"")</f>
        <v/>
      </c>
      <c r="BK94" t="str">
        <f ca="1">IFERROR(IF(0=LEN(ReferenceData!$BK$94),"",ReferenceData!$BK$94),"")</f>
        <v/>
      </c>
      <c r="BL94" t="str">
        <f ca="1">IFERROR(IF(0=LEN(ReferenceData!$BL$94),"",ReferenceData!$BL$94),"")</f>
        <v/>
      </c>
      <c r="BM94" t="str">
        <f ca="1">IFERROR(IF(0=LEN(ReferenceData!$BM$94),"",ReferenceData!$BM$94),"")</f>
        <v/>
      </c>
    </row>
    <row r="95" spans="1:65" x14ac:dyDescent="0.25">
      <c r="A95" t="str">
        <f>IFERROR(IF(0=LEN(ReferenceData!$A$95),"",ReferenceData!$A$95),"")</f>
        <v/>
      </c>
      <c r="B95" t="str">
        <f>IFERROR(IF(0=LEN(ReferenceData!$B$95),"",ReferenceData!$B$95),"")</f>
        <v/>
      </c>
      <c r="C95" t="str">
        <f>IFERROR(IF(0=LEN(ReferenceData!$C$95),"",ReferenceData!$C$95),"")</f>
        <v/>
      </c>
      <c r="D95" t="str">
        <f>IFERROR(IF(0=LEN(ReferenceData!$D$95),"",ReferenceData!$D$95),"")</f>
        <v/>
      </c>
      <c r="E95" t="str">
        <f>IFERROR(IF(0=LEN(ReferenceData!$E$95),"",ReferenceData!$E$95),"")</f>
        <v>Static</v>
      </c>
      <c r="F95" t="str">
        <f ca="1">IFERROR(IF(0=LEN(ReferenceData!$F$95),"",ReferenceData!$F$95),"")</f>
        <v/>
      </c>
      <c r="G95" t="str">
        <f ca="1">IFERROR(IF(0=LEN(ReferenceData!$G$95),"",ReferenceData!$G$95),"")</f>
        <v/>
      </c>
      <c r="H95" t="str">
        <f ca="1">IFERROR(IF(0=LEN(ReferenceData!$H$95),"",ReferenceData!$H$95),"")</f>
        <v/>
      </c>
      <c r="I95" t="str">
        <f ca="1">IFERROR(IF(0=LEN(ReferenceData!$I$95),"",ReferenceData!$I$95),"")</f>
        <v/>
      </c>
      <c r="J95" t="str">
        <f ca="1">IFERROR(IF(0=LEN(ReferenceData!$J$95),"",ReferenceData!$J$95),"")</f>
        <v/>
      </c>
      <c r="K95" t="str">
        <f ca="1">IFERROR(IF(0=LEN(ReferenceData!$K$95),"",ReferenceData!$K$95),"")</f>
        <v/>
      </c>
      <c r="L95" t="str">
        <f ca="1">IFERROR(IF(0=LEN(ReferenceData!$L$95),"",ReferenceData!$L$95),"")</f>
        <v/>
      </c>
      <c r="M95" t="str">
        <f ca="1">IFERROR(IF(0=LEN(ReferenceData!$M$95),"",ReferenceData!$M$95),"")</f>
        <v/>
      </c>
      <c r="N95" t="str">
        <f ca="1">IFERROR(IF(0=LEN(ReferenceData!$N$95),"",ReferenceData!$N$95),"")</f>
        <v/>
      </c>
      <c r="O95" t="str">
        <f ca="1">IFERROR(IF(0=LEN(ReferenceData!$O$95),"",ReferenceData!$O$95),"")</f>
        <v/>
      </c>
      <c r="P95" t="str">
        <f ca="1">IFERROR(IF(0=LEN(ReferenceData!$P$95),"",ReferenceData!$P$95),"")</f>
        <v/>
      </c>
      <c r="Q95" t="str">
        <f ca="1">IFERROR(IF(0=LEN(ReferenceData!$Q$95),"",ReferenceData!$Q$95),"")</f>
        <v/>
      </c>
      <c r="R95" t="str">
        <f ca="1">IFERROR(IF(0=LEN(ReferenceData!$R$95),"",ReferenceData!$R$95),"")</f>
        <v/>
      </c>
      <c r="S95" t="str">
        <f ca="1">IFERROR(IF(0=LEN(ReferenceData!$S$95),"",ReferenceData!$S$95),"")</f>
        <v/>
      </c>
      <c r="T95" t="str">
        <f ca="1">IFERROR(IF(0=LEN(ReferenceData!$T$95),"",ReferenceData!$T$95),"")</f>
        <v/>
      </c>
      <c r="U95" t="str">
        <f ca="1">IFERROR(IF(0=LEN(ReferenceData!$U$95),"",ReferenceData!$U$95),"")</f>
        <v/>
      </c>
      <c r="V95" t="str">
        <f ca="1">IFERROR(IF(0=LEN(ReferenceData!$V$95),"",ReferenceData!$V$95),"")</f>
        <v/>
      </c>
      <c r="W95" t="str">
        <f ca="1">IFERROR(IF(0=LEN(ReferenceData!$W$95),"",ReferenceData!$W$95),"")</f>
        <v/>
      </c>
      <c r="X95" t="str">
        <f ca="1">IFERROR(IF(0=LEN(ReferenceData!$X$95),"",ReferenceData!$X$95),"")</f>
        <v/>
      </c>
      <c r="Y95" t="str">
        <f ca="1">IFERROR(IF(0=LEN(ReferenceData!$Y$95),"",ReferenceData!$Y$95),"")</f>
        <v/>
      </c>
      <c r="Z95" t="str">
        <f ca="1">IFERROR(IF(0=LEN(ReferenceData!$Z$95),"",ReferenceData!$Z$95),"")</f>
        <v/>
      </c>
      <c r="AA95" t="str">
        <f ca="1">IFERROR(IF(0=LEN(ReferenceData!$AA$95),"",ReferenceData!$AA$95),"")</f>
        <v/>
      </c>
      <c r="AB95" t="str">
        <f ca="1">IFERROR(IF(0=LEN(ReferenceData!$AB$95),"",ReferenceData!$AB$95),"")</f>
        <v/>
      </c>
      <c r="AC95" t="str">
        <f ca="1">IFERROR(IF(0=LEN(ReferenceData!$AC$95),"",ReferenceData!$AC$95),"")</f>
        <v/>
      </c>
      <c r="AD95" t="str">
        <f ca="1">IFERROR(IF(0=LEN(ReferenceData!$AD$95),"",ReferenceData!$AD$95),"")</f>
        <v/>
      </c>
      <c r="AE95" t="str">
        <f ca="1">IFERROR(IF(0=LEN(ReferenceData!$AE$95),"",ReferenceData!$AE$95),"")</f>
        <v/>
      </c>
      <c r="AF95" t="str">
        <f ca="1">IFERROR(IF(0=LEN(ReferenceData!$AF$95),"",ReferenceData!$AF$95),"")</f>
        <v/>
      </c>
      <c r="AG95" t="str">
        <f ca="1">IFERROR(IF(0=LEN(ReferenceData!$AG$95),"",ReferenceData!$AG$95),"")</f>
        <v/>
      </c>
      <c r="AH95" t="str">
        <f ca="1">IFERROR(IF(0=LEN(ReferenceData!$AH$95),"",ReferenceData!$AH$95),"")</f>
        <v/>
      </c>
      <c r="AI95" t="str">
        <f ca="1">IFERROR(IF(0=LEN(ReferenceData!$AI$95),"",ReferenceData!$AI$95),"")</f>
        <v/>
      </c>
      <c r="AJ95" t="str">
        <f ca="1">IFERROR(IF(0=LEN(ReferenceData!$AJ$95),"",ReferenceData!$AJ$95),"")</f>
        <v/>
      </c>
      <c r="AK95" t="str">
        <f ca="1">IFERROR(IF(0=LEN(ReferenceData!$AK$95),"",ReferenceData!$AK$95),"")</f>
        <v/>
      </c>
      <c r="AL95" t="str">
        <f ca="1">IFERROR(IF(0=LEN(ReferenceData!$AL$95),"",ReferenceData!$AL$95),"")</f>
        <v/>
      </c>
      <c r="AM95" t="str">
        <f ca="1">IFERROR(IF(0=LEN(ReferenceData!$AM$95),"",ReferenceData!$AM$95),"")</f>
        <v/>
      </c>
      <c r="AN95" t="str">
        <f ca="1">IFERROR(IF(0=LEN(ReferenceData!$AN$95),"",ReferenceData!$AN$95),"")</f>
        <v/>
      </c>
      <c r="AO95" t="str">
        <f ca="1">IFERROR(IF(0=LEN(ReferenceData!$AO$95),"",ReferenceData!$AO$95),"")</f>
        <v/>
      </c>
      <c r="AP95" t="str">
        <f ca="1">IFERROR(IF(0=LEN(ReferenceData!$AP$95),"",ReferenceData!$AP$95),"")</f>
        <v/>
      </c>
      <c r="AQ95" t="str">
        <f ca="1">IFERROR(IF(0=LEN(ReferenceData!$AQ$95),"",ReferenceData!$AQ$95),"")</f>
        <v/>
      </c>
      <c r="AR95" t="str">
        <f ca="1">IFERROR(IF(0=LEN(ReferenceData!$AR$95),"",ReferenceData!$AR$95),"")</f>
        <v/>
      </c>
      <c r="AS95" t="str">
        <f ca="1">IFERROR(IF(0=LEN(ReferenceData!$AS$95),"",ReferenceData!$AS$95),"")</f>
        <v/>
      </c>
      <c r="AT95" t="str">
        <f ca="1">IFERROR(IF(0=LEN(ReferenceData!$AT$95),"",ReferenceData!$AT$95),"")</f>
        <v/>
      </c>
      <c r="AU95" t="str">
        <f ca="1">IFERROR(IF(0=LEN(ReferenceData!$AU$95),"",ReferenceData!$AU$95),"")</f>
        <v/>
      </c>
      <c r="AV95" t="str">
        <f ca="1">IFERROR(IF(0=LEN(ReferenceData!$AV$95),"",ReferenceData!$AV$95),"")</f>
        <v/>
      </c>
      <c r="AW95" t="str">
        <f ca="1">IFERROR(IF(0=LEN(ReferenceData!$AW$95),"",ReferenceData!$AW$95),"")</f>
        <v/>
      </c>
      <c r="AX95" t="str">
        <f ca="1">IFERROR(IF(0=LEN(ReferenceData!$AX$95),"",ReferenceData!$AX$95),"")</f>
        <v/>
      </c>
      <c r="AY95" t="str">
        <f ca="1">IFERROR(IF(0=LEN(ReferenceData!$AY$95),"",ReferenceData!$AY$95),"")</f>
        <v/>
      </c>
      <c r="AZ95" t="str">
        <f ca="1">IFERROR(IF(0=LEN(ReferenceData!$AZ$95),"",ReferenceData!$AZ$95),"")</f>
        <v/>
      </c>
      <c r="BA95" t="str">
        <f ca="1">IFERROR(IF(0=LEN(ReferenceData!$BA$95),"",ReferenceData!$BA$95),"")</f>
        <v/>
      </c>
      <c r="BB95" t="str">
        <f ca="1">IFERROR(IF(0=LEN(ReferenceData!$BB$95),"",ReferenceData!$BB$95),"")</f>
        <v/>
      </c>
      <c r="BC95" t="str">
        <f ca="1">IFERROR(IF(0=LEN(ReferenceData!$BC$95),"",ReferenceData!$BC$95),"")</f>
        <v/>
      </c>
      <c r="BD95" t="str">
        <f ca="1">IFERROR(IF(0=LEN(ReferenceData!$BD$95),"",ReferenceData!$BD$95),"")</f>
        <v/>
      </c>
      <c r="BE95" t="str">
        <f ca="1">IFERROR(IF(0=LEN(ReferenceData!$BE$95),"",ReferenceData!$BE$95),"")</f>
        <v/>
      </c>
      <c r="BF95" t="str">
        <f ca="1">IFERROR(IF(0=LEN(ReferenceData!$BF$95),"",ReferenceData!$BF$95),"")</f>
        <v/>
      </c>
      <c r="BG95" t="str">
        <f ca="1">IFERROR(IF(0=LEN(ReferenceData!$BG$95),"",ReferenceData!$BG$95),"")</f>
        <v/>
      </c>
      <c r="BH95" t="str">
        <f ca="1">IFERROR(IF(0=LEN(ReferenceData!$BH$95),"",ReferenceData!$BH$95),"")</f>
        <v/>
      </c>
      <c r="BI95" t="str">
        <f ca="1">IFERROR(IF(0=LEN(ReferenceData!$BI$95),"",ReferenceData!$BI$95),"")</f>
        <v/>
      </c>
      <c r="BJ95" t="str">
        <f ca="1">IFERROR(IF(0=LEN(ReferenceData!$BJ$95),"",ReferenceData!$BJ$95),"")</f>
        <v/>
      </c>
      <c r="BK95" t="str">
        <f ca="1">IFERROR(IF(0=LEN(ReferenceData!$BK$95),"",ReferenceData!$BK$95),"")</f>
        <v/>
      </c>
      <c r="BL95" t="str">
        <f ca="1">IFERROR(IF(0=LEN(ReferenceData!$BL$95),"",ReferenceData!$BL$95),"")</f>
        <v/>
      </c>
      <c r="BM95" t="str">
        <f ca="1">IFERROR(IF(0=LEN(ReferenceData!$BM$95),"",ReferenceData!$BM$95),"")</f>
        <v/>
      </c>
    </row>
    <row r="96" spans="1:65" x14ac:dyDescent="0.25">
      <c r="A96" t="str">
        <f>IFERROR(IF(0=LEN(ReferenceData!$A$96),"",ReferenceData!$A$96),"")</f>
        <v>Brand Breakdown</v>
      </c>
      <c r="B96" t="str">
        <f>IFERROR(IF(0=LEN(ReferenceData!$B$96),"",ReferenceData!$B$96),"")</f>
        <v/>
      </c>
      <c r="C96" t="str">
        <f>IFERROR(IF(0=LEN(ReferenceData!$C$96),"",ReferenceData!$C$96),"")</f>
        <v/>
      </c>
      <c r="D96" t="str">
        <f>IFERROR(IF(0=LEN(ReferenceData!$D$96),"",ReferenceData!$D$96),"")</f>
        <v/>
      </c>
      <c r="E96" t="str">
        <f>IFERROR(IF(0=LEN(ReferenceData!$E$96),"",ReferenceData!$E$96),"")</f>
        <v>Heading</v>
      </c>
      <c r="F96" t="str">
        <f>IFERROR(IF(0=LEN(ReferenceData!$F$96),"",ReferenceData!$F$96),"")</f>
        <v/>
      </c>
      <c r="G96" t="str">
        <f>IFERROR(IF(0=LEN(ReferenceData!$G$96),"",ReferenceData!$G$96),"")</f>
        <v/>
      </c>
      <c r="H96" t="str">
        <f>IFERROR(IF(0=LEN(ReferenceData!$H$96),"",ReferenceData!$H$96),"")</f>
        <v/>
      </c>
      <c r="I96" t="str">
        <f>IFERROR(IF(0=LEN(ReferenceData!$I$96),"",ReferenceData!$I$96),"")</f>
        <v/>
      </c>
      <c r="J96" t="str">
        <f>IFERROR(IF(0=LEN(ReferenceData!$J$96),"",ReferenceData!$J$96),"")</f>
        <v/>
      </c>
      <c r="K96" t="str">
        <f>IFERROR(IF(0=LEN(ReferenceData!$K$96),"",ReferenceData!$K$96),"")</f>
        <v/>
      </c>
      <c r="L96" t="str">
        <f>IFERROR(IF(0=LEN(ReferenceData!$L$96),"",ReferenceData!$L$96),"")</f>
        <v/>
      </c>
      <c r="M96" t="str">
        <f>IFERROR(IF(0=LEN(ReferenceData!$M$96),"",ReferenceData!$M$96),"")</f>
        <v/>
      </c>
      <c r="N96" t="str">
        <f>IFERROR(IF(0=LEN(ReferenceData!$N$96),"",ReferenceData!$N$96),"")</f>
        <v/>
      </c>
      <c r="O96" t="str">
        <f>IFERROR(IF(0=LEN(ReferenceData!$O$96),"",ReferenceData!$O$96),"")</f>
        <v/>
      </c>
      <c r="P96" t="str">
        <f>IFERROR(IF(0=LEN(ReferenceData!$P$96),"",ReferenceData!$P$96),"")</f>
        <v/>
      </c>
      <c r="Q96" t="str">
        <f>IFERROR(IF(0=LEN(ReferenceData!$Q$96),"",ReferenceData!$Q$96),"")</f>
        <v/>
      </c>
      <c r="R96" t="str">
        <f>IFERROR(IF(0=LEN(ReferenceData!$R$96),"",ReferenceData!$R$96),"")</f>
        <v/>
      </c>
      <c r="S96" t="str">
        <f>IFERROR(IF(0=LEN(ReferenceData!$S$96),"",ReferenceData!$S$96),"")</f>
        <v/>
      </c>
      <c r="T96" t="str">
        <f>IFERROR(IF(0=LEN(ReferenceData!$T$96),"",ReferenceData!$T$96),"")</f>
        <v/>
      </c>
      <c r="U96" t="str">
        <f>IFERROR(IF(0=LEN(ReferenceData!$U$96),"",ReferenceData!$U$96),"")</f>
        <v/>
      </c>
      <c r="V96" t="str">
        <f>IFERROR(IF(0=LEN(ReferenceData!$V$96),"",ReferenceData!$V$96),"")</f>
        <v/>
      </c>
      <c r="W96" t="str">
        <f>IFERROR(IF(0=LEN(ReferenceData!$W$96),"",ReferenceData!$W$96),"")</f>
        <v/>
      </c>
      <c r="X96" t="str">
        <f>IFERROR(IF(0=LEN(ReferenceData!$X$96),"",ReferenceData!$X$96),"")</f>
        <v/>
      </c>
      <c r="Y96" t="str">
        <f>IFERROR(IF(0=LEN(ReferenceData!$Y$96),"",ReferenceData!$Y$96),"")</f>
        <v/>
      </c>
      <c r="Z96" t="str">
        <f>IFERROR(IF(0=LEN(ReferenceData!$Z$96),"",ReferenceData!$Z$96),"")</f>
        <v/>
      </c>
      <c r="AA96" t="str">
        <f>IFERROR(IF(0=LEN(ReferenceData!$AA$96),"",ReferenceData!$AA$96),"")</f>
        <v/>
      </c>
      <c r="AB96" t="str">
        <f>IFERROR(IF(0=LEN(ReferenceData!$AB$96),"",ReferenceData!$AB$96),"")</f>
        <v/>
      </c>
      <c r="AC96" t="str">
        <f>IFERROR(IF(0=LEN(ReferenceData!$AC$96),"",ReferenceData!$AC$96),"")</f>
        <v/>
      </c>
      <c r="AD96" t="str">
        <f>IFERROR(IF(0=LEN(ReferenceData!$AD$96),"",ReferenceData!$AD$96),"")</f>
        <v/>
      </c>
      <c r="AE96" t="str">
        <f>IFERROR(IF(0=LEN(ReferenceData!$AE$96),"",ReferenceData!$AE$96),"")</f>
        <v/>
      </c>
      <c r="AF96" t="str">
        <f>IFERROR(IF(0=LEN(ReferenceData!$AF$96),"",ReferenceData!$AF$96),"")</f>
        <v/>
      </c>
      <c r="AG96" t="str">
        <f>IFERROR(IF(0=LEN(ReferenceData!$AG$96),"",ReferenceData!$AG$96),"")</f>
        <v/>
      </c>
      <c r="AH96" t="str">
        <f>IFERROR(IF(0=LEN(ReferenceData!$AH$96),"",ReferenceData!$AH$96),"")</f>
        <v/>
      </c>
      <c r="AI96" t="str">
        <f>IFERROR(IF(0=LEN(ReferenceData!$AI$96),"",ReferenceData!$AI$96),"")</f>
        <v/>
      </c>
      <c r="AJ96" t="str">
        <f>IFERROR(IF(0=LEN(ReferenceData!$AJ$96),"",ReferenceData!$AJ$96),"")</f>
        <v/>
      </c>
      <c r="AK96" t="str">
        <f>IFERROR(IF(0=LEN(ReferenceData!$AK$96),"",ReferenceData!$AK$96),"")</f>
        <v/>
      </c>
      <c r="AL96" t="str">
        <f>IFERROR(IF(0=LEN(ReferenceData!$AL$96),"",ReferenceData!$AL$96),"")</f>
        <v/>
      </c>
      <c r="AM96" t="str">
        <f>IFERROR(IF(0=LEN(ReferenceData!$AM$96),"",ReferenceData!$AM$96),"")</f>
        <v/>
      </c>
      <c r="AN96" t="str">
        <f>IFERROR(IF(0=LEN(ReferenceData!$AN$96),"",ReferenceData!$AN$96),"")</f>
        <v/>
      </c>
      <c r="AO96" t="str">
        <f>IFERROR(IF(0=LEN(ReferenceData!$AO$96),"",ReferenceData!$AO$96),"")</f>
        <v/>
      </c>
      <c r="AP96" t="str">
        <f>IFERROR(IF(0=LEN(ReferenceData!$AP$96),"",ReferenceData!$AP$96),"")</f>
        <v/>
      </c>
      <c r="AQ96" t="str">
        <f>IFERROR(IF(0=LEN(ReferenceData!$AQ$96),"",ReferenceData!$AQ$96),"")</f>
        <v/>
      </c>
      <c r="AR96" t="str">
        <f>IFERROR(IF(0=LEN(ReferenceData!$AR$96),"",ReferenceData!$AR$96),"")</f>
        <v/>
      </c>
      <c r="AS96" t="str">
        <f>IFERROR(IF(0=LEN(ReferenceData!$AS$96),"",ReferenceData!$AS$96),"")</f>
        <v/>
      </c>
      <c r="AT96" t="str">
        <f>IFERROR(IF(0=LEN(ReferenceData!$AT$96),"",ReferenceData!$AT$96),"")</f>
        <v/>
      </c>
      <c r="AU96" t="str">
        <f>IFERROR(IF(0=LEN(ReferenceData!$AU$96),"",ReferenceData!$AU$96),"")</f>
        <v/>
      </c>
      <c r="AV96" t="str">
        <f>IFERROR(IF(0=LEN(ReferenceData!$AV$96),"",ReferenceData!$AV$96),"")</f>
        <v/>
      </c>
      <c r="AW96" t="str">
        <f>IFERROR(IF(0=LEN(ReferenceData!$AW$96),"",ReferenceData!$AW$96),"")</f>
        <v/>
      </c>
      <c r="AX96" t="str">
        <f>IFERROR(IF(0=LEN(ReferenceData!$AX$96),"",ReferenceData!$AX$96),"")</f>
        <v/>
      </c>
      <c r="AY96" t="str">
        <f>IFERROR(IF(0=LEN(ReferenceData!$AY$96),"",ReferenceData!$AY$96),"")</f>
        <v/>
      </c>
      <c r="AZ96" t="str">
        <f>IFERROR(IF(0=LEN(ReferenceData!$AZ$96),"",ReferenceData!$AZ$96),"")</f>
        <v/>
      </c>
      <c r="BA96" t="str">
        <f>IFERROR(IF(0=LEN(ReferenceData!$BA$96),"",ReferenceData!$BA$96),"")</f>
        <v/>
      </c>
      <c r="BB96" t="str">
        <f>IFERROR(IF(0=LEN(ReferenceData!$BB$96),"",ReferenceData!$BB$96),"")</f>
        <v/>
      </c>
      <c r="BC96" t="str">
        <f>IFERROR(IF(0=LEN(ReferenceData!$BC$96),"",ReferenceData!$BC$96),"")</f>
        <v/>
      </c>
      <c r="BD96" t="str">
        <f>IFERROR(IF(0=LEN(ReferenceData!$BD$96),"",ReferenceData!$BD$96),"")</f>
        <v/>
      </c>
      <c r="BE96" t="str">
        <f>IFERROR(IF(0=LEN(ReferenceData!$BE$96),"",ReferenceData!$BE$96),"")</f>
        <v/>
      </c>
      <c r="BF96" t="str">
        <f>IFERROR(IF(0=LEN(ReferenceData!$BF$96),"",ReferenceData!$BF$96),"")</f>
        <v/>
      </c>
      <c r="BG96" t="str">
        <f>IFERROR(IF(0=LEN(ReferenceData!$BG$96),"",ReferenceData!$BG$96),"")</f>
        <v/>
      </c>
      <c r="BH96" t="str">
        <f>IFERROR(IF(0=LEN(ReferenceData!$BH$96),"",ReferenceData!$BH$96),"")</f>
        <v/>
      </c>
      <c r="BI96" t="str">
        <f>IFERROR(IF(0=LEN(ReferenceData!$BI$96),"",ReferenceData!$BI$96),"")</f>
        <v/>
      </c>
      <c r="BJ96" t="str">
        <f>IFERROR(IF(0=LEN(ReferenceData!$BJ$96),"",ReferenceData!$BJ$96),"")</f>
        <v/>
      </c>
      <c r="BK96" t="str">
        <f>IFERROR(IF(0=LEN(ReferenceData!$BK$96),"",ReferenceData!$BK$96),"")</f>
        <v/>
      </c>
      <c r="BL96" t="str">
        <f>IFERROR(IF(0=LEN(ReferenceData!$BL$96),"",ReferenceData!$BL$96),"")</f>
        <v/>
      </c>
      <c r="BM96" t="str">
        <f>IFERROR(IF(0=LEN(ReferenceData!$BM$96),"",ReferenceData!$BM$96),"")</f>
        <v/>
      </c>
    </row>
    <row r="97" spans="1:65" x14ac:dyDescent="0.25">
      <c r="A97" t="str">
        <f>IFERROR(IF(0=LEN(ReferenceData!$A$97),"",ReferenceData!$A$97),"")</f>
        <v xml:space="preserve">    </v>
      </c>
      <c r="B97" t="str">
        <f>IFERROR(IF(0=LEN(ReferenceData!$B$97),"",ReferenceData!$B$97),"")</f>
        <v/>
      </c>
      <c r="C97" t="str">
        <f>IFERROR(IF(0=LEN(ReferenceData!$C$97),"",ReferenceData!$C$97),"")</f>
        <v/>
      </c>
      <c r="D97" t="str">
        <f>IFERROR(IF(0=LEN(ReferenceData!$D$97),"",ReferenceData!$D$97),"")</f>
        <v/>
      </c>
      <c r="E97" t="str">
        <f>IFERROR(IF(0=LEN(ReferenceData!$E$97),"",ReferenceData!$E$97),"")</f>
        <v>Static</v>
      </c>
      <c r="F97" t="str">
        <f ca="1">IFERROR(IF(0=LEN(ReferenceData!$F$97),"",ReferenceData!$F$97),"")</f>
        <v/>
      </c>
      <c r="G97" t="str">
        <f ca="1">IFERROR(IF(0=LEN(ReferenceData!$G$97),"",ReferenceData!$G$97),"")</f>
        <v/>
      </c>
      <c r="H97" t="str">
        <f ca="1">IFERROR(IF(0=LEN(ReferenceData!$H$97),"",ReferenceData!$H$97),"")</f>
        <v/>
      </c>
      <c r="I97" t="str">
        <f ca="1">IFERROR(IF(0=LEN(ReferenceData!$I$97),"",ReferenceData!$I$97),"")</f>
        <v/>
      </c>
      <c r="J97" t="str">
        <f ca="1">IFERROR(IF(0=LEN(ReferenceData!$J$97),"",ReferenceData!$J$97),"")</f>
        <v/>
      </c>
      <c r="K97" t="str">
        <f ca="1">IFERROR(IF(0=LEN(ReferenceData!$K$97),"",ReferenceData!$K$97),"")</f>
        <v/>
      </c>
      <c r="L97" t="str">
        <f ca="1">IFERROR(IF(0=LEN(ReferenceData!$L$97),"",ReferenceData!$L$97),"")</f>
        <v/>
      </c>
      <c r="M97" t="str">
        <f ca="1">IFERROR(IF(0=LEN(ReferenceData!$M$97),"",ReferenceData!$M$97),"")</f>
        <v/>
      </c>
      <c r="N97" t="str">
        <f ca="1">IFERROR(IF(0=LEN(ReferenceData!$N$97),"",ReferenceData!$N$97),"")</f>
        <v/>
      </c>
      <c r="O97" t="str">
        <f ca="1">IFERROR(IF(0=LEN(ReferenceData!$O$97),"",ReferenceData!$O$97),"")</f>
        <v/>
      </c>
      <c r="P97" t="str">
        <f ca="1">IFERROR(IF(0=LEN(ReferenceData!$P$97),"",ReferenceData!$P$97),"")</f>
        <v/>
      </c>
      <c r="Q97" t="str">
        <f ca="1">IFERROR(IF(0=LEN(ReferenceData!$Q$97),"",ReferenceData!$Q$97),"")</f>
        <v/>
      </c>
      <c r="R97" t="str">
        <f ca="1">IFERROR(IF(0=LEN(ReferenceData!$R$97),"",ReferenceData!$R$97),"")</f>
        <v/>
      </c>
      <c r="S97" t="str">
        <f ca="1">IFERROR(IF(0=LEN(ReferenceData!$S$97),"",ReferenceData!$S$97),"")</f>
        <v/>
      </c>
      <c r="T97" t="str">
        <f ca="1">IFERROR(IF(0=LEN(ReferenceData!$T$97),"",ReferenceData!$T$97),"")</f>
        <v/>
      </c>
      <c r="U97" t="str">
        <f ca="1">IFERROR(IF(0=LEN(ReferenceData!$U$97),"",ReferenceData!$U$97),"")</f>
        <v/>
      </c>
      <c r="V97" t="str">
        <f ca="1">IFERROR(IF(0=LEN(ReferenceData!$V$97),"",ReferenceData!$V$97),"")</f>
        <v/>
      </c>
      <c r="W97" t="str">
        <f ca="1">IFERROR(IF(0=LEN(ReferenceData!$W$97),"",ReferenceData!$W$97),"")</f>
        <v/>
      </c>
      <c r="X97" t="str">
        <f ca="1">IFERROR(IF(0=LEN(ReferenceData!$X$97),"",ReferenceData!$X$97),"")</f>
        <v/>
      </c>
      <c r="Y97" t="str">
        <f ca="1">IFERROR(IF(0=LEN(ReferenceData!$Y$97),"",ReferenceData!$Y$97),"")</f>
        <v/>
      </c>
      <c r="Z97" t="str">
        <f ca="1">IFERROR(IF(0=LEN(ReferenceData!$Z$97),"",ReferenceData!$Z$97),"")</f>
        <v/>
      </c>
      <c r="AA97" t="str">
        <f ca="1">IFERROR(IF(0=LEN(ReferenceData!$AA$97),"",ReferenceData!$AA$97),"")</f>
        <v/>
      </c>
      <c r="AB97" t="str">
        <f ca="1">IFERROR(IF(0=LEN(ReferenceData!$AB$97),"",ReferenceData!$AB$97),"")</f>
        <v/>
      </c>
      <c r="AC97" t="str">
        <f ca="1">IFERROR(IF(0=LEN(ReferenceData!$AC$97),"",ReferenceData!$AC$97),"")</f>
        <v/>
      </c>
      <c r="AD97" t="str">
        <f ca="1">IFERROR(IF(0=LEN(ReferenceData!$AD$97),"",ReferenceData!$AD$97),"")</f>
        <v/>
      </c>
      <c r="AE97" t="str">
        <f ca="1">IFERROR(IF(0=LEN(ReferenceData!$AE$97),"",ReferenceData!$AE$97),"")</f>
        <v/>
      </c>
      <c r="AF97" t="str">
        <f ca="1">IFERROR(IF(0=LEN(ReferenceData!$AF$97),"",ReferenceData!$AF$97),"")</f>
        <v/>
      </c>
      <c r="AG97" t="str">
        <f ca="1">IFERROR(IF(0=LEN(ReferenceData!$AG$97),"",ReferenceData!$AG$97),"")</f>
        <v/>
      </c>
      <c r="AH97" t="str">
        <f ca="1">IFERROR(IF(0=LEN(ReferenceData!$AH$97),"",ReferenceData!$AH$97),"")</f>
        <v/>
      </c>
      <c r="AI97" t="str">
        <f ca="1">IFERROR(IF(0=LEN(ReferenceData!$AI$97),"",ReferenceData!$AI$97),"")</f>
        <v/>
      </c>
      <c r="AJ97" t="str">
        <f ca="1">IFERROR(IF(0=LEN(ReferenceData!$AJ$97),"",ReferenceData!$AJ$97),"")</f>
        <v/>
      </c>
      <c r="AK97" t="str">
        <f ca="1">IFERROR(IF(0=LEN(ReferenceData!$AK$97),"",ReferenceData!$AK$97),"")</f>
        <v/>
      </c>
      <c r="AL97" t="str">
        <f ca="1">IFERROR(IF(0=LEN(ReferenceData!$AL$97),"",ReferenceData!$AL$97),"")</f>
        <v/>
      </c>
      <c r="AM97" t="str">
        <f ca="1">IFERROR(IF(0=LEN(ReferenceData!$AM$97),"",ReferenceData!$AM$97),"")</f>
        <v/>
      </c>
      <c r="AN97" t="str">
        <f ca="1">IFERROR(IF(0=LEN(ReferenceData!$AN$97),"",ReferenceData!$AN$97),"")</f>
        <v/>
      </c>
      <c r="AO97" t="str">
        <f ca="1">IFERROR(IF(0=LEN(ReferenceData!$AO$97),"",ReferenceData!$AO$97),"")</f>
        <v/>
      </c>
      <c r="AP97" t="str">
        <f ca="1">IFERROR(IF(0=LEN(ReferenceData!$AP$97),"",ReferenceData!$AP$97),"")</f>
        <v/>
      </c>
      <c r="AQ97" t="str">
        <f ca="1">IFERROR(IF(0=LEN(ReferenceData!$AQ$97),"",ReferenceData!$AQ$97),"")</f>
        <v/>
      </c>
      <c r="AR97" t="str">
        <f ca="1">IFERROR(IF(0=LEN(ReferenceData!$AR$97),"",ReferenceData!$AR$97),"")</f>
        <v/>
      </c>
      <c r="AS97" t="str">
        <f ca="1">IFERROR(IF(0=LEN(ReferenceData!$AS$97),"",ReferenceData!$AS$97),"")</f>
        <v/>
      </c>
      <c r="AT97" t="str">
        <f ca="1">IFERROR(IF(0=LEN(ReferenceData!$AT$97),"",ReferenceData!$AT$97),"")</f>
        <v/>
      </c>
      <c r="AU97" t="str">
        <f ca="1">IFERROR(IF(0=LEN(ReferenceData!$AU$97),"",ReferenceData!$AU$97),"")</f>
        <v/>
      </c>
      <c r="AV97" t="str">
        <f ca="1">IFERROR(IF(0=LEN(ReferenceData!$AV$97),"",ReferenceData!$AV$97),"")</f>
        <v/>
      </c>
      <c r="AW97" t="str">
        <f ca="1">IFERROR(IF(0=LEN(ReferenceData!$AW$97),"",ReferenceData!$AW$97),"")</f>
        <v/>
      </c>
      <c r="AX97" t="str">
        <f ca="1">IFERROR(IF(0=LEN(ReferenceData!$AX$97),"",ReferenceData!$AX$97),"")</f>
        <v/>
      </c>
      <c r="AY97" t="str">
        <f ca="1">IFERROR(IF(0=LEN(ReferenceData!$AY$97),"",ReferenceData!$AY$97),"")</f>
        <v/>
      </c>
      <c r="AZ97" t="str">
        <f ca="1">IFERROR(IF(0=LEN(ReferenceData!$AZ$97),"",ReferenceData!$AZ$97),"")</f>
        <v/>
      </c>
      <c r="BA97" t="str">
        <f ca="1">IFERROR(IF(0=LEN(ReferenceData!$BA$97),"",ReferenceData!$BA$97),"")</f>
        <v/>
      </c>
      <c r="BB97" t="str">
        <f ca="1">IFERROR(IF(0=LEN(ReferenceData!$BB$97),"",ReferenceData!$BB$97),"")</f>
        <v/>
      </c>
      <c r="BC97" t="str">
        <f ca="1">IFERROR(IF(0=LEN(ReferenceData!$BC$97),"",ReferenceData!$BC$97),"")</f>
        <v/>
      </c>
      <c r="BD97" t="str">
        <f ca="1">IFERROR(IF(0=LEN(ReferenceData!$BD$97),"",ReferenceData!$BD$97),"")</f>
        <v/>
      </c>
      <c r="BE97" t="str">
        <f ca="1">IFERROR(IF(0=LEN(ReferenceData!$BE$97),"",ReferenceData!$BE$97),"")</f>
        <v/>
      </c>
      <c r="BF97" t="str">
        <f ca="1">IFERROR(IF(0=LEN(ReferenceData!$BF$97),"",ReferenceData!$BF$97),"")</f>
        <v/>
      </c>
      <c r="BG97" t="str">
        <f ca="1">IFERROR(IF(0=LEN(ReferenceData!$BG$97),"",ReferenceData!$BG$97),"")</f>
        <v/>
      </c>
      <c r="BH97" t="str">
        <f ca="1">IFERROR(IF(0=LEN(ReferenceData!$BH$97),"",ReferenceData!$BH$97),"")</f>
        <v/>
      </c>
      <c r="BI97" t="str">
        <f ca="1">IFERROR(IF(0=LEN(ReferenceData!$BI$97),"",ReferenceData!$BI$97),"")</f>
        <v/>
      </c>
      <c r="BJ97" t="str">
        <f ca="1">IFERROR(IF(0=LEN(ReferenceData!$BJ$97),"",ReferenceData!$BJ$97),"")</f>
        <v/>
      </c>
      <c r="BK97" t="str">
        <f ca="1">IFERROR(IF(0=LEN(ReferenceData!$BK$97),"",ReferenceData!$BK$97),"")</f>
        <v/>
      </c>
      <c r="BL97" t="str">
        <f ca="1">IFERROR(IF(0=LEN(ReferenceData!$BL$97),"",ReferenceData!$BL$97),"")</f>
        <v/>
      </c>
      <c r="BM97" t="str">
        <f ca="1">IFERROR(IF(0=LEN(ReferenceData!$BM$97),"",ReferenceData!$BM$97),"")</f>
        <v/>
      </c>
    </row>
    <row r="98" spans="1:65" x14ac:dyDescent="0.25">
      <c r="A98" t="str">
        <f>IFERROR(IF(0=LEN(ReferenceData!$A$98),"",ReferenceData!$A$98),"")</f>
        <v xml:space="preserve">    Gucci</v>
      </c>
      <c r="B98" t="str">
        <f>IFERROR(IF(0=LEN(ReferenceData!$B$98),"",ReferenceData!$B$98),"")</f>
        <v/>
      </c>
      <c r="C98" t="str">
        <f>IFERROR(IF(0=LEN(ReferenceData!$C$98),"",ReferenceData!$C$98),"")</f>
        <v/>
      </c>
      <c r="D98" t="str">
        <f>IFERROR(IF(0=LEN(ReferenceData!$D$98),"",ReferenceData!$D$98),"")</f>
        <v/>
      </c>
      <c r="E98" t="str">
        <f>IFERROR(IF(0=LEN(ReferenceData!$E$98),"",ReferenceData!$E$98),"")</f>
        <v>Static</v>
      </c>
      <c r="F98" t="str">
        <f ca="1">IFERROR(IF(0=LEN(ReferenceData!$F$98),"",ReferenceData!$F$98),"")</f>
        <v/>
      </c>
      <c r="G98" t="str">
        <f ca="1">IFERROR(IF(0=LEN(ReferenceData!$G$98),"",ReferenceData!$G$98),"")</f>
        <v/>
      </c>
      <c r="H98" t="str">
        <f ca="1">IFERROR(IF(0=LEN(ReferenceData!$H$98),"",ReferenceData!$H$98),"")</f>
        <v/>
      </c>
      <c r="I98" t="str">
        <f ca="1">IFERROR(IF(0=LEN(ReferenceData!$I$98),"",ReferenceData!$I$98),"")</f>
        <v/>
      </c>
      <c r="J98" t="str">
        <f ca="1">IFERROR(IF(0=LEN(ReferenceData!$J$98),"",ReferenceData!$J$98),"")</f>
        <v/>
      </c>
      <c r="K98" t="str">
        <f ca="1">IFERROR(IF(0=LEN(ReferenceData!$K$98),"",ReferenceData!$K$98),"")</f>
        <v/>
      </c>
      <c r="L98" t="str">
        <f ca="1">IFERROR(IF(0=LEN(ReferenceData!$L$98),"",ReferenceData!$L$98),"")</f>
        <v/>
      </c>
      <c r="M98" t="str">
        <f ca="1">IFERROR(IF(0=LEN(ReferenceData!$M$98),"",ReferenceData!$M$98),"")</f>
        <v/>
      </c>
      <c r="N98" t="str">
        <f ca="1">IFERROR(IF(0=LEN(ReferenceData!$N$98),"",ReferenceData!$N$98),"")</f>
        <v/>
      </c>
      <c r="O98" t="str">
        <f ca="1">IFERROR(IF(0=LEN(ReferenceData!$O$98),"",ReferenceData!$O$98),"")</f>
        <v/>
      </c>
      <c r="P98" t="str">
        <f ca="1">IFERROR(IF(0=LEN(ReferenceData!$P$98),"",ReferenceData!$P$98),"")</f>
        <v/>
      </c>
      <c r="Q98" t="str">
        <f ca="1">IFERROR(IF(0=LEN(ReferenceData!$Q$98),"",ReferenceData!$Q$98),"")</f>
        <v/>
      </c>
      <c r="R98" t="str">
        <f ca="1">IFERROR(IF(0=LEN(ReferenceData!$R$98),"",ReferenceData!$R$98),"")</f>
        <v/>
      </c>
      <c r="S98" t="str">
        <f ca="1">IFERROR(IF(0=LEN(ReferenceData!$S$98),"",ReferenceData!$S$98),"")</f>
        <v/>
      </c>
      <c r="T98" t="str">
        <f ca="1">IFERROR(IF(0=LEN(ReferenceData!$T$98),"",ReferenceData!$T$98),"")</f>
        <v/>
      </c>
      <c r="U98" t="str">
        <f ca="1">IFERROR(IF(0=LEN(ReferenceData!$U$98),"",ReferenceData!$U$98),"")</f>
        <v/>
      </c>
      <c r="V98" t="str">
        <f ca="1">IFERROR(IF(0=LEN(ReferenceData!$V$98),"",ReferenceData!$V$98),"")</f>
        <v/>
      </c>
      <c r="W98" t="str">
        <f ca="1">IFERROR(IF(0=LEN(ReferenceData!$W$98),"",ReferenceData!$W$98),"")</f>
        <v/>
      </c>
      <c r="X98" t="str">
        <f ca="1">IFERROR(IF(0=LEN(ReferenceData!$X$98),"",ReferenceData!$X$98),"")</f>
        <v/>
      </c>
      <c r="Y98" t="str">
        <f ca="1">IFERROR(IF(0=LEN(ReferenceData!$Y$98),"",ReferenceData!$Y$98),"")</f>
        <v/>
      </c>
      <c r="Z98" t="str">
        <f ca="1">IFERROR(IF(0=LEN(ReferenceData!$Z$98),"",ReferenceData!$Z$98),"")</f>
        <v/>
      </c>
      <c r="AA98" t="str">
        <f ca="1">IFERROR(IF(0=LEN(ReferenceData!$AA$98),"",ReferenceData!$AA$98),"")</f>
        <v/>
      </c>
      <c r="AB98" t="str">
        <f ca="1">IFERROR(IF(0=LEN(ReferenceData!$AB$98),"",ReferenceData!$AB$98),"")</f>
        <v/>
      </c>
      <c r="AC98" t="str">
        <f ca="1">IFERROR(IF(0=LEN(ReferenceData!$AC$98),"",ReferenceData!$AC$98),"")</f>
        <v/>
      </c>
      <c r="AD98" t="str">
        <f ca="1">IFERROR(IF(0=LEN(ReferenceData!$AD$98),"",ReferenceData!$AD$98),"")</f>
        <v/>
      </c>
      <c r="AE98" t="str">
        <f ca="1">IFERROR(IF(0=LEN(ReferenceData!$AE$98),"",ReferenceData!$AE$98),"")</f>
        <v/>
      </c>
      <c r="AF98" t="str">
        <f ca="1">IFERROR(IF(0=LEN(ReferenceData!$AF$98),"",ReferenceData!$AF$98),"")</f>
        <v/>
      </c>
      <c r="AG98" t="str">
        <f ca="1">IFERROR(IF(0=LEN(ReferenceData!$AG$98),"",ReferenceData!$AG$98),"")</f>
        <v/>
      </c>
      <c r="AH98" t="str">
        <f ca="1">IFERROR(IF(0=LEN(ReferenceData!$AH$98),"",ReferenceData!$AH$98),"")</f>
        <v/>
      </c>
      <c r="AI98" t="str">
        <f ca="1">IFERROR(IF(0=LEN(ReferenceData!$AI$98),"",ReferenceData!$AI$98),"")</f>
        <v/>
      </c>
      <c r="AJ98" t="str">
        <f ca="1">IFERROR(IF(0=LEN(ReferenceData!$AJ$98),"",ReferenceData!$AJ$98),"")</f>
        <v/>
      </c>
      <c r="AK98" t="str">
        <f ca="1">IFERROR(IF(0=LEN(ReferenceData!$AK$98),"",ReferenceData!$AK$98),"")</f>
        <v/>
      </c>
      <c r="AL98" t="str">
        <f ca="1">IFERROR(IF(0=LEN(ReferenceData!$AL$98),"",ReferenceData!$AL$98),"")</f>
        <v/>
      </c>
      <c r="AM98" t="str">
        <f ca="1">IFERROR(IF(0=LEN(ReferenceData!$AM$98),"",ReferenceData!$AM$98),"")</f>
        <v/>
      </c>
      <c r="AN98" t="str">
        <f ca="1">IFERROR(IF(0=LEN(ReferenceData!$AN$98),"",ReferenceData!$AN$98),"")</f>
        <v/>
      </c>
      <c r="AO98" t="str">
        <f ca="1">IFERROR(IF(0=LEN(ReferenceData!$AO$98),"",ReferenceData!$AO$98),"")</f>
        <v/>
      </c>
      <c r="AP98" t="str">
        <f ca="1">IFERROR(IF(0=LEN(ReferenceData!$AP$98),"",ReferenceData!$AP$98),"")</f>
        <v/>
      </c>
      <c r="AQ98" t="str">
        <f ca="1">IFERROR(IF(0=LEN(ReferenceData!$AQ$98),"",ReferenceData!$AQ$98),"")</f>
        <v/>
      </c>
      <c r="AR98" t="str">
        <f ca="1">IFERROR(IF(0=LEN(ReferenceData!$AR$98),"",ReferenceData!$AR$98),"")</f>
        <v/>
      </c>
      <c r="AS98" t="str">
        <f ca="1">IFERROR(IF(0=LEN(ReferenceData!$AS$98),"",ReferenceData!$AS$98),"")</f>
        <v/>
      </c>
      <c r="AT98" t="str">
        <f ca="1">IFERROR(IF(0=LEN(ReferenceData!$AT$98),"",ReferenceData!$AT$98),"")</f>
        <v/>
      </c>
      <c r="AU98" t="str">
        <f ca="1">IFERROR(IF(0=LEN(ReferenceData!$AU$98),"",ReferenceData!$AU$98),"")</f>
        <v/>
      </c>
      <c r="AV98" t="str">
        <f ca="1">IFERROR(IF(0=LEN(ReferenceData!$AV$98),"",ReferenceData!$AV$98),"")</f>
        <v/>
      </c>
      <c r="AW98" t="str">
        <f ca="1">IFERROR(IF(0=LEN(ReferenceData!$AW$98),"",ReferenceData!$AW$98),"")</f>
        <v/>
      </c>
      <c r="AX98" t="str">
        <f ca="1">IFERROR(IF(0=LEN(ReferenceData!$AX$98),"",ReferenceData!$AX$98),"")</f>
        <v/>
      </c>
      <c r="AY98" t="str">
        <f ca="1">IFERROR(IF(0=LEN(ReferenceData!$AY$98),"",ReferenceData!$AY$98),"")</f>
        <v/>
      </c>
      <c r="AZ98" t="str">
        <f ca="1">IFERROR(IF(0=LEN(ReferenceData!$AZ$98),"",ReferenceData!$AZ$98),"")</f>
        <v/>
      </c>
      <c r="BA98" t="str">
        <f ca="1">IFERROR(IF(0=LEN(ReferenceData!$BA$98),"",ReferenceData!$BA$98),"")</f>
        <v/>
      </c>
      <c r="BB98" t="str">
        <f ca="1">IFERROR(IF(0=LEN(ReferenceData!$BB$98),"",ReferenceData!$BB$98),"")</f>
        <v/>
      </c>
      <c r="BC98" t="str">
        <f ca="1">IFERROR(IF(0=LEN(ReferenceData!$BC$98),"",ReferenceData!$BC$98),"")</f>
        <v/>
      </c>
      <c r="BD98" t="str">
        <f ca="1">IFERROR(IF(0=LEN(ReferenceData!$BD$98),"",ReferenceData!$BD$98),"")</f>
        <v/>
      </c>
      <c r="BE98" t="str">
        <f ca="1">IFERROR(IF(0=LEN(ReferenceData!$BE$98),"",ReferenceData!$BE$98),"")</f>
        <v/>
      </c>
      <c r="BF98" t="str">
        <f ca="1">IFERROR(IF(0=LEN(ReferenceData!$BF$98),"",ReferenceData!$BF$98),"")</f>
        <v/>
      </c>
      <c r="BG98" t="str">
        <f ca="1">IFERROR(IF(0=LEN(ReferenceData!$BG$98),"",ReferenceData!$BG$98),"")</f>
        <v/>
      </c>
      <c r="BH98" t="str">
        <f ca="1">IFERROR(IF(0=LEN(ReferenceData!$BH$98),"",ReferenceData!$BH$98),"")</f>
        <v/>
      </c>
      <c r="BI98" t="str">
        <f ca="1">IFERROR(IF(0=LEN(ReferenceData!$BI$98),"",ReferenceData!$BI$98),"")</f>
        <v/>
      </c>
      <c r="BJ98" t="str">
        <f ca="1">IFERROR(IF(0=LEN(ReferenceData!$BJ$98),"",ReferenceData!$BJ$98),"")</f>
        <v/>
      </c>
      <c r="BK98" t="str">
        <f ca="1">IFERROR(IF(0=LEN(ReferenceData!$BK$98),"",ReferenceData!$BK$98),"")</f>
        <v/>
      </c>
      <c r="BL98" t="str">
        <f ca="1">IFERROR(IF(0=LEN(ReferenceData!$BL$98),"",ReferenceData!$BL$98),"")</f>
        <v/>
      </c>
      <c r="BM98" t="str">
        <f ca="1">IFERROR(IF(0=LEN(ReferenceData!$BM$98),"",ReferenceData!$BM$98),"")</f>
        <v/>
      </c>
    </row>
    <row r="99" spans="1:65" x14ac:dyDescent="0.25">
      <c r="A99" t="str">
        <f>IFERROR(IF(0=LEN(ReferenceData!$A$99),"",ReferenceData!$A$99),"")</f>
        <v xml:space="preserve">        Revenue</v>
      </c>
      <c r="B99" t="str">
        <f>IFERROR(IF(0=LEN(ReferenceData!$B$99),"",ReferenceData!$B$99),"")</f>
        <v>KER FP Equity</v>
      </c>
      <c r="C99" t="str">
        <f>IFERROR(IF(0=LEN(ReferenceData!$C$99),"",ReferenceData!$C$99),"")</f>
        <v>BI047</v>
      </c>
      <c r="D99" t="str">
        <f>IFERROR(IF(0=LEN(ReferenceData!$D$99),"",ReferenceData!$D$99),"")</f>
        <v>BICS_SEGMENT_DATA</v>
      </c>
      <c r="E99" t="str">
        <f>IFERROR(IF(0=LEN(ReferenceData!$E$99),"",ReferenceData!$E$99),"")</f>
        <v>Dynamic</v>
      </c>
      <c r="F99" t="str">
        <f ca="1">IFERROR(IF(0=LEN(ReferenceData!$F$99),"",ReferenceData!$F$99),"")</f>
        <v/>
      </c>
      <c r="G99">
        <f ca="1">IFERROR(IF(0=LEN(ReferenceData!$G$99),"",ReferenceData!$G$99),"")</f>
        <v>2181.8000000000002</v>
      </c>
      <c r="H99">
        <f ca="1">IFERROR(IF(0=LEN(ReferenceData!$H$99),"",ReferenceData!$H$99),"")</f>
        <v>2311.6</v>
      </c>
      <c r="I99">
        <f ca="1">IFERROR(IF(0=LEN(ReferenceData!$I$99),"",ReferenceData!$I$99),"")</f>
        <v>2167.6999999999998</v>
      </c>
      <c r="J99">
        <f ca="1">IFERROR(IF(0=LEN(ReferenceData!$J$99),"",ReferenceData!$J$99),"")</f>
        <v>2280.6</v>
      </c>
      <c r="K99">
        <f ca="1">IFERROR(IF(0=LEN(ReferenceData!$K$99),"",ReferenceData!$K$99),"")</f>
        <v>2087.8000000000002</v>
      </c>
      <c r="L99">
        <f ca="1">IFERROR(IF(0=LEN(ReferenceData!$L$99),"",ReferenceData!$L$99),"")</f>
        <v>1268.0999999999999</v>
      </c>
      <c r="M99">
        <f ca="1">IFERROR(IF(0=LEN(ReferenceData!$M$99),"",ReferenceData!$M$99),"")</f>
        <v>1804.1</v>
      </c>
      <c r="N99">
        <f ca="1">IFERROR(IF(0=LEN(ReferenceData!$N$99),"",ReferenceData!$N$99),"")</f>
        <v>2636.6</v>
      </c>
      <c r="O99">
        <f ca="1">IFERROR(IF(0=LEN(ReferenceData!$O$99),"",ReferenceData!$O$99),"")</f>
        <v>2374.6999999999998</v>
      </c>
      <c r="P99">
        <f ca="1">IFERROR(IF(0=LEN(ReferenceData!$P$99),"",ReferenceData!$P$99),"")</f>
        <v>2291.5</v>
      </c>
      <c r="Q99">
        <f ca="1">IFERROR(IF(0=LEN(ReferenceData!$Q$99),"",ReferenceData!$Q$99),"")</f>
        <v>2325.6</v>
      </c>
      <c r="R99">
        <f ca="1">IFERROR(IF(0=LEN(ReferenceData!$R$99),"",ReferenceData!$R$99),"")</f>
        <v>2336.1</v>
      </c>
      <c r="S99">
        <f ca="1">IFERROR(IF(0=LEN(ReferenceData!$S$99),"",ReferenceData!$S$99),"")</f>
        <v>2096</v>
      </c>
      <c r="T99">
        <f ca="1">IFERROR(IF(0=LEN(ReferenceData!$T$99),"",ReferenceData!$T$99),"")</f>
        <v>1986.2</v>
      </c>
      <c r="U99">
        <f ca="1">IFERROR(IF(0=LEN(ReferenceData!$U$99),"",ReferenceData!$U$99),"")</f>
        <v>1866.6</v>
      </c>
      <c r="V99">
        <f ca="1">IFERROR(IF(0=LEN(ReferenceData!$V$99),"",ReferenceData!$V$99),"")</f>
        <v>5665.6</v>
      </c>
      <c r="W99">
        <f ca="1">IFERROR(IF(0=LEN(ReferenceData!$W$99),"",ReferenceData!$W$99),"")</f>
        <v>1553.8</v>
      </c>
      <c r="X99">
        <f ca="1">IFERROR(IF(0=LEN(ReferenceData!$X$99),"",ReferenceData!$X$99),"")</f>
        <v>1478.5</v>
      </c>
      <c r="Y99">
        <f ca="1">IFERROR(IF(0=LEN(ReferenceData!$Y$99),"",ReferenceData!$Y$99),"")</f>
        <v>1354</v>
      </c>
      <c r="Z99">
        <f ca="1">IFERROR(IF(0=LEN(ReferenceData!$Z$99),"",ReferenceData!$Z$99),"")</f>
        <v>1342.5</v>
      </c>
      <c r="AA99">
        <f ca="1">IFERROR(IF(0=LEN(ReferenceData!$AA$99),"",ReferenceData!$AA$99),"")</f>
        <v>1088.3</v>
      </c>
      <c r="AB99">
        <f ca="1">IFERROR(IF(0=LEN(ReferenceData!$AB$99),"",ReferenceData!$AB$99),"")</f>
        <v>1053.3</v>
      </c>
      <c r="AC99">
        <f ca="1">IFERROR(IF(0=LEN(ReferenceData!$AC$99),"",ReferenceData!$AC$99),"")</f>
        <v>894.2</v>
      </c>
      <c r="AD99">
        <f ca="1">IFERROR(IF(0=LEN(ReferenceData!$AD$99),"",ReferenceData!$AD$99),"")</f>
        <v>1099.7</v>
      </c>
      <c r="AE99">
        <f ca="1">IFERROR(IF(0=LEN(ReferenceData!$AE$99),"",ReferenceData!$AE$99),"")</f>
        <v>924.1</v>
      </c>
      <c r="AF99">
        <f ca="1">IFERROR(IF(0=LEN(ReferenceData!$AF$99),"",ReferenceData!$AF$99),"")</f>
        <v>1005.2</v>
      </c>
      <c r="AG99">
        <f ca="1">IFERROR(IF(0=LEN(ReferenceData!$AG$99),"",ReferenceData!$AG$99),"")</f>
        <v>869</v>
      </c>
      <c r="AH99">
        <f ca="1">IFERROR(IF(0=LEN(ReferenceData!$AH$99),"",ReferenceData!$AH$99),"")</f>
        <v>969.9</v>
      </c>
      <c r="AI99">
        <f ca="1">IFERROR(IF(0=LEN(ReferenceData!$AI$99),"",ReferenceData!$AI$99),"")</f>
        <v>851</v>
      </c>
      <c r="AJ99">
        <f ca="1">IFERROR(IF(0=LEN(ReferenceData!$AJ$99),"",ReferenceData!$AJ$99),"")</f>
        <v>838.2</v>
      </c>
      <c r="AK99">
        <f ca="1">IFERROR(IF(0=LEN(ReferenceData!$AK$99),"",ReferenceData!$AK$99),"")</f>
        <v>838</v>
      </c>
      <c r="AL99" t="str">
        <f ca="1">IFERROR(IF(0=LEN(ReferenceData!$AL$99),"",ReferenceData!$AL$99),"")</f>
        <v/>
      </c>
      <c r="AM99">
        <f ca="1">IFERROR(IF(0=LEN(ReferenceData!$AM$99),"",ReferenceData!$AM$99),"")</f>
        <v>864.8</v>
      </c>
      <c r="AN99">
        <f ca="1">IFERROR(IF(0=LEN(ReferenceData!$AN$99),"",ReferenceData!$AN$99),"")</f>
        <v>888.9</v>
      </c>
      <c r="AO99">
        <f ca="1">IFERROR(IF(0=LEN(ReferenceData!$AO$99),"",ReferenceData!$AO$99),"")</f>
        <v>865.9</v>
      </c>
      <c r="AP99">
        <f ca="1">IFERROR(IF(0=LEN(ReferenceData!$AP$99),"",ReferenceData!$AP$99),"")</f>
        <v>996.4</v>
      </c>
      <c r="AQ99">
        <f ca="1">IFERROR(IF(0=LEN(ReferenceData!$AQ$99),"",ReferenceData!$AQ$99),"")</f>
        <v>914.6</v>
      </c>
      <c r="AR99">
        <f ca="1">IFERROR(IF(0=LEN(ReferenceData!$AR$99),"",ReferenceData!$AR$99),"")</f>
        <v>879.9</v>
      </c>
      <c r="AS99">
        <f ca="1">IFERROR(IF(0=LEN(ReferenceData!$AS$99),"",ReferenceData!$AS$99),"")</f>
        <v>847.9</v>
      </c>
      <c r="AT99" t="str">
        <f ca="1">IFERROR(IF(0=LEN(ReferenceData!$AT$99),"",ReferenceData!$AT$99),"")</f>
        <v/>
      </c>
      <c r="AU99" t="str">
        <f ca="1">IFERROR(IF(0=LEN(ReferenceData!$AU$99),"",ReferenceData!$AU$99),"")</f>
        <v/>
      </c>
      <c r="AV99">
        <f ca="1">IFERROR(IF(0=LEN(ReferenceData!$AV$99),"",ReferenceData!$AV$99),"")</f>
        <v>737.7</v>
      </c>
      <c r="AW99">
        <f ca="1">IFERROR(IF(0=LEN(ReferenceData!$AW$99),"",ReferenceData!$AW$99),"")</f>
        <v>730.8</v>
      </c>
      <c r="AX99">
        <f ca="1">IFERROR(IF(0=LEN(ReferenceData!$AX$99),"",ReferenceData!$AX$99),"")</f>
        <v>780.7</v>
      </c>
      <c r="AY99">
        <f ca="1">IFERROR(IF(0=LEN(ReferenceData!$AY$99),"",ReferenceData!$AY$99),"")</f>
        <v>670</v>
      </c>
      <c r="AZ99">
        <f ca="1">IFERROR(IF(0=LEN(ReferenceData!$AZ$99),"",ReferenceData!$AZ$99),"")</f>
        <v>626.70000000000005</v>
      </c>
      <c r="BA99">
        <f ca="1">IFERROR(IF(0=LEN(ReferenceData!$BA$99),"",ReferenceData!$BA$99),"")</f>
        <v>588.70000000000005</v>
      </c>
      <c r="BB99">
        <f ca="1">IFERROR(IF(0=LEN(ReferenceData!$BB$99),"",ReferenceData!$BB$99),"")</f>
        <v>633.29999999999995</v>
      </c>
      <c r="BC99">
        <f ca="1">IFERROR(IF(0=LEN(ReferenceData!$BC$99),"",ReferenceData!$BC$99),"")</f>
        <v>531.20000000000005</v>
      </c>
      <c r="BD99">
        <f ca="1">IFERROR(IF(0=LEN(ReferenceData!$BD$99),"",ReferenceData!$BD$99),"")</f>
        <v>534.79999999999995</v>
      </c>
      <c r="BE99">
        <f ca="1">IFERROR(IF(0=LEN(ReferenceData!$BE$99),"",ReferenceData!$BE$99),"")</f>
        <v>567.1</v>
      </c>
      <c r="BF99" t="str">
        <f ca="1">IFERROR(IF(0=LEN(ReferenceData!$BF$99),"",ReferenceData!$BF$99),"")</f>
        <v/>
      </c>
      <c r="BG99" t="str">
        <f ca="1">IFERROR(IF(0=LEN(ReferenceData!$BG$99),"",ReferenceData!$BG$99),"")</f>
        <v/>
      </c>
      <c r="BH99" t="str">
        <f ca="1">IFERROR(IF(0=LEN(ReferenceData!$BH$99),"",ReferenceData!$BH$99),"")</f>
        <v/>
      </c>
      <c r="BI99" t="str">
        <f ca="1">IFERROR(IF(0=LEN(ReferenceData!$BI$99),"",ReferenceData!$BI$99),"")</f>
        <v/>
      </c>
      <c r="BJ99" t="str">
        <f ca="1">IFERROR(IF(0=LEN(ReferenceData!$BJ$99),"",ReferenceData!$BJ$99),"")</f>
        <v/>
      </c>
      <c r="BK99" t="str">
        <f ca="1">IFERROR(IF(0=LEN(ReferenceData!$BK$99),"",ReferenceData!$BK$99),"")</f>
        <v/>
      </c>
      <c r="BL99" t="str">
        <f ca="1">IFERROR(IF(0=LEN(ReferenceData!$BL$99),"",ReferenceData!$BL$99),"")</f>
        <v/>
      </c>
      <c r="BM99" t="str">
        <f ca="1">IFERROR(IF(0=LEN(ReferenceData!$BM$99),"",ReferenceData!$BM$99),"")</f>
        <v/>
      </c>
    </row>
    <row r="100" spans="1:65" x14ac:dyDescent="0.25">
      <c r="A100" t="str">
        <f>IFERROR(IF(0=LEN(ReferenceData!$A$100),"",ReferenceData!$A$100),"")</f>
        <v xml:space="preserve">            of Total Kering Sales (%)</v>
      </c>
      <c r="B100" t="str">
        <f>IFERROR(IF(0=LEN(ReferenceData!$B$100),"",ReferenceData!$B$100),"")</f>
        <v>KER FP Equity</v>
      </c>
      <c r="C100" t="str">
        <f>IFERROR(IF(0=LEN(ReferenceData!$C$100),"",ReferenceData!$C$100),"")</f>
        <v/>
      </c>
      <c r="D100" t="str">
        <f>IFERROR(IF(0=LEN(ReferenceData!$D$100),"",ReferenceData!$D$100),"")</f>
        <v/>
      </c>
      <c r="E100" t="str">
        <f>IFERROR(IF(0=LEN(ReferenceData!$E$100),"",ReferenceData!$E$100),"")</f>
        <v>Expression</v>
      </c>
      <c r="F100" t="str">
        <f ca="1">IFERROR(IF(0=LEN(ReferenceData!$F$100),"",ReferenceData!$F$100),"")</f>
        <v/>
      </c>
      <c r="G100">
        <f ca="1">IFERROR(IF(0=LEN(ReferenceData!$G$100),"",ReferenceData!$G$100),"")</f>
        <v>52.0989541</v>
      </c>
      <c r="H100">
        <f ca="1">IFERROR(IF(0=LEN(ReferenceData!$H$100),"",ReferenceData!$H$100),"")</f>
        <v>55.604733959999997</v>
      </c>
      <c r="I100">
        <f ca="1">IFERROR(IF(0=LEN(ReferenceData!$I$100),"",ReferenceData!$I$100),"")</f>
        <v>55.724935729999999</v>
      </c>
      <c r="J100">
        <f ca="1">IFERROR(IF(0=LEN(ReferenceData!$J$100),"",ReferenceData!$J$100),"")</f>
        <v>56.955197040000002</v>
      </c>
      <c r="K100">
        <f ca="1">IFERROR(IF(0=LEN(ReferenceData!$K$100),"",ReferenceData!$K$100),"")</f>
        <v>56.158377489999999</v>
      </c>
      <c r="L100">
        <f ca="1">IFERROR(IF(0=LEN(ReferenceData!$L$100),"",ReferenceData!$L$100),"")</f>
        <v>58.300767780000001</v>
      </c>
      <c r="M100">
        <f ca="1">IFERROR(IF(0=LEN(ReferenceData!$M$100),"",ReferenceData!$M$100),"")</f>
        <v>56.321803199999998</v>
      </c>
      <c r="N100">
        <f ca="1">IFERROR(IF(0=LEN(ReferenceData!$N$100),"",ReferenceData!$N$100),"")</f>
        <v>60.465542939999999</v>
      </c>
      <c r="O100">
        <f ca="1">IFERROR(IF(0=LEN(ReferenceData!$O$100),"",ReferenceData!$O$100),"")</f>
        <v>61.13113319</v>
      </c>
      <c r="P100">
        <f ca="1">IFERROR(IF(0=LEN(ReferenceData!$P$100),"",ReferenceData!$P$100),"")</f>
        <v>59.4715943</v>
      </c>
      <c r="Q100">
        <f ca="1">IFERROR(IF(0=LEN(ReferenceData!$Q$100),"",ReferenceData!$Q$100),"")</f>
        <v>61.437666759999999</v>
      </c>
      <c r="R100">
        <f ca="1">IFERROR(IF(0=LEN(ReferenceData!$R$100),"",ReferenceData!$R$100),"")</f>
        <v>61.004334880000002</v>
      </c>
      <c r="S100">
        <f ca="1">IFERROR(IF(0=LEN(ReferenceData!$S$100),"",ReferenceData!$S$100),"")</f>
        <v>61.610817169999997</v>
      </c>
      <c r="T100">
        <f ca="1">IFERROR(IF(0=LEN(ReferenceData!$T$100),"",ReferenceData!$T$100),"")</f>
        <v>59.717378230000001</v>
      </c>
      <c r="U100">
        <f ca="1">IFERROR(IF(0=LEN(ReferenceData!$U$100),"",ReferenceData!$U$100),"")</f>
        <v>60.092717790000002</v>
      </c>
      <c r="V100">
        <f ca="1">IFERROR(IF(0=LEN(ReferenceData!$V$100),"",ReferenceData!$V$100),"")</f>
        <v>133.10466349999999</v>
      </c>
      <c r="W100">
        <f ca="1">IFERROR(IF(0=LEN(ReferenceData!$W$100),"",ReferenceData!$W$100),"")</f>
        <v>58.299564760000003</v>
      </c>
      <c r="X100">
        <f ca="1">IFERROR(IF(0=LEN(ReferenceData!$X$100),"",ReferenceData!$X$100),"")</f>
        <v>56.268077329999997</v>
      </c>
      <c r="Y100">
        <f ca="1">IFERROR(IF(0=LEN(ReferenceData!$Y$100),"",ReferenceData!$Y$100),"")</f>
        <v>37.890023790000001</v>
      </c>
      <c r="Z100">
        <f ca="1">IFERROR(IF(0=LEN(ReferenceData!$Z$100),"",ReferenceData!$Z$100),"")</f>
        <v>38.277307329999999</v>
      </c>
      <c r="AA100">
        <f ca="1">IFERROR(IF(0=LEN(ReferenceData!$AA$100),"",ReferenceData!$AA$100),"")</f>
        <v>34.172763529999997</v>
      </c>
      <c r="AB100">
        <f ca="1">IFERROR(IF(0=LEN(ReferenceData!$AB$100),"",ReferenceData!$AB$100),"")</f>
        <v>35.475396580000002</v>
      </c>
      <c r="AC100">
        <f ca="1">IFERROR(IF(0=LEN(ReferenceData!$AC$100),"",ReferenceData!$AC$100),"")</f>
        <v>32.829135770000001</v>
      </c>
      <c r="AD100">
        <f ca="1">IFERROR(IF(0=LEN(ReferenceData!$AD$100),"",ReferenceData!$AD$100),"")</f>
        <v>34.619864630000002</v>
      </c>
      <c r="AE100">
        <f ca="1">IFERROR(IF(0=LEN(ReferenceData!$AE$100),"",ReferenceData!$AE$100),"")</f>
        <v>31.918347610000001</v>
      </c>
      <c r="AF100">
        <f ca="1">IFERROR(IF(0=LEN(ReferenceData!$AF$100),"",ReferenceData!$AF$100),"")</f>
        <v>35.130884559999998</v>
      </c>
      <c r="AG100">
        <f ca="1">IFERROR(IF(0=LEN(ReferenceData!$AG$100),"",ReferenceData!$AG$100),"")</f>
        <v>32.780082989999997</v>
      </c>
      <c r="AH100">
        <f ca="1">IFERROR(IF(0=LEN(ReferenceData!$AH$100),"",ReferenceData!$AH$100),"")</f>
        <v>35.374571449999998</v>
      </c>
      <c r="AI100">
        <f ca="1">IFERROR(IF(0=LEN(ReferenceData!$AI$100),"",ReferenceData!$AI$100),"")</f>
        <v>32.916876180000003</v>
      </c>
      <c r="AJ100">
        <f ca="1">IFERROR(IF(0=LEN(ReferenceData!$AJ$100),"",ReferenceData!$AJ$100),"")</f>
        <v>35.680231569999997</v>
      </c>
      <c r="AK100">
        <f ca="1">IFERROR(IF(0=LEN(ReferenceData!$AK$100),"",ReferenceData!$AK$100),"")</f>
        <v>34.945788159999999</v>
      </c>
      <c r="AL100" t="str">
        <f ca="1">IFERROR(IF(0=LEN(ReferenceData!$AL$100),"",ReferenceData!$AL$100),"")</f>
        <v/>
      </c>
      <c r="AM100">
        <f ca="1">IFERROR(IF(0=LEN(ReferenceData!$AM$100),"",ReferenceData!$AM$100),"")</f>
        <v>34.276654780000001</v>
      </c>
      <c r="AN100">
        <f ca="1">IFERROR(IF(0=LEN(ReferenceData!$AN$100),"",ReferenceData!$AN$100),"")</f>
        <v>38.513864820000002</v>
      </c>
      <c r="AO100">
        <f ca="1">IFERROR(IF(0=LEN(ReferenceData!$AO$100),"",ReferenceData!$AO$100),"")</f>
        <v>36.529699630000003</v>
      </c>
      <c r="AP100">
        <f ca="1">IFERROR(IF(0=LEN(ReferenceData!$AP$100),"",ReferenceData!$AP$100),"")</f>
        <v>38.888455229999998</v>
      </c>
      <c r="AQ100">
        <f ca="1">IFERROR(IF(0=LEN(ReferenceData!$AQ$100),"",ReferenceData!$AQ$100),"")</f>
        <v>35.720981100000003</v>
      </c>
      <c r="AR100">
        <f ca="1">IFERROR(IF(0=LEN(ReferenceData!$AR$100),"",ReferenceData!$AR$100),"")</f>
        <v>38.731402410000001</v>
      </c>
      <c r="AS100">
        <f ca="1">IFERROR(IF(0=LEN(ReferenceData!$AS$100),"",ReferenceData!$AS$100),"")</f>
        <v>36.205644990000003</v>
      </c>
      <c r="AT100" t="str">
        <f ca="1">IFERROR(IF(0=LEN(ReferenceData!$AT$100),"",ReferenceData!$AT$100),"")</f>
        <v/>
      </c>
      <c r="AU100" t="str">
        <f ca="1">IFERROR(IF(0=LEN(ReferenceData!$AU$100),"",ReferenceData!$AU$100),"")</f>
        <v/>
      </c>
      <c r="AV100">
        <f ca="1">IFERROR(IF(0=LEN(ReferenceData!$AV$100),"",ReferenceData!$AV$100),"")</f>
        <v>27.83563505</v>
      </c>
      <c r="AW100">
        <f ca="1">IFERROR(IF(0=LEN(ReferenceData!$AW$100),"",ReferenceData!$AW$100),"")</f>
        <v>25.89836275</v>
      </c>
      <c r="AX100">
        <f ca="1">IFERROR(IF(0=LEN(ReferenceData!$AX$100),"",ReferenceData!$AX$100),"")</f>
        <v>18.387149959999999</v>
      </c>
      <c r="AY100">
        <f ca="1">IFERROR(IF(0=LEN(ReferenceData!$AY$100),"",ReferenceData!$AY$100),"")</f>
        <v>18.766455659999998</v>
      </c>
      <c r="AZ100">
        <f ca="1">IFERROR(IF(0=LEN(ReferenceData!$AZ$100),"",ReferenceData!$AZ$100),"")</f>
        <v>15.62842893</v>
      </c>
      <c r="BA100">
        <f ca="1">IFERROR(IF(0=LEN(ReferenceData!$BA$100),"",ReferenceData!$BA$100),"")</f>
        <v>17.316743150000001</v>
      </c>
      <c r="BB100">
        <f ca="1">IFERROR(IF(0=LEN(ReferenceData!$BB$100),"",ReferenceData!$BB$100),"")</f>
        <v>13.4026073</v>
      </c>
      <c r="BC100">
        <f ca="1">IFERROR(IF(0=LEN(ReferenceData!$BC$100),"",ReferenceData!$BC$100),"")</f>
        <v>11.64095322</v>
      </c>
      <c r="BD100">
        <f ca="1">IFERROR(IF(0=LEN(ReferenceData!$BD$100),"",ReferenceData!$BD$100),"")</f>
        <v>11.995603709999999</v>
      </c>
      <c r="BE100">
        <f ca="1">IFERROR(IF(0=LEN(ReferenceData!$BE$100),"",ReferenceData!$BE$100),"")</f>
        <v>11.871467450000001</v>
      </c>
      <c r="BF100" t="str">
        <f ca="1">IFERROR(IF(0=LEN(ReferenceData!$BF$100),"",ReferenceData!$BF$100),"")</f>
        <v/>
      </c>
      <c r="BG100" t="str">
        <f ca="1">IFERROR(IF(0=LEN(ReferenceData!$BG$100),"",ReferenceData!$BG$100),"")</f>
        <v/>
      </c>
      <c r="BH100" t="str">
        <f ca="1">IFERROR(IF(0=LEN(ReferenceData!$BH$100),"",ReferenceData!$BH$100),"")</f>
        <v/>
      </c>
      <c r="BI100" t="str">
        <f ca="1">IFERROR(IF(0=LEN(ReferenceData!$BI$100),"",ReferenceData!$BI$100),"")</f>
        <v/>
      </c>
      <c r="BJ100" t="str">
        <f ca="1">IFERROR(IF(0=LEN(ReferenceData!$BJ$100),"",ReferenceData!$BJ$100),"")</f>
        <v/>
      </c>
      <c r="BK100" t="str">
        <f ca="1">IFERROR(IF(0=LEN(ReferenceData!$BK$100),"",ReferenceData!$BK$100),"")</f>
        <v/>
      </c>
      <c r="BL100" t="str">
        <f ca="1">IFERROR(IF(0=LEN(ReferenceData!$BL$100),"",ReferenceData!$BL$100),"")</f>
        <v/>
      </c>
      <c r="BM100" t="str">
        <f ca="1">IFERROR(IF(0=LEN(ReferenceData!$BM$100),"",ReferenceData!$BM$100),"")</f>
        <v/>
      </c>
    </row>
    <row r="101" spans="1:65" x14ac:dyDescent="0.25">
      <c r="A101" t="str">
        <f>IFERROR(IF(0=LEN(ReferenceData!$A$101),"",ReferenceData!$A$101),"")</f>
        <v xml:space="preserve">        Recurring Operating Income</v>
      </c>
      <c r="B101" t="str">
        <f>IFERROR(IF(0=LEN(ReferenceData!$B$101),"",ReferenceData!$B$101),"")</f>
        <v>KER FP Equity</v>
      </c>
      <c r="C101" t="str">
        <f>IFERROR(IF(0=LEN(ReferenceData!$C$101),"",ReferenceData!$C$101),"")</f>
        <v>BI047</v>
      </c>
      <c r="D101" t="str">
        <f>IFERROR(IF(0=LEN(ReferenceData!$D$101),"",ReferenceData!$D$101),"")</f>
        <v>BICS_SEGMENT_DATA</v>
      </c>
      <c r="E101" t="str">
        <f>IFERROR(IF(0=LEN(ReferenceData!$E$101),"",ReferenceData!$E$101),"")</f>
        <v>Dynamic</v>
      </c>
      <c r="F101" t="str">
        <f ca="1">IFERROR(IF(0=LEN(ReferenceData!$F$101),"",ReferenceData!$F$101),"")</f>
        <v/>
      </c>
      <c r="G101" t="str">
        <f ca="1">IFERROR(IF(0=LEN(ReferenceData!$G$101),"",ReferenceData!$G$101),"")</f>
        <v/>
      </c>
      <c r="H101" t="str">
        <f ca="1">IFERROR(IF(0=LEN(ReferenceData!$H$101),"",ReferenceData!$H$101),"")</f>
        <v/>
      </c>
      <c r="I101" t="str">
        <f ca="1">IFERROR(IF(0=LEN(ReferenceData!$I$101),"",ReferenceData!$I$101),"")</f>
        <v/>
      </c>
      <c r="J101" t="str">
        <f ca="1">IFERROR(IF(0=LEN(ReferenceData!$J$101),"",ReferenceData!$J$101),"")</f>
        <v/>
      </c>
      <c r="K101" t="str">
        <f ca="1">IFERROR(IF(0=LEN(ReferenceData!$K$101),"",ReferenceData!$K$101),"")</f>
        <v/>
      </c>
      <c r="L101" t="str">
        <f ca="1">IFERROR(IF(0=LEN(ReferenceData!$L$101),"",ReferenceData!$L$101),"")</f>
        <v/>
      </c>
      <c r="M101" t="str">
        <f ca="1">IFERROR(IF(0=LEN(ReferenceData!$M$101),"",ReferenceData!$M$101),"")</f>
        <v/>
      </c>
      <c r="N101" t="str">
        <f ca="1">IFERROR(IF(0=LEN(ReferenceData!$N$101),"",ReferenceData!$N$101),"")</f>
        <v/>
      </c>
      <c r="O101" t="str">
        <f ca="1">IFERROR(IF(0=LEN(ReferenceData!$O$101),"",ReferenceData!$O$101),"")</f>
        <v/>
      </c>
      <c r="P101" t="str">
        <f ca="1">IFERROR(IF(0=LEN(ReferenceData!$P$101),"",ReferenceData!$P$101),"")</f>
        <v/>
      </c>
      <c r="Q101" t="str">
        <f ca="1">IFERROR(IF(0=LEN(ReferenceData!$Q$101),"",ReferenceData!$Q$101),"")</f>
        <v/>
      </c>
      <c r="R101" t="str">
        <f ca="1">IFERROR(IF(0=LEN(ReferenceData!$R$101),"",ReferenceData!$R$101),"")</f>
        <v/>
      </c>
      <c r="S101" t="str">
        <f ca="1">IFERROR(IF(0=LEN(ReferenceData!$S$101),"",ReferenceData!$S$101),"")</f>
        <v/>
      </c>
      <c r="T101" t="str">
        <f ca="1">IFERROR(IF(0=LEN(ReferenceData!$T$101),"",ReferenceData!$T$101),"")</f>
        <v/>
      </c>
      <c r="U101" t="str">
        <f ca="1">IFERROR(IF(0=LEN(ReferenceData!$U$101),"",ReferenceData!$U$101),"")</f>
        <v/>
      </c>
      <c r="V101" t="str">
        <f ca="1">IFERROR(IF(0=LEN(ReferenceData!$V$101),"",ReferenceData!$V$101),"")</f>
        <v/>
      </c>
      <c r="W101" t="str">
        <f ca="1">IFERROR(IF(0=LEN(ReferenceData!$W$101),"",ReferenceData!$W$101),"")</f>
        <v/>
      </c>
      <c r="X101" t="str">
        <f ca="1">IFERROR(IF(0=LEN(ReferenceData!$X$101),"",ReferenceData!$X$101),"")</f>
        <v/>
      </c>
      <c r="Y101" t="str">
        <f ca="1">IFERROR(IF(0=LEN(ReferenceData!$Y$101),"",ReferenceData!$Y$101),"")</f>
        <v/>
      </c>
      <c r="Z101" t="str">
        <f ca="1">IFERROR(IF(0=LEN(ReferenceData!$Z$101),"",ReferenceData!$Z$101),"")</f>
        <v/>
      </c>
      <c r="AA101" t="str">
        <f ca="1">IFERROR(IF(0=LEN(ReferenceData!$AA$101),"",ReferenceData!$AA$101),"")</f>
        <v/>
      </c>
      <c r="AB101" t="str">
        <f ca="1">IFERROR(IF(0=LEN(ReferenceData!$AB$101),"",ReferenceData!$AB$101),"")</f>
        <v/>
      </c>
      <c r="AC101" t="str">
        <f ca="1">IFERROR(IF(0=LEN(ReferenceData!$AC$101),"",ReferenceData!$AC$101),"")</f>
        <v/>
      </c>
      <c r="AD101" t="str">
        <f ca="1">IFERROR(IF(0=LEN(ReferenceData!$AD$101),"",ReferenceData!$AD$101),"")</f>
        <v/>
      </c>
      <c r="AE101" t="str">
        <f ca="1">IFERROR(IF(0=LEN(ReferenceData!$AE$101),"",ReferenceData!$AE$101),"")</f>
        <v/>
      </c>
      <c r="AF101" t="str">
        <f ca="1">IFERROR(IF(0=LEN(ReferenceData!$AF$101),"",ReferenceData!$AF$101),"")</f>
        <v/>
      </c>
      <c r="AG101" t="str">
        <f ca="1">IFERROR(IF(0=LEN(ReferenceData!$AG$101),"",ReferenceData!$AG$101),"")</f>
        <v/>
      </c>
      <c r="AH101" t="str">
        <f ca="1">IFERROR(IF(0=LEN(ReferenceData!$AH$101),"",ReferenceData!$AH$101),"")</f>
        <v/>
      </c>
      <c r="AI101" t="str">
        <f ca="1">IFERROR(IF(0=LEN(ReferenceData!$AI$101),"",ReferenceData!$AI$101),"")</f>
        <v/>
      </c>
      <c r="AJ101" t="str">
        <f ca="1">IFERROR(IF(0=LEN(ReferenceData!$AJ$101),"",ReferenceData!$AJ$101),"")</f>
        <v/>
      </c>
      <c r="AK101" t="str">
        <f ca="1">IFERROR(IF(0=LEN(ReferenceData!$AK$101),"",ReferenceData!$AK$101),"")</f>
        <v/>
      </c>
      <c r="AL101" t="str">
        <f ca="1">IFERROR(IF(0=LEN(ReferenceData!$AL$101),"",ReferenceData!$AL$101),"")</f>
        <v/>
      </c>
      <c r="AM101" t="str">
        <f ca="1">IFERROR(IF(0=LEN(ReferenceData!$AM$101),"",ReferenceData!$AM$101),"")</f>
        <v/>
      </c>
      <c r="AN101" t="str">
        <f ca="1">IFERROR(IF(0=LEN(ReferenceData!$AN$101),"",ReferenceData!$AN$101),"")</f>
        <v/>
      </c>
      <c r="AO101" t="str">
        <f ca="1">IFERROR(IF(0=LEN(ReferenceData!$AO$101),"",ReferenceData!$AO$101),"")</f>
        <v/>
      </c>
      <c r="AP101" t="str">
        <f ca="1">IFERROR(IF(0=LEN(ReferenceData!$AP$101),"",ReferenceData!$AP$101),"")</f>
        <v/>
      </c>
      <c r="AQ101" t="str">
        <f ca="1">IFERROR(IF(0=LEN(ReferenceData!$AQ$101),"",ReferenceData!$AQ$101),"")</f>
        <v/>
      </c>
      <c r="AR101" t="str">
        <f ca="1">IFERROR(IF(0=LEN(ReferenceData!$AR$101),"",ReferenceData!$AR$101),"")</f>
        <v/>
      </c>
      <c r="AS101" t="str">
        <f ca="1">IFERROR(IF(0=LEN(ReferenceData!$AS$101),"",ReferenceData!$AS$101),"")</f>
        <v/>
      </c>
      <c r="AT101" t="str">
        <f ca="1">IFERROR(IF(0=LEN(ReferenceData!$AT$101),"",ReferenceData!$AT$101),"")</f>
        <v/>
      </c>
      <c r="AU101" t="str">
        <f ca="1">IFERROR(IF(0=LEN(ReferenceData!$AU$101),"",ReferenceData!$AU$101),"")</f>
        <v/>
      </c>
      <c r="AV101" t="str">
        <f ca="1">IFERROR(IF(0=LEN(ReferenceData!$AV$101),"",ReferenceData!$AV$101),"")</f>
        <v/>
      </c>
      <c r="AW101" t="str">
        <f ca="1">IFERROR(IF(0=LEN(ReferenceData!$AW$101),"",ReferenceData!$AW$101),"")</f>
        <v/>
      </c>
      <c r="AX101" t="str">
        <f ca="1">IFERROR(IF(0=LEN(ReferenceData!$AX$101),"",ReferenceData!$AX$101),"")</f>
        <v/>
      </c>
      <c r="AY101" t="str">
        <f ca="1">IFERROR(IF(0=LEN(ReferenceData!$AY$101),"",ReferenceData!$AY$101),"")</f>
        <v/>
      </c>
      <c r="AZ101" t="str">
        <f ca="1">IFERROR(IF(0=LEN(ReferenceData!$AZ$101),"",ReferenceData!$AZ$101),"")</f>
        <v/>
      </c>
      <c r="BA101" t="str">
        <f ca="1">IFERROR(IF(0=LEN(ReferenceData!$BA$101),"",ReferenceData!$BA$101),"")</f>
        <v/>
      </c>
      <c r="BB101" t="str">
        <f ca="1">IFERROR(IF(0=LEN(ReferenceData!$BB$101),"",ReferenceData!$BB$101),"")</f>
        <v/>
      </c>
      <c r="BC101" t="str">
        <f ca="1">IFERROR(IF(0=LEN(ReferenceData!$BC$101),"",ReferenceData!$BC$101),"")</f>
        <v/>
      </c>
      <c r="BD101" t="str">
        <f ca="1">IFERROR(IF(0=LEN(ReferenceData!$BD$101),"",ReferenceData!$BD$101),"")</f>
        <v/>
      </c>
      <c r="BE101" t="str">
        <f ca="1">IFERROR(IF(0=LEN(ReferenceData!$BE$101),"",ReferenceData!$BE$101),"")</f>
        <v/>
      </c>
      <c r="BF101" t="str">
        <f ca="1">IFERROR(IF(0=LEN(ReferenceData!$BF$101),"",ReferenceData!$BF$101),"")</f>
        <v/>
      </c>
      <c r="BG101" t="str">
        <f ca="1">IFERROR(IF(0=LEN(ReferenceData!$BG$101),"",ReferenceData!$BG$101),"")</f>
        <v/>
      </c>
      <c r="BH101" t="str">
        <f ca="1">IFERROR(IF(0=LEN(ReferenceData!$BH$101),"",ReferenceData!$BH$101),"")</f>
        <v/>
      </c>
      <c r="BI101" t="str">
        <f ca="1">IFERROR(IF(0=LEN(ReferenceData!$BI$101),"",ReferenceData!$BI$101),"")</f>
        <v/>
      </c>
      <c r="BJ101" t="str">
        <f ca="1">IFERROR(IF(0=LEN(ReferenceData!$BJ$101),"",ReferenceData!$BJ$101),"")</f>
        <v/>
      </c>
      <c r="BK101" t="str">
        <f ca="1">IFERROR(IF(0=LEN(ReferenceData!$BK$101),"",ReferenceData!$BK$101),"")</f>
        <v/>
      </c>
      <c r="BL101" t="str">
        <f ca="1">IFERROR(IF(0=LEN(ReferenceData!$BL$101),"",ReferenceData!$BL$101),"")</f>
        <v/>
      </c>
      <c r="BM101" t="str">
        <f ca="1">IFERROR(IF(0=LEN(ReferenceData!$BM$101),"",ReferenceData!$BM$101),"")</f>
        <v/>
      </c>
    </row>
    <row r="102" spans="1:65" x14ac:dyDescent="0.25">
      <c r="A102" t="str">
        <f>IFERROR(IF(0=LEN(ReferenceData!$A$102),"",ReferenceData!$A$102),"")</f>
        <v xml:space="preserve">        Recurring Operating Margin (%)</v>
      </c>
      <c r="B102" t="str">
        <f>IFERROR(IF(0=LEN(ReferenceData!$B$102),"",ReferenceData!$B$102),"")</f>
        <v>KER FP Equity</v>
      </c>
      <c r="C102" t="str">
        <f>IFERROR(IF(0=LEN(ReferenceData!$C$102),"",ReferenceData!$C$102),"")</f>
        <v/>
      </c>
      <c r="D102" t="str">
        <f>IFERROR(IF(0=LEN(ReferenceData!$D$102),"",ReferenceData!$D$102),"")</f>
        <v/>
      </c>
      <c r="E102" t="str">
        <f>IFERROR(IF(0=LEN(ReferenceData!$E$102),"",ReferenceData!$E$102),"")</f>
        <v>Expression</v>
      </c>
      <c r="F102" t="str">
        <f ca="1">IFERROR(IF(0=LEN(ReferenceData!$F$102),"",ReferenceData!$F$102),"")</f>
        <v/>
      </c>
      <c r="G102" t="str">
        <f ca="1">IFERROR(IF(0=LEN(ReferenceData!$G$102),"",ReferenceData!$G$102),"")</f>
        <v/>
      </c>
      <c r="H102" t="str">
        <f ca="1">IFERROR(IF(0=LEN(ReferenceData!$H$102),"",ReferenceData!$H$102),"")</f>
        <v/>
      </c>
      <c r="I102" t="str">
        <f ca="1">IFERROR(IF(0=LEN(ReferenceData!$I$102),"",ReferenceData!$I$102),"")</f>
        <v/>
      </c>
      <c r="J102" t="str">
        <f ca="1">IFERROR(IF(0=LEN(ReferenceData!$J$102),"",ReferenceData!$J$102),"")</f>
        <v/>
      </c>
      <c r="K102" t="str">
        <f ca="1">IFERROR(IF(0=LEN(ReferenceData!$K$102),"",ReferenceData!$K$102),"")</f>
        <v/>
      </c>
      <c r="L102" t="str">
        <f ca="1">IFERROR(IF(0=LEN(ReferenceData!$L$102),"",ReferenceData!$L$102),"")</f>
        <v/>
      </c>
      <c r="M102" t="str">
        <f ca="1">IFERROR(IF(0=LEN(ReferenceData!$M$102),"",ReferenceData!$M$102),"")</f>
        <v/>
      </c>
      <c r="N102" t="str">
        <f ca="1">IFERROR(IF(0=LEN(ReferenceData!$N$102),"",ReferenceData!$N$102),"")</f>
        <v/>
      </c>
      <c r="O102" t="str">
        <f ca="1">IFERROR(IF(0=LEN(ReferenceData!$O$102),"",ReferenceData!$O$102),"")</f>
        <v/>
      </c>
      <c r="P102" t="str">
        <f ca="1">IFERROR(IF(0=LEN(ReferenceData!$P$102),"",ReferenceData!$P$102),"")</f>
        <v/>
      </c>
      <c r="Q102" t="str">
        <f ca="1">IFERROR(IF(0=LEN(ReferenceData!$Q$102),"",ReferenceData!$Q$102),"")</f>
        <v/>
      </c>
      <c r="R102" t="str">
        <f ca="1">IFERROR(IF(0=LEN(ReferenceData!$R$102),"",ReferenceData!$R$102),"")</f>
        <v/>
      </c>
      <c r="S102" t="str">
        <f ca="1">IFERROR(IF(0=LEN(ReferenceData!$S$102),"",ReferenceData!$S$102),"")</f>
        <v/>
      </c>
      <c r="T102" t="str">
        <f ca="1">IFERROR(IF(0=LEN(ReferenceData!$T$102),"",ReferenceData!$T$102),"")</f>
        <v/>
      </c>
      <c r="U102" t="str">
        <f ca="1">IFERROR(IF(0=LEN(ReferenceData!$U$102),"",ReferenceData!$U$102),"")</f>
        <v/>
      </c>
      <c r="V102" t="str">
        <f ca="1">IFERROR(IF(0=LEN(ReferenceData!$V$102),"",ReferenceData!$V$102),"")</f>
        <v/>
      </c>
      <c r="W102" t="str">
        <f ca="1">IFERROR(IF(0=LEN(ReferenceData!$W$102),"",ReferenceData!$W$102),"")</f>
        <v/>
      </c>
      <c r="X102" t="str">
        <f ca="1">IFERROR(IF(0=LEN(ReferenceData!$X$102),"",ReferenceData!$X$102),"")</f>
        <v/>
      </c>
      <c r="Y102" t="str">
        <f ca="1">IFERROR(IF(0=LEN(ReferenceData!$Y$102),"",ReferenceData!$Y$102),"")</f>
        <v/>
      </c>
      <c r="Z102" t="str">
        <f ca="1">IFERROR(IF(0=LEN(ReferenceData!$Z$102),"",ReferenceData!$Z$102),"")</f>
        <v/>
      </c>
      <c r="AA102" t="str">
        <f ca="1">IFERROR(IF(0=LEN(ReferenceData!$AA$102),"",ReferenceData!$AA$102),"")</f>
        <v/>
      </c>
      <c r="AB102" t="str">
        <f ca="1">IFERROR(IF(0=LEN(ReferenceData!$AB$102),"",ReferenceData!$AB$102),"")</f>
        <v/>
      </c>
      <c r="AC102" t="str">
        <f ca="1">IFERROR(IF(0=LEN(ReferenceData!$AC$102),"",ReferenceData!$AC$102),"")</f>
        <v/>
      </c>
      <c r="AD102" t="str">
        <f ca="1">IFERROR(IF(0=LEN(ReferenceData!$AD$102),"",ReferenceData!$AD$102),"")</f>
        <v/>
      </c>
      <c r="AE102" t="str">
        <f ca="1">IFERROR(IF(0=LEN(ReferenceData!$AE$102),"",ReferenceData!$AE$102),"")</f>
        <v/>
      </c>
      <c r="AF102" t="str">
        <f ca="1">IFERROR(IF(0=LEN(ReferenceData!$AF$102),"",ReferenceData!$AF$102),"")</f>
        <v/>
      </c>
      <c r="AG102" t="str">
        <f ca="1">IFERROR(IF(0=LEN(ReferenceData!$AG$102),"",ReferenceData!$AG$102),"")</f>
        <v/>
      </c>
      <c r="AH102" t="str">
        <f ca="1">IFERROR(IF(0=LEN(ReferenceData!$AH$102),"",ReferenceData!$AH$102),"")</f>
        <v/>
      </c>
      <c r="AI102" t="str">
        <f ca="1">IFERROR(IF(0=LEN(ReferenceData!$AI$102),"",ReferenceData!$AI$102),"")</f>
        <v/>
      </c>
      <c r="AJ102" t="str">
        <f ca="1">IFERROR(IF(0=LEN(ReferenceData!$AJ$102),"",ReferenceData!$AJ$102),"")</f>
        <v/>
      </c>
      <c r="AK102" t="str">
        <f ca="1">IFERROR(IF(0=LEN(ReferenceData!$AK$102),"",ReferenceData!$AK$102),"")</f>
        <v/>
      </c>
      <c r="AL102" t="str">
        <f ca="1">IFERROR(IF(0=LEN(ReferenceData!$AL$102),"",ReferenceData!$AL$102),"")</f>
        <v/>
      </c>
      <c r="AM102" t="str">
        <f ca="1">IFERROR(IF(0=LEN(ReferenceData!$AM$102),"",ReferenceData!$AM$102),"")</f>
        <v/>
      </c>
      <c r="AN102" t="str">
        <f ca="1">IFERROR(IF(0=LEN(ReferenceData!$AN$102),"",ReferenceData!$AN$102),"")</f>
        <v/>
      </c>
      <c r="AO102" t="str">
        <f ca="1">IFERROR(IF(0=LEN(ReferenceData!$AO$102),"",ReferenceData!$AO$102),"")</f>
        <v/>
      </c>
      <c r="AP102" t="str">
        <f ca="1">IFERROR(IF(0=LEN(ReferenceData!$AP$102),"",ReferenceData!$AP$102),"")</f>
        <v/>
      </c>
      <c r="AQ102" t="str">
        <f ca="1">IFERROR(IF(0=LEN(ReferenceData!$AQ$102),"",ReferenceData!$AQ$102),"")</f>
        <v/>
      </c>
      <c r="AR102" t="str">
        <f ca="1">IFERROR(IF(0=LEN(ReferenceData!$AR$102),"",ReferenceData!$AR$102),"")</f>
        <v/>
      </c>
      <c r="AS102" t="str">
        <f ca="1">IFERROR(IF(0=LEN(ReferenceData!$AS$102),"",ReferenceData!$AS$102),"")</f>
        <v/>
      </c>
      <c r="AT102" t="str">
        <f ca="1">IFERROR(IF(0=LEN(ReferenceData!$AT$102),"",ReferenceData!$AT$102),"")</f>
        <v/>
      </c>
      <c r="AU102" t="str">
        <f ca="1">IFERROR(IF(0=LEN(ReferenceData!$AU$102),"",ReferenceData!$AU$102),"")</f>
        <v/>
      </c>
      <c r="AV102" t="str">
        <f ca="1">IFERROR(IF(0=LEN(ReferenceData!$AV$102),"",ReferenceData!$AV$102),"")</f>
        <v/>
      </c>
      <c r="AW102" t="str">
        <f ca="1">IFERROR(IF(0=LEN(ReferenceData!$AW$102),"",ReferenceData!$AW$102),"")</f>
        <v/>
      </c>
      <c r="AX102" t="str">
        <f ca="1">IFERROR(IF(0=LEN(ReferenceData!$AX$102),"",ReferenceData!$AX$102),"")</f>
        <v/>
      </c>
      <c r="AY102" t="str">
        <f ca="1">IFERROR(IF(0=LEN(ReferenceData!$AY$102),"",ReferenceData!$AY$102),"")</f>
        <v/>
      </c>
      <c r="AZ102" t="str">
        <f ca="1">IFERROR(IF(0=LEN(ReferenceData!$AZ$102),"",ReferenceData!$AZ$102),"")</f>
        <v/>
      </c>
      <c r="BA102" t="str">
        <f ca="1">IFERROR(IF(0=LEN(ReferenceData!$BA$102),"",ReferenceData!$BA$102),"")</f>
        <v/>
      </c>
      <c r="BB102" t="str">
        <f ca="1">IFERROR(IF(0=LEN(ReferenceData!$BB$102),"",ReferenceData!$BB$102),"")</f>
        <v/>
      </c>
      <c r="BC102" t="str">
        <f ca="1">IFERROR(IF(0=LEN(ReferenceData!$BC$102),"",ReferenceData!$BC$102),"")</f>
        <v/>
      </c>
      <c r="BD102" t="str">
        <f ca="1">IFERROR(IF(0=LEN(ReferenceData!$BD$102),"",ReferenceData!$BD$102),"")</f>
        <v/>
      </c>
      <c r="BE102" t="str">
        <f ca="1">IFERROR(IF(0=LEN(ReferenceData!$BE$102),"",ReferenceData!$BE$102),"")</f>
        <v/>
      </c>
      <c r="BF102" t="str">
        <f ca="1">IFERROR(IF(0=LEN(ReferenceData!$BF$102),"",ReferenceData!$BF$102),"")</f>
        <v/>
      </c>
      <c r="BG102" t="str">
        <f ca="1">IFERROR(IF(0=LEN(ReferenceData!$BG$102),"",ReferenceData!$BG$102),"")</f>
        <v/>
      </c>
      <c r="BH102" t="str">
        <f ca="1">IFERROR(IF(0=LEN(ReferenceData!$BH$102),"",ReferenceData!$BH$102),"")</f>
        <v/>
      </c>
      <c r="BI102" t="str">
        <f ca="1">IFERROR(IF(0=LEN(ReferenceData!$BI$102),"",ReferenceData!$BI$102),"")</f>
        <v/>
      </c>
      <c r="BJ102" t="str">
        <f ca="1">IFERROR(IF(0=LEN(ReferenceData!$BJ$102),"",ReferenceData!$BJ$102),"")</f>
        <v/>
      </c>
      <c r="BK102" t="str">
        <f ca="1">IFERROR(IF(0=LEN(ReferenceData!$BK$102),"",ReferenceData!$BK$102),"")</f>
        <v/>
      </c>
      <c r="BL102" t="str">
        <f ca="1">IFERROR(IF(0=LEN(ReferenceData!$BL$102),"",ReferenceData!$BL$102),"")</f>
        <v/>
      </c>
      <c r="BM102" t="str">
        <f ca="1">IFERROR(IF(0=LEN(ReferenceData!$BM$102),"",ReferenceData!$BM$102),"")</f>
        <v/>
      </c>
    </row>
    <row r="103" spans="1:65" x14ac:dyDescent="0.25">
      <c r="A103" t="str">
        <f>IFERROR(IF(0=LEN(ReferenceData!$A$103),"",ReferenceData!$A$103),"")</f>
        <v xml:space="preserve">    Saint Laurent</v>
      </c>
      <c r="B103" t="str">
        <f>IFERROR(IF(0=LEN(ReferenceData!$B$103),"",ReferenceData!$B$103),"")</f>
        <v/>
      </c>
      <c r="C103" t="str">
        <f>IFERROR(IF(0=LEN(ReferenceData!$C$103),"",ReferenceData!$C$103),"")</f>
        <v/>
      </c>
      <c r="D103" t="str">
        <f>IFERROR(IF(0=LEN(ReferenceData!$D$103),"",ReferenceData!$D$103),"")</f>
        <v/>
      </c>
      <c r="E103" t="str">
        <f>IFERROR(IF(0=LEN(ReferenceData!$E$103),"",ReferenceData!$E$103),"")</f>
        <v>Static</v>
      </c>
      <c r="F103" t="str">
        <f ca="1">IFERROR(IF(0=LEN(ReferenceData!$F$103),"",ReferenceData!$F$103),"")</f>
        <v/>
      </c>
      <c r="G103" t="str">
        <f ca="1">IFERROR(IF(0=LEN(ReferenceData!$G$103),"",ReferenceData!$G$103),"")</f>
        <v/>
      </c>
      <c r="H103" t="str">
        <f ca="1">IFERROR(IF(0=LEN(ReferenceData!$H$103),"",ReferenceData!$H$103),"")</f>
        <v/>
      </c>
      <c r="I103" t="str">
        <f ca="1">IFERROR(IF(0=LEN(ReferenceData!$I$103),"",ReferenceData!$I$103),"")</f>
        <v/>
      </c>
      <c r="J103" t="str">
        <f ca="1">IFERROR(IF(0=LEN(ReferenceData!$J$103),"",ReferenceData!$J$103),"")</f>
        <v/>
      </c>
      <c r="K103" t="str">
        <f ca="1">IFERROR(IF(0=LEN(ReferenceData!$K$103),"",ReferenceData!$K$103),"")</f>
        <v/>
      </c>
      <c r="L103" t="str">
        <f ca="1">IFERROR(IF(0=LEN(ReferenceData!$L$103),"",ReferenceData!$L$103),"")</f>
        <v/>
      </c>
      <c r="M103" t="str">
        <f ca="1">IFERROR(IF(0=LEN(ReferenceData!$M$103),"",ReferenceData!$M$103),"")</f>
        <v/>
      </c>
      <c r="N103" t="str">
        <f ca="1">IFERROR(IF(0=LEN(ReferenceData!$N$103),"",ReferenceData!$N$103),"")</f>
        <v/>
      </c>
      <c r="O103" t="str">
        <f ca="1">IFERROR(IF(0=LEN(ReferenceData!$O$103),"",ReferenceData!$O$103),"")</f>
        <v/>
      </c>
      <c r="P103" t="str">
        <f ca="1">IFERROR(IF(0=LEN(ReferenceData!$P$103),"",ReferenceData!$P$103),"")</f>
        <v/>
      </c>
      <c r="Q103" t="str">
        <f ca="1">IFERROR(IF(0=LEN(ReferenceData!$Q$103),"",ReferenceData!$Q$103),"")</f>
        <v/>
      </c>
      <c r="R103" t="str">
        <f ca="1">IFERROR(IF(0=LEN(ReferenceData!$R$103),"",ReferenceData!$R$103),"")</f>
        <v/>
      </c>
      <c r="S103" t="str">
        <f ca="1">IFERROR(IF(0=LEN(ReferenceData!$S$103),"",ReferenceData!$S$103),"")</f>
        <v/>
      </c>
      <c r="T103" t="str">
        <f ca="1">IFERROR(IF(0=LEN(ReferenceData!$T$103),"",ReferenceData!$T$103),"")</f>
        <v/>
      </c>
      <c r="U103" t="str">
        <f ca="1">IFERROR(IF(0=LEN(ReferenceData!$U$103),"",ReferenceData!$U$103),"")</f>
        <v/>
      </c>
      <c r="V103" t="str">
        <f ca="1">IFERROR(IF(0=LEN(ReferenceData!$V$103),"",ReferenceData!$V$103),"")</f>
        <v/>
      </c>
      <c r="W103" t="str">
        <f ca="1">IFERROR(IF(0=LEN(ReferenceData!$W$103),"",ReferenceData!$W$103),"")</f>
        <v/>
      </c>
      <c r="X103" t="str">
        <f ca="1">IFERROR(IF(0=LEN(ReferenceData!$X$103),"",ReferenceData!$X$103),"")</f>
        <v/>
      </c>
      <c r="Y103" t="str">
        <f ca="1">IFERROR(IF(0=LEN(ReferenceData!$Y$103),"",ReferenceData!$Y$103),"")</f>
        <v/>
      </c>
      <c r="Z103" t="str">
        <f ca="1">IFERROR(IF(0=LEN(ReferenceData!$Z$103),"",ReferenceData!$Z$103),"")</f>
        <v/>
      </c>
      <c r="AA103" t="str">
        <f ca="1">IFERROR(IF(0=LEN(ReferenceData!$AA$103),"",ReferenceData!$AA$103),"")</f>
        <v/>
      </c>
      <c r="AB103" t="str">
        <f ca="1">IFERROR(IF(0=LEN(ReferenceData!$AB$103),"",ReferenceData!$AB$103),"")</f>
        <v/>
      </c>
      <c r="AC103" t="str">
        <f ca="1">IFERROR(IF(0=LEN(ReferenceData!$AC$103),"",ReferenceData!$AC$103),"")</f>
        <v/>
      </c>
      <c r="AD103" t="str">
        <f ca="1">IFERROR(IF(0=LEN(ReferenceData!$AD$103),"",ReferenceData!$AD$103),"")</f>
        <v/>
      </c>
      <c r="AE103" t="str">
        <f ca="1">IFERROR(IF(0=LEN(ReferenceData!$AE$103),"",ReferenceData!$AE$103),"")</f>
        <v/>
      </c>
      <c r="AF103" t="str">
        <f ca="1">IFERROR(IF(0=LEN(ReferenceData!$AF$103),"",ReferenceData!$AF$103),"")</f>
        <v/>
      </c>
      <c r="AG103" t="str">
        <f ca="1">IFERROR(IF(0=LEN(ReferenceData!$AG$103),"",ReferenceData!$AG$103),"")</f>
        <v/>
      </c>
      <c r="AH103" t="str">
        <f ca="1">IFERROR(IF(0=LEN(ReferenceData!$AH$103),"",ReferenceData!$AH$103),"")</f>
        <v/>
      </c>
      <c r="AI103" t="str">
        <f ca="1">IFERROR(IF(0=LEN(ReferenceData!$AI$103),"",ReferenceData!$AI$103),"")</f>
        <v/>
      </c>
      <c r="AJ103" t="str">
        <f ca="1">IFERROR(IF(0=LEN(ReferenceData!$AJ$103),"",ReferenceData!$AJ$103),"")</f>
        <v/>
      </c>
      <c r="AK103" t="str">
        <f ca="1">IFERROR(IF(0=LEN(ReferenceData!$AK$103),"",ReferenceData!$AK$103),"")</f>
        <v/>
      </c>
      <c r="AL103" t="str">
        <f ca="1">IFERROR(IF(0=LEN(ReferenceData!$AL$103),"",ReferenceData!$AL$103),"")</f>
        <v/>
      </c>
      <c r="AM103" t="str">
        <f ca="1">IFERROR(IF(0=LEN(ReferenceData!$AM$103),"",ReferenceData!$AM$103),"")</f>
        <v/>
      </c>
      <c r="AN103" t="str">
        <f ca="1">IFERROR(IF(0=LEN(ReferenceData!$AN$103),"",ReferenceData!$AN$103),"")</f>
        <v/>
      </c>
      <c r="AO103" t="str">
        <f ca="1">IFERROR(IF(0=LEN(ReferenceData!$AO$103),"",ReferenceData!$AO$103),"")</f>
        <v/>
      </c>
      <c r="AP103" t="str">
        <f ca="1">IFERROR(IF(0=LEN(ReferenceData!$AP$103),"",ReferenceData!$AP$103),"")</f>
        <v/>
      </c>
      <c r="AQ103" t="str">
        <f ca="1">IFERROR(IF(0=LEN(ReferenceData!$AQ$103),"",ReferenceData!$AQ$103),"")</f>
        <v/>
      </c>
      <c r="AR103" t="str">
        <f ca="1">IFERROR(IF(0=LEN(ReferenceData!$AR$103),"",ReferenceData!$AR$103),"")</f>
        <v/>
      </c>
      <c r="AS103" t="str">
        <f ca="1">IFERROR(IF(0=LEN(ReferenceData!$AS$103),"",ReferenceData!$AS$103),"")</f>
        <v/>
      </c>
      <c r="AT103" t="str">
        <f ca="1">IFERROR(IF(0=LEN(ReferenceData!$AT$103),"",ReferenceData!$AT$103),"")</f>
        <v/>
      </c>
      <c r="AU103" t="str">
        <f ca="1">IFERROR(IF(0=LEN(ReferenceData!$AU$103),"",ReferenceData!$AU$103),"")</f>
        <v/>
      </c>
      <c r="AV103" t="str">
        <f ca="1">IFERROR(IF(0=LEN(ReferenceData!$AV$103),"",ReferenceData!$AV$103),"")</f>
        <v/>
      </c>
      <c r="AW103" t="str">
        <f ca="1">IFERROR(IF(0=LEN(ReferenceData!$AW$103),"",ReferenceData!$AW$103),"")</f>
        <v/>
      </c>
      <c r="AX103" t="str">
        <f ca="1">IFERROR(IF(0=LEN(ReferenceData!$AX$103),"",ReferenceData!$AX$103),"")</f>
        <v/>
      </c>
      <c r="AY103" t="str">
        <f ca="1">IFERROR(IF(0=LEN(ReferenceData!$AY$103),"",ReferenceData!$AY$103),"")</f>
        <v/>
      </c>
      <c r="AZ103" t="str">
        <f ca="1">IFERROR(IF(0=LEN(ReferenceData!$AZ$103),"",ReferenceData!$AZ$103),"")</f>
        <v/>
      </c>
      <c r="BA103" t="str">
        <f ca="1">IFERROR(IF(0=LEN(ReferenceData!$BA$103),"",ReferenceData!$BA$103),"")</f>
        <v/>
      </c>
      <c r="BB103" t="str">
        <f ca="1">IFERROR(IF(0=LEN(ReferenceData!$BB$103),"",ReferenceData!$BB$103),"")</f>
        <v/>
      </c>
      <c r="BC103" t="str">
        <f ca="1">IFERROR(IF(0=LEN(ReferenceData!$BC$103),"",ReferenceData!$BC$103),"")</f>
        <v/>
      </c>
      <c r="BD103" t="str">
        <f ca="1">IFERROR(IF(0=LEN(ReferenceData!$BD$103),"",ReferenceData!$BD$103),"")</f>
        <v/>
      </c>
      <c r="BE103" t="str">
        <f ca="1">IFERROR(IF(0=LEN(ReferenceData!$BE$103),"",ReferenceData!$BE$103),"")</f>
        <v/>
      </c>
      <c r="BF103" t="str">
        <f ca="1">IFERROR(IF(0=LEN(ReferenceData!$BF$103),"",ReferenceData!$BF$103),"")</f>
        <v/>
      </c>
      <c r="BG103" t="str">
        <f ca="1">IFERROR(IF(0=LEN(ReferenceData!$BG$103),"",ReferenceData!$BG$103),"")</f>
        <v/>
      </c>
      <c r="BH103" t="str">
        <f ca="1">IFERROR(IF(0=LEN(ReferenceData!$BH$103),"",ReferenceData!$BH$103),"")</f>
        <v/>
      </c>
      <c r="BI103" t="str">
        <f ca="1">IFERROR(IF(0=LEN(ReferenceData!$BI$103),"",ReferenceData!$BI$103),"")</f>
        <v/>
      </c>
      <c r="BJ103" t="str">
        <f ca="1">IFERROR(IF(0=LEN(ReferenceData!$BJ$103),"",ReferenceData!$BJ$103),"")</f>
        <v/>
      </c>
      <c r="BK103" t="str">
        <f ca="1">IFERROR(IF(0=LEN(ReferenceData!$BK$103),"",ReferenceData!$BK$103),"")</f>
        <v/>
      </c>
      <c r="BL103" t="str">
        <f ca="1">IFERROR(IF(0=LEN(ReferenceData!$BL$103),"",ReferenceData!$BL$103),"")</f>
        <v/>
      </c>
      <c r="BM103" t="str">
        <f ca="1">IFERROR(IF(0=LEN(ReferenceData!$BM$103),"",ReferenceData!$BM$103),"")</f>
        <v/>
      </c>
    </row>
    <row r="104" spans="1:65" x14ac:dyDescent="0.25">
      <c r="A104" t="str">
        <f>IFERROR(IF(0=LEN(ReferenceData!$A$104),"",ReferenceData!$A$104),"")</f>
        <v xml:space="preserve">        Revenue</v>
      </c>
      <c r="B104" t="str">
        <f>IFERROR(IF(0=LEN(ReferenceData!$B$104),"",ReferenceData!$B$104),"")</f>
        <v>KER FP Equity</v>
      </c>
      <c r="C104" t="str">
        <f>IFERROR(IF(0=LEN(ReferenceData!$C$104),"",ReferenceData!$C$104),"")</f>
        <v>BI047</v>
      </c>
      <c r="D104" t="str">
        <f>IFERROR(IF(0=LEN(ReferenceData!$D$104),"",ReferenceData!$D$104),"")</f>
        <v>BICS_SEGMENT_DATA</v>
      </c>
      <c r="E104" t="str">
        <f>IFERROR(IF(0=LEN(ReferenceData!$E$104),"",ReferenceData!$E$104),"")</f>
        <v>Dynamic</v>
      </c>
      <c r="F104" t="str">
        <f ca="1">IFERROR(IF(0=LEN(ReferenceData!$F$104),"",ReferenceData!$F$104),"")</f>
        <v/>
      </c>
      <c r="G104">
        <f ca="1">IFERROR(IF(0=LEN(ReferenceData!$G$104),"",ReferenceData!$G$104),"")</f>
        <v>652.9</v>
      </c>
      <c r="H104">
        <f ca="1">IFERROR(IF(0=LEN(ReferenceData!$H$104),"",ReferenceData!$H$104),"")</f>
        <v>528.79999999999995</v>
      </c>
      <c r="I104">
        <f ca="1">IFERROR(IF(0=LEN(ReferenceData!$I$104),"",ReferenceData!$I$104),"")</f>
        <v>516.70000000000005</v>
      </c>
      <c r="J104">
        <f ca="1">IFERROR(IF(0=LEN(ReferenceData!$J$104),"",ReferenceData!$J$104),"")</f>
        <v>552.6</v>
      </c>
      <c r="K104">
        <f ca="1">IFERROR(IF(0=LEN(ReferenceData!$K$104),"",ReferenceData!$K$104),"")</f>
        <v>510.7</v>
      </c>
      <c r="L104">
        <f ca="1">IFERROR(IF(0=LEN(ReferenceData!$L$104),"",ReferenceData!$L$104),"")</f>
        <v>246.5</v>
      </c>
      <c r="M104">
        <f ca="1">IFERROR(IF(0=LEN(ReferenceData!$M$104),"",ReferenceData!$M$104),"")</f>
        <v>434.6</v>
      </c>
      <c r="N104">
        <f ca="1">IFERROR(IF(0=LEN(ReferenceData!$N$104),"",ReferenceData!$N$104),"")</f>
        <v>569.6</v>
      </c>
      <c r="O104">
        <f ca="1">IFERROR(IF(0=LEN(ReferenceData!$O$104),"",ReferenceData!$O$104),"")</f>
        <v>506.5</v>
      </c>
      <c r="P104">
        <f ca="1">IFERROR(IF(0=LEN(ReferenceData!$P$104),"",ReferenceData!$P$104),"")</f>
        <v>475.5</v>
      </c>
      <c r="Q104">
        <f ca="1">IFERROR(IF(0=LEN(ReferenceData!$Q$104),"",ReferenceData!$Q$104),"")</f>
        <v>497.5</v>
      </c>
      <c r="R104">
        <f ca="1">IFERROR(IF(0=LEN(ReferenceData!$R$104),"",ReferenceData!$R$104),"")</f>
        <v>488.4</v>
      </c>
      <c r="S104">
        <f ca="1">IFERROR(IF(0=LEN(ReferenceData!$S$104),"",ReferenceData!$S$104),"")</f>
        <v>446.9</v>
      </c>
      <c r="T104">
        <f ca="1">IFERROR(IF(0=LEN(ReferenceData!$T$104),"",ReferenceData!$T$104),"")</f>
        <v>400</v>
      </c>
      <c r="U104">
        <f ca="1">IFERROR(IF(0=LEN(ReferenceData!$U$104),"",ReferenceData!$U$104),"")</f>
        <v>408.2</v>
      </c>
      <c r="V104">
        <f ca="1">IFERROR(IF(0=LEN(ReferenceData!$V$104),"",ReferenceData!$V$104),"")</f>
        <v>406.9</v>
      </c>
      <c r="W104">
        <f ca="1">IFERROR(IF(0=LEN(ReferenceData!$W$104),"",ReferenceData!$W$104),"")</f>
        <v>383.7</v>
      </c>
      <c r="X104">
        <f ca="1">IFERROR(IF(0=LEN(ReferenceData!$X$104),"",ReferenceData!$X$104),"")</f>
        <v>346.4</v>
      </c>
      <c r="Y104">
        <f ca="1">IFERROR(IF(0=LEN(ReferenceData!$Y$104),"",ReferenceData!$Y$104),"")</f>
        <v>364.4</v>
      </c>
      <c r="Z104">
        <f ca="1">IFERROR(IF(0=LEN(ReferenceData!$Z$104),"",ReferenceData!$Z$104),"")</f>
        <v>346.2</v>
      </c>
      <c r="AA104">
        <f ca="1">IFERROR(IF(0=LEN(ReferenceData!$AA$104),"",ReferenceData!$AA$104),"")</f>
        <v>326.10000000000002</v>
      </c>
      <c r="AB104">
        <f ca="1">IFERROR(IF(0=LEN(ReferenceData!$AB$104),"",ReferenceData!$AB$104),"")</f>
        <v>278.7</v>
      </c>
      <c r="AC104">
        <f ca="1">IFERROR(IF(0=LEN(ReferenceData!$AC$104),"",ReferenceData!$AC$104),"")</f>
        <v>269.2</v>
      </c>
      <c r="AD104">
        <f ca="1">IFERROR(IF(0=LEN(ReferenceData!$AD$104),"",ReferenceData!$AD$104),"")</f>
        <v>287.10000000000002</v>
      </c>
      <c r="AE104">
        <f ca="1">IFERROR(IF(0=LEN(ReferenceData!$AE$104),"",ReferenceData!$AE$104),"")</f>
        <v>243.4</v>
      </c>
      <c r="AF104">
        <f ca="1">IFERROR(IF(0=LEN(ReferenceData!$AF$104),"",ReferenceData!$AF$104),"")</f>
        <v>231.7</v>
      </c>
      <c r="AG104">
        <f ca="1">IFERROR(IF(0=LEN(ReferenceData!$AG$104),"",ReferenceData!$AG$104),"")</f>
        <v>211.4</v>
      </c>
      <c r="AH104">
        <f ca="1">IFERROR(IF(0=LEN(ReferenceData!$AH$104),"",ReferenceData!$AH$104),"")</f>
        <v>208.9</v>
      </c>
      <c r="AI104">
        <f ca="1">IFERROR(IF(0=LEN(ReferenceData!$AI$104),"",ReferenceData!$AI$104),"")</f>
        <v>177.8</v>
      </c>
      <c r="AJ104">
        <f ca="1">IFERROR(IF(0=LEN(ReferenceData!$AJ$104),"",ReferenceData!$AJ$104),"")</f>
        <v>162.6</v>
      </c>
      <c r="AK104" t="str">
        <f ca="1">IFERROR(IF(0=LEN(ReferenceData!$AK$104),"",ReferenceData!$AK$104),"")</f>
        <v/>
      </c>
      <c r="AL104">
        <f ca="1">IFERROR(IF(0=LEN(ReferenceData!$AL$104),"",ReferenceData!$AL$104),"")</f>
        <v>162.30000000000001</v>
      </c>
      <c r="AM104">
        <f ca="1">IFERROR(IF(0=LEN(ReferenceData!$AM$104),"",ReferenceData!$AM$104),"")</f>
        <v>139.30000000000001</v>
      </c>
      <c r="AN104">
        <f ca="1">IFERROR(IF(0=LEN(ReferenceData!$AN$104),"",ReferenceData!$AN$104),"")</f>
        <v>128.1</v>
      </c>
      <c r="AO104" t="str">
        <f ca="1">IFERROR(IF(0=LEN(ReferenceData!$AO$104),"",ReferenceData!$AO$104),"")</f>
        <v/>
      </c>
      <c r="AP104">
        <f ca="1">IFERROR(IF(0=LEN(ReferenceData!$AP$104),"",ReferenceData!$AP$104),"")</f>
        <v>119.3</v>
      </c>
      <c r="AQ104">
        <f ca="1">IFERROR(IF(0=LEN(ReferenceData!$AQ$104),"",ReferenceData!$AQ$104),"")</f>
        <v>130</v>
      </c>
      <c r="AR104">
        <f ca="1">IFERROR(IF(0=LEN(ReferenceData!$AR$104),"",ReferenceData!$AR$104),"")</f>
        <v>114.7</v>
      </c>
      <c r="AS104">
        <f ca="1">IFERROR(IF(0=LEN(ReferenceData!$AS$104),"",ReferenceData!$AS$104),"")</f>
        <v>108.8</v>
      </c>
      <c r="AT104" t="str">
        <f ca="1">IFERROR(IF(0=LEN(ReferenceData!$AT$104),"",ReferenceData!$AT$104),"")</f>
        <v/>
      </c>
      <c r="AU104" t="str">
        <f ca="1">IFERROR(IF(0=LEN(ReferenceData!$AU$104),"",ReferenceData!$AU$104),"")</f>
        <v/>
      </c>
      <c r="AV104">
        <f ca="1">IFERROR(IF(0=LEN(ReferenceData!$AV$104),"",ReferenceData!$AV$104),"")</f>
        <v>76.7</v>
      </c>
      <c r="AW104">
        <f ca="1">IFERROR(IF(0=LEN(ReferenceData!$AW$104),"",ReferenceData!$AW$104),"")</f>
        <v>76</v>
      </c>
      <c r="AX104" t="str">
        <f ca="1">IFERROR(IF(0=LEN(ReferenceData!$AX$104),"",ReferenceData!$AX$104),"")</f>
        <v/>
      </c>
      <c r="AY104">
        <f ca="1">IFERROR(IF(0=LEN(ReferenceData!$AY$104),"",ReferenceData!$AY$104),"")</f>
        <v>73.7</v>
      </c>
      <c r="AZ104">
        <f ca="1">IFERROR(IF(0=LEN(ReferenceData!$AZ$104),"",ReferenceData!$AZ$104),"")</f>
        <v>59.2</v>
      </c>
      <c r="BA104">
        <f ca="1">IFERROR(IF(0=LEN(ReferenceData!$BA$104),"",ReferenceData!$BA$104),"")</f>
        <v>58.7</v>
      </c>
      <c r="BB104" t="str">
        <f ca="1">IFERROR(IF(0=LEN(ReferenceData!$BB$104),"",ReferenceData!$BB$104),"")</f>
        <v/>
      </c>
      <c r="BC104" t="str">
        <f ca="1">IFERROR(IF(0=LEN(ReferenceData!$BC$104),"",ReferenceData!$BC$104),"")</f>
        <v/>
      </c>
      <c r="BD104">
        <f ca="1">IFERROR(IF(0=LEN(ReferenceData!$BD$104),"",ReferenceData!$BD$104),"")</f>
        <v>53.3</v>
      </c>
      <c r="BE104">
        <f ca="1">IFERROR(IF(0=LEN(ReferenceData!$BE$104),"",ReferenceData!$BE$104),"")</f>
        <v>59.7</v>
      </c>
      <c r="BF104" t="str">
        <f ca="1">IFERROR(IF(0=LEN(ReferenceData!$BF$104),"",ReferenceData!$BF$104),"")</f>
        <v/>
      </c>
      <c r="BG104" t="str">
        <f ca="1">IFERROR(IF(0=LEN(ReferenceData!$BG$104),"",ReferenceData!$BG$104),"")</f>
        <v/>
      </c>
      <c r="BH104" t="str">
        <f ca="1">IFERROR(IF(0=LEN(ReferenceData!$BH$104),"",ReferenceData!$BH$104),"")</f>
        <v/>
      </c>
      <c r="BI104" t="str">
        <f ca="1">IFERROR(IF(0=LEN(ReferenceData!$BI$104),"",ReferenceData!$BI$104),"")</f>
        <v/>
      </c>
      <c r="BJ104" t="str">
        <f ca="1">IFERROR(IF(0=LEN(ReferenceData!$BJ$104),"",ReferenceData!$BJ$104),"")</f>
        <v/>
      </c>
      <c r="BK104" t="str">
        <f ca="1">IFERROR(IF(0=LEN(ReferenceData!$BK$104),"",ReferenceData!$BK$104),"")</f>
        <v/>
      </c>
      <c r="BL104" t="str">
        <f ca="1">IFERROR(IF(0=LEN(ReferenceData!$BL$104),"",ReferenceData!$BL$104),"")</f>
        <v/>
      </c>
      <c r="BM104" t="str">
        <f ca="1">IFERROR(IF(0=LEN(ReferenceData!$BM$104),"",ReferenceData!$BM$104),"")</f>
        <v/>
      </c>
    </row>
    <row r="105" spans="1:65" x14ac:dyDescent="0.25">
      <c r="A105" t="str">
        <f>IFERROR(IF(0=LEN(ReferenceData!$A$105),"",ReferenceData!$A$105),"")</f>
        <v xml:space="preserve">            of Total Kering Sales (%)</v>
      </c>
      <c r="B105" t="str">
        <f>IFERROR(IF(0=LEN(ReferenceData!$B$105),"",ReferenceData!$B$105),"")</f>
        <v>KER FP Equity</v>
      </c>
      <c r="C105" t="str">
        <f>IFERROR(IF(0=LEN(ReferenceData!$C$105),"",ReferenceData!$C$105),"")</f>
        <v/>
      </c>
      <c r="D105" t="str">
        <f>IFERROR(IF(0=LEN(ReferenceData!$D$105),"",ReferenceData!$D$105),"")</f>
        <v/>
      </c>
      <c r="E105" t="str">
        <f>IFERROR(IF(0=LEN(ReferenceData!$E$105),"",ReferenceData!$E$105),"")</f>
        <v>Expression</v>
      </c>
      <c r="F105" t="str">
        <f ca="1">IFERROR(IF(0=LEN(ReferenceData!$F$105),"",ReferenceData!$F$105),"")</f>
        <v/>
      </c>
      <c r="G105">
        <f ca="1">IFERROR(IF(0=LEN(ReferenceData!$G$105),"",ReferenceData!$G$105),"")</f>
        <v>15.59052486</v>
      </c>
      <c r="H105">
        <f ca="1">IFERROR(IF(0=LEN(ReferenceData!$H$105),"",ReferenceData!$H$105),"")</f>
        <v>12.720100070000001</v>
      </c>
      <c r="I105">
        <f ca="1">IFERROR(IF(0=LEN(ReferenceData!$I$105),"",ReferenceData!$I$105),"")</f>
        <v>13.282776350000001</v>
      </c>
      <c r="J105">
        <f ca="1">IFERROR(IF(0=LEN(ReferenceData!$J$105),"",ReferenceData!$J$105),"")</f>
        <v>13.80050947</v>
      </c>
      <c r="K105">
        <f ca="1">IFERROR(IF(0=LEN(ReferenceData!$K$105),"",ReferenceData!$K$105),"")</f>
        <v>13.736987920000001</v>
      </c>
      <c r="L105">
        <f ca="1">IFERROR(IF(0=LEN(ReferenceData!$L$105),"",ReferenceData!$L$105),"")</f>
        <v>11.332812280000001</v>
      </c>
      <c r="M105">
        <f ca="1">IFERROR(IF(0=LEN(ReferenceData!$M$105),"",ReferenceData!$M$105),"")</f>
        <v>13.567682319999999</v>
      </c>
      <c r="N105">
        <f ca="1">IFERROR(IF(0=LEN(ReferenceData!$N$105),"",ReferenceData!$N$105),"")</f>
        <v>13.06272216</v>
      </c>
      <c r="O105">
        <f ca="1">IFERROR(IF(0=LEN(ReferenceData!$O$105),"",ReferenceData!$O$105),"")</f>
        <v>13.0386655</v>
      </c>
      <c r="P105">
        <f ca="1">IFERROR(IF(0=LEN(ReferenceData!$P$105),"",ReferenceData!$P$105),"")</f>
        <v>12.34071267</v>
      </c>
      <c r="Q105">
        <f ca="1">IFERROR(IF(0=LEN(ReferenceData!$Q$105),"",ReferenceData!$Q$105),"")</f>
        <v>13.14294772</v>
      </c>
      <c r="R105">
        <f ca="1">IFERROR(IF(0=LEN(ReferenceData!$R$105),"",ReferenceData!$R$105),"")</f>
        <v>12.75395623</v>
      </c>
      <c r="S105">
        <f ca="1">IFERROR(IF(0=LEN(ReferenceData!$S$105),"",ReferenceData!$S$105),"")</f>
        <v>13.13639036</v>
      </c>
      <c r="T105">
        <f ca="1">IFERROR(IF(0=LEN(ReferenceData!$T$105),"",ReferenceData!$T$105),"")</f>
        <v>12.026458209999999</v>
      </c>
      <c r="U105">
        <f ca="1">IFERROR(IF(0=LEN(ReferenceData!$U$105),"",ReferenceData!$U$105),"")</f>
        <v>13.141459019999999</v>
      </c>
      <c r="V105">
        <f ca="1">IFERROR(IF(0=LEN(ReferenceData!$V$105),"",ReferenceData!$V$105),"")</f>
        <v>9.5594972400000007</v>
      </c>
      <c r="W105">
        <f ca="1">IFERROR(IF(0=LEN(ReferenceData!$W$105),"",ReferenceData!$W$105),"")</f>
        <v>14.39666817</v>
      </c>
      <c r="X105">
        <f ca="1">IFERROR(IF(0=LEN(ReferenceData!$X$105),"",ReferenceData!$X$105),"")</f>
        <v>13.1831329</v>
      </c>
      <c r="Y105">
        <f ca="1">IFERROR(IF(0=LEN(ReferenceData!$Y$105),"",ReferenceData!$Y$105),"")</f>
        <v>10.19728557</v>
      </c>
      <c r="Z105">
        <f ca="1">IFERROR(IF(0=LEN(ReferenceData!$Z$105),"",ReferenceData!$Z$105),"")</f>
        <v>9.8708408179999996</v>
      </c>
      <c r="AA105">
        <f ca="1">IFERROR(IF(0=LEN(ReferenceData!$AA$105),"",ReferenceData!$AA$105),"")</f>
        <v>10.23958301</v>
      </c>
      <c r="AB105">
        <f ca="1">IFERROR(IF(0=LEN(ReferenceData!$AB$105),"",ReferenceData!$AB$105),"")</f>
        <v>9.3866828330000001</v>
      </c>
      <c r="AC105">
        <f ca="1">IFERROR(IF(0=LEN(ReferenceData!$AC$105),"",ReferenceData!$AC$105),"")</f>
        <v>9.8832513399999993</v>
      </c>
      <c r="AD105">
        <f ca="1">IFERROR(IF(0=LEN(ReferenceData!$AD$105),"",ReferenceData!$AD$105),"")</f>
        <v>9.0382496460000006</v>
      </c>
      <c r="AE105">
        <f ca="1">IFERROR(IF(0=LEN(ReferenceData!$AE$105),"",ReferenceData!$AE$105),"")</f>
        <v>8.4070185130000006</v>
      </c>
      <c r="AF105">
        <f ca="1">IFERROR(IF(0=LEN(ReferenceData!$AF$105),"",ReferenceData!$AF$105),"")</f>
        <v>8.0977178209999998</v>
      </c>
      <c r="AG105">
        <f ca="1">IFERROR(IF(0=LEN(ReferenceData!$AG$105),"",ReferenceData!$AG$105),"")</f>
        <v>7.9743493020000003</v>
      </c>
      <c r="AH105">
        <f ca="1">IFERROR(IF(0=LEN(ReferenceData!$AH$105),"",ReferenceData!$AH$105),"")</f>
        <v>7.6190823549999998</v>
      </c>
      <c r="AI105">
        <f ca="1">IFERROR(IF(0=LEN(ReferenceData!$AI$105),"",ReferenceData!$AI$105),"")</f>
        <v>6.877344989</v>
      </c>
      <c r="AJ105">
        <f ca="1">IFERROR(IF(0=LEN(ReferenceData!$AJ$105),"",ReferenceData!$AJ$105),"")</f>
        <v>6.9215051929999998</v>
      </c>
      <c r="AK105" t="str">
        <f ca="1">IFERROR(IF(0=LEN(ReferenceData!$AK$105),"",ReferenceData!$AK$105),"")</f>
        <v/>
      </c>
      <c r="AL105">
        <f ca="1">IFERROR(IF(0=LEN(ReferenceData!$AL$105),"",ReferenceData!$AL$105),"")</f>
        <v>6.4356239339999997</v>
      </c>
      <c r="AM105">
        <f ca="1">IFERROR(IF(0=LEN(ReferenceData!$AM$105),"",ReferenceData!$AM$105),"")</f>
        <v>5.5212049150000002</v>
      </c>
      <c r="AN105">
        <f ca="1">IFERROR(IF(0=LEN(ReferenceData!$AN$105),"",ReferenceData!$AN$105),"")</f>
        <v>5.5502599650000004</v>
      </c>
      <c r="AO105" t="str">
        <f ca="1">IFERROR(IF(0=LEN(ReferenceData!$AO$105),"",ReferenceData!$AO$105),"")</f>
        <v/>
      </c>
      <c r="AP105">
        <f ca="1">IFERROR(IF(0=LEN(ReferenceData!$AP$105),"",ReferenceData!$AP$105),"")</f>
        <v>4.6561548669999997</v>
      </c>
      <c r="AQ105">
        <f ca="1">IFERROR(IF(0=LEN(ReferenceData!$AQ$105),"",ReferenceData!$AQ$105),"")</f>
        <v>5.0773316670000002</v>
      </c>
      <c r="AR105">
        <f ca="1">IFERROR(IF(0=LEN(ReferenceData!$AR$105),"",ReferenceData!$AR$105),"")</f>
        <v>5.0488599350000003</v>
      </c>
      <c r="AS105">
        <f ca="1">IFERROR(IF(0=LEN(ReferenceData!$AS$105),"",ReferenceData!$AS$105),"")</f>
        <v>4.6458004180000003</v>
      </c>
      <c r="AT105" t="str">
        <f ca="1">IFERROR(IF(0=LEN(ReferenceData!$AT$105),"",ReferenceData!$AT$105),"")</f>
        <v/>
      </c>
      <c r="AU105" t="str">
        <f ca="1">IFERROR(IF(0=LEN(ReferenceData!$AU$105),"",ReferenceData!$AU$105),"")</f>
        <v/>
      </c>
      <c r="AV105">
        <f ca="1">IFERROR(IF(0=LEN(ReferenceData!$AV$105),"",ReferenceData!$AV$105),"")</f>
        <v>2.8941211980000001</v>
      </c>
      <c r="AW105">
        <f ca="1">IFERROR(IF(0=LEN(ReferenceData!$AW$105),"",ReferenceData!$AW$105),"")</f>
        <v>2.6933163229999999</v>
      </c>
      <c r="AX105" t="str">
        <f ca="1">IFERROR(IF(0=LEN(ReferenceData!$AX$105),"",ReferenceData!$AX$105),"")</f>
        <v/>
      </c>
      <c r="AY105">
        <f ca="1">IFERROR(IF(0=LEN(ReferenceData!$AY$105),"",ReferenceData!$AY$105),"")</f>
        <v>2.0643101229999998</v>
      </c>
      <c r="AZ105">
        <f ca="1">IFERROR(IF(0=LEN(ReferenceData!$AZ$105),"",ReferenceData!$AZ$105),"")</f>
        <v>1.476309227</v>
      </c>
      <c r="BA105">
        <f ca="1">IFERROR(IF(0=LEN(ReferenceData!$BA$105),"",ReferenceData!$BA$105),"")</f>
        <v>1.726673726</v>
      </c>
      <c r="BB105" t="str">
        <f ca="1">IFERROR(IF(0=LEN(ReferenceData!$BB$105),"",ReferenceData!$BB$105),"")</f>
        <v/>
      </c>
      <c r="BC105" t="str">
        <f ca="1">IFERROR(IF(0=LEN(ReferenceData!$BC$105),"",ReferenceData!$BC$105),"")</f>
        <v/>
      </c>
      <c r="BD105">
        <f ca="1">IFERROR(IF(0=LEN(ReferenceData!$BD$105),"",ReferenceData!$BD$105),"")</f>
        <v>1.1955229570000001</v>
      </c>
      <c r="BE105">
        <f ca="1">IFERROR(IF(0=LEN(ReferenceData!$BE$105),"",ReferenceData!$BE$105),"")</f>
        <v>1.2497383289999999</v>
      </c>
      <c r="BF105" t="str">
        <f ca="1">IFERROR(IF(0=LEN(ReferenceData!$BF$105),"",ReferenceData!$BF$105),"")</f>
        <v/>
      </c>
      <c r="BG105" t="str">
        <f ca="1">IFERROR(IF(0=LEN(ReferenceData!$BG$105),"",ReferenceData!$BG$105),"")</f>
        <v/>
      </c>
      <c r="BH105" t="str">
        <f ca="1">IFERROR(IF(0=LEN(ReferenceData!$BH$105),"",ReferenceData!$BH$105),"")</f>
        <v/>
      </c>
      <c r="BI105" t="str">
        <f ca="1">IFERROR(IF(0=LEN(ReferenceData!$BI$105),"",ReferenceData!$BI$105),"")</f>
        <v/>
      </c>
      <c r="BJ105" t="str">
        <f ca="1">IFERROR(IF(0=LEN(ReferenceData!$BJ$105),"",ReferenceData!$BJ$105),"")</f>
        <v/>
      </c>
      <c r="BK105" t="str">
        <f ca="1">IFERROR(IF(0=LEN(ReferenceData!$BK$105),"",ReferenceData!$BK$105),"")</f>
        <v/>
      </c>
      <c r="BL105" t="str">
        <f ca="1">IFERROR(IF(0=LEN(ReferenceData!$BL$105),"",ReferenceData!$BL$105),"")</f>
        <v/>
      </c>
      <c r="BM105" t="str">
        <f ca="1">IFERROR(IF(0=LEN(ReferenceData!$BM$105),"",ReferenceData!$BM$105),"")</f>
        <v/>
      </c>
    </row>
    <row r="106" spans="1:65" x14ac:dyDescent="0.25">
      <c r="A106" t="str">
        <f>IFERROR(IF(0=LEN(ReferenceData!$A$106),"",ReferenceData!$A$106),"")</f>
        <v xml:space="preserve">        Recurring Operating Income</v>
      </c>
      <c r="B106" t="str">
        <f>IFERROR(IF(0=LEN(ReferenceData!$B$106),"",ReferenceData!$B$106),"")</f>
        <v>KER FP Equity</v>
      </c>
      <c r="C106" t="str">
        <f>IFERROR(IF(0=LEN(ReferenceData!$C$106),"",ReferenceData!$C$106),"")</f>
        <v>BI047</v>
      </c>
      <c r="D106" t="str">
        <f>IFERROR(IF(0=LEN(ReferenceData!$D$106),"",ReferenceData!$D$106),"")</f>
        <v>BICS_SEGMENT_DATA</v>
      </c>
      <c r="E106" t="str">
        <f>IFERROR(IF(0=LEN(ReferenceData!$E$106),"",ReferenceData!$E$106),"")</f>
        <v>Dynamic</v>
      </c>
      <c r="F106" t="str">
        <f ca="1">IFERROR(IF(0=LEN(ReferenceData!$F$106),"",ReferenceData!$F$106),"")</f>
        <v/>
      </c>
      <c r="G106" t="str">
        <f ca="1">IFERROR(IF(0=LEN(ReferenceData!$G$106),"",ReferenceData!$G$106),"")</f>
        <v/>
      </c>
      <c r="H106" t="str">
        <f ca="1">IFERROR(IF(0=LEN(ReferenceData!$H$106),"",ReferenceData!$H$106),"")</f>
        <v/>
      </c>
      <c r="I106" t="str">
        <f ca="1">IFERROR(IF(0=LEN(ReferenceData!$I$106),"",ReferenceData!$I$106),"")</f>
        <v/>
      </c>
      <c r="J106" t="str">
        <f ca="1">IFERROR(IF(0=LEN(ReferenceData!$J$106),"",ReferenceData!$J$106),"")</f>
        <v/>
      </c>
      <c r="K106" t="str">
        <f ca="1">IFERROR(IF(0=LEN(ReferenceData!$K$106),"",ReferenceData!$K$106),"")</f>
        <v/>
      </c>
      <c r="L106" t="str">
        <f ca="1">IFERROR(IF(0=LEN(ReferenceData!$L$106),"",ReferenceData!$L$106),"")</f>
        <v/>
      </c>
      <c r="M106" t="str">
        <f ca="1">IFERROR(IF(0=LEN(ReferenceData!$M$106),"",ReferenceData!$M$106),"")</f>
        <v/>
      </c>
      <c r="N106" t="str">
        <f ca="1">IFERROR(IF(0=LEN(ReferenceData!$N$106),"",ReferenceData!$N$106),"")</f>
        <v/>
      </c>
      <c r="O106" t="str">
        <f ca="1">IFERROR(IF(0=LEN(ReferenceData!$O$106),"",ReferenceData!$O$106),"")</f>
        <v/>
      </c>
      <c r="P106" t="str">
        <f ca="1">IFERROR(IF(0=LEN(ReferenceData!$P$106),"",ReferenceData!$P$106),"")</f>
        <v/>
      </c>
      <c r="Q106" t="str">
        <f ca="1">IFERROR(IF(0=LEN(ReferenceData!$Q$106),"",ReferenceData!$Q$106),"")</f>
        <v/>
      </c>
      <c r="R106" t="str">
        <f ca="1">IFERROR(IF(0=LEN(ReferenceData!$R$106),"",ReferenceData!$R$106),"")</f>
        <v/>
      </c>
      <c r="S106" t="str">
        <f ca="1">IFERROR(IF(0=LEN(ReferenceData!$S$106),"",ReferenceData!$S$106),"")</f>
        <v/>
      </c>
      <c r="T106" t="str">
        <f ca="1">IFERROR(IF(0=LEN(ReferenceData!$T$106),"",ReferenceData!$T$106),"")</f>
        <v/>
      </c>
      <c r="U106" t="str">
        <f ca="1">IFERROR(IF(0=LEN(ReferenceData!$U$106),"",ReferenceData!$U$106),"")</f>
        <v/>
      </c>
      <c r="V106" t="str">
        <f ca="1">IFERROR(IF(0=LEN(ReferenceData!$V$106),"",ReferenceData!$V$106),"")</f>
        <v/>
      </c>
      <c r="W106" t="str">
        <f ca="1">IFERROR(IF(0=LEN(ReferenceData!$W$106),"",ReferenceData!$W$106),"")</f>
        <v/>
      </c>
      <c r="X106" t="str">
        <f ca="1">IFERROR(IF(0=LEN(ReferenceData!$X$106),"",ReferenceData!$X$106),"")</f>
        <v/>
      </c>
      <c r="Y106" t="str">
        <f ca="1">IFERROR(IF(0=LEN(ReferenceData!$Y$106),"",ReferenceData!$Y$106),"")</f>
        <v/>
      </c>
      <c r="Z106" t="str">
        <f ca="1">IFERROR(IF(0=LEN(ReferenceData!$Z$106),"",ReferenceData!$Z$106),"")</f>
        <v/>
      </c>
      <c r="AA106" t="str">
        <f ca="1">IFERROR(IF(0=LEN(ReferenceData!$AA$106),"",ReferenceData!$AA$106),"")</f>
        <v/>
      </c>
      <c r="AB106" t="str">
        <f ca="1">IFERROR(IF(0=LEN(ReferenceData!$AB$106),"",ReferenceData!$AB$106),"")</f>
        <v/>
      </c>
      <c r="AC106" t="str">
        <f ca="1">IFERROR(IF(0=LEN(ReferenceData!$AC$106),"",ReferenceData!$AC$106),"")</f>
        <v/>
      </c>
      <c r="AD106" t="str">
        <f ca="1">IFERROR(IF(0=LEN(ReferenceData!$AD$106),"",ReferenceData!$AD$106),"")</f>
        <v/>
      </c>
      <c r="AE106" t="str">
        <f ca="1">IFERROR(IF(0=LEN(ReferenceData!$AE$106),"",ReferenceData!$AE$106),"")</f>
        <v/>
      </c>
      <c r="AF106" t="str">
        <f ca="1">IFERROR(IF(0=LEN(ReferenceData!$AF$106),"",ReferenceData!$AF$106),"")</f>
        <v/>
      </c>
      <c r="AG106" t="str">
        <f ca="1">IFERROR(IF(0=LEN(ReferenceData!$AG$106),"",ReferenceData!$AG$106),"")</f>
        <v/>
      </c>
      <c r="AH106" t="str">
        <f ca="1">IFERROR(IF(0=LEN(ReferenceData!$AH$106),"",ReferenceData!$AH$106),"")</f>
        <v/>
      </c>
      <c r="AI106" t="str">
        <f ca="1">IFERROR(IF(0=LEN(ReferenceData!$AI$106),"",ReferenceData!$AI$106),"")</f>
        <v/>
      </c>
      <c r="AJ106" t="str">
        <f ca="1">IFERROR(IF(0=LEN(ReferenceData!$AJ$106),"",ReferenceData!$AJ$106),"")</f>
        <v/>
      </c>
      <c r="AK106" t="str">
        <f ca="1">IFERROR(IF(0=LEN(ReferenceData!$AK$106),"",ReferenceData!$AK$106),"")</f>
        <v/>
      </c>
      <c r="AL106" t="str">
        <f ca="1">IFERROR(IF(0=LEN(ReferenceData!$AL$106),"",ReferenceData!$AL$106),"")</f>
        <v/>
      </c>
      <c r="AM106" t="str">
        <f ca="1">IFERROR(IF(0=LEN(ReferenceData!$AM$106),"",ReferenceData!$AM$106),"")</f>
        <v/>
      </c>
      <c r="AN106" t="str">
        <f ca="1">IFERROR(IF(0=LEN(ReferenceData!$AN$106),"",ReferenceData!$AN$106),"")</f>
        <v/>
      </c>
      <c r="AO106" t="str">
        <f ca="1">IFERROR(IF(0=LEN(ReferenceData!$AO$106),"",ReferenceData!$AO$106),"")</f>
        <v/>
      </c>
      <c r="AP106" t="str">
        <f ca="1">IFERROR(IF(0=LEN(ReferenceData!$AP$106),"",ReferenceData!$AP$106),"")</f>
        <v/>
      </c>
      <c r="AQ106" t="str">
        <f ca="1">IFERROR(IF(0=LEN(ReferenceData!$AQ$106),"",ReferenceData!$AQ$106),"")</f>
        <v/>
      </c>
      <c r="AR106" t="str">
        <f ca="1">IFERROR(IF(0=LEN(ReferenceData!$AR$106),"",ReferenceData!$AR$106),"")</f>
        <v/>
      </c>
      <c r="AS106" t="str">
        <f ca="1">IFERROR(IF(0=LEN(ReferenceData!$AS$106),"",ReferenceData!$AS$106),"")</f>
        <v/>
      </c>
      <c r="AT106" t="str">
        <f ca="1">IFERROR(IF(0=LEN(ReferenceData!$AT$106),"",ReferenceData!$AT$106),"")</f>
        <v/>
      </c>
      <c r="AU106" t="str">
        <f ca="1">IFERROR(IF(0=LEN(ReferenceData!$AU$106),"",ReferenceData!$AU$106),"")</f>
        <v/>
      </c>
      <c r="AV106" t="str">
        <f ca="1">IFERROR(IF(0=LEN(ReferenceData!$AV$106),"",ReferenceData!$AV$106),"")</f>
        <v/>
      </c>
      <c r="AW106" t="str">
        <f ca="1">IFERROR(IF(0=LEN(ReferenceData!$AW$106),"",ReferenceData!$AW$106),"")</f>
        <v/>
      </c>
      <c r="AX106" t="str">
        <f ca="1">IFERROR(IF(0=LEN(ReferenceData!$AX$106),"",ReferenceData!$AX$106),"")</f>
        <v/>
      </c>
      <c r="AY106" t="str">
        <f ca="1">IFERROR(IF(0=LEN(ReferenceData!$AY$106),"",ReferenceData!$AY$106),"")</f>
        <v/>
      </c>
      <c r="AZ106" t="str">
        <f ca="1">IFERROR(IF(0=LEN(ReferenceData!$AZ$106),"",ReferenceData!$AZ$106),"")</f>
        <v/>
      </c>
      <c r="BA106" t="str">
        <f ca="1">IFERROR(IF(0=LEN(ReferenceData!$BA$106),"",ReferenceData!$BA$106),"")</f>
        <v/>
      </c>
      <c r="BB106" t="str">
        <f ca="1">IFERROR(IF(0=LEN(ReferenceData!$BB$106),"",ReferenceData!$BB$106),"")</f>
        <v/>
      </c>
      <c r="BC106" t="str">
        <f ca="1">IFERROR(IF(0=LEN(ReferenceData!$BC$106),"",ReferenceData!$BC$106),"")</f>
        <v/>
      </c>
      <c r="BD106" t="str">
        <f ca="1">IFERROR(IF(0=LEN(ReferenceData!$BD$106),"",ReferenceData!$BD$106),"")</f>
        <v/>
      </c>
      <c r="BE106" t="str">
        <f ca="1">IFERROR(IF(0=LEN(ReferenceData!$BE$106),"",ReferenceData!$BE$106),"")</f>
        <v/>
      </c>
      <c r="BF106" t="str">
        <f ca="1">IFERROR(IF(0=LEN(ReferenceData!$BF$106),"",ReferenceData!$BF$106),"")</f>
        <v/>
      </c>
      <c r="BG106" t="str">
        <f ca="1">IFERROR(IF(0=LEN(ReferenceData!$BG$106),"",ReferenceData!$BG$106),"")</f>
        <v/>
      </c>
      <c r="BH106" t="str">
        <f ca="1">IFERROR(IF(0=LEN(ReferenceData!$BH$106),"",ReferenceData!$BH$106),"")</f>
        <v/>
      </c>
      <c r="BI106" t="str">
        <f ca="1">IFERROR(IF(0=LEN(ReferenceData!$BI$106),"",ReferenceData!$BI$106),"")</f>
        <v/>
      </c>
      <c r="BJ106" t="str">
        <f ca="1">IFERROR(IF(0=LEN(ReferenceData!$BJ$106),"",ReferenceData!$BJ$106),"")</f>
        <v/>
      </c>
      <c r="BK106" t="str">
        <f ca="1">IFERROR(IF(0=LEN(ReferenceData!$BK$106),"",ReferenceData!$BK$106),"")</f>
        <v/>
      </c>
      <c r="BL106" t="str">
        <f ca="1">IFERROR(IF(0=LEN(ReferenceData!$BL$106),"",ReferenceData!$BL$106),"")</f>
        <v/>
      </c>
      <c r="BM106" t="str">
        <f ca="1">IFERROR(IF(0=LEN(ReferenceData!$BM$106),"",ReferenceData!$BM$106),"")</f>
        <v/>
      </c>
    </row>
    <row r="107" spans="1:65" x14ac:dyDescent="0.25">
      <c r="A107" t="str">
        <f>IFERROR(IF(0=LEN(ReferenceData!$A$107),"",ReferenceData!$A$107),"")</f>
        <v xml:space="preserve">        Recurring Operating Margin (%)</v>
      </c>
      <c r="B107" t="str">
        <f>IFERROR(IF(0=LEN(ReferenceData!$B$107),"",ReferenceData!$B$107),"")</f>
        <v>KER FP Equity</v>
      </c>
      <c r="C107" t="str">
        <f>IFERROR(IF(0=LEN(ReferenceData!$C$107),"",ReferenceData!$C$107),"")</f>
        <v/>
      </c>
      <c r="D107" t="str">
        <f>IFERROR(IF(0=LEN(ReferenceData!$D$107),"",ReferenceData!$D$107),"")</f>
        <v/>
      </c>
      <c r="E107" t="str">
        <f>IFERROR(IF(0=LEN(ReferenceData!$E$107),"",ReferenceData!$E$107),"")</f>
        <v>Expression</v>
      </c>
      <c r="F107" t="str">
        <f ca="1">IFERROR(IF(0=LEN(ReferenceData!$F$107),"",ReferenceData!$F$107),"")</f>
        <v/>
      </c>
      <c r="G107" t="str">
        <f ca="1">IFERROR(IF(0=LEN(ReferenceData!$G$107),"",ReferenceData!$G$107),"")</f>
        <v/>
      </c>
      <c r="H107" t="str">
        <f ca="1">IFERROR(IF(0=LEN(ReferenceData!$H$107),"",ReferenceData!$H$107),"")</f>
        <v/>
      </c>
      <c r="I107" t="str">
        <f ca="1">IFERROR(IF(0=LEN(ReferenceData!$I$107),"",ReferenceData!$I$107),"")</f>
        <v/>
      </c>
      <c r="J107" t="str">
        <f ca="1">IFERROR(IF(0=LEN(ReferenceData!$J$107),"",ReferenceData!$J$107),"")</f>
        <v/>
      </c>
      <c r="K107" t="str">
        <f ca="1">IFERROR(IF(0=LEN(ReferenceData!$K$107),"",ReferenceData!$K$107),"")</f>
        <v/>
      </c>
      <c r="L107" t="str">
        <f ca="1">IFERROR(IF(0=LEN(ReferenceData!$L$107),"",ReferenceData!$L$107),"")</f>
        <v/>
      </c>
      <c r="M107" t="str">
        <f ca="1">IFERROR(IF(0=LEN(ReferenceData!$M$107),"",ReferenceData!$M$107),"")</f>
        <v/>
      </c>
      <c r="N107" t="str">
        <f ca="1">IFERROR(IF(0=LEN(ReferenceData!$N$107),"",ReferenceData!$N$107),"")</f>
        <v/>
      </c>
      <c r="O107" t="str">
        <f ca="1">IFERROR(IF(0=LEN(ReferenceData!$O$107),"",ReferenceData!$O$107),"")</f>
        <v/>
      </c>
      <c r="P107" t="str">
        <f ca="1">IFERROR(IF(0=LEN(ReferenceData!$P$107),"",ReferenceData!$P$107),"")</f>
        <v/>
      </c>
      <c r="Q107" t="str">
        <f ca="1">IFERROR(IF(0=LEN(ReferenceData!$Q$107),"",ReferenceData!$Q$107),"")</f>
        <v/>
      </c>
      <c r="R107" t="str">
        <f ca="1">IFERROR(IF(0=LEN(ReferenceData!$R$107),"",ReferenceData!$R$107),"")</f>
        <v/>
      </c>
      <c r="S107" t="str">
        <f ca="1">IFERROR(IF(0=LEN(ReferenceData!$S$107),"",ReferenceData!$S$107),"")</f>
        <v/>
      </c>
      <c r="T107" t="str">
        <f ca="1">IFERROR(IF(0=LEN(ReferenceData!$T$107),"",ReferenceData!$T$107),"")</f>
        <v/>
      </c>
      <c r="U107" t="str">
        <f ca="1">IFERROR(IF(0=LEN(ReferenceData!$U$107),"",ReferenceData!$U$107),"")</f>
        <v/>
      </c>
      <c r="V107" t="str">
        <f ca="1">IFERROR(IF(0=LEN(ReferenceData!$V$107),"",ReferenceData!$V$107),"")</f>
        <v/>
      </c>
      <c r="W107" t="str">
        <f ca="1">IFERROR(IF(0=LEN(ReferenceData!$W$107),"",ReferenceData!$W$107),"")</f>
        <v/>
      </c>
      <c r="X107" t="str">
        <f ca="1">IFERROR(IF(0=LEN(ReferenceData!$X$107),"",ReferenceData!$X$107),"")</f>
        <v/>
      </c>
      <c r="Y107" t="str">
        <f ca="1">IFERROR(IF(0=LEN(ReferenceData!$Y$107),"",ReferenceData!$Y$107),"")</f>
        <v/>
      </c>
      <c r="Z107" t="str">
        <f ca="1">IFERROR(IF(0=LEN(ReferenceData!$Z$107),"",ReferenceData!$Z$107),"")</f>
        <v/>
      </c>
      <c r="AA107" t="str">
        <f ca="1">IFERROR(IF(0=LEN(ReferenceData!$AA$107),"",ReferenceData!$AA$107),"")</f>
        <v/>
      </c>
      <c r="AB107" t="str">
        <f ca="1">IFERROR(IF(0=LEN(ReferenceData!$AB$107),"",ReferenceData!$AB$107),"")</f>
        <v/>
      </c>
      <c r="AC107" t="str">
        <f ca="1">IFERROR(IF(0=LEN(ReferenceData!$AC$107),"",ReferenceData!$AC$107),"")</f>
        <v/>
      </c>
      <c r="AD107" t="str">
        <f ca="1">IFERROR(IF(0=LEN(ReferenceData!$AD$107),"",ReferenceData!$AD$107),"")</f>
        <v/>
      </c>
      <c r="AE107" t="str">
        <f ca="1">IFERROR(IF(0=LEN(ReferenceData!$AE$107),"",ReferenceData!$AE$107),"")</f>
        <v/>
      </c>
      <c r="AF107" t="str">
        <f ca="1">IFERROR(IF(0=LEN(ReferenceData!$AF$107),"",ReferenceData!$AF$107),"")</f>
        <v/>
      </c>
      <c r="AG107" t="str">
        <f ca="1">IFERROR(IF(0=LEN(ReferenceData!$AG$107),"",ReferenceData!$AG$107),"")</f>
        <v/>
      </c>
      <c r="AH107" t="str">
        <f ca="1">IFERROR(IF(0=LEN(ReferenceData!$AH$107),"",ReferenceData!$AH$107),"")</f>
        <v/>
      </c>
      <c r="AI107" t="str">
        <f ca="1">IFERROR(IF(0=LEN(ReferenceData!$AI$107),"",ReferenceData!$AI$107),"")</f>
        <v/>
      </c>
      <c r="AJ107" t="str">
        <f ca="1">IFERROR(IF(0=LEN(ReferenceData!$AJ$107),"",ReferenceData!$AJ$107),"")</f>
        <v/>
      </c>
      <c r="AK107" t="str">
        <f ca="1">IFERROR(IF(0=LEN(ReferenceData!$AK$107),"",ReferenceData!$AK$107),"")</f>
        <v/>
      </c>
      <c r="AL107" t="str">
        <f ca="1">IFERROR(IF(0=LEN(ReferenceData!$AL$107),"",ReferenceData!$AL$107),"")</f>
        <v/>
      </c>
      <c r="AM107" t="str">
        <f ca="1">IFERROR(IF(0=LEN(ReferenceData!$AM$107),"",ReferenceData!$AM$107),"")</f>
        <v/>
      </c>
      <c r="AN107" t="str">
        <f ca="1">IFERROR(IF(0=LEN(ReferenceData!$AN$107),"",ReferenceData!$AN$107),"")</f>
        <v/>
      </c>
      <c r="AO107" t="str">
        <f ca="1">IFERROR(IF(0=LEN(ReferenceData!$AO$107),"",ReferenceData!$AO$107),"")</f>
        <v/>
      </c>
      <c r="AP107" t="str">
        <f ca="1">IFERROR(IF(0=LEN(ReferenceData!$AP$107),"",ReferenceData!$AP$107),"")</f>
        <v/>
      </c>
      <c r="AQ107" t="str">
        <f ca="1">IFERROR(IF(0=LEN(ReferenceData!$AQ$107),"",ReferenceData!$AQ$107),"")</f>
        <v/>
      </c>
      <c r="AR107" t="str">
        <f ca="1">IFERROR(IF(0=LEN(ReferenceData!$AR$107),"",ReferenceData!$AR$107),"")</f>
        <v/>
      </c>
      <c r="AS107" t="str">
        <f ca="1">IFERROR(IF(0=LEN(ReferenceData!$AS$107),"",ReferenceData!$AS$107),"")</f>
        <v/>
      </c>
      <c r="AT107" t="str">
        <f ca="1">IFERROR(IF(0=LEN(ReferenceData!$AT$107),"",ReferenceData!$AT$107),"")</f>
        <v/>
      </c>
      <c r="AU107" t="str">
        <f ca="1">IFERROR(IF(0=LEN(ReferenceData!$AU$107),"",ReferenceData!$AU$107),"")</f>
        <v/>
      </c>
      <c r="AV107" t="str">
        <f ca="1">IFERROR(IF(0=LEN(ReferenceData!$AV$107),"",ReferenceData!$AV$107),"")</f>
        <v/>
      </c>
      <c r="AW107" t="str">
        <f ca="1">IFERROR(IF(0=LEN(ReferenceData!$AW$107),"",ReferenceData!$AW$107),"")</f>
        <v/>
      </c>
      <c r="AX107" t="str">
        <f ca="1">IFERROR(IF(0=LEN(ReferenceData!$AX$107),"",ReferenceData!$AX$107),"")</f>
        <v/>
      </c>
      <c r="AY107" t="str">
        <f ca="1">IFERROR(IF(0=LEN(ReferenceData!$AY$107),"",ReferenceData!$AY$107),"")</f>
        <v/>
      </c>
      <c r="AZ107" t="str">
        <f ca="1">IFERROR(IF(0=LEN(ReferenceData!$AZ$107),"",ReferenceData!$AZ$107),"")</f>
        <v/>
      </c>
      <c r="BA107" t="str">
        <f ca="1">IFERROR(IF(0=LEN(ReferenceData!$BA$107),"",ReferenceData!$BA$107),"")</f>
        <v/>
      </c>
      <c r="BB107" t="str">
        <f ca="1">IFERROR(IF(0=LEN(ReferenceData!$BB$107),"",ReferenceData!$BB$107),"")</f>
        <v/>
      </c>
      <c r="BC107" t="str">
        <f ca="1">IFERROR(IF(0=LEN(ReferenceData!$BC$107),"",ReferenceData!$BC$107),"")</f>
        <v/>
      </c>
      <c r="BD107" t="str">
        <f ca="1">IFERROR(IF(0=LEN(ReferenceData!$BD$107),"",ReferenceData!$BD$107),"")</f>
        <v/>
      </c>
      <c r="BE107" t="str">
        <f ca="1">IFERROR(IF(0=LEN(ReferenceData!$BE$107),"",ReferenceData!$BE$107),"")</f>
        <v/>
      </c>
      <c r="BF107" t="str">
        <f ca="1">IFERROR(IF(0=LEN(ReferenceData!$BF$107),"",ReferenceData!$BF$107),"")</f>
        <v/>
      </c>
      <c r="BG107" t="str">
        <f ca="1">IFERROR(IF(0=LEN(ReferenceData!$BG$107),"",ReferenceData!$BG$107),"")</f>
        <v/>
      </c>
      <c r="BH107" t="str">
        <f ca="1">IFERROR(IF(0=LEN(ReferenceData!$BH$107),"",ReferenceData!$BH$107),"")</f>
        <v/>
      </c>
      <c r="BI107" t="str">
        <f ca="1">IFERROR(IF(0=LEN(ReferenceData!$BI$107),"",ReferenceData!$BI$107),"")</f>
        <v/>
      </c>
      <c r="BJ107" t="str">
        <f ca="1">IFERROR(IF(0=LEN(ReferenceData!$BJ$107),"",ReferenceData!$BJ$107),"")</f>
        <v/>
      </c>
      <c r="BK107" t="str">
        <f ca="1">IFERROR(IF(0=LEN(ReferenceData!$BK$107),"",ReferenceData!$BK$107),"")</f>
        <v/>
      </c>
      <c r="BL107" t="str">
        <f ca="1">IFERROR(IF(0=LEN(ReferenceData!$BL$107),"",ReferenceData!$BL$107),"")</f>
        <v/>
      </c>
      <c r="BM107" t="str">
        <f ca="1">IFERROR(IF(0=LEN(ReferenceData!$BM$107),"",ReferenceData!$BM$107),"")</f>
        <v/>
      </c>
    </row>
    <row r="108" spans="1:65" x14ac:dyDescent="0.25">
      <c r="A108" t="str">
        <f>IFERROR(IF(0=LEN(ReferenceData!$A$108),"",ReferenceData!$A$108),"")</f>
        <v xml:space="preserve">    Bottega Veneta</v>
      </c>
      <c r="B108" t="str">
        <f>IFERROR(IF(0=LEN(ReferenceData!$B$108),"",ReferenceData!$B$108),"")</f>
        <v/>
      </c>
      <c r="C108" t="str">
        <f>IFERROR(IF(0=LEN(ReferenceData!$C$108),"",ReferenceData!$C$108),"")</f>
        <v/>
      </c>
      <c r="D108" t="str">
        <f>IFERROR(IF(0=LEN(ReferenceData!$D$108),"",ReferenceData!$D$108),"")</f>
        <v/>
      </c>
      <c r="E108" t="str">
        <f>IFERROR(IF(0=LEN(ReferenceData!$E$108),"",ReferenceData!$E$108),"")</f>
        <v>Static</v>
      </c>
      <c r="F108" t="str">
        <f ca="1">IFERROR(IF(0=LEN(ReferenceData!$F$108),"",ReferenceData!$F$108),"")</f>
        <v/>
      </c>
      <c r="G108" t="str">
        <f ca="1">IFERROR(IF(0=LEN(ReferenceData!$G$108),"",ReferenceData!$G$108),"")</f>
        <v/>
      </c>
      <c r="H108" t="str">
        <f ca="1">IFERROR(IF(0=LEN(ReferenceData!$H$108),"",ReferenceData!$H$108),"")</f>
        <v/>
      </c>
      <c r="I108" t="str">
        <f ca="1">IFERROR(IF(0=LEN(ReferenceData!$I$108),"",ReferenceData!$I$108),"")</f>
        <v/>
      </c>
      <c r="J108" t="str">
        <f ca="1">IFERROR(IF(0=LEN(ReferenceData!$J$108),"",ReferenceData!$J$108),"")</f>
        <v/>
      </c>
      <c r="K108" t="str">
        <f ca="1">IFERROR(IF(0=LEN(ReferenceData!$K$108),"",ReferenceData!$K$108),"")</f>
        <v/>
      </c>
      <c r="L108" t="str">
        <f ca="1">IFERROR(IF(0=LEN(ReferenceData!$L$108),"",ReferenceData!$L$108),"")</f>
        <v/>
      </c>
      <c r="M108" t="str">
        <f ca="1">IFERROR(IF(0=LEN(ReferenceData!$M$108),"",ReferenceData!$M$108),"")</f>
        <v/>
      </c>
      <c r="N108" t="str">
        <f ca="1">IFERROR(IF(0=LEN(ReferenceData!$N$108),"",ReferenceData!$N$108),"")</f>
        <v/>
      </c>
      <c r="O108" t="str">
        <f ca="1">IFERROR(IF(0=LEN(ReferenceData!$O$108),"",ReferenceData!$O$108),"")</f>
        <v/>
      </c>
      <c r="P108" t="str">
        <f ca="1">IFERROR(IF(0=LEN(ReferenceData!$P$108),"",ReferenceData!$P$108),"")</f>
        <v/>
      </c>
      <c r="Q108" t="str">
        <f ca="1">IFERROR(IF(0=LEN(ReferenceData!$Q$108),"",ReferenceData!$Q$108),"")</f>
        <v/>
      </c>
      <c r="R108" t="str">
        <f ca="1">IFERROR(IF(0=LEN(ReferenceData!$R$108),"",ReferenceData!$R$108),"")</f>
        <v/>
      </c>
      <c r="S108" t="str">
        <f ca="1">IFERROR(IF(0=LEN(ReferenceData!$S$108),"",ReferenceData!$S$108),"")</f>
        <v/>
      </c>
      <c r="T108" t="str">
        <f ca="1">IFERROR(IF(0=LEN(ReferenceData!$T$108),"",ReferenceData!$T$108),"")</f>
        <v/>
      </c>
      <c r="U108" t="str">
        <f ca="1">IFERROR(IF(0=LEN(ReferenceData!$U$108),"",ReferenceData!$U$108),"")</f>
        <v/>
      </c>
      <c r="V108" t="str">
        <f ca="1">IFERROR(IF(0=LEN(ReferenceData!$V$108),"",ReferenceData!$V$108),"")</f>
        <v/>
      </c>
      <c r="W108" t="str">
        <f ca="1">IFERROR(IF(0=LEN(ReferenceData!$W$108),"",ReferenceData!$W$108),"")</f>
        <v/>
      </c>
      <c r="X108" t="str">
        <f ca="1">IFERROR(IF(0=LEN(ReferenceData!$X$108),"",ReferenceData!$X$108),"")</f>
        <v/>
      </c>
      <c r="Y108" t="str">
        <f ca="1">IFERROR(IF(0=LEN(ReferenceData!$Y$108),"",ReferenceData!$Y$108),"")</f>
        <v/>
      </c>
      <c r="Z108" t="str">
        <f ca="1">IFERROR(IF(0=LEN(ReferenceData!$Z$108),"",ReferenceData!$Z$108),"")</f>
        <v/>
      </c>
      <c r="AA108" t="str">
        <f ca="1">IFERROR(IF(0=LEN(ReferenceData!$AA$108),"",ReferenceData!$AA$108),"")</f>
        <v/>
      </c>
      <c r="AB108" t="str">
        <f ca="1">IFERROR(IF(0=LEN(ReferenceData!$AB$108),"",ReferenceData!$AB$108),"")</f>
        <v/>
      </c>
      <c r="AC108" t="str">
        <f ca="1">IFERROR(IF(0=LEN(ReferenceData!$AC$108),"",ReferenceData!$AC$108),"")</f>
        <v/>
      </c>
      <c r="AD108" t="str">
        <f ca="1">IFERROR(IF(0=LEN(ReferenceData!$AD$108),"",ReferenceData!$AD$108),"")</f>
        <v/>
      </c>
      <c r="AE108" t="str">
        <f ca="1">IFERROR(IF(0=LEN(ReferenceData!$AE$108),"",ReferenceData!$AE$108),"")</f>
        <v/>
      </c>
      <c r="AF108" t="str">
        <f ca="1">IFERROR(IF(0=LEN(ReferenceData!$AF$108),"",ReferenceData!$AF$108),"")</f>
        <v/>
      </c>
      <c r="AG108" t="str">
        <f ca="1">IFERROR(IF(0=LEN(ReferenceData!$AG$108),"",ReferenceData!$AG$108),"")</f>
        <v/>
      </c>
      <c r="AH108" t="str">
        <f ca="1">IFERROR(IF(0=LEN(ReferenceData!$AH$108),"",ReferenceData!$AH$108),"")</f>
        <v/>
      </c>
      <c r="AI108" t="str">
        <f ca="1">IFERROR(IF(0=LEN(ReferenceData!$AI$108),"",ReferenceData!$AI$108),"")</f>
        <v/>
      </c>
      <c r="AJ108" t="str">
        <f ca="1">IFERROR(IF(0=LEN(ReferenceData!$AJ$108),"",ReferenceData!$AJ$108),"")</f>
        <v/>
      </c>
      <c r="AK108" t="str">
        <f ca="1">IFERROR(IF(0=LEN(ReferenceData!$AK$108),"",ReferenceData!$AK$108),"")</f>
        <v/>
      </c>
      <c r="AL108" t="str">
        <f ca="1">IFERROR(IF(0=LEN(ReferenceData!$AL$108),"",ReferenceData!$AL$108),"")</f>
        <v/>
      </c>
      <c r="AM108" t="str">
        <f ca="1">IFERROR(IF(0=LEN(ReferenceData!$AM$108),"",ReferenceData!$AM$108),"")</f>
        <v/>
      </c>
      <c r="AN108" t="str">
        <f ca="1">IFERROR(IF(0=LEN(ReferenceData!$AN$108),"",ReferenceData!$AN$108),"")</f>
        <v/>
      </c>
      <c r="AO108" t="str">
        <f ca="1">IFERROR(IF(0=LEN(ReferenceData!$AO$108),"",ReferenceData!$AO$108),"")</f>
        <v/>
      </c>
      <c r="AP108" t="str">
        <f ca="1">IFERROR(IF(0=LEN(ReferenceData!$AP$108),"",ReferenceData!$AP$108),"")</f>
        <v/>
      </c>
      <c r="AQ108" t="str">
        <f ca="1">IFERROR(IF(0=LEN(ReferenceData!$AQ$108),"",ReferenceData!$AQ$108),"")</f>
        <v/>
      </c>
      <c r="AR108" t="str">
        <f ca="1">IFERROR(IF(0=LEN(ReferenceData!$AR$108),"",ReferenceData!$AR$108),"")</f>
        <v/>
      </c>
      <c r="AS108" t="str">
        <f ca="1">IFERROR(IF(0=LEN(ReferenceData!$AS$108),"",ReferenceData!$AS$108),"")</f>
        <v/>
      </c>
      <c r="AT108" t="str">
        <f ca="1">IFERROR(IF(0=LEN(ReferenceData!$AT$108),"",ReferenceData!$AT$108),"")</f>
        <v/>
      </c>
      <c r="AU108" t="str">
        <f ca="1">IFERROR(IF(0=LEN(ReferenceData!$AU$108),"",ReferenceData!$AU$108),"")</f>
        <v/>
      </c>
      <c r="AV108" t="str">
        <f ca="1">IFERROR(IF(0=LEN(ReferenceData!$AV$108),"",ReferenceData!$AV$108),"")</f>
        <v/>
      </c>
      <c r="AW108" t="str">
        <f ca="1">IFERROR(IF(0=LEN(ReferenceData!$AW$108),"",ReferenceData!$AW$108),"")</f>
        <v/>
      </c>
      <c r="AX108" t="str">
        <f ca="1">IFERROR(IF(0=LEN(ReferenceData!$AX$108),"",ReferenceData!$AX$108),"")</f>
        <v/>
      </c>
      <c r="AY108" t="str">
        <f ca="1">IFERROR(IF(0=LEN(ReferenceData!$AY$108),"",ReferenceData!$AY$108),"")</f>
        <v/>
      </c>
      <c r="AZ108" t="str">
        <f ca="1">IFERROR(IF(0=LEN(ReferenceData!$AZ$108),"",ReferenceData!$AZ$108),"")</f>
        <v/>
      </c>
      <c r="BA108" t="str">
        <f ca="1">IFERROR(IF(0=LEN(ReferenceData!$BA$108),"",ReferenceData!$BA$108),"")</f>
        <v/>
      </c>
      <c r="BB108" t="str">
        <f ca="1">IFERROR(IF(0=LEN(ReferenceData!$BB$108),"",ReferenceData!$BB$108),"")</f>
        <v/>
      </c>
      <c r="BC108" t="str">
        <f ca="1">IFERROR(IF(0=LEN(ReferenceData!$BC$108),"",ReferenceData!$BC$108),"")</f>
        <v/>
      </c>
      <c r="BD108" t="str">
        <f ca="1">IFERROR(IF(0=LEN(ReferenceData!$BD$108),"",ReferenceData!$BD$108),"")</f>
        <v/>
      </c>
      <c r="BE108" t="str">
        <f ca="1">IFERROR(IF(0=LEN(ReferenceData!$BE$108),"",ReferenceData!$BE$108),"")</f>
        <v/>
      </c>
      <c r="BF108" t="str">
        <f ca="1">IFERROR(IF(0=LEN(ReferenceData!$BF$108),"",ReferenceData!$BF$108),"")</f>
        <v/>
      </c>
      <c r="BG108" t="str">
        <f ca="1">IFERROR(IF(0=LEN(ReferenceData!$BG$108),"",ReferenceData!$BG$108),"")</f>
        <v/>
      </c>
      <c r="BH108" t="str">
        <f ca="1">IFERROR(IF(0=LEN(ReferenceData!$BH$108),"",ReferenceData!$BH$108),"")</f>
        <v/>
      </c>
      <c r="BI108" t="str">
        <f ca="1">IFERROR(IF(0=LEN(ReferenceData!$BI$108),"",ReferenceData!$BI$108),"")</f>
        <v/>
      </c>
      <c r="BJ108" t="str">
        <f ca="1">IFERROR(IF(0=LEN(ReferenceData!$BJ$108),"",ReferenceData!$BJ$108),"")</f>
        <v/>
      </c>
      <c r="BK108" t="str">
        <f ca="1">IFERROR(IF(0=LEN(ReferenceData!$BK$108),"",ReferenceData!$BK$108),"")</f>
        <v/>
      </c>
      <c r="BL108" t="str">
        <f ca="1">IFERROR(IF(0=LEN(ReferenceData!$BL$108),"",ReferenceData!$BL$108),"")</f>
        <v/>
      </c>
      <c r="BM108" t="str">
        <f ca="1">IFERROR(IF(0=LEN(ReferenceData!$BM$108),"",ReferenceData!$BM$108),"")</f>
        <v/>
      </c>
    </row>
    <row r="109" spans="1:65" x14ac:dyDescent="0.25">
      <c r="A109" t="str">
        <f>IFERROR(IF(0=LEN(ReferenceData!$A$109),"",ReferenceData!$A$109),"")</f>
        <v xml:space="preserve">        Revenue</v>
      </c>
      <c r="B109" t="str">
        <f>IFERROR(IF(0=LEN(ReferenceData!$B$109),"",ReferenceData!$B$109),"")</f>
        <v>KER FP Equity</v>
      </c>
      <c r="C109" t="str">
        <f>IFERROR(IF(0=LEN(ReferenceData!$C$109),"",ReferenceData!$C$109),"")</f>
        <v>BI047</v>
      </c>
      <c r="D109" t="str">
        <f>IFERROR(IF(0=LEN(ReferenceData!$D$109),"",ReferenceData!$D$109),"")</f>
        <v>BICS_SEGMENT_DATA</v>
      </c>
      <c r="E109" t="str">
        <f>IFERROR(IF(0=LEN(ReferenceData!$E$109),"",ReferenceData!$E$109),"")</f>
        <v>Dynamic</v>
      </c>
      <c r="F109" t="str">
        <f ca="1">IFERROR(IF(0=LEN(ReferenceData!$F$109),"",ReferenceData!$F$109),"")</f>
        <v/>
      </c>
      <c r="G109">
        <f ca="1">IFERROR(IF(0=LEN(ReferenceData!$G$109),"",ReferenceData!$G$109),"")</f>
        <v>363.4</v>
      </c>
      <c r="H109">
        <f ca="1">IFERROR(IF(0=LEN(ReferenceData!$H$109),"",ReferenceData!$H$109),"")</f>
        <v>379.4</v>
      </c>
      <c r="I109">
        <f ca="1">IFERROR(IF(0=LEN(ReferenceData!$I$109),"",ReferenceData!$I$109),"")</f>
        <v>328.2</v>
      </c>
      <c r="J109">
        <f ca="1">IFERROR(IF(0=LEN(ReferenceData!$J$109),"",ReferenceData!$J$109),"")</f>
        <v>374.7</v>
      </c>
      <c r="K109">
        <f ca="1">IFERROR(IF(0=LEN(ReferenceData!$K$109),"",ReferenceData!$K$109),"")</f>
        <v>332.5</v>
      </c>
      <c r="L109">
        <f ca="1">IFERROR(IF(0=LEN(ReferenceData!$L$109),"",ReferenceData!$L$109),"")</f>
        <v>229.4</v>
      </c>
      <c r="M109">
        <f ca="1">IFERROR(IF(0=LEN(ReferenceData!$M$109),"",ReferenceData!$M$109),"")</f>
        <v>273.7</v>
      </c>
      <c r="N109">
        <f ca="1">IFERROR(IF(0=LEN(ReferenceData!$N$109),"",ReferenceData!$N$109),"")</f>
        <v>334.3</v>
      </c>
      <c r="O109">
        <f ca="1">IFERROR(IF(0=LEN(ReferenceData!$O$109),"",ReferenceData!$O$109),"")</f>
        <v>284.3</v>
      </c>
      <c r="P109">
        <f ca="1">IFERROR(IF(0=LEN(ReferenceData!$P$109),"",ReferenceData!$P$109),"")</f>
        <v>300.89999999999998</v>
      </c>
      <c r="Q109">
        <f ca="1">IFERROR(IF(0=LEN(ReferenceData!$Q$109),"",ReferenceData!$Q$109),"")</f>
        <v>248.1</v>
      </c>
      <c r="R109">
        <f ca="1">IFERROR(IF(0=LEN(ReferenceData!$R$109),"",ReferenceData!$R$109),"")</f>
        <v>375.637</v>
      </c>
      <c r="S109">
        <f ca="1">IFERROR(IF(0=LEN(ReferenceData!$S$109),"",ReferenceData!$S$109),"")</f>
        <v>258.89999999999998</v>
      </c>
      <c r="T109">
        <f ca="1">IFERROR(IF(0=LEN(ReferenceData!$T$109),"",ReferenceData!$T$109),"")</f>
        <v>291</v>
      </c>
      <c r="U109">
        <f ca="1">IFERROR(IF(0=LEN(ReferenceData!$U$109),"",ReferenceData!$U$109),"")</f>
        <v>261.2</v>
      </c>
      <c r="V109">
        <f ca="1">IFERROR(IF(0=LEN(ReferenceData!$V$109),"",ReferenceData!$V$109),"")</f>
        <v>305.2</v>
      </c>
      <c r="W109">
        <f ca="1">IFERROR(IF(0=LEN(ReferenceData!$W$109),"",ReferenceData!$W$109),"")</f>
        <v>280.7</v>
      </c>
      <c r="X109">
        <f ca="1">IFERROR(IF(0=LEN(ReferenceData!$X$109),"",ReferenceData!$X$109),"")</f>
        <v>310</v>
      </c>
      <c r="Y109">
        <f ca="1">IFERROR(IF(0=LEN(ReferenceData!$Y$109),"",ReferenceData!$Y$109),"")</f>
        <v>280.39999999999998</v>
      </c>
      <c r="Z109">
        <f ca="1">IFERROR(IF(0=LEN(ReferenceData!$Z$109),"",ReferenceData!$Z$109),"")</f>
        <v>308.39999999999998</v>
      </c>
      <c r="AA109">
        <f ca="1">IFERROR(IF(0=LEN(ReferenceData!$AA$109),"",ReferenceData!$AA$109),"")</f>
        <v>293.8</v>
      </c>
      <c r="AB109">
        <f ca="1">IFERROR(IF(0=LEN(ReferenceData!$AB$109),"",ReferenceData!$AB$109),"")</f>
        <v>383.26799999999997</v>
      </c>
      <c r="AC109">
        <f ca="1">IFERROR(IF(0=LEN(ReferenceData!$AC$109),"",ReferenceData!$AC$109),"")</f>
        <v>267.89999999999998</v>
      </c>
      <c r="AD109">
        <f ca="1">IFERROR(IF(0=LEN(ReferenceData!$AD$109),"",ReferenceData!$AD$109),"")</f>
        <v>332.6</v>
      </c>
      <c r="AE109">
        <f ca="1">IFERROR(IF(0=LEN(ReferenceData!$AE$109),"",ReferenceData!$AE$109),"")</f>
        <v>324</v>
      </c>
      <c r="AF109">
        <f ca="1">IFERROR(IF(0=LEN(ReferenceData!$AF$109),"",ReferenceData!$AF$109),"")</f>
        <v>339.2</v>
      </c>
      <c r="AG109">
        <f ca="1">IFERROR(IF(0=LEN(ReferenceData!$AG$109),"",ReferenceData!$AG$109),"")</f>
        <v>290</v>
      </c>
      <c r="AH109">
        <f ca="1">IFERROR(IF(0=LEN(ReferenceData!$AH$109),"",ReferenceData!$AH$109),"")</f>
        <v>318.8</v>
      </c>
      <c r="AI109">
        <f ca="1">IFERROR(IF(0=LEN(ReferenceData!$AI$109),"",ReferenceData!$AI$109),"")</f>
        <v>286.2</v>
      </c>
      <c r="AJ109">
        <f ca="1">IFERROR(IF(0=LEN(ReferenceData!$AJ$109),"",ReferenceData!$AJ$109),"")</f>
        <v>274.7</v>
      </c>
      <c r="AK109">
        <f ca="1">IFERROR(IF(0=LEN(ReferenceData!$AK$109),"",ReferenceData!$AK$109),"")</f>
        <v>251</v>
      </c>
      <c r="AL109">
        <f ca="1">IFERROR(IF(0=LEN(ReferenceData!$AL$109),"",ReferenceData!$AL$109),"")</f>
        <v>290.89999999999998</v>
      </c>
      <c r="AM109">
        <f ca="1">IFERROR(IF(0=LEN(ReferenceData!$AM$109),"",ReferenceData!$AM$109),"")</f>
        <v>259.3</v>
      </c>
      <c r="AN109">
        <f ca="1">IFERROR(IF(0=LEN(ReferenceData!$AN$109),"",ReferenceData!$AN$109),"")</f>
        <v>236.6</v>
      </c>
      <c r="AO109">
        <f ca="1">IFERROR(IF(0=LEN(ReferenceData!$AO$109),"",ReferenceData!$AO$109),"")</f>
        <v>229</v>
      </c>
      <c r="AP109">
        <f ca="1">IFERROR(IF(0=LEN(ReferenceData!$AP$109),"",ReferenceData!$AP$109),"")</f>
        <v>274</v>
      </c>
      <c r="AQ109">
        <f ca="1">IFERROR(IF(0=LEN(ReferenceData!$AQ$109),"",ReferenceData!$AQ$109),"")</f>
        <v>241.6</v>
      </c>
      <c r="AR109">
        <f ca="1">IFERROR(IF(0=LEN(ReferenceData!$AR$109),"",ReferenceData!$AR$109),"")</f>
        <v>211.5</v>
      </c>
      <c r="AS109">
        <f ca="1">IFERROR(IF(0=LEN(ReferenceData!$AS$109),"",ReferenceData!$AS$109),"")</f>
        <v>218</v>
      </c>
      <c r="AT109" t="str">
        <f ca="1">IFERROR(IF(0=LEN(ReferenceData!$AT$109),"",ReferenceData!$AT$109),"")</f>
        <v/>
      </c>
      <c r="AU109" t="str">
        <f ca="1">IFERROR(IF(0=LEN(ReferenceData!$AU$109),"",ReferenceData!$AU$109),"")</f>
        <v/>
      </c>
      <c r="AV109">
        <f ca="1">IFERROR(IF(0=LEN(ReferenceData!$AV$109),"",ReferenceData!$AV$109),"")</f>
        <v>140.80000000000001</v>
      </c>
      <c r="AW109">
        <f ca="1">IFERROR(IF(0=LEN(ReferenceData!$AW$109),"",ReferenceData!$AW$109),"")</f>
        <v>156.9</v>
      </c>
      <c r="AX109">
        <f ca="1">IFERROR(IF(0=LEN(ReferenceData!$AX$109),"",ReferenceData!$AX$109),"")</f>
        <v>144</v>
      </c>
      <c r="AY109">
        <f ca="1">IFERROR(IF(0=LEN(ReferenceData!$AY$109),"",ReferenceData!$AY$109),"")</f>
        <v>136.6</v>
      </c>
      <c r="AZ109">
        <f ca="1">IFERROR(IF(0=LEN(ReferenceData!$AZ$109),"",ReferenceData!$AZ$109),"")</f>
        <v>116.4</v>
      </c>
      <c r="BA109">
        <f ca="1">IFERROR(IF(0=LEN(ReferenceData!$BA$109),"",ReferenceData!$BA$109),"")</f>
        <v>113.6</v>
      </c>
      <c r="BB109">
        <f ca="1">IFERROR(IF(0=LEN(ReferenceData!$BB$109),"",ReferenceData!$BB$109),"")</f>
        <v>102.9</v>
      </c>
      <c r="BC109">
        <f ca="1">IFERROR(IF(0=LEN(ReferenceData!$BC$109),"",ReferenceData!$BC$109),"")</f>
        <v>96.4</v>
      </c>
      <c r="BD109">
        <f ca="1">IFERROR(IF(0=LEN(ReferenceData!$BD$109),"",ReferenceData!$BD$109),"")</f>
        <v>99.1</v>
      </c>
      <c r="BE109">
        <f ca="1">IFERROR(IF(0=LEN(ReferenceData!$BE$109),"",ReferenceData!$BE$109),"")</f>
        <v>103.7</v>
      </c>
      <c r="BF109" t="str">
        <f ca="1">IFERROR(IF(0=LEN(ReferenceData!$BF$109),"",ReferenceData!$BF$109),"")</f>
        <v/>
      </c>
      <c r="BG109" t="str">
        <f ca="1">IFERROR(IF(0=LEN(ReferenceData!$BG$109),"",ReferenceData!$BG$109),"")</f>
        <v/>
      </c>
      <c r="BH109" t="str">
        <f ca="1">IFERROR(IF(0=LEN(ReferenceData!$BH$109),"",ReferenceData!$BH$109),"")</f>
        <v/>
      </c>
      <c r="BI109" t="str">
        <f ca="1">IFERROR(IF(0=LEN(ReferenceData!$BI$109),"",ReferenceData!$BI$109),"")</f>
        <v/>
      </c>
      <c r="BJ109" t="str">
        <f ca="1">IFERROR(IF(0=LEN(ReferenceData!$BJ$109),"",ReferenceData!$BJ$109),"")</f>
        <v/>
      </c>
      <c r="BK109" t="str">
        <f ca="1">IFERROR(IF(0=LEN(ReferenceData!$BK$109),"",ReferenceData!$BK$109),"")</f>
        <v/>
      </c>
      <c r="BL109" t="str">
        <f ca="1">IFERROR(IF(0=LEN(ReferenceData!$BL$109),"",ReferenceData!$BL$109),"")</f>
        <v/>
      </c>
      <c r="BM109" t="str">
        <f ca="1">IFERROR(IF(0=LEN(ReferenceData!$BM$109),"",ReferenceData!$BM$109),"")</f>
        <v/>
      </c>
    </row>
    <row r="110" spans="1:65" x14ac:dyDescent="0.25">
      <c r="A110" t="str">
        <f>IFERROR(IF(0=LEN(ReferenceData!$A$110),"",ReferenceData!$A$110),"")</f>
        <v xml:space="preserve">            of Total Kering Sales (%)</v>
      </c>
      <c r="B110" t="str">
        <f>IFERROR(IF(0=LEN(ReferenceData!$B$110),"",ReferenceData!$B$110),"")</f>
        <v>KER FP Equity</v>
      </c>
      <c r="C110" t="str">
        <f>IFERROR(IF(0=LEN(ReferenceData!$C$110),"",ReferenceData!$C$110),"")</f>
        <v/>
      </c>
      <c r="D110" t="str">
        <f>IFERROR(IF(0=LEN(ReferenceData!$D$110),"",ReferenceData!$D$110),"")</f>
        <v/>
      </c>
      <c r="E110" t="str">
        <f>IFERROR(IF(0=LEN(ReferenceData!$E$110),"",ReferenceData!$E$110),"")</f>
        <v>Expression</v>
      </c>
      <c r="F110" t="str">
        <f ca="1">IFERROR(IF(0=LEN(ReferenceData!$F$110),"",ReferenceData!$F$110),"")</f>
        <v/>
      </c>
      <c r="G110">
        <f ca="1">IFERROR(IF(0=LEN(ReferenceData!$G$110),"",ReferenceData!$G$110),"")</f>
        <v>8.6775872770000007</v>
      </c>
      <c r="H110">
        <f ca="1">IFERROR(IF(0=LEN(ReferenceData!$H$110),"",ReferenceData!$H$110),"")</f>
        <v>9.1263350330000002</v>
      </c>
      <c r="I110">
        <f ca="1">IFERROR(IF(0=LEN(ReferenceData!$I$110),"",ReferenceData!$I$110),"")</f>
        <v>8.4370179949999997</v>
      </c>
      <c r="J110">
        <f ca="1">IFERROR(IF(0=LEN(ReferenceData!$J$110),"",ReferenceData!$J$110),"")</f>
        <v>9.3576744420000004</v>
      </c>
      <c r="K110">
        <f ca="1">IFERROR(IF(0=LEN(ReferenceData!$K$110),"",ReferenceData!$K$110),"")</f>
        <v>8.9437017510000008</v>
      </c>
      <c r="L110">
        <f ca="1">IFERROR(IF(0=LEN(ReferenceData!$L$110),"",ReferenceData!$L$110),"")</f>
        <v>10.54664153</v>
      </c>
      <c r="M110">
        <f ca="1">IFERROR(IF(0=LEN(ReferenceData!$M$110),"",ReferenceData!$M$110),"")</f>
        <v>8.5445804200000008</v>
      </c>
      <c r="N110">
        <f ca="1">IFERROR(IF(0=LEN(ReferenceData!$N$110),"",ReferenceData!$N$110),"")</f>
        <v>7.6665520010000003</v>
      </c>
      <c r="O110">
        <f ca="1">IFERROR(IF(0=LEN(ReferenceData!$O$110),"",ReferenceData!$O$110),"")</f>
        <v>7.3186428460000004</v>
      </c>
      <c r="P110">
        <f ca="1">IFERROR(IF(0=LEN(ReferenceData!$P$110),"",ReferenceData!$P$110),"")</f>
        <v>7.809296411</v>
      </c>
      <c r="Q110">
        <f ca="1">IFERROR(IF(0=LEN(ReferenceData!$Q$110),"",ReferenceData!$Q$110),"")</f>
        <v>6.5543021689999996</v>
      </c>
      <c r="R110">
        <f ca="1">IFERROR(IF(0=LEN(ReferenceData!$R$110),"",ReferenceData!$R$110),"")</f>
        <v>9.8092912729999995</v>
      </c>
      <c r="S110">
        <f ca="1">IFERROR(IF(0=LEN(ReferenceData!$S$110),"",ReferenceData!$S$110),"")</f>
        <v>7.6102292770000002</v>
      </c>
      <c r="T110">
        <f ca="1">IFERROR(IF(0=LEN(ReferenceData!$T$110),"",ReferenceData!$T$110),"")</f>
        <v>8.7492483459999999</v>
      </c>
      <c r="U110">
        <f ca="1">IFERROR(IF(0=LEN(ReferenceData!$U$110),"",ReferenceData!$U$110),"")</f>
        <v>8.4089884749999992</v>
      </c>
      <c r="V110">
        <f ca="1">IFERROR(IF(0=LEN(ReferenceData!$V$110),"",ReferenceData!$V$110),"")</f>
        <v>7.1702102669999999</v>
      </c>
      <c r="W110">
        <f ca="1">IFERROR(IF(0=LEN(ReferenceData!$W$110),"",ReferenceData!$W$110),"")</f>
        <v>10.53204262</v>
      </c>
      <c r="X110">
        <f ca="1">IFERROR(IF(0=LEN(ReferenceData!$X$110),"",ReferenceData!$X$110),"")</f>
        <v>11.797838329999999</v>
      </c>
      <c r="Y110">
        <f ca="1">IFERROR(IF(0=LEN(ReferenceData!$Y$110),"",ReferenceData!$Y$110),"")</f>
        <v>7.846648944</v>
      </c>
      <c r="Z110">
        <f ca="1">IFERROR(IF(0=LEN(ReferenceData!$Z$110),"",ReferenceData!$Z$110),"")</f>
        <v>8.7930887010000003</v>
      </c>
      <c r="AA110">
        <f ca="1">IFERROR(IF(0=LEN(ReferenceData!$AA$110),"",ReferenceData!$AA$110),"")</f>
        <v>9.2253587469999996</v>
      </c>
      <c r="AB110">
        <f ca="1">IFERROR(IF(0=LEN(ReferenceData!$AB$110),"",ReferenceData!$AB$110),"")</f>
        <v>12.908558149999999</v>
      </c>
      <c r="AC110">
        <f ca="1">IFERROR(IF(0=LEN(ReferenceData!$AC$110),"",ReferenceData!$AC$110),"")</f>
        <v>9.8355239000000001</v>
      </c>
      <c r="AD110">
        <f ca="1">IFERROR(IF(0=LEN(ReferenceData!$AD$110),"",ReferenceData!$AD$110),"")</f>
        <v>10.47064379</v>
      </c>
      <c r="AE110">
        <f ca="1">IFERROR(IF(0=LEN(ReferenceData!$AE$110),"",ReferenceData!$AE$110),"")</f>
        <v>11.19093672</v>
      </c>
      <c r="AF110">
        <f ca="1">IFERROR(IF(0=LEN(ReferenceData!$AF$110),"",ReferenceData!$AF$110),"")</f>
        <v>11.85475134</v>
      </c>
      <c r="AG110">
        <f ca="1">IFERROR(IF(0=LEN(ReferenceData!$AG$110),"",ReferenceData!$AG$110),"")</f>
        <v>10.939268200000001</v>
      </c>
      <c r="AH110">
        <f ca="1">IFERROR(IF(0=LEN(ReferenceData!$AH$110),"",ReferenceData!$AH$110),"")</f>
        <v>11.627398060000001</v>
      </c>
      <c r="AI110">
        <f ca="1">IFERROR(IF(0=LEN(ReferenceData!$AI$110),"",ReferenceData!$AI$110),"")</f>
        <v>11.070281980000001</v>
      </c>
      <c r="AJ110">
        <f ca="1">IFERROR(IF(0=LEN(ReferenceData!$AJ$110),"",ReferenceData!$AJ$110),"")</f>
        <v>11.69334241</v>
      </c>
      <c r="AK110">
        <f ca="1">IFERROR(IF(0=LEN(ReferenceData!$AK$110),"",ReferenceData!$AK$110),"")</f>
        <v>10.46705588</v>
      </c>
      <c r="AL110">
        <f ca="1">IFERROR(IF(0=LEN(ReferenceData!$AL$110),"",ReferenceData!$AL$110),"")</f>
        <v>11.5349538</v>
      </c>
      <c r="AM110">
        <f ca="1">IFERROR(IF(0=LEN(ReferenceData!$AM$110),"",ReferenceData!$AM$110),"")</f>
        <v>10.277447479999999</v>
      </c>
      <c r="AN110">
        <f ca="1">IFERROR(IF(0=LEN(ReferenceData!$AN$110),"",ReferenceData!$AN$110),"")</f>
        <v>10.251299830000001</v>
      </c>
      <c r="AO110">
        <f ca="1">IFERROR(IF(0=LEN(ReferenceData!$AO$110),"",ReferenceData!$AO$110),"")</f>
        <v>9.6608167399999996</v>
      </c>
      <c r="AP110">
        <f ca="1">IFERROR(IF(0=LEN(ReferenceData!$AP$110),"",ReferenceData!$AP$110),"")</f>
        <v>10.6939349</v>
      </c>
      <c r="AQ110">
        <f ca="1">IFERROR(IF(0=LEN(ReferenceData!$AQ$110),"",ReferenceData!$AQ$110),"")</f>
        <v>9.4360256210000006</v>
      </c>
      <c r="AR110">
        <f ca="1">IFERROR(IF(0=LEN(ReferenceData!$AR$110),"",ReferenceData!$AR$110),"")</f>
        <v>9.3097983979999999</v>
      </c>
      <c r="AS110">
        <f ca="1">IFERROR(IF(0=LEN(ReferenceData!$AS$110),"",ReferenceData!$AS$110),"")</f>
        <v>9.3086809860000006</v>
      </c>
      <c r="AT110" t="str">
        <f ca="1">IFERROR(IF(0=LEN(ReferenceData!$AT$110),"",ReferenceData!$AT$110),"")</f>
        <v/>
      </c>
      <c r="AU110" t="str">
        <f ca="1">IFERROR(IF(0=LEN(ReferenceData!$AU$110),"",ReferenceData!$AU$110),"")</f>
        <v/>
      </c>
      <c r="AV110">
        <f ca="1">IFERROR(IF(0=LEN(ReferenceData!$AV$110),"",ReferenceData!$AV$110),"")</f>
        <v>5.3128065810000003</v>
      </c>
      <c r="AW110">
        <f ca="1">IFERROR(IF(0=LEN(ReferenceData!$AW$110),"",ReferenceData!$AW$110),"")</f>
        <v>5.5602806720000002</v>
      </c>
      <c r="AX110">
        <f ca="1">IFERROR(IF(0=LEN(ReferenceData!$AX$110),"",ReferenceData!$AX$110),"")</f>
        <v>3.3915071010000002</v>
      </c>
      <c r="AY110">
        <f ca="1">IFERROR(IF(0=LEN(ReferenceData!$AY$110),"",ReferenceData!$AY$110),"")</f>
        <v>3.826116184</v>
      </c>
      <c r="AZ110">
        <f ca="1">IFERROR(IF(0=LEN(ReferenceData!$AZ$110),"",ReferenceData!$AZ$110),"")</f>
        <v>2.9027431419999998</v>
      </c>
      <c r="BA110">
        <f ca="1">IFERROR(IF(0=LEN(ReferenceData!$BA$110),"",ReferenceData!$BA$110),"")</f>
        <v>3.3415695959999998</v>
      </c>
      <c r="BB110">
        <f ca="1">IFERROR(IF(0=LEN(ReferenceData!$BB$110),"",ReferenceData!$BB$110),"")</f>
        <v>2.1776856009999999</v>
      </c>
      <c r="BC110">
        <f ca="1">IFERROR(IF(0=LEN(ReferenceData!$BC$110),"",ReferenceData!$BC$110),"")</f>
        <v>2.1125525039999999</v>
      </c>
      <c r="BD110">
        <f ca="1">IFERROR(IF(0=LEN(ReferenceData!$BD$110),"",ReferenceData!$BD$110),"")</f>
        <v>2.2228203579999999</v>
      </c>
      <c r="BE110">
        <f ca="1">IFERROR(IF(0=LEN(ReferenceData!$BE$110),"",ReferenceData!$BE$110),"")</f>
        <v>2.1708185050000002</v>
      </c>
      <c r="BF110" t="str">
        <f ca="1">IFERROR(IF(0=LEN(ReferenceData!$BF$110),"",ReferenceData!$BF$110),"")</f>
        <v/>
      </c>
      <c r="BG110" t="str">
        <f ca="1">IFERROR(IF(0=LEN(ReferenceData!$BG$110),"",ReferenceData!$BG$110),"")</f>
        <v/>
      </c>
      <c r="BH110" t="str">
        <f ca="1">IFERROR(IF(0=LEN(ReferenceData!$BH$110),"",ReferenceData!$BH$110),"")</f>
        <v/>
      </c>
      <c r="BI110" t="str">
        <f ca="1">IFERROR(IF(0=LEN(ReferenceData!$BI$110),"",ReferenceData!$BI$110),"")</f>
        <v/>
      </c>
      <c r="BJ110" t="str">
        <f ca="1">IFERROR(IF(0=LEN(ReferenceData!$BJ$110),"",ReferenceData!$BJ$110),"")</f>
        <v/>
      </c>
      <c r="BK110" t="str">
        <f ca="1">IFERROR(IF(0=LEN(ReferenceData!$BK$110),"",ReferenceData!$BK$110),"")</f>
        <v/>
      </c>
      <c r="BL110" t="str">
        <f ca="1">IFERROR(IF(0=LEN(ReferenceData!$BL$110),"",ReferenceData!$BL$110),"")</f>
        <v/>
      </c>
      <c r="BM110" t="str">
        <f ca="1">IFERROR(IF(0=LEN(ReferenceData!$BM$110),"",ReferenceData!$BM$110),"")</f>
        <v/>
      </c>
    </row>
    <row r="111" spans="1:65" x14ac:dyDescent="0.25">
      <c r="A111" t="str">
        <f>IFERROR(IF(0=LEN(ReferenceData!$A$111),"",ReferenceData!$A$111),"")</f>
        <v xml:space="preserve">        Recurring Operating Income</v>
      </c>
      <c r="B111" t="str">
        <f>IFERROR(IF(0=LEN(ReferenceData!$B$111),"",ReferenceData!$B$111),"")</f>
        <v>KER FP Equity</v>
      </c>
      <c r="C111" t="str">
        <f>IFERROR(IF(0=LEN(ReferenceData!$C$111),"",ReferenceData!$C$111),"")</f>
        <v>BI047</v>
      </c>
      <c r="D111" t="str">
        <f>IFERROR(IF(0=LEN(ReferenceData!$D$111),"",ReferenceData!$D$111),"")</f>
        <v>BICS_SEGMENT_DATA</v>
      </c>
      <c r="E111" t="str">
        <f>IFERROR(IF(0=LEN(ReferenceData!$E$111),"",ReferenceData!$E$111),"")</f>
        <v>Dynamic</v>
      </c>
      <c r="F111" t="str">
        <f ca="1">IFERROR(IF(0=LEN(ReferenceData!$F$111),"",ReferenceData!$F$111),"")</f>
        <v/>
      </c>
      <c r="G111" t="str">
        <f ca="1">IFERROR(IF(0=LEN(ReferenceData!$G$111),"",ReferenceData!$G$111),"")</f>
        <v/>
      </c>
      <c r="H111" t="str">
        <f ca="1">IFERROR(IF(0=LEN(ReferenceData!$H$111),"",ReferenceData!$H$111),"")</f>
        <v/>
      </c>
      <c r="I111" t="str">
        <f ca="1">IFERROR(IF(0=LEN(ReferenceData!$I$111),"",ReferenceData!$I$111),"")</f>
        <v/>
      </c>
      <c r="J111" t="str">
        <f ca="1">IFERROR(IF(0=LEN(ReferenceData!$J$111),"",ReferenceData!$J$111),"")</f>
        <v/>
      </c>
      <c r="K111" t="str">
        <f ca="1">IFERROR(IF(0=LEN(ReferenceData!$K$111),"",ReferenceData!$K$111),"")</f>
        <v/>
      </c>
      <c r="L111" t="str">
        <f ca="1">IFERROR(IF(0=LEN(ReferenceData!$L$111),"",ReferenceData!$L$111),"")</f>
        <v/>
      </c>
      <c r="M111" t="str">
        <f ca="1">IFERROR(IF(0=LEN(ReferenceData!$M$111),"",ReferenceData!$M$111),"")</f>
        <v/>
      </c>
      <c r="N111" t="str">
        <f ca="1">IFERROR(IF(0=LEN(ReferenceData!$N$111),"",ReferenceData!$N$111),"")</f>
        <v/>
      </c>
      <c r="O111" t="str">
        <f ca="1">IFERROR(IF(0=LEN(ReferenceData!$O$111),"",ReferenceData!$O$111),"")</f>
        <v/>
      </c>
      <c r="P111" t="str">
        <f ca="1">IFERROR(IF(0=LEN(ReferenceData!$P$111),"",ReferenceData!$P$111),"")</f>
        <v/>
      </c>
      <c r="Q111" t="str">
        <f ca="1">IFERROR(IF(0=LEN(ReferenceData!$Q$111),"",ReferenceData!$Q$111),"")</f>
        <v/>
      </c>
      <c r="R111" t="str">
        <f ca="1">IFERROR(IF(0=LEN(ReferenceData!$R$111),"",ReferenceData!$R$111),"")</f>
        <v/>
      </c>
      <c r="S111" t="str">
        <f ca="1">IFERROR(IF(0=LEN(ReferenceData!$S$111),"",ReferenceData!$S$111),"")</f>
        <v/>
      </c>
      <c r="T111" t="str">
        <f ca="1">IFERROR(IF(0=LEN(ReferenceData!$T$111),"",ReferenceData!$T$111),"")</f>
        <v/>
      </c>
      <c r="U111" t="str">
        <f ca="1">IFERROR(IF(0=LEN(ReferenceData!$U$111),"",ReferenceData!$U$111),"")</f>
        <v/>
      </c>
      <c r="V111" t="str">
        <f ca="1">IFERROR(IF(0=LEN(ReferenceData!$V$111),"",ReferenceData!$V$111),"")</f>
        <v/>
      </c>
      <c r="W111" t="str">
        <f ca="1">IFERROR(IF(0=LEN(ReferenceData!$W$111),"",ReferenceData!$W$111),"")</f>
        <v/>
      </c>
      <c r="X111" t="str">
        <f ca="1">IFERROR(IF(0=LEN(ReferenceData!$X$111),"",ReferenceData!$X$111),"")</f>
        <v/>
      </c>
      <c r="Y111" t="str">
        <f ca="1">IFERROR(IF(0=LEN(ReferenceData!$Y$111),"",ReferenceData!$Y$111),"")</f>
        <v/>
      </c>
      <c r="Z111" t="str">
        <f ca="1">IFERROR(IF(0=LEN(ReferenceData!$Z$111),"",ReferenceData!$Z$111),"")</f>
        <v/>
      </c>
      <c r="AA111" t="str">
        <f ca="1">IFERROR(IF(0=LEN(ReferenceData!$AA$111),"",ReferenceData!$AA$111),"")</f>
        <v/>
      </c>
      <c r="AB111" t="str">
        <f ca="1">IFERROR(IF(0=LEN(ReferenceData!$AB$111),"",ReferenceData!$AB$111),"")</f>
        <v/>
      </c>
      <c r="AC111" t="str">
        <f ca="1">IFERROR(IF(0=LEN(ReferenceData!$AC$111),"",ReferenceData!$AC$111),"")</f>
        <v/>
      </c>
      <c r="AD111" t="str">
        <f ca="1">IFERROR(IF(0=LEN(ReferenceData!$AD$111),"",ReferenceData!$AD$111),"")</f>
        <v/>
      </c>
      <c r="AE111" t="str">
        <f ca="1">IFERROR(IF(0=LEN(ReferenceData!$AE$111),"",ReferenceData!$AE$111),"")</f>
        <v/>
      </c>
      <c r="AF111" t="str">
        <f ca="1">IFERROR(IF(0=LEN(ReferenceData!$AF$111),"",ReferenceData!$AF$111),"")</f>
        <v/>
      </c>
      <c r="AG111" t="str">
        <f ca="1">IFERROR(IF(0=LEN(ReferenceData!$AG$111),"",ReferenceData!$AG$111),"")</f>
        <v/>
      </c>
      <c r="AH111" t="str">
        <f ca="1">IFERROR(IF(0=LEN(ReferenceData!$AH$111),"",ReferenceData!$AH$111),"")</f>
        <v/>
      </c>
      <c r="AI111" t="str">
        <f ca="1">IFERROR(IF(0=LEN(ReferenceData!$AI$111),"",ReferenceData!$AI$111),"")</f>
        <v/>
      </c>
      <c r="AJ111" t="str">
        <f ca="1">IFERROR(IF(0=LEN(ReferenceData!$AJ$111),"",ReferenceData!$AJ$111),"")</f>
        <v/>
      </c>
      <c r="AK111" t="str">
        <f ca="1">IFERROR(IF(0=LEN(ReferenceData!$AK$111),"",ReferenceData!$AK$111),"")</f>
        <v/>
      </c>
      <c r="AL111" t="str">
        <f ca="1">IFERROR(IF(0=LEN(ReferenceData!$AL$111),"",ReferenceData!$AL$111),"")</f>
        <v/>
      </c>
      <c r="AM111" t="str">
        <f ca="1">IFERROR(IF(0=LEN(ReferenceData!$AM$111),"",ReferenceData!$AM$111),"")</f>
        <v/>
      </c>
      <c r="AN111" t="str">
        <f ca="1">IFERROR(IF(0=LEN(ReferenceData!$AN$111),"",ReferenceData!$AN$111),"")</f>
        <v/>
      </c>
      <c r="AO111" t="str">
        <f ca="1">IFERROR(IF(0=LEN(ReferenceData!$AO$111),"",ReferenceData!$AO$111),"")</f>
        <v/>
      </c>
      <c r="AP111" t="str">
        <f ca="1">IFERROR(IF(0=LEN(ReferenceData!$AP$111),"",ReferenceData!$AP$111),"")</f>
        <v/>
      </c>
      <c r="AQ111" t="str">
        <f ca="1">IFERROR(IF(0=LEN(ReferenceData!$AQ$111),"",ReferenceData!$AQ$111),"")</f>
        <v/>
      </c>
      <c r="AR111" t="str">
        <f ca="1">IFERROR(IF(0=LEN(ReferenceData!$AR$111),"",ReferenceData!$AR$111),"")</f>
        <v/>
      </c>
      <c r="AS111" t="str">
        <f ca="1">IFERROR(IF(0=LEN(ReferenceData!$AS$111),"",ReferenceData!$AS$111),"")</f>
        <v/>
      </c>
      <c r="AT111" t="str">
        <f ca="1">IFERROR(IF(0=LEN(ReferenceData!$AT$111),"",ReferenceData!$AT$111),"")</f>
        <v/>
      </c>
      <c r="AU111" t="str">
        <f ca="1">IFERROR(IF(0=LEN(ReferenceData!$AU$111),"",ReferenceData!$AU$111),"")</f>
        <v/>
      </c>
      <c r="AV111" t="str">
        <f ca="1">IFERROR(IF(0=LEN(ReferenceData!$AV$111),"",ReferenceData!$AV$111),"")</f>
        <v/>
      </c>
      <c r="AW111" t="str">
        <f ca="1">IFERROR(IF(0=LEN(ReferenceData!$AW$111),"",ReferenceData!$AW$111),"")</f>
        <v/>
      </c>
      <c r="AX111" t="str">
        <f ca="1">IFERROR(IF(0=LEN(ReferenceData!$AX$111),"",ReferenceData!$AX$111),"")</f>
        <v/>
      </c>
      <c r="AY111" t="str">
        <f ca="1">IFERROR(IF(0=LEN(ReferenceData!$AY$111),"",ReferenceData!$AY$111),"")</f>
        <v/>
      </c>
      <c r="AZ111" t="str">
        <f ca="1">IFERROR(IF(0=LEN(ReferenceData!$AZ$111),"",ReferenceData!$AZ$111),"")</f>
        <v/>
      </c>
      <c r="BA111" t="str">
        <f ca="1">IFERROR(IF(0=LEN(ReferenceData!$BA$111),"",ReferenceData!$BA$111),"")</f>
        <v/>
      </c>
      <c r="BB111" t="str">
        <f ca="1">IFERROR(IF(0=LEN(ReferenceData!$BB$111),"",ReferenceData!$BB$111),"")</f>
        <v/>
      </c>
      <c r="BC111" t="str">
        <f ca="1">IFERROR(IF(0=LEN(ReferenceData!$BC$111),"",ReferenceData!$BC$111),"")</f>
        <v/>
      </c>
      <c r="BD111" t="str">
        <f ca="1">IFERROR(IF(0=LEN(ReferenceData!$BD$111),"",ReferenceData!$BD$111),"")</f>
        <v/>
      </c>
      <c r="BE111" t="str">
        <f ca="1">IFERROR(IF(0=LEN(ReferenceData!$BE$111),"",ReferenceData!$BE$111),"")</f>
        <v/>
      </c>
      <c r="BF111" t="str">
        <f ca="1">IFERROR(IF(0=LEN(ReferenceData!$BF$111),"",ReferenceData!$BF$111),"")</f>
        <v/>
      </c>
      <c r="BG111" t="str">
        <f ca="1">IFERROR(IF(0=LEN(ReferenceData!$BG$111),"",ReferenceData!$BG$111),"")</f>
        <v/>
      </c>
      <c r="BH111" t="str">
        <f ca="1">IFERROR(IF(0=LEN(ReferenceData!$BH$111),"",ReferenceData!$BH$111),"")</f>
        <v/>
      </c>
      <c r="BI111" t="str">
        <f ca="1">IFERROR(IF(0=LEN(ReferenceData!$BI$111),"",ReferenceData!$BI$111),"")</f>
        <v/>
      </c>
      <c r="BJ111" t="str">
        <f ca="1">IFERROR(IF(0=LEN(ReferenceData!$BJ$111),"",ReferenceData!$BJ$111),"")</f>
        <v/>
      </c>
      <c r="BK111" t="str">
        <f ca="1">IFERROR(IF(0=LEN(ReferenceData!$BK$111),"",ReferenceData!$BK$111),"")</f>
        <v/>
      </c>
      <c r="BL111" t="str">
        <f ca="1">IFERROR(IF(0=LEN(ReferenceData!$BL$111),"",ReferenceData!$BL$111),"")</f>
        <v/>
      </c>
      <c r="BM111" t="str">
        <f ca="1">IFERROR(IF(0=LEN(ReferenceData!$BM$111),"",ReferenceData!$BM$111),"")</f>
        <v/>
      </c>
    </row>
    <row r="112" spans="1:65" x14ac:dyDescent="0.25">
      <c r="A112" t="str">
        <f>IFERROR(IF(0=LEN(ReferenceData!$A$112),"",ReferenceData!$A$112),"")</f>
        <v xml:space="preserve">        Recurring Operating Margin (%)</v>
      </c>
      <c r="B112" t="str">
        <f>IFERROR(IF(0=LEN(ReferenceData!$B$112),"",ReferenceData!$B$112),"")</f>
        <v>KER FP Equity</v>
      </c>
      <c r="C112" t="str">
        <f>IFERROR(IF(0=LEN(ReferenceData!$C$112),"",ReferenceData!$C$112),"")</f>
        <v/>
      </c>
      <c r="D112" t="str">
        <f>IFERROR(IF(0=LEN(ReferenceData!$D$112),"",ReferenceData!$D$112),"")</f>
        <v/>
      </c>
      <c r="E112" t="str">
        <f>IFERROR(IF(0=LEN(ReferenceData!$E$112),"",ReferenceData!$E$112),"")</f>
        <v>Expression</v>
      </c>
      <c r="F112" t="str">
        <f ca="1">IFERROR(IF(0=LEN(ReferenceData!$F$112),"",ReferenceData!$F$112),"")</f>
        <v/>
      </c>
      <c r="G112" t="str">
        <f ca="1">IFERROR(IF(0=LEN(ReferenceData!$G$112),"",ReferenceData!$G$112),"")</f>
        <v/>
      </c>
      <c r="H112" t="str">
        <f ca="1">IFERROR(IF(0=LEN(ReferenceData!$H$112),"",ReferenceData!$H$112),"")</f>
        <v/>
      </c>
      <c r="I112" t="str">
        <f ca="1">IFERROR(IF(0=LEN(ReferenceData!$I$112),"",ReferenceData!$I$112),"")</f>
        <v/>
      </c>
      <c r="J112" t="str">
        <f ca="1">IFERROR(IF(0=LEN(ReferenceData!$J$112),"",ReferenceData!$J$112),"")</f>
        <v/>
      </c>
      <c r="K112" t="str">
        <f ca="1">IFERROR(IF(0=LEN(ReferenceData!$K$112),"",ReferenceData!$K$112),"")</f>
        <v/>
      </c>
      <c r="L112" t="str">
        <f ca="1">IFERROR(IF(0=LEN(ReferenceData!$L$112),"",ReferenceData!$L$112),"")</f>
        <v/>
      </c>
      <c r="M112" t="str">
        <f ca="1">IFERROR(IF(0=LEN(ReferenceData!$M$112),"",ReferenceData!$M$112),"")</f>
        <v/>
      </c>
      <c r="N112" t="str">
        <f ca="1">IFERROR(IF(0=LEN(ReferenceData!$N$112),"",ReferenceData!$N$112),"")</f>
        <v/>
      </c>
      <c r="O112" t="str">
        <f ca="1">IFERROR(IF(0=LEN(ReferenceData!$O$112),"",ReferenceData!$O$112),"")</f>
        <v/>
      </c>
      <c r="P112" t="str">
        <f ca="1">IFERROR(IF(0=LEN(ReferenceData!$P$112),"",ReferenceData!$P$112),"")</f>
        <v/>
      </c>
      <c r="Q112" t="str">
        <f ca="1">IFERROR(IF(0=LEN(ReferenceData!$Q$112),"",ReferenceData!$Q$112),"")</f>
        <v/>
      </c>
      <c r="R112" t="str">
        <f ca="1">IFERROR(IF(0=LEN(ReferenceData!$R$112),"",ReferenceData!$R$112),"")</f>
        <v/>
      </c>
      <c r="S112" t="str">
        <f ca="1">IFERROR(IF(0=LEN(ReferenceData!$S$112),"",ReferenceData!$S$112),"")</f>
        <v/>
      </c>
      <c r="T112" t="str">
        <f ca="1">IFERROR(IF(0=LEN(ReferenceData!$T$112),"",ReferenceData!$T$112),"")</f>
        <v/>
      </c>
      <c r="U112" t="str">
        <f ca="1">IFERROR(IF(0=LEN(ReferenceData!$U$112),"",ReferenceData!$U$112),"")</f>
        <v/>
      </c>
      <c r="V112" t="str">
        <f ca="1">IFERROR(IF(0=LEN(ReferenceData!$V$112),"",ReferenceData!$V$112),"")</f>
        <v/>
      </c>
      <c r="W112" t="str">
        <f ca="1">IFERROR(IF(0=LEN(ReferenceData!$W$112),"",ReferenceData!$W$112),"")</f>
        <v/>
      </c>
      <c r="X112" t="str">
        <f ca="1">IFERROR(IF(0=LEN(ReferenceData!$X$112),"",ReferenceData!$X$112),"")</f>
        <v/>
      </c>
      <c r="Y112" t="str">
        <f ca="1">IFERROR(IF(0=LEN(ReferenceData!$Y$112),"",ReferenceData!$Y$112),"")</f>
        <v/>
      </c>
      <c r="Z112" t="str">
        <f ca="1">IFERROR(IF(0=LEN(ReferenceData!$Z$112),"",ReferenceData!$Z$112),"")</f>
        <v/>
      </c>
      <c r="AA112" t="str">
        <f ca="1">IFERROR(IF(0=LEN(ReferenceData!$AA$112),"",ReferenceData!$AA$112),"")</f>
        <v/>
      </c>
      <c r="AB112" t="str">
        <f ca="1">IFERROR(IF(0=LEN(ReferenceData!$AB$112),"",ReferenceData!$AB$112),"")</f>
        <v/>
      </c>
      <c r="AC112" t="str">
        <f ca="1">IFERROR(IF(0=LEN(ReferenceData!$AC$112),"",ReferenceData!$AC$112),"")</f>
        <v/>
      </c>
      <c r="AD112" t="str">
        <f ca="1">IFERROR(IF(0=LEN(ReferenceData!$AD$112),"",ReferenceData!$AD$112),"")</f>
        <v/>
      </c>
      <c r="AE112" t="str">
        <f ca="1">IFERROR(IF(0=LEN(ReferenceData!$AE$112),"",ReferenceData!$AE$112),"")</f>
        <v/>
      </c>
      <c r="AF112" t="str">
        <f ca="1">IFERROR(IF(0=LEN(ReferenceData!$AF$112),"",ReferenceData!$AF$112),"")</f>
        <v/>
      </c>
      <c r="AG112" t="str">
        <f ca="1">IFERROR(IF(0=LEN(ReferenceData!$AG$112),"",ReferenceData!$AG$112),"")</f>
        <v/>
      </c>
      <c r="AH112" t="str">
        <f ca="1">IFERROR(IF(0=LEN(ReferenceData!$AH$112),"",ReferenceData!$AH$112),"")</f>
        <v/>
      </c>
      <c r="AI112" t="str">
        <f ca="1">IFERROR(IF(0=LEN(ReferenceData!$AI$112),"",ReferenceData!$AI$112),"")</f>
        <v/>
      </c>
      <c r="AJ112" t="str">
        <f ca="1">IFERROR(IF(0=LEN(ReferenceData!$AJ$112),"",ReferenceData!$AJ$112),"")</f>
        <v/>
      </c>
      <c r="AK112" t="str">
        <f ca="1">IFERROR(IF(0=LEN(ReferenceData!$AK$112),"",ReferenceData!$AK$112),"")</f>
        <v/>
      </c>
      <c r="AL112" t="str">
        <f ca="1">IFERROR(IF(0=LEN(ReferenceData!$AL$112),"",ReferenceData!$AL$112),"")</f>
        <v/>
      </c>
      <c r="AM112" t="str">
        <f ca="1">IFERROR(IF(0=LEN(ReferenceData!$AM$112),"",ReferenceData!$AM$112),"")</f>
        <v/>
      </c>
      <c r="AN112" t="str">
        <f ca="1">IFERROR(IF(0=LEN(ReferenceData!$AN$112),"",ReferenceData!$AN$112),"")</f>
        <v/>
      </c>
      <c r="AO112" t="str">
        <f ca="1">IFERROR(IF(0=LEN(ReferenceData!$AO$112),"",ReferenceData!$AO$112),"")</f>
        <v/>
      </c>
      <c r="AP112" t="str">
        <f ca="1">IFERROR(IF(0=LEN(ReferenceData!$AP$112),"",ReferenceData!$AP$112),"")</f>
        <v/>
      </c>
      <c r="AQ112" t="str">
        <f ca="1">IFERROR(IF(0=LEN(ReferenceData!$AQ$112),"",ReferenceData!$AQ$112),"")</f>
        <v/>
      </c>
      <c r="AR112" t="str">
        <f ca="1">IFERROR(IF(0=LEN(ReferenceData!$AR$112),"",ReferenceData!$AR$112),"")</f>
        <v/>
      </c>
      <c r="AS112" t="str">
        <f ca="1">IFERROR(IF(0=LEN(ReferenceData!$AS$112),"",ReferenceData!$AS$112),"")</f>
        <v/>
      </c>
      <c r="AT112" t="str">
        <f ca="1">IFERROR(IF(0=LEN(ReferenceData!$AT$112),"",ReferenceData!$AT$112),"")</f>
        <v/>
      </c>
      <c r="AU112" t="str">
        <f ca="1">IFERROR(IF(0=LEN(ReferenceData!$AU$112),"",ReferenceData!$AU$112),"")</f>
        <v/>
      </c>
      <c r="AV112" t="str">
        <f ca="1">IFERROR(IF(0=LEN(ReferenceData!$AV$112),"",ReferenceData!$AV$112),"")</f>
        <v/>
      </c>
      <c r="AW112" t="str">
        <f ca="1">IFERROR(IF(0=LEN(ReferenceData!$AW$112),"",ReferenceData!$AW$112),"")</f>
        <v/>
      </c>
      <c r="AX112" t="str">
        <f ca="1">IFERROR(IF(0=LEN(ReferenceData!$AX$112),"",ReferenceData!$AX$112),"")</f>
        <v/>
      </c>
      <c r="AY112" t="str">
        <f ca="1">IFERROR(IF(0=LEN(ReferenceData!$AY$112),"",ReferenceData!$AY$112),"")</f>
        <v/>
      </c>
      <c r="AZ112" t="str">
        <f ca="1">IFERROR(IF(0=LEN(ReferenceData!$AZ$112),"",ReferenceData!$AZ$112),"")</f>
        <v/>
      </c>
      <c r="BA112" t="str">
        <f ca="1">IFERROR(IF(0=LEN(ReferenceData!$BA$112),"",ReferenceData!$BA$112),"")</f>
        <v/>
      </c>
      <c r="BB112" t="str">
        <f ca="1">IFERROR(IF(0=LEN(ReferenceData!$BB$112),"",ReferenceData!$BB$112),"")</f>
        <v/>
      </c>
      <c r="BC112" t="str">
        <f ca="1">IFERROR(IF(0=LEN(ReferenceData!$BC$112),"",ReferenceData!$BC$112),"")</f>
        <v/>
      </c>
      <c r="BD112" t="str">
        <f ca="1">IFERROR(IF(0=LEN(ReferenceData!$BD$112),"",ReferenceData!$BD$112),"")</f>
        <v/>
      </c>
      <c r="BE112" t="str">
        <f ca="1">IFERROR(IF(0=LEN(ReferenceData!$BE$112),"",ReferenceData!$BE$112),"")</f>
        <v/>
      </c>
      <c r="BF112" t="str">
        <f ca="1">IFERROR(IF(0=LEN(ReferenceData!$BF$112),"",ReferenceData!$BF$112),"")</f>
        <v/>
      </c>
      <c r="BG112" t="str">
        <f ca="1">IFERROR(IF(0=LEN(ReferenceData!$BG$112),"",ReferenceData!$BG$112),"")</f>
        <v/>
      </c>
      <c r="BH112" t="str">
        <f ca="1">IFERROR(IF(0=LEN(ReferenceData!$BH$112),"",ReferenceData!$BH$112),"")</f>
        <v/>
      </c>
      <c r="BI112" t="str">
        <f ca="1">IFERROR(IF(0=LEN(ReferenceData!$BI$112),"",ReferenceData!$BI$112),"")</f>
        <v/>
      </c>
      <c r="BJ112" t="str">
        <f ca="1">IFERROR(IF(0=LEN(ReferenceData!$BJ$112),"",ReferenceData!$BJ$112),"")</f>
        <v/>
      </c>
      <c r="BK112" t="str">
        <f ca="1">IFERROR(IF(0=LEN(ReferenceData!$BK$112),"",ReferenceData!$BK$112),"")</f>
        <v/>
      </c>
      <c r="BL112" t="str">
        <f ca="1">IFERROR(IF(0=LEN(ReferenceData!$BL$112),"",ReferenceData!$BL$112),"")</f>
        <v/>
      </c>
      <c r="BM112" t="str">
        <f ca="1">IFERROR(IF(0=LEN(ReferenceData!$BM$112),"",ReferenceData!$BM$112),"")</f>
        <v/>
      </c>
    </row>
    <row r="113" spans="1:65" x14ac:dyDescent="0.25">
      <c r="A113" t="str">
        <f>IFERROR(IF(0=LEN(ReferenceData!$A$113),"",ReferenceData!$A$113),"")</f>
        <v xml:space="preserve">    Other Luxury Brands</v>
      </c>
      <c r="B113" t="str">
        <f>IFERROR(IF(0=LEN(ReferenceData!$B$113),"",ReferenceData!$B$113),"")</f>
        <v/>
      </c>
      <c r="C113" t="str">
        <f>IFERROR(IF(0=LEN(ReferenceData!$C$113),"",ReferenceData!$C$113),"")</f>
        <v/>
      </c>
      <c r="D113" t="str">
        <f>IFERROR(IF(0=LEN(ReferenceData!$D$113),"",ReferenceData!$D$113),"")</f>
        <v/>
      </c>
      <c r="E113" t="str">
        <f>IFERROR(IF(0=LEN(ReferenceData!$E$113),"",ReferenceData!$E$113),"")</f>
        <v>Static</v>
      </c>
      <c r="F113" t="str">
        <f ca="1">IFERROR(IF(0=LEN(ReferenceData!$F$113),"",ReferenceData!$F$113),"")</f>
        <v/>
      </c>
      <c r="G113" t="str">
        <f ca="1">IFERROR(IF(0=LEN(ReferenceData!$G$113),"",ReferenceData!$G$113),"")</f>
        <v/>
      </c>
      <c r="H113" t="str">
        <f ca="1">IFERROR(IF(0=LEN(ReferenceData!$H$113),"",ReferenceData!$H$113),"")</f>
        <v/>
      </c>
      <c r="I113" t="str">
        <f ca="1">IFERROR(IF(0=LEN(ReferenceData!$I$113),"",ReferenceData!$I$113),"")</f>
        <v/>
      </c>
      <c r="J113" t="str">
        <f ca="1">IFERROR(IF(0=LEN(ReferenceData!$J$113),"",ReferenceData!$J$113),"")</f>
        <v/>
      </c>
      <c r="K113" t="str">
        <f ca="1">IFERROR(IF(0=LEN(ReferenceData!$K$113),"",ReferenceData!$K$113),"")</f>
        <v/>
      </c>
      <c r="L113" t="str">
        <f ca="1">IFERROR(IF(0=LEN(ReferenceData!$L$113),"",ReferenceData!$L$113),"")</f>
        <v/>
      </c>
      <c r="M113" t="str">
        <f ca="1">IFERROR(IF(0=LEN(ReferenceData!$M$113),"",ReferenceData!$M$113),"")</f>
        <v/>
      </c>
      <c r="N113" t="str">
        <f ca="1">IFERROR(IF(0=LEN(ReferenceData!$N$113),"",ReferenceData!$N$113),"")</f>
        <v/>
      </c>
      <c r="O113" t="str">
        <f ca="1">IFERROR(IF(0=LEN(ReferenceData!$O$113),"",ReferenceData!$O$113),"")</f>
        <v/>
      </c>
      <c r="P113" t="str">
        <f ca="1">IFERROR(IF(0=LEN(ReferenceData!$P$113),"",ReferenceData!$P$113),"")</f>
        <v/>
      </c>
      <c r="Q113" t="str">
        <f ca="1">IFERROR(IF(0=LEN(ReferenceData!$Q$113),"",ReferenceData!$Q$113),"")</f>
        <v/>
      </c>
      <c r="R113" t="str">
        <f ca="1">IFERROR(IF(0=LEN(ReferenceData!$R$113),"",ReferenceData!$R$113),"")</f>
        <v/>
      </c>
      <c r="S113" t="str">
        <f ca="1">IFERROR(IF(0=LEN(ReferenceData!$S$113),"",ReferenceData!$S$113),"")</f>
        <v/>
      </c>
      <c r="T113" t="str">
        <f ca="1">IFERROR(IF(0=LEN(ReferenceData!$T$113),"",ReferenceData!$T$113),"")</f>
        <v/>
      </c>
      <c r="U113" t="str">
        <f ca="1">IFERROR(IF(0=LEN(ReferenceData!$U$113),"",ReferenceData!$U$113),"")</f>
        <v/>
      </c>
      <c r="V113" t="str">
        <f ca="1">IFERROR(IF(0=LEN(ReferenceData!$V$113),"",ReferenceData!$V$113),"")</f>
        <v/>
      </c>
      <c r="W113" t="str">
        <f ca="1">IFERROR(IF(0=LEN(ReferenceData!$W$113),"",ReferenceData!$W$113),"")</f>
        <v/>
      </c>
      <c r="X113" t="str">
        <f ca="1">IFERROR(IF(0=LEN(ReferenceData!$X$113),"",ReferenceData!$X$113),"")</f>
        <v/>
      </c>
      <c r="Y113" t="str">
        <f ca="1">IFERROR(IF(0=LEN(ReferenceData!$Y$113),"",ReferenceData!$Y$113),"")</f>
        <v/>
      </c>
      <c r="Z113" t="str">
        <f ca="1">IFERROR(IF(0=LEN(ReferenceData!$Z$113),"",ReferenceData!$Z$113),"")</f>
        <v/>
      </c>
      <c r="AA113" t="str">
        <f ca="1">IFERROR(IF(0=LEN(ReferenceData!$AA$113),"",ReferenceData!$AA$113),"")</f>
        <v/>
      </c>
      <c r="AB113" t="str">
        <f ca="1">IFERROR(IF(0=LEN(ReferenceData!$AB$113),"",ReferenceData!$AB$113),"")</f>
        <v/>
      </c>
      <c r="AC113" t="str">
        <f ca="1">IFERROR(IF(0=LEN(ReferenceData!$AC$113),"",ReferenceData!$AC$113),"")</f>
        <v/>
      </c>
      <c r="AD113" t="str">
        <f ca="1">IFERROR(IF(0=LEN(ReferenceData!$AD$113),"",ReferenceData!$AD$113),"")</f>
        <v/>
      </c>
      <c r="AE113" t="str">
        <f ca="1">IFERROR(IF(0=LEN(ReferenceData!$AE$113),"",ReferenceData!$AE$113),"")</f>
        <v/>
      </c>
      <c r="AF113" t="str">
        <f ca="1">IFERROR(IF(0=LEN(ReferenceData!$AF$113),"",ReferenceData!$AF$113),"")</f>
        <v/>
      </c>
      <c r="AG113" t="str">
        <f ca="1">IFERROR(IF(0=LEN(ReferenceData!$AG$113),"",ReferenceData!$AG$113),"")</f>
        <v/>
      </c>
      <c r="AH113" t="str">
        <f ca="1">IFERROR(IF(0=LEN(ReferenceData!$AH$113),"",ReferenceData!$AH$113),"")</f>
        <v/>
      </c>
      <c r="AI113" t="str">
        <f ca="1">IFERROR(IF(0=LEN(ReferenceData!$AI$113),"",ReferenceData!$AI$113),"")</f>
        <v/>
      </c>
      <c r="AJ113" t="str">
        <f ca="1">IFERROR(IF(0=LEN(ReferenceData!$AJ$113),"",ReferenceData!$AJ$113),"")</f>
        <v/>
      </c>
      <c r="AK113" t="str">
        <f ca="1">IFERROR(IF(0=LEN(ReferenceData!$AK$113),"",ReferenceData!$AK$113),"")</f>
        <v/>
      </c>
      <c r="AL113" t="str">
        <f ca="1">IFERROR(IF(0=LEN(ReferenceData!$AL$113),"",ReferenceData!$AL$113),"")</f>
        <v/>
      </c>
      <c r="AM113" t="str">
        <f ca="1">IFERROR(IF(0=LEN(ReferenceData!$AM$113),"",ReferenceData!$AM$113),"")</f>
        <v/>
      </c>
      <c r="AN113" t="str">
        <f ca="1">IFERROR(IF(0=LEN(ReferenceData!$AN$113),"",ReferenceData!$AN$113),"")</f>
        <v/>
      </c>
      <c r="AO113" t="str">
        <f ca="1">IFERROR(IF(0=LEN(ReferenceData!$AO$113),"",ReferenceData!$AO$113),"")</f>
        <v/>
      </c>
      <c r="AP113" t="str">
        <f ca="1">IFERROR(IF(0=LEN(ReferenceData!$AP$113),"",ReferenceData!$AP$113),"")</f>
        <v/>
      </c>
      <c r="AQ113" t="str">
        <f ca="1">IFERROR(IF(0=LEN(ReferenceData!$AQ$113),"",ReferenceData!$AQ$113),"")</f>
        <v/>
      </c>
      <c r="AR113" t="str">
        <f ca="1">IFERROR(IF(0=LEN(ReferenceData!$AR$113),"",ReferenceData!$AR$113),"")</f>
        <v/>
      </c>
      <c r="AS113" t="str">
        <f ca="1">IFERROR(IF(0=LEN(ReferenceData!$AS$113),"",ReferenceData!$AS$113),"")</f>
        <v/>
      </c>
      <c r="AT113" t="str">
        <f ca="1">IFERROR(IF(0=LEN(ReferenceData!$AT$113),"",ReferenceData!$AT$113),"")</f>
        <v/>
      </c>
      <c r="AU113" t="str">
        <f ca="1">IFERROR(IF(0=LEN(ReferenceData!$AU$113),"",ReferenceData!$AU$113),"")</f>
        <v/>
      </c>
      <c r="AV113" t="str">
        <f ca="1">IFERROR(IF(0=LEN(ReferenceData!$AV$113),"",ReferenceData!$AV$113),"")</f>
        <v/>
      </c>
      <c r="AW113" t="str">
        <f ca="1">IFERROR(IF(0=LEN(ReferenceData!$AW$113),"",ReferenceData!$AW$113),"")</f>
        <v/>
      </c>
      <c r="AX113" t="str">
        <f ca="1">IFERROR(IF(0=LEN(ReferenceData!$AX$113),"",ReferenceData!$AX$113),"")</f>
        <v/>
      </c>
      <c r="AY113" t="str">
        <f ca="1">IFERROR(IF(0=LEN(ReferenceData!$AY$113),"",ReferenceData!$AY$113),"")</f>
        <v/>
      </c>
      <c r="AZ113" t="str">
        <f ca="1">IFERROR(IF(0=LEN(ReferenceData!$AZ$113),"",ReferenceData!$AZ$113),"")</f>
        <v/>
      </c>
      <c r="BA113" t="str">
        <f ca="1">IFERROR(IF(0=LEN(ReferenceData!$BA$113),"",ReferenceData!$BA$113),"")</f>
        <v/>
      </c>
      <c r="BB113" t="str">
        <f ca="1">IFERROR(IF(0=LEN(ReferenceData!$BB$113),"",ReferenceData!$BB$113),"")</f>
        <v/>
      </c>
      <c r="BC113" t="str">
        <f ca="1">IFERROR(IF(0=LEN(ReferenceData!$BC$113),"",ReferenceData!$BC$113),"")</f>
        <v/>
      </c>
      <c r="BD113" t="str">
        <f ca="1">IFERROR(IF(0=LEN(ReferenceData!$BD$113),"",ReferenceData!$BD$113),"")</f>
        <v/>
      </c>
      <c r="BE113" t="str">
        <f ca="1">IFERROR(IF(0=LEN(ReferenceData!$BE$113),"",ReferenceData!$BE$113),"")</f>
        <v/>
      </c>
      <c r="BF113" t="str">
        <f ca="1">IFERROR(IF(0=LEN(ReferenceData!$BF$113),"",ReferenceData!$BF$113),"")</f>
        <v/>
      </c>
      <c r="BG113" t="str">
        <f ca="1">IFERROR(IF(0=LEN(ReferenceData!$BG$113),"",ReferenceData!$BG$113),"")</f>
        <v/>
      </c>
      <c r="BH113" t="str">
        <f ca="1">IFERROR(IF(0=LEN(ReferenceData!$BH$113),"",ReferenceData!$BH$113),"")</f>
        <v/>
      </c>
      <c r="BI113" t="str">
        <f ca="1">IFERROR(IF(0=LEN(ReferenceData!$BI$113),"",ReferenceData!$BI$113),"")</f>
        <v/>
      </c>
      <c r="BJ113" t="str">
        <f ca="1">IFERROR(IF(0=LEN(ReferenceData!$BJ$113),"",ReferenceData!$BJ$113),"")</f>
        <v/>
      </c>
      <c r="BK113" t="str">
        <f ca="1">IFERROR(IF(0=LEN(ReferenceData!$BK$113),"",ReferenceData!$BK$113),"")</f>
        <v/>
      </c>
      <c r="BL113" t="str">
        <f ca="1">IFERROR(IF(0=LEN(ReferenceData!$BL$113),"",ReferenceData!$BL$113),"")</f>
        <v/>
      </c>
      <c r="BM113" t="str">
        <f ca="1">IFERROR(IF(0=LEN(ReferenceData!$BM$113),"",ReferenceData!$BM$113),"")</f>
        <v/>
      </c>
    </row>
    <row r="114" spans="1:65" x14ac:dyDescent="0.25">
      <c r="A114" t="str">
        <f>IFERROR(IF(0=LEN(ReferenceData!$A$114),"",ReferenceData!$A$114),"")</f>
        <v xml:space="preserve">        Revenue</v>
      </c>
      <c r="B114" t="str">
        <f>IFERROR(IF(0=LEN(ReferenceData!$B$114),"",ReferenceData!$B$114),"")</f>
        <v>KER FP Equity</v>
      </c>
      <c r="C114" t="str">
        <f>IFERROR(IF(0=LEN(ReferenceData!$C$114),"",ReferenceData!$C$114),"")</f>
        <v>BI047</v>
      </c>
      <c r="D114" t="str">
        <f>IFERROR(IF(0=LEN(ReferenceData!$D$114),"",ReferenceData!$D$114),"")</f>
        <v>BICS_SEGMENT_DATA</v>
      </c>
      <c r="E114" t="str">
        <f>IFERROR(IF(0=LEN(ReferenceData!$E$114),"",ReferenceData!$E$114),"")</f>
        <v>Dynamic</v>
      </c>
      <c r="F114" t="str">
        <f ca="1">IFERROR(IF(0=LEN(ReferenceData!$F$114),"",ReferenceData!$F$114),"")</f>
        <v/>
      </c>
      <c r="G114">
        <f ca="1">IFERROR(IF(0=LEN(ReferenceData!$G$114),"",ReferenceData!$G$114),"")</f>
        <v>843.7</v>
      </c>
      <c r="H114">
        <f ca="1">IFERROR(IF(0=LEN(ReferenceData!$H$114),"",ReferenceData!$H$114),"")</f>
        <v>761.3</v>
      </c>
      <c r="I114">
        <f ca="1">IFERROR(IF(0=LEN(ReferenceData!$I$114),"",ReferenceData!$I$114),"")</f>
        <v>714.3</v>
      </c>
      <c r="J114">
        <f ca="1">IFERROR(IF(0=LEN(ReferenceData!$J$114),"",ReferenceData!$J$114),"")</f>
        <v>693.1</v>
      </c>
      <c r="K114">
        <f ca="1">IFERROR(IF(0=LEN(ReferenceData!$K$114),"",ReferenceData!$K$114),"")</f>
        <v>669.1</v>
      </c>
      <c r="L114">
        <f ca="1">IFERROR(IF(0=LEN(ReferenceData!$L$114),"",ReferenceData!$L$114),"")</f>
        <v>365.8</v>
      </c>
      <c r="M114">
        <f ca="1">IFERROR(IF(0=LEN(ReferenceData!$M$114),"",ReferenceData!$M$114),"")</f>
        <v>553.29999999999995</v>
      </c>
      <c r="N114">
        <f ca="1">IFERROR(IF(0=LEN(ReferenceData!$N$114),"",ReferenceData!$N$114),"")</f>
        <v>699.9</v>
      </c>
      <c r="O114">
        <f ca="1">IFERROR(IF(0=LEN(ReferenceData!$O$114),"",ReferenceData!$O$114),"")</f>
        <v>612.29999999999995</v>
      </c>
      <c r="P114">
        <f ca="1">IFERROR(IF(0=LEN(ReferenceData!$P$114),"",ReferenceData!$P$114),"")</f>
        <v>648.4</v>
      </c>
      <c r="Q114">
        <f ca="1">IFERROR(IF(0=LEN(ReferenceData!$Q$114),"",ReferenceData!$Q$114),"")</f>
        <v>576.9</v>
      </c>
      <c r="R114">
        <f ca="1">IFERROR(IF(0=LEN(ReferenceData!$R$114),"",ReferenceData!$R$114),"")</f>
        <v>595.70000000000005</v>
      </c>
      <c r="S114">
        <f ca="1">IFERROR(IF(0=LEN(ReferenceData!$S$114),"",ReferenceData!$S$114),"")</f>
        <v>516.4</v>
      </c>
      <c r="T114">
        <f ca="1">IFERROR(IF(0=LEN(ReferenceData!$T$114),"",ReferenceData!$T$114),"")</f>
        <v>533.79999999999995</v>
      </c>
      <c r="U114">
        <f ca="1">IFERROR(IF(0=LEN(ReferenceData!$U$114),"",ReferenceData!$U$114),"")</f>
        <v>463.3</v>
      </c>
      <c r="V114">
        <f ca="1">IFERROR(IF(0=LEN(ReferenceData!$V$114),"",ReferenceData!$V$114),"")</f>
        <v>549.79999999999995</v>
      </c>
      <c r="W114">
        <f ca="1">IFERROR(IF(0=LEN(ReferenceData!$W$114),"",ReferenceData!$W$114),"")</f>
        <v>390.7</v>
      </c>
      <c r="X114">
        <f ca="1">IFERROR(IF(0=LEN(ReferenceData!$X$114),"",ReferenceData!$X$114),"")</f>
        <v>543.79999999999995</v>
      </c>
      <c r="Y114">
        <f ca="1">IFERROR(IF(0=LEN(ReferenceData!$Y$114),"",ReferenceData!$Y$114),"")</f>
        <v>353.7</v>
      </c>
      <c r="Z114">
        <f ca="1">IFERROR(IF(0=LEN(ReferenceData!$Z$114),"",ReferenceData!$Z$114),"")</f>
        <v>479.5</v>
      </c>
      <c r="AA114">
        <f ca="1">IFERROR(IF(0=LEN(ReferenceData!$AA$114),"",ReferenceData!$AA$114),"")</f>
        <v>406.7</v>
      </c>
      <c r="AB114">
        <f ca="1">IFERROR(IF(0=LEN(ReferenceData!$AB$114),"",ReferenceData!$AB$114),"")</f>
        <v>438.9</v>
      </c>
      <c r="AC114">
        <f ca="1">IFERROR(IF(0=LEN(ReferenceData!$AC$114),"",ReferenceData!$AC$114),"")</f>
        <v>372.4</v>
      </c>
      <c r="AD114">
        <f ca="1">IFERROR(IF(0=LEN(ReferenceData!$AD$114),"",ReferenceData!$AD$114),"")</f>
        <v>495.4</v>
      </c>
      <c r="AE114">
        <f ca="1">IFERROR(IF(0=LEN(ReferenceData!$AE$114),"",ReferenceData!$AE$114),"")</f>
        <v>397</v>
      </c>
      <c r="AF114">
        <f ca="1">IFERROR(IF(0=LEN(ReferenceData!$AF$114),"",ReferenceData!$AF$114),"")</f>
        <v>431.9</v>
      </c>
      <c r="AG114">
        <f ca="1">IFERROR(IF(0=LEN(ReferenceData!$AG$114),"",ReferenceData!$AG$114),"")</f>
        <v>383.6</v>
      </c>
      <c r="AH114">
        <f ca="1">IFERROR(IF(0=LEN(ReferenceData!$AH$114),"",ReferenceData!$AH$114),"")</f>
        <v>411.5</v>
      </c>
      <c r="AI114">
        <f ca="1">IFERROR(IF(0=LEN(ReferenceData!$AI$114),"",ReferenceData!$AI$114),"")</f>
        <v>340.9</v>
      </c>
      <c r="AJ114">
        <f ca="1">IFERROR(IF(0=LEN(ReferenceData!$AJ$114),"",ReferenceData!$AJ$114),"")</f>
        <v>354.2</v>
      </c>
      <c r="AK114">
        <f ca="1">IFERROR(IF(0=LEN(ReferenceData!$AK$114),"",ReferenceData!$AK$114),"")</f>
        <v>354</v>
      </c>
      <c r="AL114">
        <f ca="1">IFERROR(IF(0=LEN(ReferenceData!$AL$114),"",ReferenceData!$AL$114),"")</f>
        <v>380.3</v>
      </c>
      <c r="AM114">
        <f ca="1">IFERROR(IF(0=LEN(ReferenceData!$AM$114),"",ReferenceData!$AM$114),"")</f>
        <v>353.7</v>
      </c>
      <c r="AN114">
        <f ca="1">IFERROR(IF(0=LEN(ReferenceData!$AN$114),"",ReferenceData!$AN$114),"")</f>
        <v>301.39999999999998</v>
      </c>
      <c r="AO114">
        <f ca="1">IFERROR(IF(0=LEN(ReferenceData!$AO$114),"",ReferenceData!$AO$114),"")</f>
        <v>301</v>
      </c>
      <c r="AP114">
        <f ca="1">IFERROR(IF(0=LEN(ReferenceData!$AP$114),"",ReferenceData!$AP$114),"")</f>
        <v>305.2</v>
      </c>
      <c r="AQ114">
        <f ca="1">IFERROR(IF(0=LEN(ReferenceData!$AQ$114),"",ReferenceData!$AQ$114),"")</f>
        <v>306.7</v>
      </c>
      <c r="AR114">
        <f ca="1">IFERROR(IF(0=LEN(ReferenceData!$AR$114),"",ReferenceData!$AR$114),"")</f>
        <v>260.5</v>
      </c>
      <c r="AS114">
        <f ca="1">IFERROR(IF(0=LEN(ReferenceData!$AS$114),"",ReferenceData!$AS$114),"")</f>
        <v>283.2</v>
      </c>
      <c r="AT114" t="str">
        <f ca="1">IFERROR(IF(0=LEN(ReferenceData!$AT$114),"",ReferenceData!$AT$114),"")</f>
        <v/>
      </c>
      <c r="AU114" t="str">
        <f ca="1">IFERROR(IF(0=LEN(ReferenceData!$AU$114),"",ReferenceData!$AU$114),"")</f>
        <v/>
      </c>
      <c r="AV114">
        <f ca="1">IFERROR(IF(0=LEN(ReferenceData!$AV$114),"",ReferenceData!$AV$114),"")</f>
        <v>152.6</v>
      </c>
      <c r="AW114">
        <f ca="1">IFERROR(IF(0=LEN(ReferenceData!$AW$114),"",ReferenceData!$AW$114),"")</f>
        <v>165.5</v>
      </c>
      <c r="AX114">
        <f ca="1">IFERROR(IF(0=LEN(ReferenceData!$AX$114),"",ReferenceData!$AX$114),"")</f>
        <v>143.30000000000001</v>
      </c>
      <c r="AY114">
        <f ca="1">IFERROR(IF(0=LEN(ReferenceData!$AY$114),"",ReferenceData!$AY$114),"")</f>
        <v>160.69999999999999</v>
      </c>
      <c r="AZ114">
        <f ca="1">IFERROR(IF(0=LEN(ReferenceData!$AZ$114),"",ReferenceData!$AZ$114),"")</f>
        <v>127</v>
      </c>
      <c r="BA114">
        <f ca="1">IFERROR(IF(0=LEN(ReferenceData!$BA$114),"",ReferenceData!$BA$114),"")</f>
        <v>133.80000000000001</v>
      </c>
      <c r="BB114">
        <f ca="1">IFERROR(IF(0=LEN(ReferenceData!$BB$114),"",ReferenceData!$BB$114),"")</f>
        <v>130.4</v>
      </c>
      <c r="BC114">
        <f ca="1">IFERROR(IF(0=LEN(ReferenceData!$BC$114),"",ReferenceData!$BC$114),"")</f>
        <v>129.5</v>
      </c>
      <c r="BD114">
        <f ca="1">IFERROR(IF(0=LEN(ReferenceData!$BD$114),"",ReferenceData!$BD$114),"")</f>
        <v>100.1</v>
      </c>
      <c r="BE114">
        <f ca="1">IFERROR(IF(0=LEN(ReferenceData!$BE$114),"",ReferenceData!$BE$114),"")</f>
        <v>124.3</v>
      </c>
      <c r="BF114" t="str">
        <f ca="1">IFERROR(IF(0=LEN(ReferenceData!$BF$114),"",ReferenceData!$BF$114),"")</f>
        <v/>
      </c>
      <c r="BG114" t="str">
        <f ca="1">IFERROR(IF(0=LEN(ReferenceData!$BG$114),"",ReferenceData!$BG$114),"")</f>
        <v/>
      </c>
      <c r="BH114" t="str">
        <f ca="1">IFERROR(IF(0=LEN(ReferenceData!$BH$114),"",ReferenceData!$BH$114),"")</f>
        <v/>
      </c>
      <c r="BI114" t="str">
        <f ca="1">IFERROR(IF(0=LEN(ReferenceData!$BI$114),"",ReferenceData!$BI$114),"")</f>
        <v/>
      </c>
      <c r="BJ114" t="str">
        <f ca="1">IFERROR(IF(0=LEN(ReferenceData!$BJ$114),"",ReferenceData!$BJ$114),"")</f>
        <v/>
      </c>
      <c r="BK114" t="str">
        <f ca="1">IFERROR(IF(0=LEN(ReferenceData!$BK$114),"",ReferenceData!$BK$114),"")</f>
        <v/>
      </c>
      <c r="BL114" t="str">
        <f ca="1">IFERROR(IF(0=LEN(ReferenceData!$BL$114),"",ReferenceData!$BL$114),"")</f>
        <v/>
      </c>
      <c r="BM114" t="str">
        <f ca="1">IFERROR(IF(0=LEN(ReferenceData!$BM$114),"",ReferenceData!$BM$114),"")</f>
        <v/>
      </c>
    </row>
    <row r="115" spans="1:65" x14ac:dyDescent="0.25">
      <c r="A115" t="str">
        <f>IFERROR(IF(0=LEN(ReferenceData!$A$115),"",ReferenceData!$A$115),"")</f>
        <v xml:space="preserve">            of Total Kering Sales (%)</v>
      </c>
      <c r="B115" t="str">
        <f>IFERROR(IF(0=LEN(ReferenceData!$B$115),"",ReferenceData!$B$115),"")</f>
        <v>KER FP Equity</v>
      </c>
      <c r="C115" t="str">
        <f>IFERROR(IF(0=LEN(ReferenceData!$C$115),"",ReferenceData!$C$115),"")</f>
        <v/>
      </c>
      <c r="D115" t="str">
        <f>IFERROR(IF(0=LEN(ReferenceData!$D$115),"",ReferenceData!$D$115),"")</f>
        <v/>
      </c>
      <c r="E115" t="str">
        <f>IFERROR(IF(0=LEN(ReferenceData!$E$115),"",ReferenceData!$E$115),"")</f>
        <v>Expression</v>
      </c>
      <c r="F115" t="str">
        <f ca="1">IFERROR(IF(0=LEN(ReferenceData!$F$115),"",ReferenceData!$F$115),"")</f>
        <v/>
      </c>
      <c r="G115">
        <f ca="1">IFERROR(IF(0=LEN(ReferenceData!$G$115),"",ReferenceData!$G$115),"")</f>
        <v>20.146616359999999</v>
      </c>
      <c r="H115">
        <f ca="1">IFERROR(IF(0=LEN(ReferenceData!$H$115),"",ReferenceData!$H$115),"")</f>
        <v>18.312806699999999</v>
      </c>
      <c r="I115">
        <f ca="1">IFERROR(IF(0=LEN(ReferenceData!$I$115),"",ReferenceData!$I$115),"")</f>
        <v>18.36246787</v>
      </c>
      <c r="J115">
        <f ca="1">IFERROR(IF(0=LEN(ReferenceData!$J$115),"",ReferenceData!$J$115),"")</f>
        <v>17.309325210000001</v>
      </c>
      <c r="K115">
        <f ca="1">IFERROR(IF(0=LEN(ReferenceData!$K$115),"",ReferenceData!$K$115),"")</f>
        <v>17.997686739999999</v>
      </c>
      <c r="L115">
        <f ca="1">IFERROR(IF(0=LEN(ReferenceData!$L$115),"",ReferenceData!$L$115),"")</f>
        <v>16.81761758</v>
      </c>
      <c r="M115">
        <f ca="1">IFERROR(IF(0=LEN(ReferenceData!$M$115),"",ReferenceData!$M$115),"")</f>
        <v>17.273351649999999</v>
      </c>
      <c r="N115">
        <f ca="1">IFERROR(IF(0=LEN(ReferenceData!$N$115),"",ReferenceData!$N$115),"")</f>
        <v>16.050911589999998</v>
      </c>
      <c r="O115">
        <f ca="1">IFERROR(IF(0=LEN(ReferenceData!$O$115),"",ReferenceData!$O$115),"")</f>
        <v>15.76224064</v>
      </c>
      <c r="P115">
        <f ca="1">IFERROR(IF(0=LEN(ReferenceData!$P$115),"",ReferenceData!$P$115),"")</f>
        <v>16.828008619999999</v>
      </c>
      <c r="Q115">
        <f ca="1">IFERROR(IF(0=LEN(ReferenceData!$Q$115),"",ReferenceData!$Q$115),"")</f>
        <v>15.24053576</v>
      </c>
      <c r="R115">
        <f ca="1">IFERROR(IF(0=LEN(ReferenceData!$R$115),"",ReferenceData!$R$115),"")</f>
        <v>15.55596177</v>
      </c>
      <c r="S115">
        <f ca="1">IFERROR(IF(0=LEN(ReferenceData!$S$115),"",ReferenceData!$S$115),"")</f>
        <v>15.17930629</v>
      </c>
      <c r="T115">
        <f ca="1">IFERROR(IF(0=LEN(ReferenceData!$T$115),"",ReferenceData!$T$115),"")</f>
        <v>16.049308480000001</v>
      </c>
      <c r="U115">
        <f ca="1">IFERROR(IF(0=LEN(ReferenceData!$U$115),"",ReferenceData!$U$115),"")</f>
        <v>14.91533063</v>
      </c>
      <c r="V115">
        <f ca="1">IFERROR(IF(0=LEN(ReferenceData!$V$115),"",ReferenceData!$V$115),"")</f>
        <v>12.916715610000001</v>
      </c>
      <c r="W115">
        <f ca="1">IFERROR(IF(0=LEN(ReferenceData!$W$115),"",ReferenceData!$W$115),"")</f>
        <v>14.65931262</v>
      </c>
      <c r="X115">
        <f ca="1">IFERROR(IF(0=LEN(ReferenceData!$X$115),"",ReferenceData!$X$115),"")</f>
        <v>20.695691889999999</v>
      </c>
      <c r="Y115">
        <f ca="1">IFERROR(IF(0=LEN(ReferenceData!$Y$115),"",ReferenceData!$Y$115),"")</f>
        <v>9.8978592419999991</v>
      </c>
      <c r="Z115">
        <f ca="1">IFERROR(IF(0=LEN(ReferenceData!$Z$115),"",ReferenceData!$Z$115),"")</f>
        <v>13.67148519</v>
      </c>
      <c r="AA115">
        <f ca="1">IFERROR(IF(0=LEN(ReferenceData!$AA$115),"",ReferenceData!$AA$115),"")</f>
        <v>12.77043364</v>
      </c>
      <c r="AB115">
        <f ca="1">IFERROR(IF(0=LEN(ReferenceData!$AB$115),"",ReferenceData!$AB$115),"")</f>
        <v>14.782257250000001</v>
      </c>
      <c r="AC115">
        <f ca="1">IFERROR(IF(0=LEN(ReferenceData!$AC$115),"",ReferenceData!$AC$115),"")</f>
        <v>13.67207578</v>
      </c>
      <c r="AD115">
        <f ca="1">IFERROR(IF(0=LEN(ReferenceData!$AD$115),"",ReferenceData!$AD$115),"")</f>
        <v>15.595781519999999</v>
      </c>
      <c r="AE115">
        <f ca="1">IFERROR(IF(0=LEN(ReferenceData!$AE$115),"",ReferenceData!$AE$115),"")</f>
        <v>13.712351480000001</v>
      </c>
      <c r="AF115">
        <f ca="1">IFERROR(IF(0=LEN(ReferenceData!$AF$115),"",ReferenceData!$AF$115),"")</f>
        <v>15.094537450000001</v>
      </c>
      <c r="AG115">
        <f ca="1">IFERROR(IF(0=LEN(ReferenceData!$AG$115),"",ReferenceData!$AG$115),"")</f>
        <v>14.470011319999999</v>
      </c>
      <c r="AH115">
        <f ca="1">IFERROR(IF(0=LEN(ReferenceData!$AH$115),"",ReferenceData!$AH$115),"")</f>
        <v>15.008388650000001</v>
      </c>
      <c r="AI115">
        <f ca="1">IFERROR(IF(0=LEN(ReferenceData!$AI$115),"",ReferenceData!$AI$115),"")</f>
        <v>13.186090589999999</v>
      </c>
      <c r="AJ115">
        <f ca="1">IFERROR(IF(0=LEN(ReferenceData!$AJ$115),"",ReferenceData!$AJ$115),"")</f>
        <v>15.07747318</v>
      </c>
      <c r="AK115">
        <f ca="1">IFERROR(IF(0=LEN(ReferenceData!$AK$115),"",ReferenceData!$AK$115),"")</f>
        <v>14.762301920000001</v>
      </c>
      <c r="AL115">
        <f ca="1">IFERROR(IF(0=LEN(ReferenceData!$AL$115),"",ReferenceData!$AL$115),"")</f>
        <v>15.07990008</v>
      </c>
      <c r="AM115">
        <f ca="1">IFERROR(IF(0=LEN(ReferenceData!$AM$115),"",ReferenceData!$AM$115),"")</f>
        <v>14.01902497</v>
      </c>
      <c r="AN115">
        <f ca="1">IFERROR(IF(0=LEN(ReferenceData!$AN$115),"",ReferenceData!$AN$115),"")</f>
        <v>13.058925479999999</v>
      </c>
      <c r="AO115">
        <f ca="1">IFERROR(IF(0=LEN(ReferenceData!$AO$115),"",ReferenceData!$AO$115),"")</f>
        <v>12.69827877</v>
      </c>
      <c r="AP115">
        <f ca="1">IFERROR(IF(0=LEN(ReferenceData!$AP$115),"",ReferenceData!$AP$115),"")</f>
        <v>11.911638440000001</v>
      </c>
      <c r="AQ115">
        <f ca="1">IFERROR(IF(0=LEN(ReferenceData!$AQ$115),"",ReferenceData!$AQ$115),"")</f>
        <v>11.978597089999999</v>
      </c>
      <c r="AR115">
        <f ca="1">IFERROR(IF(0=LEN(ReferenceData!$AR$115),"",ReferenceData!$AR$115),"")</f>
        <v>11.466678399999999</v>
      </c>
      <c r="AS115">
        <f ca="1">IFERROR(IF(0=LEN(ReferenceData!$AS$115),"",ReferenceData!$AS$115),"")</f>
        <v>12.09274521</v>
      </c>
      <c r="AT115" t="str">
        <f ca="1">IFERROR(IF(0=LEN(ReferenceData!$AT$115),"",ReferenceData!$AT$115),"")</f>
        <v/>
      </c>
      <c r="AU115" t="str">
        <f ca="1">IFERROR(IF(0=LEN(ReferenceData!$AU$115),"",ReferenceData!$AU$115),"")</f>
        <v/>
      </c>
      <c r="AV115">
        <f ca="1">IFERROR(IF(0=LEN(ReferenceData!$AV$115),"",ReferenceData!$AV$115),"")</f>
        <v>5.7580559960000004</v>
      </c>
      <c r="AW115">
        <f ca="1">IFERROR(IF(0=LEN(ReferenceData!$AW$115),"",ReferenceData!$AW$115),"")</f>
        <v>5.8650506770000002</v>
      </c>
      <c r="AX115">
        <f ca="1">IFERROR(IF(0=LEN(ReferenceData!$AX$115),"",ReferenceData!$AX$115),"")</f>
        <v>3.3750206079999998</v>
      </c>
      <c r="AY115">
        <f ca="1">IFERROR(IF(0=LEN(ReferenceData!$AY$115),"",ReferenceData!$AY$115),"")</f>
        <v>4.5011483950000004</v>
      </c>
      <c r="AZ115">
        <f ca="1">IFERROR(IF(0=LEN(ReferenceData!$AZ$115),"",ReferenceData!$AZ$115),"")</f>
        <v>3.1670822940000001</v>
      </c>
      <c r="BA115">
        <f ca="1">IFERROR(IF(0=LEN(ReferenceData!$BA$115),"",ReferenceData!$BA$115),"")</f>
        <v>3.935757148</v>
      </c>
      <c r="BB115">
        <f ca="1">IFERROR(IF(0=LEN(ReferenceData!$BB$115),"",ReferenceData!$BB$115),"")</f>
        <v>2.759671548</v>
      </c>
      <c r="BC115">
        <f ca="1">IFERROR(IF(0=LEN(ReferenceData!$BC$115),"",ReferenceData!$BC$115),"")</f>
        <v>2.8379206360000002</v>
      </c>
      <c r="BD115">
        <f ca="1">IFERROR(IF(0=LEN(ReferenceData!$BD$115),"",ReferenceData!$BD$115),"")</f>
        <v>2.2452504320000002</v>
      </c>
      <c r="BE115">
        <f ca="1">IFERROR(IF(0=LEN(ReferenceData!$BE$115),"",ReferenceData!$BE$115),"")</f>
        <v>2.6020514970000002</v>
      </c>
      <c r="BF115" t="str">
        <f ca="1">IFERROR(IF(0=LEN(ReferenceData!$BF$115),"",ReferenceData!$BF$115),"")</f>
        <v/>
      </c>
      <c r="BG115" t="str">
        <f ca="1">IFERROR(IF(0=LEN(ReferenceData!$BG$115),"",ReferenceData!$BG$115),"")</f>
        <v/>
      </c>
      <c r="BH115" t="str">
        <f ca="1">IFERROR(IF(0=LEN(ReferenceData!$BH$115),"",ReferenceData!$BH$115),"")</f>
        <v/>
      </c>
      <c r="BI115" t="str">
        <f ca="1">IFERROR(IF(0=LEN(ReferenceData!$BI$115),"",ReferenceData!$BI$115),"")</f>
        <v/>
      </c>
      <c r="BJ115" t="str">
        <f ca="1">IFERROR(IF(0=LEN(ReferenceData!$BJ$115),"",ReferenceData!$BJ$115),"")</f>
        <v/>
      </c>
      <c r="BK115" t="str">
        <f ca="1">IFERROR(IF(0=LEN(ReferenceData!$BK$115),"",ReferenceData!$BK$115),"")</f>
        <v/>
      </c>
      <c r="BL115" t="str">
        <f ca="1">IFERROR(IF(0=LEN(ReferenceData!$BL$115),"",ReferenceData!$BL$115),"")</f>
        <v/>
      </c>
      <c r="BM115" t="str">
        <f ca="1">IFERROR(IF(0=LEN(ReferenceData!$BM$115),"",ReferenceData!$BM$115),"")</f>
        <v/>
      </c>
    </row>
    <row r="116" spans="1:65" x14ac:dyDescent="0.25">
      <c r="A116" t="str">
        <f>IFERROR(IF(0=LEN(ReferenceData!$A$116),"",ReferenceData!$A$116),"")</f>
        <v xml:space="preserve">        Recurring Operating Income</v>
      </c>
      <c r="B116" t="str">
        <f>IFERROR(IF(0=LEN(ReferenceData!$B$116),"",ReferenceData!$B$116),"")</f>
        <v>KER FP Equity</v>
      </c>
      <c r="C116" t="str">
        <f>IFERROR(IF(0=LEN(ReferenceData!$C$116),"",ReferenceData!$C$116),"")</f>
        <v>BI047</v>
      </c>
      <c r="D116" t="str">
        <f>IFERROR(IF(0=LEN(ReferenceData!$D$116),"",ReferenceData!$D$116),"")</f>
        <v>BICS_SEGMENT_DATA</v>
      </c>
      <c r="E116" t="str">
        <f>IFERROR(IF(0=LEN(ReferenceData!$E$116),"",ReferenceData!$E$116),"")</f>
        <v>Dynamic</v>
      </c>
      <c r="F116" t="str">
        <f ca="1">IFERROR(IF(0=LEN(ReferenceData!$F$116),"",ReferenceData!$F$116),"")</f>
        <v/>
      </c>
      <c r="G116" t="str">
        <f ca="1">IFERROR(IF(0=LEN(ReferenceData!$G$116),"",ReferenceData!$G$116),"")</f>
        <v/>
      </c>
      <c r="H116" t="str">
        <f ca="1">IFERROR(IF(0=LEN(ReferenceData!$H$116),"",ReferenceData!$H$116),"")</f>
        <v/>
      </c>
      <c r="I116" t="str">
        <f ca="1">IFERROR(IF(0=LEN(ReferenceData!$I$116),"",ReferenceData!$I$116),"")</f>
        <v/>
      </c>
      <c r="J116" t="str">
        <f ca="1">IFERROR(IF(0=LEN(ReferenceData!$J$116),"",ReferenceData!$J$116),"")</f>
        <v/>
      </c>
      <c r="K116" t="str">
        <f ca="1">IFERROR(IF(0=LEN(ReferenceData!$K$116),"",ReferenceData!$K$116),"")</f>
        <v/>
      </c>
      <c r="L116" t="str">
        <f ca="1">IFERROR(IF(0=LEN(ReferenceData!$L$116),"",ReferenceData!$L$116),"")</f>
        <v/>
      </c>
      <c r="M116" t="str">
        <f ca="1">IFERROR(IF(0=LEN(ReferenceData!$M$116),"",ReferenceData!$M$116),"")</f>
        <v/>
      </c>
      <c r="N116" t="str">
        <f ca="1">IFERROR(IF(0=LEN(ReferenceData!$N$116),"",ReferenceData!$N$116),"")</f>
        <v/>
      </c>
      <c r="O116" t="str">
        <f ca="1">IFERROR(IF(0=LEN(ReferenceData!$O$116),"",ReferenceData!$O$116),"")</f>
        <v/>
      </c>
      <c r="P116" t="str">
        <f ca="1">IFERROR(IF(0=LEN(ReferenceData!$P$116),"",ReferenceData!$P$116),"")</f>
        <v/>
      </c>
      <c r="Q116" t="str">
        <f ca="1">IFERROR(IF(0=LEN(ReferenceData!$Q$116),"",ReferenceData!$Q$116),"")</f>
        <v/>
      </c>
      <c r="R116" t="str">
        <f ca="1">IFERROR(IF(0=LEN(ReferenceData!$R$116),"",ReferenceData!$R$116),"")</f>
        <v/>
      </c>
      <c r="S116" t="str">
        <f ca="1">IFERROR(IF(0=LEN(ReferenceData!$S$116),"",ReferenceData!$S$116),"")</f>
        <v/>
      </c>
      <c r="T116" t="str">
        <f ca="1">IFERROR(IF(0=LEN(ReferenceData!$T$116),"",ReferenceData!$T$116),"")</f>
        <v/>
      </c>
      <c r="U116" t="str">
        <f ca="1">IFERROR(IF(0=LEN(ReferenceData!$U$116),"",ReferenceData!$U$116),"")</f>
        <v/>
      </c>
      <c r="V116" t="str">
        <f ca="1">IFERROR(IF(0=LEN(ReferenceData!$V$116),"",ReferenceData!$V$116),"")</f>
        <v/>
      </c>
      <c r="W116" t="str">
        <f ca="1">IFERROR(IF(0=LEN(ReferenceData!$W$116),"",ReferenceData!$W$116),"")</f>
        <v/>
      </c>
      <c r="X116" t="str">
        <f ca="1">IFERROR(IF(0=LEN(ReferenceData!$X$116),"",ReferenceData!$X$116),"")</f>
        <v/>
      </c>
      <c r="Y116" t="str">
        <f ca="1">IFERROR(IF(0=LEN(ReferenceData!$Y$116),"",ReferenceData!$Y$116),"")</f>
        <v/>
      </c>
      <c r="Z116" t="str">
        <f ca="1">IFERROR(IF(0=LEN(ReferenceData!$Z$116),"",ReferenceData!$Z$116),"")</f>
        <v/>
      </c>
      <c r="AA116" t="str">
        <f ca="1">IFERROR(IF(0=LEN(ReferenceData!$AA$116),"",ReferenceData!$AA$116),"")</f>
        <v/>
      </c>
      <c r="AB116" t="str">
        <f ca="1">IFERROR(IF(0=LEN(ReferenceData!$AB$116),"",ReferenceData!$AB$116),"")</f>
        <v/>
      </c>
      <c r="AC116" t="str">
        <f ca="1">IFERROR(IF(0=LEN(ReferenceData!$AC$116),"",ReferenceData!$AC$116),"")</f>
        <v/>
      </c>
      <c r="AD116" t="str">
        <f ca="1">IFERROR(IF(0=LEN(ReferenceData!$AD$116),"",ReferenceData!$AD$116),"")</f>
        <v/>
      </c>
      <c r="AE116" t="str">
        <f ca="1">IFERROR(IF(0=LEN(ReferenceData!$AE$116),"",ReferenceData!$AE$116),"")</f>
        <v/>
      </c>
      <c r="AF116" t="str">
        <f ca="1">IFERROR(IF(0=LEN(ReferenceData!$AF$116),"",ReferenceData!$AF$116),"")</f>
        <v/>
      </c>
      <c r="AG116" t="str">
        <f ca="1">IFERROR(IF(0=LEN(ReferenceData!$AG$116),"",ReferenceData!$AG$116),"")</f>
        <v/>
      </c>
      <c r="AH116" t="str">
        <f ca="1">IFERROR(IF(0=LEN(ReferenceData!$AH$116),"",ReferenceData!$AH$116),"")</f>
        <v/>
      </c>
      <c r="AI116" t="str">
        <f ca="1">IFERROR(IF(0=LEN(ReferenceData!$AI$116),"",ReferenceData!$AI$116),"")</f>
        <v/>
      </c>
      <c r="AJ116" t="str">
        <f ca="1">IFERROR(IF(0=LEN(ReferenceData!$AJ$116),"",ReferenceData!$AJ$116),"")</f>
        <v/>
      </c>
      <c r="AK116" t="str">
        <f ca="1">IFERROR(IF(0=LEN(ReferenceData!$AK$116),"",ReferenceData!$AK$116),"")</f>
        <v/>
      </c>
      <c r="AL116" t="str">
        <f ca="1">IFERROR(IF(0=LEN(ReferenceData!$AL$116),"",ReferenceData!$AL$116),"")</f>
        <v/>
      </c>
      <c r="AM116" t="str">
        <f ca="1">IFERROR(IF(0=LEN(ReferenceData!$AM$116),"",ReferenceData!$AM$116),"")</f>
        <v/>
      </c>
      <c r="AN116" t="str">
        <f ca="1">IFERROR(IF(0=LEN(ReferenceData!$AN$116),"",ReferenceData!$AN$116),"")</f>
        <v/>
      </c>
      <c r="AO116" t="str">
        <f ca="1">IFERROR(IF(0=LEN(ReferenceData!$AO$116),"",ReferenceData!$AO$116),"")</f>
        <v/>
      </c>
      <c r="AP116" t="str">
        <f ca="1">IFERROR(IF(0=LEN(ReferenceData!$AP$116),"",ReferenceData!$AP$116),"")</f>
        <v/>
      </c>
      <c r="AQ116" t="str">
        <f ca="1">IFERROR(IF(0=LEN(ReferenceData!$AQ$116),"",ReferenceData!$AQ$116),"")</f>
        <v/>
      </c>
      <c r="AR116" t="str">
        <f ca="1">IFERROR(IF(0=LEN(ReferenceData!$AR$116),"",ReferenceData!$AR$116),"")</f>
        <v/>
      </c>
      <c r="AS116" t="str">
        <f ca="1">IFERROR(IF(0=LEN(ReferenceData!$AS$116),"",ReferenceData!$AS$116),"")</f>
        <v/>
      </c>
      <c r="AT116" t="str">
        <f ca="1">IFERROR(IF(0=LEN(ReferenceData!$AT$116),"",ReferenceData!$AT$116),"")</f>
        <v/>
      </c>
      <c r="AU116" t="str">
        <f ca="1">IFERROR(IF(0=LEN(ReferenceData!$AU$116),"",ReferenceData!$AU$116),"")</f>
        <v/>
      </c>
      <c r="AV116" t="str">
        <f ca="1">IFERROR(IF(0=LEN(ReferenceData!$AV$116),"",ReferenceData!$AV$116),"")</f>
        <v/>
      </c>
      <c r="AW116" t="str">
        <f ca="1">IFERROR(IF(0=LEN(ReferenceData!$AW$116),"",ReferenceData!$AW$116),"")</f>
        <v/>
      </c>
      <c r="AX116" t="str">
        <f ca="1">IFERROR(IF(0=LEN(ReferenceData!$AX$116),"",ReferenceData!$AX$116),"")</f>
        <v/>
      </c>
      <c r="AY116" t="str">
        <f ca="1">IFERROR(IF(0=LEN(ReferenceData!$AY$116),"",ReferenceData!$AY$116),"")</f>
        <v/>
      </c>
      <c r="AZ116" t="str">
        <f ca="1">IFERROR(IF(0=LEN(ReferenceData!$AZ$116),"",ReferenceData!$AZ$116),"")</f>
        <v/>
      </c>
      <c r="BA116" t="str">
        <f ca="1">IFERROR(IF(0=LEN(ReferenceData!$BA$116),"",ReferenceData!$BA$116),"")</f>
        <v/>
      </c>
      <c r="BB116" t="str">
        <f ca="1">IFERROR(IF(0=LEN(ReferenceData!$BB$116),"",ReferenceData!$BB$116),"")</f>
        <v/>
      </c>
      <c r="BC116" t="str">
        <f ca="1">IFERROR(IF(0=LEN(ReferenceData!$BC$116),"",ReferenceData!$BC$116),"")</f>
        <v/>
      </c>
      <c r="BD116" t="str">
        <f ca="1">IFERROR(IF(0=LEN(ReferenceData!$BD$116),"",ReferenceData!$BD$116),"")</f>
        <v/>
      </c>
      <c r="BE116" t="str">
        <f ca="1">IFERROR(IF(0=LEN(ReferenceData!$BE$116),"",ReferenceData!$BE$116),"")</f>
        <v/>
      </c>
      <c r="BF116" t="str">
        <f ca="1">IFERROR(IF(0=LEN(ReferenceData!$BF$116),"",ReferenceData!$BF$116),"")</f>
        <v/>
      </c>
      <c r="BG116" t="str">
        <f ca="1">IFERROR(IF(0=LEN(ReferenceData!$BG$116),"",ReferenceData!$BG$116),"")</f>
        <v/>
      </c>
      <c r="BH116" t="str">
        <f ca="1">IFERROR(IF(0=LEN(ReferenceData!$BH$116),"",ReferenceData!$BH$116),"")</f>
        <v/>
      </c>
      <c r="BI116" t="str">
        <f ca="1">IFERROR(IF(0=LEN(ReferenceData!$BI$116),"",ReferenceData!$BI$116),"")</f>
        <v/>
      </c>
      <c r="BJ116" t="str">
        <f ca="1">IFERROR(IF(0=LEN(ReferenceData!$BJ$116),"",ReferenceData!$BJ$116),"")</f>
        <v/>
      </c>
      <c r="BK116" t="str">
        <f ca="1">IFERROR(IF(0=LEN(ReferenceData!$BK$116),"",ReferenceData!$BK$116),"")</f>
        <v/>
      </c>
      <c r="BL116" t="str">
        <f ca="1">IFERROR(IF(0=LEN(ReferenceData!$BL$116),"",ReferenceData!$BL$116),"")</f>
        <v/>
      </c>
      <c r="BM116" t="str">
        <f ca="1">IFERROR(IF(0=LEN(ReferenceData!$BM$116),"",ReferenceData!$BM$116),"")</f>
        <v/>
      </c>
    </row>
    <row r="117" spans="1:65" x14ac:dyDescent="0.25">
      <c r="A117" t="str">
        <f>IFERROR(IF(0=LEN(ReferenceData!$A$117),"",ReferenceData!$A$117),"")</f>
        <v xml:space="preserve">        Recurring Operating Margin (%)</v>
      </c>
      <c r="B117" t="str">
        <f>IFERROR(IF(0=LEN(ReferenceData!$B$117),"",ReferenceData!$B$117),"")</f>
        <v>KER FP Equity</v>
      </c>
      <c r="C117" t="str">
        <f>IFERROR(IF(0=LEN(ReferenceData!$C$117),"",ReferenceData!$C$117),"")</f>
        <v/>
      </c>
      <c r="D117" t="str">
        <f>IFERROR(IF(0=LEN(ReferenceData!$D$117),"",ReferenceData!$D$117),"")</f>
        <v/>
      </c>
      <c r="E117" t="str">
        <f>IFERROR(IF(0=LEN(ReferenceData!$E$117),"",ReferenceData!$E$117),"")</f>
        <v>Expression</v>
      </c>
      <c r="F117" t="str">
        <f ca="1">IFERROR(IF(0=LEN(ReferenceData!$F$117),"",ReferenceData!$F$117),"")</f>
        <v/>
      </c>
      <c r="G117" t="str">
        <f ca="1">IFERROR(IF(0=LEN(ReferenceData!$G$117),"",ReferenceData!$G$117),"")</f>
        <v/>
      </c>
      <c r="H117" t="str">
        <f ca="1">IFERROR(IF(0=LEN(ReferenceData!$H$117),"",ReferenceData!$H$117),"")</f>
        <v/>
      </c>
      <c r="I117" t="str">
        <f ca="1">IFERROR(IF(0=LEN(ReferenceData!$I$117),"",ReferenceData!$I$117),"")</f>
        <v/>
      </c>
      <c r="J117" t="str">
        <f ca="1">IFERROR(IF(0=LEN(ReferenceData!$J$117),"",ReferenceData!$J$117),"")</f>
        <v/>
      </c>
      <c r="K117" t="str">
        <f ca="1">IFERROR(IF(0=LEN(ReferenceData!$K$117),"",ReferenceData!$K$117),"")</f>
        <v/>
      </c>
      <c r="L117" t="str">
        <f ca="1">IFERROR(IF(0=LEN(ReferenceData!$L$117),"",ReferenceData!$L$117),"")</f>
        <v/>
      </c>
      <c r="M117" t="str">
        <f ca="1">IFERROR(IF(0=LEN(ReferenceData!$M$117),"",ReferenceData!$M$117),"")</f>
        <v/>
      </c>
      <c r="N117" t="str">
        <f ca="1">IFERROR(IF(0=LEN(ReferenceData!$N$117),"",ReferenceData!$N$117),"")</f>
        <v/>
      </c>
      <c r="O117" t="str">
        <f ca="1">IFERROR(IF(0=LEN(ReferenceData!$O$117),"",ReferenceData!$O$117),"")</f>
        <v/>
      </c>
      <c r="P117" t="str">
        <f ca="1">IFERROR(IF(0=LEN(ReferenceData!$P$117),"",ReferenceData!$P$117),"")</f>
        <v/>
      </c>
      <c r="Q117" t="str">
        <f ca="1">IFERROR(IF(0=LEN(ReferenceData!$Q$117),"",ReferenceData!$Q$117),"")</f>
        <v/>
      </c>
      <c r="R117" t="str">
        <f ca="1">IFERROR(IF(0=LEN(ReferenceData!$R$117),"",ReferenceData!$R$117),"")</f>
        <v/>
      </c>
      <c r="S117" t="str">
        <f ca="1">IFERROR(IF(0=LEN(ReferenceData!$S$117),"",ReferenceData!$S$117),"")</f>
        <v/>
      </c>
      <c r="T117" t="str">
        <f ca="1">IFERROR(IF(0=LEN(ReferenceData!$T$117),"",ReferenceData!$T$117),"")</f>
        <v/>
      </c>
      <c r="U117" t="str">
        <f ca="1">IFERROR(IF(0=LEN(ReferenceData!$U$117),"",ReferenceData!$U$117),"")</f>
        <v/>
      </c>
      <c r="V117" t="str">
        <f ca="1">IFERROR(IF(0=LEN(ReferenceData!$V$117),"",ReferenceData!$V$117),"")</f>
        <v/>
      </c>
      <c r="W117" t="str">
        <f ca="1">IFERROR(IF(0=LEN(ReferenceData!$W$117),"",ReferenceData!$W$117),"")</f>
        <v/>
      </c>
      <c r="X117" t="str">
        <f ca="1">IFERROR(IF(0=LEN(ReferenceData!$X$117),"",ReferenceData!$X$117),"")</f>
        <v/>
      </c>
      <c r="Y117" t="str">
        <f ca="1">IFERROR(IF(0=LEN(ReferenceData!$Y$117),"",ReferenceData!$Y$117),"")</f>
        <v/>
      </c>
      <c r="Z117" t="str">
        <f ca="1">IFERROR(IF(0=LEN(ReferenceData!$Z$117),"",ReferenceData!$Z$117),"")</f>
        <v/>
      </c>
      <c r="AA117" t="str">
        <f ca="1">IFERROR(IF(0=LEN(ReferenceData!$AA$117),"",ReferenceData!$AA$117),"")</f>
        <v/>
      </c>
      <c r="AB117" t="str">
        <f ca="1">IFERROR(IF(0=LEN(ReferenceData!$AB$117),"",ReferenceData!$AB$117),"")</f>
        <v/>
      </c>
      <c r="AC117" t="str">
        <f ca="1">IFERROR(IF(0=LEN(ReferenceData!$AC$117),"",ReferenceData!$AC$117),"")</f>
        <v/>
      </c>
      <c r="AD117" t="str">
        <f ca="1">IFERROR(IF(0=LEN(ReferenceData!$AD$117),"",ReferenceData!$AD$117),"")</f>
        <v/>
      </c>
      <c r="AE117" t="str">
        <f ca="1">IFERROR(IF(0=LEN(ReferenceData!$AE$117),"",ReferenceData!$AE$117),"")</f>
        <v/>
      </c>
      <c r="AF117" t="str">
        <f ca="1">IFERROR(IF(0=LEN(ReferenceData!$AF$117),"",ReferenceData!$AF$117),"")</f>
        <v/>
      </c>
      <c r="AG117" t="str">
        <f ca="1">IFERROR(IF(0=LEN(ReferenceData!$AG$117),"",ReferenceData!$AG$117),"")</f>
        <v/>
      </c>
      <c r="AH117" t="str">
        <f ca="1">IFERROR(IF(0=LEN(ReferenceData!$AH$117),"",ReferenceData!$AH$117),"")</f>
        <v/>
      </c>
      <c r="AI117" t="str">
        <f ca="1">IFERROR(IF(0=LEN(ReferenceData!$AI$117),"",ReferenceData!$AI$117),"")</f>
        <v/>
      </c>
      <c r="AJ117" t="str">
        <f ca="1">IFERROR(IF(0=LEN(ReferenceData!$AJ$117),"",ReferenceData!$AJ$117),"")</f>
        <v/>
      </c>
      <c r="AK117" t="str">
        <f ca="1">IFERROR(IF(0=LEN(ReferenceData!$AK$117),"",ReferenceData!$AK$117),"")</f>
        <v/>
      </c>
      <c r="AL117" t="str">
        <f ca="1">IFERROR(IF(0=LEN(ReferenceData!$AL$117),"",ReferenceData!$AL$117),"")</f>
        <v/>
      </c>
      <c r="AM117" t="str">
        <f ca="1">IFERROR(IF(0=LEN(ReferenceData!$AM$117),"",ReferenceData!$AM$117),"")</f>
        <v/>
      </c>
      <c r="AN117" t="str">
        <f ca="1">IFERROR(IF(0=LEN(ReferenceData!$AN$117),"",ReferenceData!$AN$117),"")</f>
        <v/>
      </c>
      <c r="AO117" t="str">
        <f ca="1">IFERROR(IF(0=LEN(ReferenceData!$AO$117),"",ReferenceData!$AO$117),"")</f>
        <v/>
      </c>
      <c r="AP117" t="str">
        <f ca="1">IFERROR(IF(0=LEN(ReferenceData!$AP$117),"",ReferenceData!$AP$117),"")</f>
        <v/>
      </c>
      <c r="AQ117" t="str">
        <f ca="1">IFERROR(IF(0=LEN(ReferenceData!$AQ$117),"",ReferenceData!$AQ$117),"")</f>
        <v/>
      </c>
      <c r="AR117" t="str">
        <f ca="1">IFERROR(IF(0=LEN(ReferenceData!$AR$117),"",ReferenceData!$AR$117),"")</f>
        <v/>
      </c>
      <c r="AS117" t="str">
        <f ca="1">IFERROR(IF(0=LEN(ReferenceData!$AS$117),"",ReferenceData!$AS$117),"")</f>
        <v/>
      </c>
      <c r="AT117" t="str">
        <f ca="1">IFERROR(IF(0=LEN(ReferenceData!$AT$117),"",ReferenceData!$AT$117),"")</f>
        <v/>
      </c>
      <c r="AU117" t="str">
        <f ca="1">IFERROR(IF(0=LEN(ReferenceData!$AU$117),"",ReferenceData!$AU$117),"")</f>
        <v/>
      </c>
      <c r="AV117" t="str">
        <f ca="1">IFERROR(IF(0=LEN(ReferenceData!$AV$117),"",ReferenceData!$AV$117),"")</f>
        <v/>
      </c>
      <c r="AW117" t="str">
        <f ca="1">IFERROR(IF(0=LEN(ReferenceData!$AW$117),"",ReferenceData!$AW$117),"")</f>
        <v/>
      </c>
      <c r="AX117" t="str">
        <f ca="1">IFERROR(IF(0=LEN(ReferenceData!$AX$117),"",ReferenceData!$AX$117),"")</f>
        <v/>
      </c>
      <c r="AY117" t="str">
        <f ca="1">IFERROR(IF(0=LEN(ReferenceData!$AY$117),"",ReferenceData!$AY$117),"")</f>
        <v/>
      </c>
      <c r="AZ117" t="str">
        <f ca="1">IFERROR(IF(0=LEN(ReferenceData!$AZ$117),"",ReferenceData!$AZ$117),"")</f>
        <v/>
      </c>
      <c r="BA117" t="str">
        <f ca="1">IFERROR(IF(0=LEN(ReferenceData!$BA$117),"",ReferenceData!$BA$117),"")</f>
        <v/>
      </c>
      <c r="BB117" t="str">
        <f ca="1">IFERROR(IF(0=LEN(ReferenceData!$BB$117),"",ReferenceData!$BB$117),"")</f>
        <v/>
      </c>
      <c r="BC117" t="str">
        <f ca="1">IFERROR(IF(0=LEN(ReferenceData!$BC$117),"",ReferenceData!$BC$117),"")</f>
        <v/>
      </c>
      <c r="BD117" t="str">
        <f ca="1">IFERROR(IF(0=LEN(ReferenceData!$BD$117),"",ReferenceData!$BD$117),"")</f>
        <v/>
      </c>
      <c r="BE117" t="str">
        <f ca="1">IFERROR(IF(0=LEN(ReferenceData!$BE$117),"",ReferenceData!$BE$117),"")</f>
        <v/>
      </c>
      <c r="BF117" t="str">
        <f ca="1">IFERROR(IF(0=LEN(ReferenceData!$BF$117),"",ReferenceData!$BF$117),"")</f>
        <v/>
      </c>
      <c r="BG117" t="str">
        <f ca="1">IFERROR(IF(0=LEN(ReferenceData!$BG$117),"",ReferenceData!$BG$117),"")</f>
        <v/>
      </c>
      <c r="BH117" t="str">
        <f ca="1">IFERROR(IF(0=LEN(ReferenceData!$BH$117),"",ReferenceData!$BH$117),"")</f>
        <v/>
      </c>
      <c r="BI117" t="str">
        <f ca="1">IFERROR(IF(0=LEN(ReferenceData!$BI$117),"",ReferenceData!$BI$117),"")</f>
        <v/>
      </c>
      <c r="BJ117" t="str">
        <f ca="1">IFERROR(IF(0=LEN(ReferenceData!$BJ$117),"",ReferenceData!$BJ$117),"")</f>
        <v/>
      </c>
      <c r="BK117" t="str">
        <f ca="1">IFERROR(IF(0=LEN(ReferenceData!$BK$117),"",ReferenceData!$BK$117),"")</f>
        <v/>
      </c>
      <c r="BL117" t="str">
        <f ca="1">IFERROR(IF(0=LEN(ReferenceData!$BL$117),"",ReferenceData!$BL$117),"")</f>
        <v/>
      </c>
      <c r="BM117" t="str">
        <f ca="1">IFERROR(IF(0=LEN(ReferenceData!$BM$117),"",ReferenceData!$BM$117),"")</f>
        <v/>
      </c>
    </row>
    <row r="118" spans="1:65" x14ac:dyDescent="0.25">
      <c r="A118" t="str">
        <f>IFERROR(IF(0=LEN(ReferenceData!$A$118),"",ReferenceData!$A$118),"")</f>
        <v xml:space="preserve">    </v>
      </c>
      <c r="B118" t="str">
        <f>IFERROR(IF(0=LEN(ReferenceData!$B$118),"",ReferenceData!$B$118),"")</f>
        <v/>
      </c>
      <c r="C118" t="str">
        <f>IFERROR(IF(0=LEN(ReferenceData!$C$118),"",ReferenceData!$C$118),"")</f>
        <v/>
      </c>
      <c r="D118" t="str">
        <f>IFERROR(IF(0=LEN(ReferenceData!$D$118),"",ReferenceData!$D$118),"")</f>
        <v/>
      </c>
      <c r="E118" t="str">
        <f>IFERROR(IF(0=LEN(ReferenceData!$E$118),"",ReferenceData!$E$118),"")</f>
        <v>Static</v>
      </c>
      <c r="F118" t="str">
        <f ca="1">IFERROR(IF(0=LEN(ReferenceData!$F$118),"",ReferenceData!$F$118),"")</f>
        <v/>
      </c>
      <c r="G118" t="str">
        <f ca="1">IFERROR(IF(0=LEN(ReferenceData!$G$118),"",ReferenceData!$G$118),"")</f>
        <v/>
      </c>
      <c r="H118" t="str">
        <f ca="1">IFERROR(IF(0=LEN(ReferenceData!$H$118),"",ReferenceData!$H$118),"")</f>
        <v/>
      </c>
      <c r="I118" t="str">
        <f ca="1">IFERROR(IF(0=LEN(ReferenceData!$I$118),"",ReferenceData!$I$118),"")</f>
        <v/>
      </c>
      <c r="J118" t="str">
        <f ca="1">IFERROR(IF(0=LEN(ReferenceData!$J$118),"",ReferenceData!$J$118),"")</f>
        <v/>
      </c>
      <c r="K118" t="str">
        <f ca="1">IFERROR(IF(0=LEN(ReferenceData!$K$118),"",ReferenceData!$K$118),"")</f>
        <v/>
      </c>
      <c r="L118" t="str">
        <f ca="1">IFERROR(IF(0=LEN(ReferenceData!$L$118),"",ReferenceData!$L$118),"")</f>
        <v/>
      </c>
      <c r="M118" t="str">
        <f ca="1">IFERROR(IF(0=LEN(ReferenceData!$M$118),"",ReferenceData!$M$118),"")</f>
        <v/>
      </c>
      <c r="N118" t="str">
        <f ca="1">IFERROR(IF(0=LEN(ReferenceData!$N$118),"",ReferenceData!$N$118),"")</f>
        <v/>
      </c>
      <c r="O118" t="str">
        <f ca="1">IFERROR(IF(0=LEN(ReferenceData!$O$118),"",ReferenceData!$O$118),"")</f>
        <v/>
      </c>
      <c r="P118" t="str">
        <f ca="1">IFERROR(IF(0=LEN(ReferenceData!$P$118),"",ReferenceData!$P$118),"")</f>
        <v/>
      </c>
      <c r="Q118" t="str">
        <f ca="1">IFERROR(IF(0=LEN(ReferenceData!$Q$118),"",ReferenceData!$Q$118),"")</f>
        <v/>
      </c>
      <c r="R118" t="str">
        <f ca="1">IFERROR(IF(0=LEN(ReferenceData!$R$118),"",ReferenceData!$R$118),"")</f>
        <v/>
      </c>
      <c r="S118" t="str">
        <f ca="1">IFERROR(IF(0=LEN(ReferenceData!$S$118),"",ReferenceData!$S$118),"")</f>
        <v/>
      </c>
      <c r="T118" t="str">
        <f ca="1">IFERROR(IF(0=LEN(ReferenceData!$T$118),"",ReferenceData!$T$118),"")</f>
        <v/>
      </c>
      <c r="U118" t="str">
        <f ca="1">IFERROR(IF(0=LEN(ReferenceData!$U$118),"",ReferenceData!$U$118),"")</f>
        <v/>
      </c>
      <c r="V118" t="str">
        <f ca="1">IFERROR(IF(0=LEN(ReferenceData!$V$118),"",ReferenceData!$V$118),"")</f>
        <v/>
      </c>
      <c r="W118" t="str">
        <f ca="1">IFERROR(IF(0=LEN(ReferenceData!$W$118),"",ReferenceData!$W$118),"")</f>
        <v/>
      </c>
      <c r="X118" t="str">
        <f ca="1">IFERROR(IF(0=LEN(ReferenceData!$X$118),"",ReferenceData!$X$118),"")</f>
        <v/>
      </c>
      <c r="Y118" t="str">
        <f ca="1">IFERROR(IF(0=LEN(ReferenceData!$Y$118),"",ReferenceData!$Y$118),"")</f>
        <v/>
      </c>
      <c r="Z118" t="str">
        <f ca="1">IFERROR(IF(0=LEN(ReferenceData!$Z$118),"",ReferenceData!$Z$118),"")</f>
        <v/>
      </c>
      <c r="AA118" t="str">
        <f ca="1">IFERROR(IF(0=LEN(ReferenceData!$AA$118),"",ReferenceData!$AA$118),"")</f>
        <v/>
      </c>
      <c r="AB118" t="str">
        <f ca="1">IFERROR(IF(0=LEN(ReferenceData!$AB$118),"",ReferenceData!$AB$118),"")</f>
        <v/>
      </c>
      <c r="AC118" t="str">
        <f ca="1">IFERROR(IF(0=LEN(ReferenceData!$AC$118),"",ReferenceData!$AC$118),"")</f>
        <v/>
      </c>
      <c r="AD118" t="str">
        <f ca="1">IFERROR(IF(0=LEN(ReferenceData!$AD$118),"",ReferenceData!$AD$118),"")</f>
        <v/>
      </c>
      <c r="AE118" t="str">
        <f ca="1">IFERROR(IF(0=LEN(ReferenceData!$AE$118),"",ReferenceData!$AE$118),"")</f>
        <v/>
      </c>
      <c r="AF118" t="str">
        <f ca="1">IFERROR(IF(0=LEN(ReferenceData!$AF$118),"",ReferenceData!$AF$118),"")</f>
        <v/>
      </c>
      <c r="AG118" t="str">
        <f ca="1">IFERROR(IF(0=LEN(ReferenceData!$AG$118),"",ReferenceData!$AG$118),"")</f>
        <v/>
      </c>
      <c r="AH118" t="str">
        <f ca="1">IFERROR(IF(0=LEN(ReferenceData!$AH$118),"",ReferenceData!$AH$118),"")</f>
        <v/>
      </c>
      <c r="AI118" t="str">
        <f ca="1">IFERROR(IF(0=LEN(ReferenceData!$AI$118),"",ReferenceData!$AI$118),"")</f>
        <v/>
      </c>
      <c r="AJ118" t="str">
        <f ca="1">IFERROR(IF(0=LEN(ReferenceData!$AJ$118),"",ReferenceData!$AJ$118),"")</f>
        <v/>
      </c>
      <c r="AK118" t="str">
        <f ca="1">IFERROR(IF(0=LEN(ReferenceData!$AK$118),"",ReferenceData!$AK$118),"")</f>
        <v/>
      </c>
      <c r="AL118" t="str">
        <f ca="1">IFERROR(IF(0=LEN(ReferenceData!$AL$118),"",ReferenceData!$AL$118),"")</f>
        <v/>
      </c>
      <c r="AM118" t="str">
        <f ca="1">IFERROR(IF(0=LEN(ReferenceData!$AM$118),"",ReferenceData!$AM$118),"")</f>
        <v/>
      </c>
      <c r="AN118" t="str">
        <f ca="1">IFERROR(IF(0=LEN(ReferenceData!$AN$118),"",ReferenceData!$AN$118),"")</f>
        <v/>
      </c>
      <c r="AO118" t="str">
        <f ca="1">IFERROR(IF(0=LEN(ReferenceData!$AO$118),"",ReferenceData!$AO$118),"")</f>
        <v/>
      </c>
      <c r="AP118" t="str">
        <f ca="1">IFERROR(IF(0=LEN(ReferenceData!$AP$118),"",ReferenceData!$AP$118),"")</f>
        <v/>
      </c>
      <c r="AQ118" t="str">
        <f ca="1">IFERROR(IF(0=LEN(ReferenceData!$AQ$118),"",ReferenceData!$AQ$118),"")</f>
        <v/>
      </c>
      <c r="AR118" t="str">
        <f ca="1">IFERROR(IF(0=LEN(ReferenceData!$AR$118),"",ReferenceData!$AR$118),"")</f>
        <v/>
      </c>
      <c r="AS118" t="str">
        <f ca="1">IFERROR(IF(0=LEN(ReferenceData!$AS$118),"",ReferenceData!$AS$118),"")</f>
        <v/>
      </c>
      <c r="AT118" t="str">
        <f ca="1">IFERROR(IF(0=LEN(ReferenceData!$AT$118),"",ReferenceData!$AT$118),"")</f>
        <v/>
      </c>
      <c r="AU118" t="str">
        <f ca="1">IFERROR(IF(0=LEN(ReferenceData!$AU$118),"",ReferenceData!$AU$118),"")</f>
        <v/>
      </c>
      <c r="AV118" t="str">
        <f ca="1">IFERROR(IF(0=LEN(ReferenceData!$AV$118),"",ReferenceData!$AV$118),"")</f>
        <v/>
      </c>
      <c r="AW118" t="str">
        <f ca="1">IFERROR(IF(0=LEN(ReferenceData!$AW$118),"",ReferenceData!$AW$118),"")</f>
        <v/>
      </c>
      <c r="AX118" t="str">
        <f ca="1">IFERROR(IF(0=LEN(ReferenceData!$AX$118),"",ReferenceData!$AX$118),"")</f>
        <v/>
      </c>
      <c r="AY118" t="str">
        <f ca="1">IFERROR(IF(0=LEN(ReferenceData!$AY$118),"",ReferenceData!$AY$118),"")</f>
        <v/>
      </c>
      <c r="AZ118" t="str">
        <f ca="1">IFERROR(IF(0=LEN(ReferenceData!$AZ$118),"",ReferenceData!$AZ$118),"")</f>
        <v/>
      </c>
      <c r="BA118" t="str">
        <f ca="1">IFERROR(IF(0=LEN(ReferenceData!$BA$118),"",ReferenceData!$BA$118),"")</f>
        <v/>
      </c>
      <c r="BB118" t="str">
        <f ca="1">IFERROR(IF(0=LEN(ReferenceData!$BB$118),"",ReferenceData!$BB$118),"")</f>
        <v/>
      </c>
      <c r="BC118" t="str">
        <f ca="1">IFERROR(IF(0=LEN(ReferenceData!$BC$118),"",ReferenceData!$BC$118),"")</f>
        <v/>
      </c>
      <c r="BD118" t="str">
        <f ca="1">IFERROR(IF(0=LEN(ReferenceData!$BD$118),"",ReferenceData!$BD$118),"")</f>
        <v/>
      </c>
      <c r="BE118" t="str">
        <f ca="1">IFERROR(IF(0=LEN(ReferenceData!$BE$118),"",ReferenceData!$BE$118),"")</f>
        <v/>
      </c>
      <c r="BF118" t="str">
        <f ca="1">IFERROR(IF(0=LEN(ReferenceData!$BF$118),"",ReferenceData!$BF$118),"")</f>
        <v/>
      </c>
      <c r="BG118" t="str">
        <f ca="1">IFERROR(IF(0=LEN(ReferenceData!$BG$118),"",ReferenceData!$BG$118),"")</f>
        <v/>
      </c>
      <c r="BH118" t="str">
        <f ca="1">IFERROR(IF(0=LEN(ReferenceData!$BH$118),"",ReferenceData!$BH$118),"")</f>
        <v/>
      </c>
      <c r="BI118" t="str">
        <f ca="1">IFERROR(IF(0=LEN(ReferenceData!$BI$118),"",ReferenceData!$BI$118),"")</f>
        <v/>
      </c>
      <c r="BJ118" t="str">
        <f ca="1">IFERROR(IF(0=LEN(ReferenceData!$BJ$118),"",ReferenceData!$BJ$118),"")</f>
        <v/>
      </c>
      <c r="BK118" t="str">
        <f ca="1">IFERROR(IF(0=LEN(ReferenceData!$BK$118),"",ReferenceData!$BK$118),"")</f>
        <v/>
      </c>
      <c r="BL118" t="str">
        <f ca="1">IFERROR(IF(0=LEN(ReferenceData!$BL$118),"",ReferenceData!$BL$118),"")</f>
        <v/>
      </c>
      <c r="BM118" t="str">
        <f ca="1">IFERROR(IF(0=LEN(ReferenceData!$BM$118),"",ReferenceData!$BM$118),"")</f>
        <v/>
      </c>
    </row>
    <row r="119" spans="1:65" x14ac:dyDescent="0.25">
      <c r="A119" t="str">
        <f>IFERROR(IF(0=LEN(ReferenceData!$A$119),"",ReferenceData!$A$119),"")</f>
        <v xml:space="preserve">    Old Segments</v>
      </c>
      <c r="B119" t="str">
        <f>IFERROR(IF(0=LEN(ReferenceData!$B$119),"",ReferenceData!$B$119),"")</f>
        <v/>
      </c>
      <c r="C119" t="str">
        <f>IFERROR(IF(0=LEN(ReferenceData!$C$119),"",ReferenceData!$C$119),"")</f>
        <v/>
      </c>
      <c r="D119" t="str">
        <f>IFERROR(IF(0=LEN(ReferenceData!$D$119),"",ReferenceData!$D$119),"")</f>
        <v/>
      </c>
      <c r="E119" t="str">
        <f>IFERROR(IF(0=LEN(ReferenceData!$E$119),"",ReferenceData!$E$119),"")</f>
        <v>Heading</v>
      </c>
      <c r="F119" t="str">
        <f>IFERROR(IF(0=LEN(ReferenceData!$F$119),"",ReferenceData!$F$119),"")</f>
        <v/>
      </c>
      <c r="G119" t="str">
        <f>IFERROR(IF(0=LEN(ReferenceData!$G$119),"",ReferenceData!$G$119),"")</f>
        <v/>
      </c>
      <c r="H119" t="str">
        <f>IFERROR(IF(0=LEN(ReferenceData!$H$119),"",ReferenceData!$H$119),"")</f>
        <v/>
      </c>
      <c r="I119" t="str">
        <f>IFERROR(IF(0=LEN(ReferenceData!$I$119),"",ReferenceData!$I$119),"")</f>
        <v/>
      </c>
      <c r="J119" t="str">
        <f>IFERROR(IF(0=LEN(ReferenceData!$J$119),"",ReferenceData!$J$119),"")</f>
        <v/>
      </c>
      <c r="K119" t="str">
        <f>IFERROR(IF(0=LEN(ReferenceData!$K$119),"",ReferenceData!$K$119),"")</f>
        <v/>
      </c>
      <c r="L119" t="str">
        <f>IFERROR(IF(0=LEN(ReferenceData!$L$119),"",ReferenceData!$L$119),"")</f>
        <v/>
      </c>
      <c r="M119" t="str">
        <f>IFERROR(IF(0=LEN(ReferenceData!$M$119),"",ReferenceData!$M$119),"")</f>
        <v/>
      </c>
      <c r="N119" t="str">
        <f>IFERROR(IF(0=LEN(ReferenceData!$N$119),"",ReferenceData!$N$119),"")</f>
        <v/>
      </c>
      <c r="O119" t="str">
        <f>IFERROR(IF(0=LEN(ReferenceData!$O$119),"",ReferenceData!$O$119),"")</f>
        <v/>
      </c>
      <c r="P119" t="str">
        <f>IFERROR(IF(0=LEN(ReferenceData!$P$119),"",ReferenceData!$P$119),"")</f>
        <v/>
      </c>
      <c r="Q119" t="str">
        <f>IFERROR(IF(0=LEN(ReferenceData!$Q$119),"",ReferenceData!$Q$119),"")</f>
        <v/>
      </c>
      <c r="R119" t="str">
        <f>IFERROR(IF(0=LEN(ReferenceData!$R$119),"",ReferenceData!$R$119),"")</f>
        <v/>
      </c>
      <c r="S119" t="str">
        <f>IFERROR(IF(0=LEN(ReferenceData!$S$119),"",ReferenceData!$S$119),"")</f>
        <v/>
      </c>
      <c r="T119" t="str">
        <f>IFERROR(IF(0=LEN(ReferenceData!$T$119),"",ReferenceData!$T$119),"")</f>
        <v/>
      </c>
      <c r="U119" t="str">
        <f>IFERROR(IF(0=LEN(ReferenceData!$U$119),"",ReferenceData!$U$119),"")</f>
        <v/>
      </c>
      <c r="V119" t="str">
        <f>IFERROR(IF(0=LEN(ReferenceData!$V$119),"",ReferenceData!$V$119),"")</f>
        <v/>
      </c>
      <c r="W119" t="str">
        <f>IFERROR(IF(0=LEN(ReferenceData!$W$119),"",ReferenceData!$W$119),"")</f>
        <v/>
      </c>
      <c r="X119" t="str">
        <f>IFERROR(IF(0=LEN(ReferenceData!$X$119),"",ReferenceData!$X$119),"")</f>
        <v/>
      </c>
      <c r="Y119" t="str">
        <f>IFERROR(IF(0=LEN(ReferenceData!$Y$119),"",ReferenceData!$Y$119),"")</f>
        <v/>
      </c>
      <c r="Z119" t="str">
        <f>IFERROR(IF(0=LEN(ReferenceData!$Z$119),"",ReferenceData!$Z$119),"")</f>
        <v/>
      </c>
      <c r="AA119" t="str">
        <f>IFERROR(IF(0=LEN(ReferenceData!$AA$119),"",ReferenceData!$AA$119),"")</f>
        <v/>
      </c>
      <c r="AB119" t="str">
        <f>IFERROR(IF(0=LEN(ReferenceData!$AB$119),"",ReferenceData!$AB$119),"")</f>
        <v/>
      </c>
      <c r="AC119" t="str">
        <f>IFERROR(IF(0=LEN(ReferenceData!$AC$119),"",ReferenceData!$AC$119),"")</f>
        <v/>
      </c>
      <c r="AD119" t="str">
        <f>IFERROR(IF(0=LEN(ReferenceData!$AD$119),"",ReferenceData!$AD$119),"")</f>
        <v/>
      </c>
      <c r="AE119" t="str">
        <f>IFERROR(IF(0=LEN(ReferenceData!$AE$119),"",ReferenceData!$AE$119),"")</f>
        <v/>
      </c>
      <c r="AF119" t="str">
        <f>IFERROR(IF(0=LEN(ReferenceData!$AF$119),"",ReferenceData!$AF$119),"")</f>
        <v/>
      </c>
      <c r="AG119" t="str">
        <f>IFERROR(IF(0=LEN(ReferenceData!$AG$119),"",ReferenceData!$AG$119),"")</f>
        <v/>
      </c>
      <c r="AH119" t="str">
        <f>IFERROR(IF(0=LEN(ReferenceData!$AH$119),"",ReferenceData!$AH$119),"")</f>
        <v/>
      </c>
      <c r="AI119" t="str">
        <f>IFERROR(IF(0=LEN(ReferenceData!$AI$119),"",ReferenceData!$AI$119),"")</f>
        <v/>
      </c>
      <c r="AJ119" t="str">
        <f>IFERROR(IF(0=LEN(ReferenceData!$AJ$119),"",ReferenceData!$AJ$119),"")</f>
        <v/>
      </c>
      <c r="AK119" t="str">
        <f>IFERROR(IF(0=LEN(ReferenceData!$AK$119),"",ReferenceData!$AK$119),"")</f>
        <v/>
      </c>
      <c r="AL119" t="str">
        <f>IFERROR(IF(0=LEN(ReferenceData!$AL$119),"",ReferenceData!$AL$119),"")</f>
        <v/>
      </c>
      <c r="AM119" t="str">
        <f>IFERROR(IF(0=LEN(ReferenceData!$AM$119),"",ReferenceData!$AM$119),"")</f>
        <v/>
      </c>
      <c r="AN119" t="str">
        <f>IFERROR(IF(0=LEN(ReferenceData!$AN$119),"",ReferenceData!$AN$119),"")</f>
        <v/>
      </c>
      <c r="AO119" t="str">
        <f>IFERROR(IF(0=LEN(ReferenceData!$AO$119),"",ReferenceData!$AO$119),"")</f>
        <v/>
      </c>
      <c r="AP119" t="str">
        <f>IFERROR(IF(0=LEN(ReferenceData!$AP$119),"",ReferenceData!$AP$119),"")</f>
        <v/>
      </c>
      <c r="AQ119" t="str">
        <f>IFERROR(IF(0=LEN(ReferenceData!$AQ$119),"",ReferenceData!$AQ$119),"")</f>
        <v/>
      </c>
      <c r="AR119" t="str">
        <f>IFERROR(IF(0=LEN(ReferenceData!$AR$119),"",ReferenceData!$AR$119),"")</f>
        <v/>
      </c>
      <c r="AS119" t="str">
        <f>IFERROR(IF(0=LEN(ReferenceData!$AS$119),"",ReferenceData!$AS$119),"")</f>
        <v/>
      </c>
      <c r="AT119" t="str">
        <f>IFERROR(IF(0=LEN(ReferenceData!$AT$119),"",ReferenceData!$AT$119),"")</f>
        <v/>
      </c>
      <c r="AU119" t="str">
        <f>IFERROR(IF(0=LEN(ReferenceData!$AU$119),"",ReferenceData!$AU$119),"")</f>
        <v/>
      </c>
      <c r="AV119" t="str">
        <f>IFERROR(IF(0=LEN(ReferenceData!$AV$119),"",ReferenceData!$AV$119),"")</f>
        <v/>
      </c>
      <c r="AW119" t="str">
        <f>IFERROR(IF(0=LEN(ReferenceData!$AW$119),"",ReferenceData!$AW$119),"")</f>
        <v/>
      </c>
      <c r="AX119" t="str">
        <f>IFERROR(IF(0=LEN(ReferenceData!$AX$119),"",ReferenceData!$AX$119),"")</f>
        <v/>
      </c>
      <c r="AY119" t="str">
        <f>IFERROR(IF(0=LEN(ReferenceData!$AY$119),"",ReferenceData!$AY$119),"")</f>
        <v/>
      </c>
      <c r="AZ119" t="str">
        <f>IFERROR(IF(0=LEN(ReferenceData!$AZ$119),"",ReferenceData!$AZ$119),"")</f>
        <v/>
      </c>
      <c r="BA119" t="str">
        <f>IFERROR(IF(0=LEN(ReferenceData!$BA$119),"",ReferenceData!$BA$119),"")</f>
        <v/>
      </c>
      <c r="BB119" t="str">
        <f>IFERROR(IF(0=LEN(ReferenceData!$BB$119),"",ReferenceData!$BB$119),"")</f>
        <v/>
      </c>
      <c r="BC119" t="str">
        <f>IFERROR(IF(0=LEN(ReferenceData!$BC$119),"",ReferenceData!$BC$119),"")</f>
        <v/>
      </c>
      <c r="BD119" t="str">
        <f>IFERROR(IF(0=LEN(ReferenceData!$BD$119),"",ReferenceData!$BD$119),"")</f>
        <v/>
      </c>
      <c r="BE119" t="str">
        <f>IFERROR(IF(0=LEN(ReferenceData!$BE$119),"",ReferenceData!$BE$119),"")</f>
        <v/>
      </c>
      <c r="BF119" t="str">
        <f>IFERROR(IF(0=LEN(ReferenceData!$BF$119),"",ReferenceData!$BF$119),"")</f>
        <v/>
      </c>
      <c r="BG119" t="str">
        <f>IFERROR(IF(0=LEN(ReferenceData!$BG$119),"",ReferenceData!$BG$119),"")</f>
        <v/>
      </c>
      <c r="BH119" t="str">
        <f>IFERROR(IF(0=LEN(ReferenceData!$BH$119),"",ReferenceData!$BH$119),"")</f>
        <v/>
      </c>
      <c r="BI119" t="str">
        <f>IFERROR(IF(0=LEN(ReferenceData!$BI$119),"",ReferenceData!$BI$119),"")</f>
        <v/>
      </c>
      <c r="BJ119" t="str">
        <f>IFERROR(IF(0=LEN(ReferenceData!$BJ$119),"",ReferenceData!$BJ$119),"")</f>
        <v/>
      </c>
      <c r="BK119" t="str">
        <f>IFERROR(IF(0=LEN(ReferenceData!$BK$119),"",ReferenceData!$BK$119),"")</f>
        <v/>
      </c>
      <c r="BL119" t="str">
        <f>IFERROR(IF(0=LEN(ReferenceData!$BL$119),"",ReferenceData!$BL$119),"")</f>
        <v/>
      </c>
      <c r="BM119" t="str">
        <f>IFERROR(IF(0=LEN(ReferenceData!$BM$119),"",ReferenceData!$BM$119),"")</f>
        <v/>
      </c>
    </row>
    <row r="120" spans="1:65" x14ac:dyDescent="0.25">
      <c r="A120" t="str">
        <f>IFERROR(IF(0=LEN(ReferenceData!$A$120),"",ReferenceData!$A$120),"")</f>
        <v xml:space="preserve">        Puma</v>
      </c>
      <c r="B120" t="str">
        <f>IFERROR(IF(0=LEN(ReferenceData!$B$120),"",ReferenceData!$B$120),"")</f>
        <v/>
      </c>
      <c r="C120" t="str">
        <f>IFERROR(IF(0=LEN(ReferenceData!$C$120),"",ReferenceData!$C$120),"")</f>
        <v/>
      </c>
      <c r="D120" t="str">
        <f>IFERROR(IF(0=LEN(ReferenceData!$D$120),"",ReferenceData!$D$120),"")</f>
        <v/>
      </c>
      <c r="E120" t="str">
        <f>IFERROR(IF(0=LEN(ReferenceData!$E$120),"",ReferenceData!$E$120),"")</f>
        <v>Static</v>
      </c>
      <c r="F120" t="str">
        <f ca="1">IFERROR(IF(0=LEN(ReferenceData!$F$120),"",ReferenceData!$F$120),"")</f>
        <v/>
      </c>
      <c r="G120" t="str">
        <f ca="1">IFERROR(IF(0=LEN(ReferenceData!$G$120),"",ReferenceData!$G$120),"")</f>
        <v/>
      </c>
      <c r="H120" t="str">
        <f ca="1">IFERROR(IF(0=LEN(ReferenceData!$H$120),"",ReferenceData!$H$120),"")</f>
        <v/>
      </c>
      <c r="I120" t="str">
        <f ca="1">IFERROR(IF(0=LEN(ReferenceData!$I$120),"",ReferenceData!$I$120),"")</f>
        <v/>
      </c>
      <c r="J120" t="str">
        <f ca="1">IFERROR(IF(0=LEN(ReferenceData!$J$120),"",ReferenceData!$J$120),"")</f>
        <v/>
      </c>
      <c r="K120" t="str">
        <f ca="1">IFERROR(IF(0=LEN(ReferenceData!$K$120),"",ReferenceData!$K$120),"")</f>
        <v/>
      </c>
      <c r="L120" t="str">
        <f ca="1">IFERROR(IF(0=LEN(ReferenceData!$L$120),"",ReferenceData!$L$120),"")</f>
        <v/>
      </c>
      <c r="M120" t="str">
        <f ca="1">IFERROR(IF(0=LEN(ReferenceData!$M$120),"",ReferenceData!$M$120),"")</f>
        <v/>
      </c>
      <c r="N120" t="str">
        <f ca="1">IFERROR(IF(0=LEN(ReferenceData!$N$120),"",ReferenceData!$N$120),"")</f>
        <v/>
      </c>
      <c r="O120" t="str">
        <f ca="1">IFERROR(IF(0=LEN(ReferenceData!$O$120),"",ReferenceData!$O$120),"")</f>
        <v/>
      </c>
      <c r="P120" t="str">
        <f ca="1">IFERROR(IF(0=LEN(ReferenceData!$P$120),"",ReferenceData!$P$120),"")</f>
        <v/>
      </c>
      <c r="Q120" t="str">
        <f ca="1">IFERROR(IF(0=LEN(ReferenceData!$Q$120),"",ReferenceData!$Q$120),"")</f>
        <v/>
      </c>
      <c r="R120" t="str">
        <f ca="1">IFERROR(IF(0=LEN(ReferenceData!$R$120),"",ReferenceData!$R$120),"")</f>
        <v/>
      </c>
      <c r="S120" t="str">
        <f ca="1">IFERROR(IF(0=LEN(ReferenceData!$S$120),"",ReferenceData!$S$120),"")</f>
        <v/>
      </c>
      <c r="T120" t="str">
        <f ca="1">IFERROR(IF(0=LEN(ReferenceData!$T$120),"",ReferenceData!$T$120),"")</f>
        <v/>
      </c>
      <c r="U120" t="str">
        <f ca="1">IFERROR(IF(0=LEN(ReferenceData!$U$120),"",ReferenceData!$U$120),"")</f>
        <v/>
      </c>
      <c r="V120" t="str">
        <f ca="1">IFERROR(IF(0=LEN(ReferenceData!$V$120),"",ReferenceData!$V$120),"")</f>
        <v/>
      </c>
      <c r="W120" t="str">
        <f ca="1">IFERROR(IF(0=LEN(ReferenceData!$W$120),"",ReferenceData!$W$120),"")</f>
        <v/>
      </c>
      <c r="X120" t="str">
        <f ca="1">IFERROR(IF(0=LEN(ReferenceData!$X$120),"",ReferenceData!$X$120),"")</f>
        <v/>
      </c>
      <c r="Y120" t="str">
        <f ca="1">IFERROR(IF(0=LEN(ReferenceData!$Y$120),"",ReferenceData!$Y$120),"")</f>
        <v/>
      </c>
      <c r="Z120" t="str">
        <f ca="1">IFERROR(IF(0=LEN(ReferenceData!$Z$120),"",ReferenceData!$Z$120),"")</f>
        <v/>
      </c>
      <c r="AA120" t="str">
        <f ca="1">IFERROR(IF(0=LEN(ReferenceData!$AA$120),"",ReferenceData!$AA$120),"")</f>
        <v/>
      </c>
      <c r="AB120" t="str">
        <f ca="1">IFERROR(IF(0=LEN(ReferenceData!$AB$120),"",ReferenceData!$AB$120),"")</f>
        <v/>
      </c>
      <c r="AC120" t="str">
        <f ca="1">IFERROR(IF(0=LEN(ReferenceData!$AC$120),"",ReferenceData!$AC$120),"")</f>
        <v/>
      </c>
      <c r="AD120" t="str">
        <f ca="1">IFERROR(IF(0=LEN(ReferenceData!$AD$120),"",ReferenceData!$AD$120),"")</f>
        <v/>
      </c>
      <c r="AE120" t="str">
        <f ca="1">IFERROR(IF(0=LEN(ReferenceData!$AE$120),"",ReferenceData!$AE$120),"")</f>
        <v/>
      </c>
      <c r="AF120" t="str">
        <f ca="1">IFERROR(IF(0=LEN(ReferenceData!$AF$120),"",ReferenceData!$AF$120),"")</f>
        <v/>
      </c>
      <c r="AG120" t="str">
        <f ca="1">IFERROR(IF(0=LEN(ReferenceData!$AG$120),"",ReferenceData!$AG$120),"")</f>
        <v/>
      </c>
      <c r="AH120" t="str">
        <f ca="1">IFERROR(IF(0=LEN(ReferenceData!$AH$120),"",ReferenceData!$AH$120),"")</f>
        <v/>
      </c>
      <c r="AI120" t="str">
        <f ca="1">IFERROR(IF(0=LEN(ReferenceData!$AI$120),"",ReferenceData!$AI$120),"")</f>
        <v/>
      </c>
      <c r="AJ120" t="str">
        <f ca="1">IFERROR(IF(0=LEN(ReferenceData!$AJ$120),"",ReferenceData!$AJ$120),"")</f>
        <v/>
      </c>
      <c r="AK120" t="str">
        <f ca="1">IFERROR(IF(0=LEN(ReferenceData!$AK$120),"",ReferenceData!$AK$120),"")</f>
        <v/>
      </c>
      <c r="AL120" t="str">
        <f ca="1">IFERROR(IF(0=LEN(ReferenceData!$AL$120),"",ReferenceData!$AL$120),"")</f>
        <v/>
      </c>
      <c r="AM120" t="str">
        <f ca="1">IFERROR(IF(0=LEN(ReferenceData!$AM$120),"",ReferenceData!$AM$120),"")</f>
        <v/>
      </c>
      <c r="AN120" t="str">
        <f ca="1">IFERROR(IF(0=LEN(ReferenceData!$AN$120),"",ReferenceData!$AN$120),"")</f>
        <v/>
      </c>
      <c r="AO120" t="str">
        <f ca="1">IFERROR(IF(0=LEN(ReferenceData!$AO$120),"",ReferenceData!$AO$120),"")</f>
        <v/>
      </c>
      <c r="AP120" t="str">
        <f ca="1">IFERROR(IF(0=LEN(ReferenceData!$AP$120),"",ReferenceData!$AP$120),"")</f>
        <v/>
      </c>
      <c r="AQ120" t="str">
        <f ca="1">IFERROR(IF(0=LEN(ReferenceData!$AQ$120),"",ReferenceData!$AQ$120),"")</f>
        <v/>
      </c>
      <c r="AR120" t="str">
        <f ca="1">IFERROR(IF(0=LEN(ReferenceData!$AR$120),"",ReferenceData!$AR$120),"")</f>
        <v/>
      </c>
      <c r="AS120" t="str">
        <f ca="1">IFERROR(IF(0=LEN(ReferenceData!$AS$120),"",ReferenceData!$AS$120),"")</f>
        <v/>
      </c>
      <c r="AT120" t="str">
        <f ca="1">IFERROR(IF(0=LEN(ReferenceData!$AT$120),"",ReferenceData!$AT$120),"")</f>
        <v/>
      </c>
      <c r="AU120" t="str">
        <f ca="1">IFERROR(IF(0=LEN(ReferenceData!$AU$120),"",ReferenceData!$AU$120),"")</f>
        <v/>
      </c>
      <c r="AV120" t="str">
        <f ca="1">IFERROR(IF(0=LEN(ReferenceData!$AV$120),"",ReferenceData!$AV$120),"")</f>
        <v/>
      </c>
      <c r="AW120" t="str">
        <f ca="1">IFERROR(IF(0=LEN(ReferenceData!$AW$120),"",ReferenceData!$AW$120),"")</f>
        <v/>
      </c>
      <c r="AX120" t="str">
        <f ca="1">IFERROR(IF(0=LEN(ReferenceData!$AX$120),"",ReferenceData!$AX$120),"")</f>
        <v/>
      </c>
      <c r="AY120" t="str">
        <f ca="1">IFERROR(IF(0=LEN(ReferenceData!$AY$120),"",ReferenceData!$AY$120),"")</f>
        <v/>
      </c>
      <c r="AZ120" t="str">
        <f ca="1">IFERROR(IF(0=LEN(ReferenceData!$AZ$120),"",ReferenceData!$AZ$120),"")</f>
        <v/>
      </c>
      <c r="BA120" t="str">
        <f ca="1">IFERROR(IF(0=LEN(ReferenceData!$BA$120),"",ReferenceData!$BA$120),"")</f>
        <v/>
      </c>
      <c r="BB120" t="str">
        <f ca="1">IFERROR(IF(0=LEN(ReferenceData!$BB$120),"",ReferenceData!$BB$120),"")</f>
        <v/>
      </c>
      <c r="BC120" t="str">
        <f ca="1">IFERROR(IF(0=LEN(ReferenceData!$BC$120),"",ReferenceData!$BC$120),"")</f>
        <v/>
      </c>
      <c r="BD120" t="str">
        <f ca="1">IFERROR(IF(0=LEN(ReferenceData!$BD$120),"",ReferenceData!$BD$120),"")</f>
        <v/>
      </c>
      <c r="BE120" t="str">
        <f ca="1">IFERROR(IF(0=LEN(ReferenceData!$BE$120),"",ReferenceData!$BE$120),"")</f>
        <v/>
      </c>
      <c r="BF120" t="str">
        <f ca="1">IFERROR(IF(0=LEN(ReferenceData!$BF$120),"",ReferenceData!$BF$120),"")</f>
        <v/>
      </c>
      <c r="BG120" t="str">
        <f ca="1">IFERROR(IF(0=LEN(ReferenceData!$BG$120),"",ReferenceData!$BG$120),"")</f>
        <v/>
      </c>
      <c r="BH120" t="str">
        <f ca="1">IFERROR(IF(0=LEN(ReferenceData!$BH$120),"",ReferenceData!$BH$120),"")</f>
        <v/>
      </c>
      <c r="BI120" t="str">
        <f ca="1">IFERROR(IF(0=LEN(ReferenceData!$BI$120),"",ReferenceData!$BI$120),"")</f>
        <v/>
      </c>
      <c r="BJ120" t="str">
        <f ca="1">IFERROR(IF(0=LEN(ReferenceData!$BJ$120),"",ReferenceData!$BJ$120),"")</f>
        <v/>
      </c>
      <c r="BK120" t="str">
        <f ca="1">IFERROR(IF(0=LEN(ReferenceData!$BK$120),"",ReferenceData!$BK$120),"")</f>
        <v/>
      </c>
      <c r="BL120" t="str">
        <f ca="1">IFERROR(IF(0=LEN(ReferenceData!$BL$120),"",ReferenceData!$BL$120),"")</f>
        <v/>
      </c>
      <c r="BM120" t="str">
        <f ca="1">IFERROR(IF(0=LEN(ReferenceData!$BM$120),"",ReferenceData!$BM$120),"")</f>
        <v/>
      </c>
    </row>
    <row r="121" spans="1:65" x14ac:dyDescent="0.25">
      <c r="A121" t="str">
        <f>IFERROR(IF(0=LEN(ReferenceData!$A$121),"",ReferenceData!$A$121),"")</f>
        <v xml:space="preserve">            Revenue</v>
      </c>
      <c r="B121" t="str">
        <f>IFERROR(IF(0=LEN(ReferenceData!$B$121),"",ReferenceData!$B$121),"")</f>
        <v>KER FP Equity</v>
      </c>
      <c r="C121" t="str">
        <f>IFERROR(IF(0=LEN(ReferenceData!$C$121),"",ReferenceData!$C$121),"")</f>
        <v>BI047</v>
      </c>
      <c r="D121" t="str">
        <f>IFERROR(IF(0=LEN(ReferenceData!$D$121),"",ReferenceData!$D$121),"")</f>
        <v>BICS_SEGMENT_DATA</v>
      </c>
      <c r="E121" t="str">
        <f>IFERROR(IF(0=LEN(ReferenceData!$E$121),"",ReferenceData!$E$121),"")</f>
        <v>Dynamic</v>
      </c>
      <c r="F121" t="str">
        <f ca="1">IFERROR(IF(0=LEN(ReferenceData!$F$121),"",ReferenceData!$F$121),"")</f>
        <v/>
      </c>
      <c r="G121" t="str">
        <f ca="1">IFERROR(IF(0=LEN(ReferenceData!$G$121),"",ReferenceData!$G$121),"")</f>
        <v/>
      </c>
      <c r="H121" t="str">
        <f ca="1">IFERROR(IF(0=LEN(ReferenceData!$H$121),"",ReferenceData!$H$121),"")</f>
        <v/>
      </c>
      <c r="I121" t="str">
        <f ca="1">IFERROR(IF(0=LEN(ReferenceData!$I$121),"",ReferenceData!$I$121),"")</f>
        <v/>
      </c>
      <c r="J121" t="str">
        <f ca="1">IFERROR(IF(0=LEN(ReferenceData!$J$121),"",ReferenceData!$J$121),"")</f>
        <v/>
      </c>
      <c r="K121" t="str">
        <f ca="1">IFERROR(IF(0=LEN(ReferenceData!$K$121),"",ReferenceData!$K$121),"")</f>
        <v/>
      </c>
      <c r="L121" t="str">
        <f ca="1">IFERROR(IF(0=LEN(ReferenceData!$L$121),"",ReferenceData!$L$121),"")</f>
        <v/>
      </c>
      <c r="M121" t="str">
        <f ca="1">IFERROR(IF(0=LEN(ReferenceData!$M$121),"",ReferenceData!$M$121),"")</f>
        <v/>
      </c>
      <c r="N121" t="str">
        <f ca="1">IFERROR(IF(0=LEN(ReferenceData!$N$121),"",ReferenceData!$N$121),"")</f>
        <v/>
      </c>
      <c r="O121" t="str">
        <f ca="1">IFERROR(IF(0=LEN(ReferenceData!$O$121),"",ReferenceData!$O$121),"")</f>
        <v/>
      </c>
      <c r="P121" t="str">
        <f ca="1">IFERROR(IF(0=LEN(ReferenceData!$P$121),"",ReferenceData!$P$121),"")</f>
        <v/>
      </c>
      <c r="Q121" t="str">
        <f ca="1">IFERROR(IF(0=LEN(ReferenceData!$Q$121),"",ReferenceData!$Q$121),"")</f>
        <v/>
      </c>
      <c r="R121" t="str">
        <f ca="1">IFERROR(IF(0=LEN(ReferenceData!$R$121),"",ReferenceData!$R$121),"")</f>
        <v/>
      </c>
      <c r="S121" t="str">
        <f ca="1">IFERROR(IF(0=LEN(ReferenceData!$S$121),"",ReferenceData!$S$121),"")</f>
        <v/>
      </c>
      <c r="T121" t="str">
        <f ca="1">IFERROR(IF(0=LEN(ReferenceData!$T$121),"",ReferenceData!$T$121),"")</f>
        <v/>
      </c>
      <c r="U121" t="str">
        <f ca="1">IFERROR(IF(0=LEN(ReferenceData!$U$121),"",ReferenceData!$U$121),"")</f>
        <v/>
      </c>
      <c r="V121" t="str">
        <f ca="1">IFERROR(IF(0=LEN(ReferenceData!$V$121),"",ReferenceData!$V$121),"")</f>
        <v/>
      </c>
      <c r="W121" t="str">
        <f ca="1">IFERROR(IF(0=LEN(ReferenceData!$W$121),"",ReferenceData!$W$121),"")</f>
        <v/>
      </c>
      <c r="X121" t="str">
        <f ca="1">IFERROR(IF(0=LEN(ReferenceData!$X$121),"",ReferenceData!$X$121),"")</f>
        <v/>
      </c>
      <c r="Y121" t="str">
        <f ca="1">IFERROR(IF(0=LEN(ReferenceData!$Y$121),"",ReferenceData!$Y$121),"")</f>
        <v/>
      </c>
      <c r="Z121" t="str">
        <f ca="1">IFERROR(IF(0=LEN(ReferenceData!$Z$121),"",ReferenceData!$Z$121),"")</f>
        <v/>
      </c>
      <c r="AA121" t="str">
        <f ca="1">IFERROR(IF(0=LEN(ReferenceData!$AA$121),"",ReferenceData!$AA$121),"")</f>
        <v/>
      </c>
      <c r="AB121" t="str">
        <f ca="1">IFERROR(IF(0=LEN(ReferenceData!$AB$121),"",ReferenceData!$AB$121),"")</f>
        <v/>
      </c>
      <c r="AC121" t="str">
        <f ca="1">IFERROR(IF(0=LEN(ReferenceData!$AC$121),"",ReferenceData!$AC$121),"")</f>
        <v/>
      </c>
      <c r="AD121">
        <f ca="1">IFERROR(IF(0=LEN(ReferenceData!$AD$121),"",ReferenceData!$AD$121),"")</f>
        <v>884</v>
      </c>
      <c r="AE121" t="str">
        <f ca="1">IFERROR(IF(0=LEN(ReferenceData!$AE$121),"",ReferenceData!$AE$121),"")</f>
        <v/>
      </c>
      <c r="AF121" t="str">
        <f ca="1">IFERROR(IF(0=LEN(ReferenceData!$AF$121),"",ReferenceData!$AF$121),"")</f>
        <v/>
      </c>
      <c r="AG121" t="str">
        <f ca="1">IFERROR(IF(0=LEN(ReferenceData!$AG$121),"",ReferenceData!$AG$121),"")</f>
        <v/>
      </c>
      <c r="AH121">
        <f ca="1">IFERROR(IF(0=LEN(ReferenceData!$AH$121),"",ReferenceData!$AH$121),"")</f>
        <v>756.3</v>
      </c>
      <c r="AI121" t="str">
        <f ca="1">IFERROR(IF(0=LEN(ReferenceData!$AI$121),"",ReferenceData!$AI$121),"")</f>
        <v/>
      </c>
      <c r="AJ121" t="str">
        <f ca="1">IFERROR(IF(0=LEN(ReferenceData!$AJ$121),"",ReferenceData!$AJ$121),"")</f>
        <v/>
      </c>
      <c r="AK121">
        <f ca="1">IFERROR(IF(0=LEN(ReferenceData!$AK$121),"",ReferenceData!$AK$121),"")</f>
        <v>730</v>
      </c>
      <c r="AL121" t="str">
        <f ca="1">IFERROR(IF(0=LEN(ReferenceData!$AL$121),"",ReferenceData!$AL$121),"")</f>
        <v/>
      </c>
      <c r="AM121" t="str">
        <f ca="1">IFERROR(IF(0=LEN(ReferenceData!$AM$121),"",ReferenceData!$AM$121),"")</f>
        <v/>
      </c>
      <c r="AN121" t="str">
        <f ca="1">IFERROR(IF(0=LEN(ReferenceData!$AN$121),"",ReferenceData!$AN$121),"")</f>
        <v/>
      </c>
      <c r="AO121">
        <f ca="1">IFERROR(IF(0=LEN(ReferenceData!$AO$121),"",ReferenceData!$AO$121),"")</f>
        <v>782</v>
      </c>
      <c r="AP121" t="str">
        <f ca="1">IFERROR(IF(0=LEN(ReferenceData!$AP$121),"",ReferenceData!$AP$121),"")</f>
        <v/>
      </c>
      <c r="AQ121" t="str">
        <f ca="1">IFERROR(IF(0=LEN(ReferenceData!$AQ$121),"",ReferenceData!$AQ$121),"")</f>
        <v/>
      </c>
      <c r="AR121" t="str">
        <f ca="1">IFERROR(IF(0=LEN(ReferenceData!$AR$121),"",ReferenceData!$AR$121),"")</f>
        <v/>
      </c>
      <c r="AS121" t="str">
        <f ca="1">IFERROR(IF(0=LEN(ReferenceData!$AS$121),"",ReferenceData!$AS$121),"")</f>
        <v/>
      </c>
      <c r="AT121" t="str">
        <f ca="1">IFERROR(IF(0=LEN(ReferenceData!$AT$121),"",ReferenceData!$AT$121),"")</f>
        <v/>
      </c>
      <c r="AU121" t="str">
        <f ca="1">IFERROR(IF(0=LEN(ReferenceData!$AU$121),"",ReferenceData!$AU$121),"")</f>
        <v/>
      </c>
      <c r="AV121" t="str">
        <f ca="1">IFERROR(IF(0=LEN(ReferenceData!$AV$121),"",ReferenceData!$AV$121),"")</f>
        <v/>
      </c>
      <c r="AW121" t="str">
        <f ca="1">IFERROR(IF(0=LEN(ReferenceData!$AW$121),"",ReferenceData!$AW$121),"")</f>
        <v/>
      </c>
      <c r="AX121">
        <f ca="1">IFERROR(IF(0=LEN(ReferenceData!$AX$121),"",ReferenceData!$AX$121),"")</f>
        <v>623.4</v>
      </c>
      <c r="AY121" t="str">
        <f ca="1">IFERROR(IF(0=LEN(ReferenceData!$AY$121),"",ReferenceData!$AY$121),"")</f>
        <v/>
      </c>
      <c r="AZ121" t="str">
        <f ca="1">IFERROR(IF(0=LEN(ReferenceData!$AZ$121),"",ReferenceData!$AZ$121),"")</f>
        <v/>
      </c>
      <c r="BA121" t="str">
        <f ca="1">IFERROR(IF(0=LEN(ReferenceData!$BA$121),"",ReferenceData!$BA$121),"")</f>
        <v/>
      </c>
      <c r="BB121">
        <f ca="1">IFERROR(IF(0=LEN(ReferenceData!$BB$121),"",ReferenceData!$BB$121),"")</f>
        <v>486.2</v>
      </c>
      <c r="BC121">
        <f ca="1">IFERROR(IF(0=LEN(ReferenceData!$BC$121),"",ReferenceData!$BC$121),"")</f>
        <v>673.4</v>
      </c>
      <c r="BD121" t="str">
        <f ca="1">IFERROR(IF(0=LEN(ReferenceData!$BD$121),"",ReferenceData!$BD$121),"")</f>
        <v/>
      </c>
      <c r="BE121" t="str">
        <f ca="1">IFERROR(IF(0=LEN(ReferenceData!$BE$121),"",ReferenceData!$BE$121),"")</f>
        <v/>
      </c>
      <c r="BF121" t="str">
        <f ca="1">IFERROR(IF(0=LEN(ReferenceData!$BF$121),"",ReferenceData!$BF$121),"")</f>
        <v/>
      </c>
      <c r="BG121" t="str">
        <f ca="1">IFERROR(IF(0=LEN(ReferenceData!$BG$121),"",ReferenceData!$BG$121),"")</f>
        <v/>
      </c>
      <c r="BH121" t="str">
        <f ca="1">IFERROR(IF(0=LEN(ReferenceData!$BH$121),"",ReferenceData!$BH$121),"")</f>
        <v/>
      </c>
      <c r="BI121" t="str">
        <f ca="1">IFERROR(IF(0=LEN(ReferenceData!$BI$121),"",ReferenceData!$BI$121),"")</f>
        <v/>
      </c>
      <c r="BJ121" t="str">
        <f ca="1">IFERROR(IF(0=LEN(ReferenceData!$BJ$121),"",ReferenceData!$BJ$121),"")</f>
        <v/>
      </c>
      <c r="BK121" t="str">
        <f ca="1">IFERROR(IF(0=LEN(ReferenceData!$BK$121),"",ReferenceData!$BK$121),"")</f>
        <v/>
      </c>
      <c r="BL121" t="str">
        <f ca="1">IFERROR(IF(0=LEN(ReferenceData!$BL$121),"",ReferenceData!$BL$121),"")</f>
        <v/>
      </c>
      <c r="BM121" t="str">
        <f ca="1">IFERROR(IF(0=LEN(ReferenceData!$BM$121),"",ReferenceData!$BM$121),"")</f>
        <v/>
      </c>
    </row>
    <row r="122" spans="1:65" x14ac:dyDescent="0.25">
      <c r="A122" t="str">
        <f>IFERROR(IF(0=LEN(ReferenceData!$A$122),"",ReferenceData!$A$122),"")</f>
        <v xml:space="preserve">                of Total Kering Sales (%)</v>
      </c>
      <c r="B122" t="str">
        <f>IFERROR(IF(0=LEN(ReferenceData!$B$122),"",ReferenceData!$B$122),"")</f>
        <v>KER FP Equity</v>
      </c>
      <c r="C122" t="str">
        <f>IFERROR(IF(0=LEN(ReferenceData!$C$122),"",ReferenceData!$C$122),"")</f>
        <v/>
      </c>
      <c r="D122" t="str">
        <f>IFERROR(IF(0=LEN(ReferenceData!$D$122),"",ReferenceData!$D$122),"")</f>
        <v/>
      </c>
      <c r="E122" t="str">
        <f>IFERROR(IF(0=LEN(ReferenceData!$E$122),"",ReferenceData!$E$122),"")</f>
        <v>Expression</v>
      </c>
      <c r="F122" t="str">
        <f ca="1">IFERROR(IF(0=LEN(ReferenceData!$F$122),"",ReferenceData!$F$122),"")</f>
        <v/>
      </c>
      <c r="G122" t="str">
        <f ca="1">IFERROR(IF(0=LEN(ReferenceData!$G$122),"",ReferenceData!$G$122),"")</f>
        <v/>
      </c>
      <c r="H122" t="str">
        <f ca="1">IFERROR(IF(0=LEN(ReferenceData!$H$122),"",ReferenceData!$H$122),"")</f>
        <v/>
      </c>
      <c r="I122" t="str">
        <f ca="1">IFERROR(IF(0=LEN(ReferenceData!$I$122),"",ReferenceData!$I$122),"")</f>
        <v/>
      </c>
      <c r="J122" t="str">
        <f ca="1">IFERROR(IF(0=LEN(ReferenceData!$J$122),"",ReferenceData!$J$122),"")</f>
        <v/>
      </c>
      <c r="K122" t="str">
        <f ca="1">IFERROR(IF(0=LEN(ReferenceData!$K$122),"",ReferenceData!$K$122),"")</f>
        <v/>
      </c>
      <c r="L122" t="str">
        <f ca="1">IFERROR(IF(0=LEN(ReferenceData!$L$122),"",ReferenceData!$L$122),"")</f>
        <v/>
      </c>
      <c r="M122" t="str">
        <f ca="1">IFERROR(IF(0=LEN(ReferenceData!$M$122),"",ReferenceData!$M$122),"")</f>
        <v/>
      </c>
      <c r="N122" t="str">
        <f ca="1">IFERROR(IF(0=LEN(ReferenceData!$N$122),"",ReferenceData!$N$122),"")</f>
        <v/>
      </c>
      <c r="O122" t="str">
        <f ca="1">IFERROR(IF(0=LEN(ReferenceData!$O$122),"",ReferenceData!$O$122),"")</f>
        <v/>
      </c>
      <c r="P122" t="str">
        <f ca="1">IFERROR(IF(0=LEN(ReferenceData!$P$122),"",ReferenceData!$P$122),"")</f>
        <v/>
      </c>
      <c r="Q122" t="str">
        <f ca="1">IFERROR(IF(0=LEN(ReferenceData!$Q$122),"",ReferenceData!$Q$122),"")</f>
        <v/>
      </c>
      <c r="R122" t="str">
        <f ca="1">IFERROR(IF(0=LEN(ReferenceData!$R$122),"",ReferenceData!$R$122),"")</f>
        <v/>
      </c>
      <c r="S122" t="str">
        <f ca="1">IFERROR(IF(0=LEN(ReferenceData!$S$122),"",ReferenceData!$S$122),"")</f>
        <v/>
      </c>
      <c r="T122" t="str">
        <f ca="1">IFERROR(IF(0=LEN(ReferenceData!$T$122),"",ReferenceData!$T$122),"")</f>
        <v/>
      </c>
      <c r="U122" t="str">
        <f ca="1">IFERROR(IF(0=LEN(ReferenceData!$U$122),"",ReferenceData!$U$122),"")</f>
        <v/>
      </c>
      <c r="V122" t="str">
        <f ca="1">IFERROR(IF(0=LEN(ReferenceData!$V$122),"",ReferenceData!$V$122),"")</f>
        <v/>
      </c>
      <c r="W122" t="str">
        <f ca="1">IFERROR(IF(0=LEN(ReferenceData!$W$122),"",ReferenceData!$W$122),"")</f>
        <v/>
      </c>
      <c r="X122" t="str">
        <f ca="1">IFERROR(IF(0=LEN(ReferenceData!$X$122),"",ReferenceData!$X$122),"")</f>
        <v/>
      </c>
      <c r="Y122" t="str">
        <f ca="1">IFERROR(IF(0=LEN(ReferenceData!$Y$122),"",ReferenceData!$Y$122),"")</f>
        <v/>
      </c>
      <c r="Z122" t="str">
        <f ca="1">IFERROR(IF(0=LEN(ReferenceData!$Z$122),"",ReferenceData!$Z$122),"")</f>
        <v/>
      </c>
      <c r="AA122" t="str">
        <f ca="1">IFERROR(IF(0=LEN(ReferenceData!$AA$122),"",ReferenceData!$AA$122),"")</f>
        <v/>
      </c>
      <c r="AB122" t="str">
        <f ca="1">IFERROR(IF(0=LEN(ReferenceData!$AB$122),"",ReferenceData!$AB$122),"")</f>
        <v/>
      </c>
      <c r="AC122" t="str">
        <f ca="1">IFERROR(IF(0=LEN(ReferenceData!$AC$122),"",ReferenceData!$AC$122),"")</f>
        <v/>
      </c>
      <c r="AD122">
        <f ca="1">IFERROR(IF(0=LEN(ReferenceData!$AD$122),"",ReferenceData!$AD$122),"")</f>
        <v>27.829371949999999</v>
      </c>
      <c r="AE122" t="str">
        <f ca="1">IFERROR(IF(0=LEN(ReferenceData!$AE$122),"",ReferenceData!$AE$122),"")</f>
        <v/>
      </c>
      <c r="AF122" t="str">
        <f ca="1">IFERROR(IF(0=LEN(ReferenceData!$AF$122),"",ReferenceData!$AF$122),"")</f>
        <v/>
      </c>
      <c r="AG122" t="str">
        <f ca="1">IFERROR(IF(0=LEN(ReferenceData!$AG$122),"",ReferenceData!$AG$122),"")</f>
        <v/>
      </c>
      <c r="AH122">
        <f ca="1">IFERROR(IF(0=LEN(ReferenceData!$AH$122),"",ReferenceData!$AH$122),"")</f>
        <v>27.584068859999999</v>
      </c>
      <c r="AI122" t="str">
        <f ca="1">IFERROR(IF(0=LEN(ReferenceData!$AI$122),"",ReferenceData!$AI$122),"")</f>
        <v/>
      </c>
      <c r="AJ122" t="str">
        <f ca="1">IFERROR(IF(0=LEN(ReferenceData!$AJ$122),"",ReferenceData!$AJ$122),"")</f>
        <v/>
      </c>
      <c r="AK122">
        <f ca="1">IFERROR(IF(0=LEN(ReferenceData!$AK$122),"",ReferenceData!$AK$122),"")</f>
        <v>30.44203503</v>
      </c>
      <c r="AL122" t="str">
        <f ca="1">IFERROR(IF(0=LEN(ReferenceData!$AL$122),"",ReferenceData!$AL$122),"")</f>
        <v/>
      </c>
      <c r="AM122" t="str">
        <f ca="1">IFERROR(IF(0=LEN(ReferenceData!$AM$122),"",ReferenceData!$AM$122),"")</f>
        <v/>
      </c>
      <c r="AN122" t="str">
        <f ca="1">IFERROR(IF(0=LEN(ReferenceData!$AN$122),"",ReferenceData!$AN$122),"")</f>
        <v/>
      </c>
      <c r="AO122">
        <f ca="1">IFERROR(IF(0=LEN(ReferenceData!$AO$122),"",ReferenceData!$AO$122),"")</f>
        <v>32.990212620000001</v>
      </c>
      <c r="AP122" t="str">
        <f ca="1">IFERROR(IF(0=LEN(ReferenceData!$AP$122),"",ReferenceData!$AP$122),"")</f>
        <v/>
      </c>
      <c r="AQ122" t="str">
        <f ca="1">IFERROR(IF(0=LEN(ReferenceData!$AQ$122),"",ReferenceData!$AQ$122),"")</f>
        <v/>
      </c>
      <c r="AR122" t="str">
        <f ca="1">IFERROR(IF(0=LEN(ReferenceData!$AR$122),"",ReferenceData!$AR$122),"")</f>
        <v/>
      </c>
      <c r="AS122" t="str">
        <f ca="1">IFERROR(IF(0=LEN(ReferenceData!$AS$122),"",ReferenceData!$AS$122),"")</f>
        <v/>
      </c>
      <c r="AT122" t="str">
        <f ca="1">IFERROR(IF(0=LEN(ReferenceData!$AT$122),"",ReferenceData!$AT$122),"")</f>
        <v/>
      </c>
      <c r="AU122" t="str">
        <f ca="1">IFERROR(IF(0=LEN(ReferenceData!$AU$122),"",ReferenceData!$AU$122),"")</f>
        <v/>
      </c>
      <c r="AV122" t="str">
        <f ca="1">IFERROR(IF(0=LEN(ReferenceData!$AV$122),"",ReferenceData!$AV$122),"")</f>
        <v/>
      </c>
      <c r="AW122" t="str">
        <f ca="1">IFERROR(IF(0=LEN(ReferenceData!$AW$122),"",ReferenceData!$AW$122),"")</f>
        <v/>
      </c>
      <c r="AX122">
        <f ca="1">IFERROR(IF(0=LEN(ReferenceData!$AX$122),"",ReferenceData!$AX$122),"")</f>
        <v>14.68239949</v>
      </c>
      <c r="AY122" t="str">
        <f ca="1">IFERROR(IF(0=LEN(ReferenceData!$AY$122),"",ReferenceData!$AY$122),"")</f>
        <v/>
      </c>
      <c r="AZ122" t="str">
        <f ca="1">IFERROR(IF(0=LEN(ReferenceData!$AZ$122),"",ReferenceData!$AZ$122),"")</f>
        <v/>
      </c>
      <c r="BA122" t="str">
        <f ca="1">IFERROR(IF(0=LEN(ReferenceData!$BA$122),"",ReferenceData!$BA$122),"")</f>
        <v/>
      </c>
      <c r="BB122">
        <f ca="1">IFERROR(IF(0=LEN(ReferenceData!$BB$122),"",ReferenceData!$BB$122),"")</f>
        <v>10.289511559999999</v>
      </c>
      <c r="BC122">
        <f ca="1">IFERROR(IF(0=LEN(ReferenceData!$BC$122),"",ReferenceData!$BC$122),"")</f>
        <v>14.757187310000001</v>
      </c>
      <c r="BD122" t="str">
        <f ca="1">IFERROR(IF(0=LEN(ReferenceData!$BD$122),"",ReferenceData!$BD$122),"")</f>
        <v/>
      </c>
      <c r="BE122" t="str">
        <f ca="1">IFERROR(IF(0=LEN(ReferenceData!$BE$122),"",ReferenceData!$BE$122),"")</f>
        <v/>
      </c>
      <c r="BF122" t="str">
        <f ca="1">IFERROR(IF(0=LEN(ReferenceData!$BF$122),"",ReferenceData!$BF$122),"")</f>
        <v/>
      </c>
      <c r="BG122" t="str">
        <f ca="1">IFERROR(IF(0=LEN(ReferenceData!$BG$122),"",ReferenceData!$BG$122),"")</f>
        <v/>
      </c>
      <c r="BH122" t="str">
        <f ca="1">IFERROR(IF(0=LEN(ReferenceData!$BH$122),"",ReferenceData!$BH$122),"")</f>
        <v/>
      </c>
      <c r="BI122" t="str">
        <f ca="1">IFERROR(IF(0=LEN(ReferenceData!$BI$122),"",ReferenceData!$BI$122),"")</f>
        <v/>
      </c>
      <c r="BJ122" t="str">
        <f ca="1">IFERROR(IF(0=LEN(ReferenceData!$BJ$122),"",ReferenceData!$BJ$122),"")</f>
        <v/>
      </c>
      <c r="BK122" t="str">
        <f ca="1">IFERROR(IF(0=LEN(ReferenceData!$BK$122),"",ReferenceData!$BK$122),"")</f>
        <v/>
      </c>
      <c r="BL122" t="str">
        <f ca="1">IFERROR(IF(0=LEN(ReferenceData!$BL$122),"",ReferenceData!$BL$122),"")</f>
        <v/>
      </c>
      <c r="BM122" t="str">
        <f ca="1">IFERROR(IF(0=LEN(ReferenceData!$BM$122),"",ReferenceData!$BM$122),"")</f>
        <v/>
      </c>
    </row>
    <row r="123" spans="1:65" x14ac:dyDescent="0.25">
      <c r="A123" t="str">
        <f>IFERROR(IF(0=LEN(ReferenceData!$A$123),"",ReferenceData!$A$123),"")</f>
        <v xml:space="preserve">            Reported Sales Growth (%)</v>
      </c>
      <c r="B123" t="str">
        <f>IFERROR(IF(0=LEN(ReferenceData!$B$123),"",ReferenceData!$B$123),"")</f>
        <v>KER FP Equity</v>
      </c>
      <c r="C123" t="str">
        <f>IFERROR(IF(0=LEN(ReferenceData!$C$123),"",ReferenceData!$C$123),"")</f>
        <v>BI047</v>
      </c>
      <c r="D123" t="str">
        <f>IFERROR(IF(0=LEN(ReferenceData!$D$123),"",ReferenceData!$D$123),"")</f>
        <v>BICS_SEGMENT_DATA</v>
      </c>
      <c r="E123" t="str">
        <f>IFERROR(IF(0=LEN(ReferenceData!$E$123),"",ReferenceData!$E$123),"")</f>
        <v>Dynamic</v>
      </c>
      <c r="F123" t="str">
        <f ca="1">IFERROR(IF(0=LEN(ReferenceData!$F$123),"",ReferenceData!$F$123),"")</f>
        <v/>
      </c>
      <c r="G123" t="str">
        <f ca="1">IFERROR(IF(0=LEN(ReferenceData!$G$123),"",ReferenceData!$G$123),"")</f>
        <v/>
      </c>
      <c r="H123" t="str">
        <f ca="1">IFERROR(IF(0=LEN(ReferenceData!$H$123),"",ReferenceData!$H$123),"")</f>
        <v/>
      </c>
      <c r="I123" t="str">
        <f ca="1">IFERROR(IF(0=LEN(ReferenceData!$I$123),"",ReferenceData!$I$123),"")</f>
        <v/>
      </c>
      <c r="J123" t="str">
        <f ca="1">IFERROR(IF(0=LEN(ReferenceData!$J$123),"",ReferenceData!$J$123),"")</f>
        <v/>
      </c>
      <c r="K123" t="str">
        <f ca="1">IFERROR(IF(0=LEN(ReferenceData!$K$123),"",ReferenceData!$K$123),"")</f>
        <v/>
      </c>
      <c r="L123" t="str">
        <f ca="1">IFERROR(IF(0=LEN(ReferenceData!$L$123),"",ReferenceData!$L$123),"")</f>
        <v/>
      </c>
      <c r="M123" t="str">
        <f ca="1">IFERROR(IF(0=LEN(ReferenceData!$M$123),"",ReferenceData!$M$123),"")</f>
        <v/>
      </c>
      <c r="N123" t="str">
        <f ca="1">IFERROR(IF(0=LEN(ReferenceData!$N$123),"",ReferenceData!$N$123),"")</f>
        <v/>
      </c>
      <c r="O123" t="str">
        <f ca="1">IFERROR(IF(0=LEN(ReferenceData!$O$123),"",ReferenceData!$O$123),"")</f>
        <v/>
      </c>
      <c r="P123" t="str">
        <f ca="1">IFERROR(IF(0=LEN(ReferenceData!$P$123),"",ReferenceData!$P$123),"")</f>
        <v/>
      </c>
      <c r="Q123" t="str">
        <f ca="1">IFERROR(IF(0=LEN(ReferenceData!$Q$123),"",ReferenceData!$Q$123),"")</f>
        <v/>
      </c>
      <c r="R123" t="str">
        <f ca="1">IFERROR(IF(0=LEN(ReferenceData!$R$123),"",ReferenceData!$R$123),"")</f>
        <v/>
      </c>
      <c r="S123" t="str">
        <f ca="1">IFERROR(IF(0=LEN(ReferenceData!$S$123),"",ReferenceData!$S$123),"")</f>
        <v/>
      </c>
      <c r="T123" t="str">
        <f ca="1">IFERROR(IF(0=LEN(ReferenceData!$T$123),"",ReferenceData!$T$123),"")</f>
        <v/>
      </c>
      <c r="U123" t="str">
        <f ca="1">IFERROR(IF(0=LEN(ReferenceData!$U$123),"",ReferenceData!$U$123),"")</f>
        <v/>
      </c>
      <c r="V123" t="str">
        <f ca="1">IFERROR(IF(0=LEN(ReferenceData!$V$123),"",ReferenceData!$V$123),"")</f>
        <v/>
      </c>
      <c r="W123" t="str">
        <f ca="1">IFERROR(IF(0=LEN(ReferenceData!$W$123),"",ReferenceData!$W$123),"")</f>
        <v/>
      </c>
      <c r="X123" t="str">
        <f ca="1">IFERROR(IF(0=LEN(ReferenceData!$X$123),"",ReferenceData!$X$123),"")</f>
        <v/>
      </c>
      <c r="Y123" t="str">
        <f ca="1">IFERROR(IF(0=LEN(ReferenceData!$Y$123),"",ReferenceData!$Y$123),"")</f>
        <v/>
      </c>
      <c r="Z123" t="str">
        <f ca="1">IFERROR(IF(0=LEN(ReferenceData!$Z$123),"",ReferenceData!$Z$123),"")</f>
        <v/>
      </c>
      <c r="AA123" t="str">
        <f ca="1">IFERROR(IF(0=LEN(ReferenceData!$AA$123),"",ReferenceData!$AA$123),"")</f>
        <v/>
      </c>
      <c r="AB123" t="str">
        <f ca="1">IFERROR(IF(0=LEN(ReferenceData!$AB$123),"",ReferenceData!$AB$123),"")</f>
        <v/>
      </c>
      <c r="AC123" t="str">
        <f ca="1">IFERROR(IF(0=LEN(ReferenceData!$AC$123),"",ReferenceData!$AC$123),"")</f>
        <v/>
      </c>
      <c r="AD123" t="str">
        <f ca="1">IFERROR(IF(0=LEN(ReferenceData!$AD$123),"",ReferenceData!$AD$123),"")</f>
        <v/>
      </c>
      <c r="AE123" t="str">
        <f ca="1">IFERROR(IF(0=LEN(ReferenceData!$AE$123),"",ReferenceData!$AE$123),"")</f>
        <v/>
      </c>
      <c r="AF123" t="str">
        <f ca="1">IFERROR(IF(0=LEN(ReferenceData!$AF$123),"",ReferenceData!$AF$123),"")</f>
        <v/>
      </c>
      <c r="AG123" t="str">
        <f ca="1">IFERROR(IF(0=LEN(ReferenceData!$AG$123),"",ReferenceData!$AG$123),"")</f>
        <v/>
      </c>
      <c r="AH123" t="str">
        <f ca="1">IFERROR(IF(0=LEN(ReferenceData!$AH$123),"",ReferenceData!$AH$123),"")</f>
        <v/>
      </c>
      <c r="AI123" t="str">
        <f ca="1">IFERROR(IF(0=LEN(ReferenceData!$AI$123),"",ReferenceData!$AI$123),"")</f>
        <v/>
      </c>
      <c r="AJ123" t="str">
        <f ca="1">IFERROR(IF(0=LEN(ReferenceData!$AJ$123),"",ReferenceData!$AJ$123),"")</f>
        <v/>
      </c>
      <c r="AK123" t="str">
        <f ca="1">IFERROR(IF(0=LEN(ReferenceData!$AK$123),"",ReferenceData!$AK$123),"")</f>
        <v/>
      </c>
      <c r="AL123" t="str">
        <f ca="1">IFERROR(IF(0=LEN(ReferenceData!$AL$123),"",ReferenceData!$AL$123),"")</f>
        <v/>
      </c>
      <c r="AM123" t="str">
        <f ca="1">IFERROR(IF(0=LEN(ReferenceData!$AM$123),"",ReferenceData!$AM$123),"")</f>
        <v/>
      </c>
      <c r="AN123" t="str">
        <f ca="1">IFERROR(IF(0=LEN(ReferenceData!$AN$123),"",ReferenceData!$AN$123),"")</f>
        <v/>
      </c>
      <c r="AO123" t="str">
        <f ca="1">IFERROR(IF(0=LEN(ReferenceData!$AO$123),"",ReferenceData!$AO$123),"")</f>
        <v/>
      </c>
      <c r="AP123" t="str">
        <f ca="1">IFERROR(IF(0=LEN(ReferenceData!$AP$123),"",ReferenceData!$AP$123),"")</f>
        <v/>
      </c>
      <c r="AQ123" t="str">
        <f ca="1">IFERROR(IF(0=LEN(ReferenceData!$AQ$123),"",ReferenceData!$AQ$123),"")</f>
        <v/>
      </c>
      <c r="AR123" t="str">
        <f ca="1">IFERROR(IF(0=LEN(ReferenceData!$AR$123),"",ReferenceData!$AR$123),"")</f>
        <v/>
      </c>
      <c r="AS123" t="str">
        <f ca="1">IFERROR(IF(0=LEN(ReferenceData!$AS$123),"",ReferenceData!$AS$123),"")</f>
        <v/>
      </c>
      <c r="AT123" t="str">
        <f ca="1">IFERROR(IF(0=LEN(ReferenceData!$AT$123),"",ReferenceData!$AT$123),"")</f>
        <v/>
      </c>
      <c r="AU123" t="str">
        <f ca="1">IFERROR(IF(0=LEN(ReferenceData!$AU$123),"",ReferenceData!$AU$123),"")</f>
        <v/>
      </c>
      <c r="AV123" t="str">
        <f ca="1">IFERROR(IF(0=LEN(ReferenceData!$AV$123),"",ReferenceData!$AV$123),"")</f>
        <v/>
      </c>
      <c r="AW123" t="str">
        <f ca="1">IFERROR(IF(0=LEN(ReferenceData!$AW$123),"",ReferenceData!$AW$123),"")</f>
        <v/>
      </c>
      <c r="AX123" t="str">
        <f ca="1">IFERROR(IF(0=LEN(ReferenceData!$AX$123),"",ReferenceData!$AX$123),"")</f>
        <v/>
      </c>
      <c r="AY123" t="str">
        <f ca="1">IFERROR(IF(0=LEN(ReferenceData!$AY$123),"",ReferenceData!$AY$123),"")</f>
        <v/>
      </c>
      <c r="AZ123" t="str">
        <f ca="1">IFERROR(IF(0=LEN(ReferenceData!$AZ$123),"",ReferenceData!$AZ$123),"")</f>
        <v/>
      </c>
      <c r="BA123" t="str">
        <f ca="1">IFERROR(IF(0=LEN(ReferenceData!$BA$123),"",ReferenceData!$BA$123),"")</f>
        <v/>
      </c>
      <c r="BB123" t="str">
        <f ca="1">IFERROR(IF(0=LEN(ReferenceData!$BB$123),"",ReferenceData!$BB$123),"")</f>
        <v/>
      </c>
      <c r="BC123" t="str">
        <f ca="1">IFERROR(IF(0=LEN(ReferenceData!$BC$123),"",ReferenceData!$BC$123),"")</f>
        <v/>
      </c>
      <c r="BD123" t="str">
        <f ca="1">IFERROR(IF(0=LEN(ReferenceData!$BD$123),"",ReferenceData!$BD$123),"")</f>
        <v/>
      </c>
      <c r="BE123" t="str">
        <f ca="1">IFERROR(IF(0=LEN(ReferenceData!$BE$123),"",ReferenceData!$BE$123),"")</f>
        <v/>
      </c>
      <c r="BF123" t="str">
        <f ca="1">IFERROR(IF(0=LEN(ReferenceData!$BF$123),"",ReferenceData!$BF$123),"")</f>
        <v/>
      </c>
      <c r="BG123" t="str">
        <f ca="1">IFERROR(IF(0=LEN(ReferenceData!$BG$123),"",ReferenceData!$BG$123),"")</f>
        <v/>
      </c>
      <c r="BH123" t="str">
        <f ca="1">IFERROR(IF(0=LEN(ReferenceData!$BH$123),"",ReferenceData!$BH$123),"")</f>
        <v/>
      </c>
      <c r="BI123" t="str">
        <f ca="1">IFERROR(IF(0=LEN(ReferenceData!$BI$123),"",ReferenceData!$BI$123),"")</f>
        <v/>
      </c>
      <c r="BJ123" t="str">
        <f ca="1">IFERROR(IF(0=LEN(ReferenceData!$BJ$123),"",ReferenceData!$BJ$123),"")</f>
        <v/>
      </c>
      <c r="BK123" t="str">
        <f ca="1">IFERROR(IF(0=LEN(ReferenceData!$BK$123),"",ReferenceData!$BK$123),"")</f>
        <v/>
      </c>
      <c r="BL123" t="str">
        <f ca="1">IFERROR(IF(0=LEN(ReferenceData!$BL$123),"",ReferenceData!$BL$123),"")</f>
        <v/>
      </c>
      <c r="BM123" t="str">
        <f ca="1">IFERROR(IF(0=LEN(ReferenceData!$BM$123),"",ReferenceData!$BM$123),"")</f>
        <v/>
      </c>
    </row>
    <row r="124" spans="1:65" x14ac:dyDescent="0.25">
      <c r="A124" t="str">
        <f>IFERROR(IF(0=LEN(ReferenceData!$A$124),"",ReferenceData!$A$124),"")</f>
        <v xml:space="preserve">            Organic Growth (%)</v>
      </c>
      <c r="B124" t="str">
        <f>IFERROR(IF(0=LEN(ReferenceData!$B$124),"",ReferenceData!$B$124),"")</f>
        <v>KER FP Equity</v>
      </c>
      <c r="C124" t="str">
        <f>IFERROR(IF(0=LEN(ReferenceData!$C$124),"",ReferenceData!$C$124),"")</f>
        <v>BI047</v>
      </c>
      <c r="D124" t="str">
        <f>IFERROR(IF(0=LEN(ReferenceData!$D$124),"",ReferenceData!$D$124),"")</f>
        <v>BICS_SEGMENT_DATA</v>
      </c>
      <c r="E124" t="str">
        <f>IFERROR(IF(0=LEN(ReferenceData!$E$124),"",ReferenceData!$E$124),"")</f>
        <v>Dynamic</v>
      </c>
      <c r="F124" t="str">
        <f ca="1">IFERROR(IF(0=LEN(ReferenceData!$F$124),"",ReferenceData!$F$124),"")</f>
        <v/>
      </c>
      <c r="G124" t="str">
        <f ca="1">IFERROR(IF(0=LEN(ReferenceData!$G$124),"",ReferenceData!$G$124),"")</f>
        <v/>
      </c>
      <c r="H124" t="str">
        <f ca="1">IFERROR(IF(0=LEN(ReferenceData!$H$124),"",ReferenceData!$H$124),"")</f>
        <v/>
      </c>
      <c r="I124" t="str">
        <f ca="1">IFERROR(IF(0=LEN(ReferenceData!$I$124),"",ReferenceData!$I$124),"")</f>
        <v/>
      </c>
      <c r="J124" t="str">
        <f ca="1">IFERROR(IF(0=LEN(ReferenceData!$J$124),"",ReferenceData!$J$124),"")</f>
        <v/>
      </c>
      <c r="K124" t="str">
        <f ca="1">IFERROR(IF(0=LEN(ReferenceData!$K$124),"",ReferenceData!$K$124),"")</f>
        <v/>
      </c>
      <c r="L124" t="str">
        <f ca="1">IFERROR(IF(0=LEN(ReferenceData!$L$124),"",ReferenceData!$L$124),"")</f>
        <v/>
      </c>
      <c r="M124" t="str">
        <f ca="1">IFERROR(IF(0=LEN(ReferenceData!$M$124),"",ReferenceData!$M$124),"")</f>
        <v/>
      </c>
      <c r="N124" t="str">
        <f ca="1">IFERROR(IF(0=LEN(ReferenceData!$N$124),"",ReferenceData!$N$124),"")</f>
        <v/>
      </c>
      <c r="O124" t="str">
        <f ca="1">IFERROR(IF(0=LEN(ReferenceData!$O$124),"",ReferenceData!$O$124),"")</f>
        <v/>
      </c>
      <c r="P124" t="str">
        <f ca="1">IFERROR(IF(0=LEN(ReferenceData!$P$124),"",ReferenceData!$P$124),"")</f>
        <v/>
      </c>
      <c r="Q124" t="str">
        <f ca="1">IFERROR(IF(0=LEN(ReferenceData!$Q$124),"",ReferenceData!$Q$124),"")</f>
        <v/>
      </c>
      <c r="R124" t="str">
        <f ca="1">IFERROR(IF(0=LEN(ReferenceData!$R$124),"",ReferenceData!$R$124),"")</f>
        <v/>
      </c>
      <c r="S124" t="str">
        <f ca="1">IFERROR(IF(0=LEN(ReferenceData!$S$124),"",ReferenceData!$S$124),"")</f>
        <v/>
      </c>
      <c r="T124" t="str">
        <f ca="1">IFERROR(IF(0=LEN(ReferenceData!$T$124),"",ReferenceData!$T$124),"")</f>
        <v/>
      </c>
      <c r="U124" t="str">
        <f ca="1">IFERROR(IF(0=LEN(ReferenceData!$U$124),"",ReferenceData!$U$124),"")</f>
        <v/>
      </c>
      <c r="V124" t="str">
        <f ca="1">IFERROR(IF(0=LEN(ReferenceData!$V$124),"",ReferenceData!$V$124),"")</f>
        <v/>
      </c>
      <c r="W124" t="str">
        <f ca="1">IFERROR(IF(0=LEN(ReferenceData!$W$124),"",ReferenceData!$W$124),"")</f>
        <v/>
      </c>
      <c r="X124" t="str">
        <f ca="1">IFERROR(IF(0=LEN(ReferenceData!$X$124),"",ReferenceData!$X$124),"")</f>
        <v/>
      </c>
      <c r="Y124" t="str">
        <f ca="1">IFERROR(IF(0=LEN(ReferenceData!$Y$124),"",ReferenceData!$Y$124),"")</f>
        <v/>
      </c>
      <c r="Z124" t="str">
        <f ca="1">IFERROR(IF(0=LEN(ReferenceData!$Z$124),"",ReferenceData!$Z$124),"")</f>
        <v/>
      </c>
      <c r="AA124" t="str">
        <f ca="1">IFERROR(IF(0=LEN(ReferenceData!$AA$124),"",ReferenceData!$AA$124),"")</f>
        <v/>
      </c>
      <c r="AB124" t="str">
        <f ca="1">IFERROR(IF(0=LEN(ReferenceData!$AB$124),"",ReferenceData!$AB$124),"")</f>
        <v/>
      </c>
      <c r="AC124" t="str">
        <f ca="1">IFERROR(IF(0=LEN(ReferenceData!$AC$124),"",ReferenceData!$AC$124),"")</f>
        <v/>
      </c>
      <c r="AD124" t="str">
        <f ca="1">IFERROR(IF(0=LEN(ReferenceData!$AD$124),"",ReferenceData!$AD$124),"")</f>
        <v/>
      </c>
      <c r="AE124" t="str">
        <f ca="1">IFERROR(IF(0=LEN(ReferenceData!$AE$124),"",ReferenceData!$AE$124),"")</f>
        <v/>
      </c>
      <c r="AF124" t="str">
        <f ca="1">IFERROR(IF(0=LEN(ReferenceData!$AF$124),"",ReferenceData!$AF$124),"")</f>
        <v/>
      </c>
      <c r="AG124" t="str">
        <f ca="1">IFERROR(IF(0=LEN(ReferenceData!$AG$124),"",ReferenceData!$AG$124),"")</f>
        <v/>
      </c>
      <c r="AH124" t="str">
        <f ca="1">IFERROR(IF(0=LEN(ReferenceData!$AH$124),"",ReferenceData!$AH$124),"")</f>
        <v/>
      </c>
      <c r="AI124" t="str">
        <f ca="1">IFERROR(IF(0=LEN(ReferenceData!$AI$124),"",ReferenceData!$AI$124),"")</f>
        <v/>
      </c>
      <c r="AJ124" t="str">
        <f ca="1">IFERROR(IF(0=LEN(ReferenceData!$AJ$124),"",ReferenceData!$AJ$124),"")</f>
        <v/>
      </c>
      <c r="AK124" t="str">
        <f ca="1">IFERROR(IF(0=LEN(ReferenceData!$AK$124),"",ReferenceData!$AK$124),"")</f>
        <v/>
      </c>
      <c r="AL124" t="str">
        <f ca="1">IFERROR(IF(0=LEN(ReferenceData!$AL$124),"",ReferenceData!$AL$124),"")</f>
        <v/>
      </c>
      <c r="AM124" t="str">
        <f ca="1">IFERROR(IF(0=LEN(ReferenceData!$AM$124),"",ReferenceData!$AM$124),"")</f>
        <v/>
      </c>
      <c r="AN124" t="str">
        <f ca="1">IFERROR(IF(0=LEN(ReferenceData!$AN$124),"",ReferenceData!$AN$124),"")</f>
        <v/>
      </c>
      <c r="AO124" t="str">
        <f ca="1">IFERROR(IF(0=LEN(ReferenceData!$AO$124),"",ReferenceData!$AO$124),"")</f>
        <v/>
      </c>
      <c r="AP124" t="str">
        <f ca="1">IFERROR(IF(0=LEN(ReferenceData!$AP$124),"",ReferenceData!$AP$124),"")</f>
        <v/>
      </c>
      <c r="AQ124" t="str">
        <f ca="1">IFERROR(IF(0=LEN(ReferenceData!$AQ$124),"",ReferenceData!$AQ$124),"")</f>
        <v/>
      </c>
      <c r="AR124" t="str">
        <f ca="1">IFERROR(IF(0=LEN(ReferenceData!$AR$124),"",ReferenceData!$AR$124),"")</f>
        <v/>
      </c>
      <c r="AS124" t="str">
        <f ca="1">IFERROR(IF(0=LEN(ReferenceData!$AS$124),"",ReferenceData!$AS$124),"")</f>
        <v/>
      </c>
      <c r="AT124" t="str">
        <f ca="1">IFERROR(IF(0=LEN(ReferenceData!$AT$124),"",ReferenceData!$AT$124),"")</f>
        <v/>
      </c>
      <c r="AU124" t="str">
        <f ca="1">IFERROR(IF(0=LEN(ReferenceData!$AU$124),"",ReferenceData!$AU$124),"")</f>
        <v/>
      </c>
      <c r="AV124" t="str">
        <f ca="1">IFERROR(IF(0=LEN(ReferenceData!$AV$124),"",ReferenceData!$AV$124),"")</f>
        <v/>
      </c>
      <c r="AW124" t="str">
        <f ca="1">IFERROR(IF(0=LEN(ReferenceData!$AW$124),"",ReferenceData!$AW$124),"")</f>
        <v/>
      </c>
      <c r="AX124" t="str">
        <f ca="1">IFERROR(IF(0=LEN(ReferenceData!$AX$124),"",ReferenceData!$AX$124),"")</f>
        <v/>
      </c>
      <c r="AY124" t="str">
        <f ca="1">IFERROR(IF(0=LEN(ReferenceData!$AY$124),"",ReferenceData!$AY$124),"")</f>
        <v/>
      </c>
      <c r="AZ124" t="str">
        <f ca="1">IFERROR(IF(0=LEN(ReferenceData!$AZ$124),"",ReferenceData!$AZ$124),"")</f>
        <v/>
      </c>
      <c r="BA124" t="str">
        <f ca="1">IFERROR(IF(0=LEN(ReferenceData!$BA$124),"",ReferenceData!$BA$124),"")</f>
        <v/>
      </c>
      <c r="BB124" t="str">
        <f ca="1">IFERROR(IF(0=LEN(ReferenceData!$BB$124),"",ReferenceData!$BB$124),"")</f>
        <v/>
      </c>
      <c r="BC124" t="str">
        <f ca="1">IFERROR(IF(0=LEN(ReferenceData!$BC$124),"",ReferenceData!$BC$124),"")</f>
        <v/>
      </c>
      <c r="BD124" t="str">
        <f ca="1">IFERROR(IF(0=LEN(ReferenceData!$BD$124),"",ReferenceData!$BD$124),"")</f>
        <v/>
      </c>
      <c r="BE124" t="str">
        <f ca="1">IFERROR(IF(0=LEN(ReferenceData!$BE$124),"",ReferenceData!$BE$124),"")</f>
        <v/>
      </c>
      <c r="BF124" t="str">
        <f ca="1">IFERROR(IF(0=LEN(ReferenceData!$BF$124),"",ReferenceData!$BF$124),"")</f>
        <v/>
      </c>
      <c r="BG124" t="str">
        <f ca="1">IFERROR(IF(0=LEN(ReferenceData!$BG$124),"",ReferenceData!$BG$124),"")</f>
        <v/>
      </c>
      <c r="BH124" t="str">
        <f ca="1">IFERROR(IF(0=LEN(ReferenceData!$BH$124),"",ReferenceData!$BH$124),"")</f>
        <v/>
      </c>
      <c r="BI124" t="str">
        <f ca="1">IFERROR(IF(0=LEN(ReferenceData!$BI$124),"",ReferenceData!$BI$124),"")</f>
        <v/>
      </c>
      <c r="BJ124" t="str">
        <f ca="1">IFERROR(IF(0=LEN(ReferenceData!$BJ$124),"",ReferenceData!$BJ$124),"")</f>
        <v/>
      </c>
      <c r="BK124" t="str">
        <f ca="1">IFERROR(IF(0=LEN(ReferenceData!$BK$124),"",ReferenceData!$BK$124),"")</f>
        <v/>
      </c>
      <c r="BL124" t="str">
        <f ca="1">IFERROR(IF(0=LEN(ReferenceData!$BL$124),"",ReferenceData!$BL$124),"")</f>
        <v/>
      </c>
      <c r="BM124" t="str">
        <f ca="1">IFERROR(IF(0=LEN(ReferenceData!$BM$124),"",ReferenceData!$BM$124),"")</f>
        <v/>
      </c>
    </row>
    <row r="125" spans="1:65" x14ac:dyDescent="0.25">
      <c r="A125" t="str">
        <f>IFERROR(IF(0=LEN(ReferenceData!$A$125),"",ReferenceData!$A$125),"")</f>
        <v xml:space="preserve">            Recurring Operating Income</v>
      </c>
      <c r="B125" t="str">
        <f>IFERROR(IF(0=LEN(ReferenceData!$B$125),"",ReferenceData!$B$125),"")</f>
        <v>KER FP Equity</v>
      </c>
      <c r="C125" t="str">
        <f>IFERROR(IF(0=LEN(ReferenceData!$C$125),"",ReferenceData!$C$125),"")</f>
        <v>BI047</v>
      </c>
      <c r="D125" t="str">
        <f>IFERROR(IF(0=LEN(ReferenceData!$D$125),"",ReferenceData!$D$125),"")</f>
        <v>BICS_SEGMENT_DATA</v>
      </c>
      <c r="E125" t="str">
        <f>IFERROR(IF(0=LEN(ReferenceData!$E$125),"",ReferenceData!$E$125),"")</f>
        <v>Dynamic</v>
      </c>
      <c r="F125" t="str">
        <f ca="1">IFERROR(IF(0=LEN(ReferenceData!$F$125),"",ReferenceData!$F$125),"")</f>
        <v/>
      </c>
      <c r="G125" t="str">
        <f ca="1">IFERROR(IF(0=LEN(ReferenceData!$G$125),"",ReferenceData!$G$125),"")</f>
        <v/>
      </c>
      <c r="H125" t="str">
        <f ca="1">IFERROR(IF(0=LEN(ReferenceData!$H$125),"",ReferenceData!$H$125),"")</f>
        <v/>
      </c>
      <c r="I125" t="str">
        <f ca="1">IFERROR(IF(0=LEN(ReferenceData!$I$125),"",ReferenceData!$I$125),"")</f>
        <v/>
      </c>
      <c r="J125" t="str">
        <f ca="1">IFERROR(IF(0=LEN(ReferenceData!$J$125),"",ReferenceData!$J$125),"")</f>
        <v/>
      </c>
      <c r="K125" t="str">
        <f ca="1">IFERROR(IF(0=LEN(ReferenceData!$K$125),"",ReferenceData!$K$125),"")</f>
        <v/>
      </c>
      <c r="L125" t="str">
        <f ca="1">IFERROR(IF(0=LEN(ReferenceData!$L$125),"",ReferenceData!$L$125),"")</f>
        <v/>
      </c>
      <c r="M125" t="str">
        <f ca="1">IFERROR(IF(0=LEN(ReferenceData!$M$125),"",ReferenceData!$M$125),"")</f>
        <v/>
      </c>
      <c r="N125" t="str">
        <f ca="1">IFERROR(IF(0=LEN(ReferenceData!$N$125),"",ReferenceData!$N$125),"")</f>
        <v/>
      </c>
      <c r="O125" t="str">
        <f ca="1">IFERROR(IF(0=LEN(ReferenceData!$O$125),"",ReferenceData!$O$125),"")</f>
        <v/>
      </c>
      <c r="P125" t="str">
        <f ca="1">IFERROR(IF(0=LEN(ReferenceData!$P$125),"",ReferenceData!$P$125),"")</f>
        <v/>
      </c>
      <c r="Q125" t="str">
        <f ca="1">IFERROR(IF(0=LEN(ReferenceData!$Q$125),"",ReferenceData!$Q$125),"")</f>
        <v/>
      </c>
      <c r="R125" t="str">
        <f ca="1">IFERROR(IF(0=LEN(ReferenceData!$R$125),"",ReferenceData!$R$125),"")</f>
        <v/>
      </c>
      <c r="S125" t="str">
        <f ca="1">IFERROR(IF(0=LEN(ReferenceData!$S$125),"",ReferenceData!$S$125),"")</f>
        <v/>
      </c>
      <c r="T125" t="str">
        <f ca="1">IFERROR(IF(0=LEN(ReferenceData!$T$125),"",ReferenceData!$T$125),"")</f>
        <v/>
      </c>
      <c r="U125" t="str">
        <f ca="1">IFERROR(IF(0=LEN(ReferenceData!$U$125),"",ReferenceData!$U$125),"")</f>
        <v/>
      </c>
      <c r="V125" t="str">
        <f ca="1">IFERROR(IF(0=LEN(ReferenceData!$V$125),"",ReferenceData!$V$125),"")</f>
        <v/>
      </c>
      <c r="W125" t="str">
        <f ca="1">IFERROR(IF(0=LEN(ReferenceData!$W$125),"",ReferenceData!$W$125),"")</f>
        <v/>
      </c>
      <c r="X125" t="str">
        <f ca="1">IFERROR(IF(0=LEN(ReferenceData!$X$125),"",ReferenceData!$X$125),"")</f>
        <v/>
      </c>
      <c r="Y125" t="str">
        <f ca="1">IFERROR(IF(0=LEN(ReferenceData!$Y$125),"",ReferenceData!$Y$125),"")</f>
        <v/>
      </c>
      <c r="Z125" t="str">
        <f ca="1">IFERROR(IF(0=LEN(ReferenceData!$Z$125),"",ReferenceData!$Z$125),"")</f>
        <v/>
      </c>
      <c r="AA125" t="str">
        <f ca="1">IFERROR(IF(0=LEN(ReferenceData!$AA$125),"",ReferenceData!$AA$125),"")</f>
        <v/>
      </c>
      <c r="AB125" t="str">
        <f ca="1">IFERROR(IF(0=LEN(ReferenceData!$AB$125),"",ReferenceData!$AB$125),"")</f>
        <v/>
      </c>
      <c r="AC125" t="str">
        <f ca="1">IFERROR(IF(0=LEN(ReferenceData!$AC$125),"",ReferenceData!$AC$125),"")</f>
        <v/>
      </c>
      <c r="AD125" t="str">
        <f ca="1">IFERROR(IF(0=LEN(ReferenceData!$AD$125),"",ReferenceData!$AD$125),"")</f>
        <v/>
      </c>
      <c r="AE125" t="str">
        <f ca="1">IFERROR(IF(0=LEN(ReferenceData!$AE$125),"",ReferenceData!$AE$125),"")</f>
        <v/>
      </c>
      <c r="AF125" t="str">
        <f ca="1">IFERROR(IF(0=LEN(ReferenceData!$AF$125),"",ReferenceData!$AF$125),"")</f>
        <v/>
      </c>
      <c r="AG125" t="str">
        <f ca="1">IFERROR(IF(0=LEN(ReferenceData!$AG$125),"",ReferenceData!$AG$125),"")</f>
        <v/>
      </c>
      <c r="AH125" t="str">
        <f ca="1">IFERROR(IF(0=LEN(ReferenceData!$AH$125),"",ReferenceData!$AH$125),"")</f>
        <v/>
      </c>
      <c r="AI125" t="str">
        <f ca="1">IFERROR(IF(0=LEN(ReferenceData!$AI$125),"",ReferenceData!$AI$125),"")</f>
        <v/>
      </c>
      <c r="AJ125" t="str">
        <f ca="1">IFERROR(IF(0=LEN(ReferenceData!$AJ$125),"",ReferenceData!$AJ$125),"")</f>
        <v/>
      </c>
      <c r="AK125" t="str">
        <f ca="1">IFERROR(IF(0=LEN(ReferenceData!$AK$125),"",ReferenceData!$AK$125),"")</f>
        <v/>
      </c>
      <c r="AL125" t="str">
        <f ca="1">IFERROR(IF(0=LEN(ReferenceData!$AL$125),"",ReferenceData!$AL$125),"")</f>
        <v/>
      </c>
      <c r="AM125" t="str">
        <f ca="1">IFERROR(IF(0=LEN(ReferenceData!$AM$125),"",ReferenceData!$AM$125),"")</f>
        <v/>
      </c>
      <c r="AN125" t="str">
        <f ca="1">IFERROR(IF(0=LEN(ReferenceData!$AN$125),"",ReferenceData!$AN$125),"")</f>
        <v/>
      </c>
      <c r="AO125" t="str">
        <f ca="1">IFERROR(IF(0=LEN(ReferenceData!$AO$125),"",ReferenceData!$AO$125),"")</f>
        <v/>
      </c>
      <c r="AP125" t="str">
        <f ca="1">IFERROR(IF(0=LEN(ReferenceData!$AP$125),"",ReferenceData!$AP$125),"")</f>
        <v/>
      </c>
      <c r="AQ125" t="str">
        <f ca="1">IFERROR(IF(0=LEN(ReferenceData!$AQ$125),"",ReferenceData!$AQ$125),"")</f>
        <v/>
      </c>
      <c r="AR125" t="str">
        <f ca="1">IFERROR(IF(0=LEN(ReferenceData!$AR$125),"",ReferenceData!$AR$125),"")</f>
        <v/>
      </c>
      <c r="AS125" t="str">
        <f ca="1">IFERROR(IF(0=LEN(ReferenceData!$AS$125),"",ReferenceData!$AS$125),"")</f>
        <v/>
      </c>
      <c r="AT125" t="str">
        <f ca="1">IFERROR(IF(0=LEN(ReferenceData!$AT$125),"",ReferenceData!$AT$125),"")</f>
        <v/>
      </c>
      <c r="AU125" t="str">
        <f ca="1">IFERROR(IF(0=LEN(ReferenceData!$AU$125),"",ReferenceData!$AU$125),"")</f>
        <v/>
      </c>
      <c r="AV125" t="str">
        <f ca="1">IFERROR(IF(0=LEN(ReferenceData!$AV$125),"",ReferenceData!$AV$125),"")</f>
        <v/>
      </c>
      <c r="AW125" t="str">
        <f ca="1">IFERROR(IF(0=LEN(ReferenceData!$AW$125),"",ReferenceData!$AW$125),"")</f>
        <v/>
      </c>
      <c r="AX125" t="str">
        <f ca="1">IFERROR(IF(0=LEN(ReferenceData!$AX$125),"",ReferenceData!$AX$125),"")</f>
        <v/>
      </c>
      <c r="AY125" t="str">
        <f ca="1">IFERROR(IF(0=LEN(ReferenceData!$AY$125),"",ReferenceData!$AY$125),"")</f>
        <v/>
      </c>
      <c r="AZ125" t="str">
        <f ca="1">IFERROR(IF(0=LEN(ReferenceData!$AZ$125),"",ReferenceData!$AZ$125),"")</f>
        <v/>
      </c>
      <c r="BA125" t="str">
        <f ca="1">IFERROR(IF(0=LEN(ReferenceData!$BA$125),"",ReferenceData!$BA$125),"")</f>
        <v/>
      </c>
      <c r="BB125" t="str">
        <f ca="1">IFERROR(IF(0=LEN(ReferenceData!$BB$125),"",ReferenceData!$BB$125),"")</f>
        <v/>
      </c>
      <c r="BC125" t="str">
        <f ca="1">IFERROR(IF(0=LEN(ReferenceData!$BC$125),"",ReferenceData!$BC$125),"")</f>
        <v/>
      </c>
      <c r="BD125" t="str">
        <f ca="1">IFERROR(IF(0=LEN(ReferenceData!$BD$125),"",ReferenceData!$BD$125),"")</f>
        <v/>
      </c>
      <c r="BE125" t="str">
        <f ca="1">IFERROR(IF(0=LEN(ReferenceData!$BE$125),"",ReferenceData!$BE$125),"")</f>
        <v/>
      </c>
      <c r="BF125" t="str">
        <f ca="1">IFERROR(IF(0=LEN(ReferenceData!$BF$125),"",ReferenceData!$BF$125),"")</f>
        <v/>
      </c>
      <c r="BG125" t="str">
        <f ca="1">IFERROR(IF(0=LEN(ReferenceData!$BG$125),"",ReferenceData!$BG$125),"")</f>
        <v/>
      </c>
      <c r="BH125" t="str">
        <f ca="1">IFERROR(IF(0=LEN(ReferenceData!$BH$125),"",ReferenceData!$BH$125),"")</f>
        <v/>
      </c>
      <c r="BI125" t="str">
        <f ca="1">IFERROR(IF(0=LEN(ReferenceData!$BI$125),"",ReferenceData!$BI$125),"")</f>
        <v/>
      </c>
      <c r="BJ125" t="str">
        <f ca="1">IFERROR(IF(0=LEN(ReferenceData!$BJ$125),"",ReferenceData!$BJ$125),"")</f>
        <v/>
      </c>
      <c r="BK125" t="str">
        <f ca="1">IFERROR(IF(0=LEN(ReferenceData!$BK$125),"",ReferenceData!$BK$125),"")</f>
        <v/>
      </c>
      <c r="BL125" t="str">
        <f ca="1">IFERROR(IF(0=LEN(ReferenceData!$BL$125),"",ReferenceData!$BL$125),"")</f>
        <v/>
      </c>
      <c r="BM125" t="str">
        <f ca="1">IFERROR(IF(0=LEN(ReferenceData!$BM$125),"",ReferenceData!$BM$125),"")</f>
        <v/>
      </c>
    </row>
    <row r="126" spans="1:65" x14ac:dyDescent="0.25">
      <c r="A126" t="str">
        <f>IFERROR(IF(0=LEN(ReferenceData!$A$126),"",ReferenceData!$A$126),"")</f>
        <v xml:space="preserve">            Recurring Operating Margin (%)</v>
      </c>
      <c r="B126" t="str">
        <f>IFERROR(IF(0=LEN(ReferenceData!$B$126),"",ReferenceData!$B$126),"")</f>
        <v>KER FP Equity</v>
      </c>
      <c r="C126" t="str">
        <f>IFERROR(IF(0=LEN(ReferenceData!$C$126),"",ReferenceData!$C$126),"")</f>
        <v/>
      </c>
      <c r="D126" t="str">
        <f>IFERROR(IF(0=LEN(ReferenceData!$D$126),"",ReferenceData!$D$126),"")</f>
        <v/>
      </c>
      <c r="E126" t="str">
        <f>IFERROR(IF(0=LEN(ReferenceData!$E$126),"",ReferenceData!$E$126),"")</f>
        <v>Expression</v>
      </c>
      <c r="F126" t="str">
        <f ca="1">IFERROR(IF(0=LEN(ReferenceData!$F$126),"",ReferenceData!$F$126),"")</f>
        <v/>
      </c>
      <c r="G126" t="str">
        <f ca="1">IFERROR(IF(0=LEN(ReferenceData!$G$126),"",ReferenceData!$G$126),"")</f>
        <v/>
      </c>
      <c r="H126" t="str">
        <f ca="1">IFERROR(IF(0=LEN(ReferenceData!$H$126),"",ReferenceData!$H$126),"")</f>
        <v/>
      </c>
      <c r="I126" t="str">
        <f ca="1">IFERROR(IF(0=LEN(ReferenceData!$I$126),"",ReferenceData!$I$126),"")</f>
        <v/>
      </c>
      <c r="J126" t="str">
        <f ca="1">IFERROR(IF(0=LEN(ReferenceData!$J$126),"",ReferenceData!$J$126),"")</f>
        <v/>
      </c>
      <c r="K126" t="str">
        <f ca="1">IFERROR(IF(0=LEN(ReferenceData!$K$126),"",ReferenceData!$K$126),"")</f>
        <v/>
      </c>
      <c r="L126" t="str">
        <f ca="1">IFERROR(IF(0=LEN(ReferenceData!$L$126),"",ReferenceData!$L$126),"")</f>
        <v/>
      </c>
      <c r="M126" t="str">
        <f ca="1">IFERROR(IF(0=LEN(ReferenceData!$M$126),"",ReferenceData!$M$126),"")</f>
        <v/>
      </c>
      <c r="N126" t="str">
        <f ca="1">IFERROR(IF(0=LEN(ReferenceData!$N$126),"",ReferenceData!$N$126),"")</f>
        <v/>
      </c>
      <c r="O126" t="str">
        <f ca="1">IFERROR(IF(0=LEN(ReferenceData!$O$126),"",ReferenceData!$O$126),"")</f>
        <v/>
      </c>
      <c r="P126" t="str">
        <f ca="1">IFERROR(IF(0=LEN(ReferenceData!$P$126),"",ReferenceData!$P$126),"")</f>
        <v/>
      </c>
      <c r="Q126" t="str">
        <f ca="1">IFERROR(IF(0=LEN(ReferenceData!$Q$126),"",ReferenceData!$Q$126),"")</f>
        <v/>
      </c>
      <c r="R126" t="str">
        <f ca="1">IFERROR(IF(0=LEN(ReferenceData!$R$126),"",ReferenceData!$R$126),"")</f>
        <v/>
      </c>
      <c r="S126" t="str">
        <f ca="1">IFERROR(IF(0=LEN(ReferenceData!$S$126),"",ReferenceData!$S$126),"")</f>
        <v/>
      </c>
      <c r="T126" t="str">
        <f ca="1">IFERROR(IF(0=LEN(ReferenceData!$T$126),"",ReferenceData!$T$126),"")</f>
        <v/>
      </c>
      <c r="U126" t="str">
        <f ca="1">IFERROR(IF(0=LEN(ReferenceData!$U$126),"",ReferenceData!$U$126),"")</f>
        <v/>
      </c>
      <c r="V126" t="str">
        <f ca="1">IFERROR(IF(0=LEN(ReferenceData!$V$126),"",ReferenceData!$V$126),"")</f>
        <v/>
      </c>
      <c r="W126" t="str">
        <f ca="1">IFERROR(IF(0=LEN(ReferenceData!$W$126),"",ReferenceData!$W$126),"")</f>
        <v/>
      </c>
      <c r="X126" t="str">
        <f ca="1">IFERROR(IF(0=LEN(ReferenceData!$X$126),"",ReferenceData!$X$126),"")</f>
        <v/>
      </c>
      <c r="Y126" t="str">
        <f ca="1">IFERROR(IF(0=LEN(ReferenceData!$Y$126),"",ReferenceData!$Y$126),"")</f>
        <v/>
      </c>
      <c r="Z126" t="str">
        <f ca="1">IFERROR(IF(0=LEN(ReferenceData!$Z$126),"",ReferenceData!$Z$126),"")</f>
        <v/>
      </c>
      <c r="AA126" t="str">
        <f ca="1">IFERROR(IF(0=LEN(ReferenceData!$AA$126),"",ReferenceData!$AA$126),"")</f>
        <v/>
      </c>
      <c r="AB126" t="str">
        <f ca="1">IFERROR(IF(0=LEN(ReferenceData!$AB$126),"",ReferenceData!$AB$126),"")</f>
        <v/>
      </c>
      <c r="AC126" t="str">
        <f ca="1">IFERROR(IF(0=LEN(ReferenceData!$AC$126),"",ReferenceData!$AC$126),"")</f>
        <v/>
      </c>
      <c r="AD126" t="str">
        <f ca="1">IFERROR(IF(0=LEN(ReferenceData!$AD$126),"",ReferenceData!$AD$126),"")</f>
        <v/>
      </c>
      <c r="AE126" t="str">
        <f ca="1">IFERROR(IF(0=LEN(ReferenceData!$AE$126),"",ReferenceData!$AE$126),"")</f>
        <v/>
      </c>
      <c r="AF126" t="str">
        <f ca="1">IFERROR(IF(0=LEN(ReferenceData!$AF$126),"",ReferenceData!$AF$126),"")</f>
        <v/>
      </c>
      <c r="AG126" t="str">
        <f ca="1">IFERROR(IF(0=LEN(ReferenceData!$AG$126),"",ReferenceData!$AG$126),"")</f>
        <v/>
      </c>
      <c r="AH126" t="str">
        <f ca="1">IFERROR(IF(0=LEN(ReferenceData!$AH$126),"",ReferenceData!$AH$126),"")</f>
        <v/>
      </c>
      <c r="AI126" t="str">
        <f ca="1">IFERROR(IF(0=LEN(ReferenceData!$AI$126),"",ReferenceData!$AI$126),"")</f>
        <v/>
      </c>
      <c r="AJ126" t="str">
        <f ca="1">IFERROR(IF(0=LEN(ReferenceData!$AJ$126),"",ReferenceData!$AJ$126),"")</f>
        <v/>
      </c>
      <c r="AK126" t="str">
        <f ca="1">IFERROR(IF(0=LEN(ReferenceData!$AK$126),"",ReferenceData!$AK$126),"")</f>
        <v/>
      </c>
      <c r="AL126" t="str">
        <f ca="1">IFERROR(IF(0=LEN(ReferenceData!$AL$126),"",ReferenceData!$AL$126),"")</f>
        <v/>
      </c>
      <c r="AM126" t="str">
        <f ca="1">IFERROR(IF(0=LEN(ReferenceData!$AM$126),"",ReferenceData!$AM$126),"")</f>
        <v/>
      </c>
      <c r="AN126" t="str">
        <f ca="1">IFERROR(IF(0=LEN(ReferenceData!$AN$126),"",ReferenceData!$AN$126),"")</f>
        <v/>
      </c>
      <c r="AO126" t="str">
        <f ca="1">IFERROR(IF(0=LEN(ReferenceData!$AO$126),"",ReferenceData!$AO$126),"")</f>
        <v/>
      </c>
      <c r="AP126" t="str">
        <f ca="1">IFERROR(IF(0=LEN(ReferenceData!$AP$126),"",ReferenceData!$AP$126),"")</f>
        <v/>
      </c>
      <c r="AQ126" t="str">
        <f ca="1">IFERROR(IF(0=LEN(ReferenceData!$AQ$126),"",ReferenceData!$AQ$126),"")</f>
        <v/>
      </c>
      <c r="AR126" t="str">
        <f ca="1">IFERROR(IF(0=LEN(ReferenceData!$AR$126),"",ReferenceData!$AR$126),"")</f>
        <v/>
      </c>
      <c r="AS126" t="str">
        <f ca="1">IFERROR(IF(0=LEN(ReferenceData!$AS$126),"",ReferenceData!$AS$126),"")</f>
        <v/>
      </c>
      <c r="AT126" t="str">
        <f ca="1">IFERROR(IF(0=LEN(ReferenceData!$AT$126),"",ReferenceData!$AT$126),"")</f>
        <v/>
      </c>
      <c r="AU126" t="str">
        <f ca="1">IFERROR(IF(0=LEN(ReferenceData!$AU$126),"",ReferenceData!$AU$126),"")</f>
        <v/>
      </c>
      <c r="AV126" t="str">
        <f ca="1">IFERROR(IF(0=LEN(ReferenceData!$AV$126),"",ReferenceData!$AV$126),"")</f>
        <v/>
      </c>
      <c r="AW126" t="str">
        <f ca="1">IFERROR(IF(0=LEN(ReferenceData!$AW$126),"",ReferenceData!$AW$126),"")</f>
        <v/>
      </c>
      <c r="AX126" t="str">
        <f ca="1">IFERROR(IF(0=LEN(ReferenceData!$AX$126),"",ReferenceData!$AX$126),"")</f>
        <v/>
      </c>
      <c r="AY126" t="str">
        <f ca="1">IFERROR(IF(0=LEN(ReferenceData!$AY$126),"",ReferenceData!$AY$126),"")</f>
        <v/>
      </c>
      <c r="AZ126" t="str">
        <f ca="1">IFERROR(IF(0=LEN(ReferenceData!$AZ$126),"",ReferenceData!$AZ$126),"")</f>
        <v/>
      </c>
      <c r="BA126" t="str">
        <f ca="1">IFERROR(IF(0=LEN(ReferenceData!$BA$126),"",ReferenceData!$BA$126),"")</f>
        <v/>
      </c>
      <c r="BB126" t="str">
        <f ca="1">IFERROR(IF(0=LEN(ReferenceData!$BB$126),"",ReferenceData!$BB$126),"")</f>
        <v/>
      </c>
      <c r="BC126" t="str">
        <f ca="1">IFERROR(IF(0=LEN(ReferenceData!$BC$126),"",ReferenceData!$BC$126),"")</f>
        <v/>
      </c>
      <c r="BD126" t="str">
        <f ca="1">IFERROR(IF(0=LEN(ReferenceData!$BD$126),"",ReferenceData!$BD$126),"")</f>
        <v/>
      </c>
      <c r="BE126" t="str">
        <f ca="1">IFERROR(IF(0=LEN(ReferenceData!$BE$126),"",ReferenceData!$BE$126),"")</f>
        <v/>
      </c>
      <c r="BF126" t="str">
        <f ca="1">IFERROR(IF(0=LEN(ReferenceData!$BF$126),"",ReferenceData!$BF$126),"")</f>
        <v/>
      </c>
      <c r="BG126" t="str">
        <f ca="1">IFERROR(IF(0=LEN(ReferenceData!$BG$126),"",ReferenceData!$BG$126),"")</f>
        <v/>
      </c>
      <c r="BH126" t="str">
        <f ca="1">IFERROR(IF(0=LEN(ReferenceData!$BH$126),"",ReferenceData!$BH$126),"")</f>
        <v/>
      </c>
      <c r="BI126" t="str">
        <f ca="1">IFERROR(IF(0=LEN(ReferenceData!$BI$126),"",ReferenceData!$BI$126),"")</f>
        <v/>
      </c>
      <c r="BJ126" t="str">
        <f ca="1">IFERROR(IF(0=LEN(ReferenceData!$BJ$126),"",ReferenceData!$BJ$126),"")</f>
        <v/>
      </c>
      <c r="BK126" t="str">
        <f ca="1">IFERROR(IF(0=LEN(ReferenceData!$BK$126),"",ReferenceData!$BK$126),"")</f>
        <v/>
      </c>
      <c r="BL126" t="str">
        <f ca="1">IFERROR(IF(0=LEN(ReferenceData!$BL$126),"",ReferenceData!$BL$126),"")</f>
        <v/>
      </c>
      <c r="BM126" t="str">
        <f ca="1">IFERROR(IF(0=LEN(ReferenceData!$BM$126),"",ReferenceData!$BM$126),"")</f>
        <v/>
      </c>
    </row>
    <row r="127" spans="1:65" x14ac:dyDescent="0.25">
      <c r="A127" t="str">
        <f>IFERROR(IF(0=LEN(ReferenceData!$A$127),"",ReferenceData!$A$127),"")</f>
        <v xml:space="preserve">        Other Sport &amp; Lifestyle Brands</v>
      </c>
      <c r="B127" t="str">
        <f>IFERROR(IF(0=LEN(ReferenceData!$B$127),"",ReferenceData!$B$127),"")</f>
        <v/>
      </c>
      <c r="C127" t="str">
        <f>IFERROR(IF(0=LEN(ReferenceData!$C$127),"",ReferenceData!$C$127),"")</f>
        <v/>
      </c>
      <c r="D127" t="str">
        <f>IFERROR(IF(0=LEN(ReferenceData!$D$127),"",ReferenceData!$D$127),"")</f>
        <v/>
      </c>
      <c r="E127" t="str">
        <f>IFERROR(IF(0=LEN(ReferenceData!$E$127),"",ReferenceData!$E$127),"")</f>
        <v>Static</v>
      </c>
      <c r="F127" t="str">
        <f ca="1">IFERROR(IF(0=LEN(ReferenceData!$F$127),"",ReferenceData!$F$127),"")</f>
        <v/>
      </c>
      <c r="G127" t="str">
        <f ca="1">IFERROR(IF(0=LEN(ReferenceData!$G$127),"",ReferenceData!$G$127),"")</f>
        <v/>
      </c>
      <c r="H127" t="str">
        <f ca="1">IFERROR(IF(0=LEN(ReferenceData!$H$127),"",ReferenceData!$H$127),"")</f>
        <v/>
      </c>
      <c r="I127" t="str">
        <f ca="1">IFERROR(IF(0=LEN(ReferenceData!$I$127),"",ReferenceData!$I$127),"")</f>
        <v/>
      </c>
      <c r="J127" t="str">
        <f ca="1">IFERROR(IF(0=LEN(ReferenceData!$J$127),"",ReferenceData!$J$127),"")</f>
        <v/>
      </c>
      <c r="K127" t="str">
        <f ca="1">IFERROR(IF(0=LEN(ReferenceData!$K$127),"",ReferenceData!$K$127),"")</f>
        <v/>
      </c>
      <c r="L127" t="str">
        <f ca="1">IFERROR(IF(0=LEN(ReferenceData!$L$127),"",ReferenceData!$L$127),"")</f>
        <v/>
      </c>
      <c r="M127" t="str">
        <f ca="1">IFERROR(IF(0=LEN(ReferenceData!$M$127),"",ReferenceData!$M$127),"")</f>
        <v/>
      </c>
      <c r="N127" t="str">
        <f ca="1">IFERROR(IF(0=LEN(ReferenceData!$N$127),"",ReferenceData!$N$127),"")</f>
        <v/>
      </c>
      <c r="O127" t="str">
        <f ca="1">IFERROR(IF(0=LEN(ReferenceData!$O$127),"",ReferenceData!$O$127),"")</f>
        <v/>
      </c>
      <c r="P127" t="str">
        <f ca="1">IFERROR(IF(0=LEN(ReferenceData!$P$127),"",ReferenceData!$P$127),"")</f>
        <v/>
      </c>
      <c r="Q127" t="str">
        <f ca="1">IFERROR(IF(0=LEN(ReferenceData!$Q$127),"",ReferenceData!$Q$127),"")</f>
        <v/>
      </c>
      <c r="R127" t="str">
        <f ca="1">IFERROR(IF(0=LEN(ReferenceData!$R$127),"",ReferenceData!$R$127),"")</f>
        <v/>
      </c>
      <c r="S127" t="str">
        <f ca="1">IFERROR(IF(0=LEN(ReferenceData!$S$127),"",ReferenceData!$S$127),"")</f>
        <v/>
      </c>
      <c r="T127" t="str">
        <f ca="1">IFERROR(IF(0=LEN(ReferenceData!$T$127),"",ReferenceData!$T$127),"")</f>
        <v/>
      </c>
      <c r="U127" t="str">
        <f ca="1">IFERROR(IF(0=LEN(ReferenceData!$U$127),"",ReferenceData!$U$127),"")</f>
        <v/>
      </c>
      <c r="V127" t="str">
        <f ca="1">IFERROR(IF(0=LEN(ReferenceData!$V$127),"",ReferenceData!$V$127),"")</f>
        <v/>
      </c>
      <c r="W127" t="str">
        <f ca="1">IFERROR(IF(0=LEN(ReferenceData!$W$127),"",ReferenceData!$W$127),"")</f>
        <v/>
      </c>
      <c r="X127" t="str">
        <f ca="1">IFERROR(IF(0=LEN(ReferenceData!$X$127),"",ReferenceData!$X$127),"")</f>
        <v/>
      </c>
      <c r="Y127" t="str">
        <f ca="1">IFERROR(IF(0=LEN(ReferenceData!$Y$127),"",ReferenceData!$Y$127),"")</f>
        <v/>
      </c>
      <c r="Z127" t="str">
        <f ca="1">IFERROR(IF(0=LEN(ReferenceData!$Z$127),"",ReferenceData!$Z$127),"")</f>
        <v/>
      </c>
      <c r="AA127" t="str">
        <f ca="1">IFERROR(IF(0=LEN(ReferenceData!$AA$127),"",ReferenceData!$AA$127),"")</f>
        <v/>
      </c>
      <c r="AB127" t="str">
        <f ca="1">IFERROR(IF(0=LEN(ReferenceData!$AB$127),"",ReferenceData!$AB$127),"")</f>
        <v/>
      </c>
      <c r="AC127" t="str">
        <f ca="1">IFERROR(IF(0=LEN(ReferenceData!$AC$127),"",ReferenceData!$AC$127),"")</f>
        <v/>
      </c>
      <c r="AD127" t="str">
        <f ca="1">IFERROR(IF(0=LEN(ReferenceData!$AD$127),"",ReferenceData!$AD$127),"")</f>
        <v/>
      </c>
      <c r="AE127" t="str">
        <f ca="1">IFERROR(IF(0=LEN(ReferenceData!$AE$127),"",ReferenceData!$AE$127),"")</f>
        <v/>
      </c>
      <c r="AF127" t="str">
        <f ca="1">IFERROR(IF(0=LEN(ReferenceData!$AF$127),"",ReferenceData!$AF$127),"")</f>
        <v/>
      </c>
      <c r="AG127" t="str">
        <f ca="1">IFERROR(IF(0=LEN(ReferenceData!$AG$127),"",ReferenceData!$AG$127),"")</f>
        <v/>
      </c>
      <c r="AH127" t="str">
        <f ca="1">IFERROR(IF(0=LEN(ReferenceData!$AH$127),"",ReferenceData!$AH$127),"")</f>
        <v/>
      </c>
      <c r="AI127" t="str">
        <f ca="1">IFERROR(IF(0=LEN(ReferenceData!$AI$127),"",ReferenceData!$AI$127),"")</f>
        <v/>
      </c>
      <c r="AJ127" t="str">
        <f ca="1">IFERROR(IF(0=LEN(ReferenceData!$AJ$127),"",ReferenceData!$AJ$127),"")</f>
        <v/>
      </c>
      <c r="AK127" t="str">
        <f ca="1">IFERROR(IF(0=LEN(ReferenceData!$AK$127),"",ReferenceData!$AK$127),"")</f>
        <v/>
      </c>
      <c r="AL127" t="str">
        <f ca="1">IFERROR(IF(0=LEN(ReferenceData!$AL$127),"",ReferenceData!$AL$127),"")</f>
        <v/>
      </c>
      <c r="AM127" t="str">
        <f ca="1">IFERROR(IF(0=LEN(ReferenceData!$AM$127),"",ReferenceData!$AM$127),"")</f>
        <v/>
      </c>
      <c r="AN127" t="str">
        <f ca="1">IFERROR(IF(0=LEN(ReferenceData!$AN$127),"",ReferenceData!$AN$127),"")</f>
        <v/>
      </c>
      <c r="AO127" t="str">
        <f ca="1">IFERROR(IF(0=LEN(ReferenceData!$AO$127),"",ReferenceData!$AO$127),"")</f>
        <v/>
      </c>
      <c r="AP127" t="str">
        <f ca="1">IFERROR(IF(0=LEN(ReferenceData!$AP$127),"",ReferenceData!$AP$127),"")</f>
        <v/>
      </c>
      <c r="AQ127" t="str">
        <f ca="1">IFERROR(IF(0=LEN(ReferenceData!$AQ$127),"",ReferenceData!$AQ$127),"")</f>
        <v/>
      </c>
      <c r="AR127" t="str">
        <f ca="1">IFERROR(IF(0=LEN(ReferenceData!$AR$127),"",ReferenceData!$AR$127),"")</f>
        <v/>
      </c>
      <c r="AS127" t="str">
        <f ca="1">IFERROR(IF(0=LEN(ReferenceData!$AS$127),"",ReferenceData!$AS$127),"")</f>
        <v/>
      </c>
      <c r="AT127" t="str">
        <f ca="1">IFERROR(IF(0=LEN(ReferenceData!$AT$127),"",ReferenceData!$AT$127),"")</f>
        <v/>
      </c>
      <c r="AU127" t="str">
        <f ca="1">IFERROR(IF(0=LEN(ReferenceData!$AU$127),"",ReferenceData!$AU$127),"")</f>
        <v/>
      </c>
      <c r="AV127" t="str">
        <f ca="1">IFERROR(IF(0=LEN(ReferenceData!$AV$127),"",ReferenceData!$AV$127),"")</f>
        <v/>
      </c>
      <c r="AW127" t="str">
        <f ca="1">IFERROR(IF(0=LEN(ReferenceData!$AW$127),"",ReferenceData!$AW$127),"")</f>
        <v/>
      </c>
      <c r="AX127" t="str">
        <f ca="1">IFERROR(IF(0=LEN(ReferenceData!$AX$127),"",ReferenceData!$AX$127),"")</f>
        <v/>
      </c>
      <c r="AY127" t="str">
        <f ca="1">IFERROR(IF(0=LEN(ReferenceData!$AY$127),"",ReferenceData!$AY$127),"")</f>
        <v/>
      </c>
      <c r="AZ127" t="str">
        <f ca="1">IFERROR(IF(0=LEN(ReferenceData!$AZ$127),"",ReferenceData!$AZ$127),"")</f>
        <v/>
      </c>
      <c r="BA127" t="str">
        <f ca="1">IFERROR(IF(0=LEN(ReferenceData!$BA$127),"",ReferenceData!$BA$127),"")</f>
        <v/>
      </c>
      <c r="BB127" t="str">
        <f ca="1">IFERROR(IF(0=LEN(ReferenceData!$BB$127),"",ReferenceData!$BB$127),"")</f>
        <v/>
      </c>
      <c r="BC127" t="str">
        <f ca="1">IFERROR(IF(0=LEN(ReferenceData!$BC$127),"",ReferenceData!$BC$127),"")</f>
        <v/>
      </c>
      <c r="BD127" t="str">
        <f ca="1">IFERROR(IF(0=LEN(ReferenceData!$BD$127),"",ReferenceData!$BD$127),"")</f>
        <v/>
      </c>
      <c r="BE127" t="str">
        <f ca="1">IFERROR(IF(0=LEN(ReferenceData!$BE$127),"",ReferenceData!$BE$127),"")</f>
        <v/>
      </c>
      <c r="BF127" t="str">
        <f ca="1">IFERROR(IF(0=LEN(ReferenceData!$BF$127),"",ReferenceData!$BF$127),"")</f>
        <v/>
      </c>
      <c r="BG127" t="str">
        <f ca="1">IFERROR(IF(0=LEN(ReferenceData!$BG$127),"",ReferenceData!$BG$127),"")</f>
        <v/>
      </c>
      <c r="BH127" t="str">
        <f ca="1">IFERROR(IF(0=LEN(ReferenceData!$BH$127),"",ReferenceData!$BH$127),"")</f>
        <v/>
      </c>
      <c r="BI127" t="str">
        <f ca="1">IFERROR(IF(0=LEN(ReferenceData!$BI$127),"",ReferenceData!$BI$127),"")</f>
        <v/>
      </c>
      <c r="BJ127" t="str">
        <f ca="1">IFERROR(IF(0=LEN(ReferenceData!$BJ$127),"",ReferenceData!$BJ$127),"")</f>
        <v/>
      </c>
      <c r="BK127" t="str">
        <f ca="1">IFERROR(IF(0=LEN(ReferenceData!$BK$127),"",ReferenceData!$BK$127),"")</f>
        <v/>
      </c>
      <c r="BL127" t="str">
        <f ca="1">IFERROR(IF(0=LEN(ReferenceData!$BL$127),"",ReferenceData!$BL$127),"")</f>
        <v/>
      </c>
      <c r="BM127" t="str">
        <f ca="1">IFERROR(IF(0=LEN(ReferenceData!$BM$127),"",ReferenceData!$BM$127),"")</f>
        <v/>
      </c>
    </row>
    <row r="128" spans="1:65" x14ac:dyDescent="0.25">
      <c r="A128" t="str">
        <f>IFERROR(IF(0=LEN(ReferenceData!$A$128),"",ReferenceData!$A$128),"")</f>
        <v xml:space="preserve">            Revenue</v>
      </c>
      <c r="B128" t="str">
        <f>IFERROR(IF(0=LEN(ReferenceData!$B$128),"",ReferenceData!$B$128),"")</f>
        <v>KER FP Equity</v>
      </c>
      <c r="C128" t="str">
        <f>IFERROR(IF(0=LEN(ReferenceData!$C$128),"",ReferenceData!$C$128),"")</f>
        <v>BI047</v>
      </c>
      <c r="D128" t="str">
        <f>IFERROR(IF(0=LEN(ReferenceData!$D$128),"",ReferenceData!$D$128),"")</f>
        <v>BICS_SEGMENT_DATA</v>
      </c>
      <c r="E128" t="str">
        <f>IFERROR(IF(0=LEN(ReferenceData!$E$128),"",ReferenceData!$E$128),"")</f>
        <v>Dynamic</v>
      </c>
      <c r="F128" t="str">
        <f ca="1">IFERROR(IF(0=LEN(ReferenceData!$F$128),"",ReferenceData!$F$128),"")</f>
        <v/>
      </c>
      <c r="G128" t="str">
        <f ca="1">IFERROR(IF(0=LEN(ReferenceData!$G$128),"",ReferenceData!$G$128),"")</f>
        <v/>
      </c>
      <c r="H128" t="str">
        <f ca="1">IFERROR(IF(0=LEN(ReferenceData!$H$128),"",ReferenceData!$H$128),"")</f>
        <v/>
      </c>
      <c r="I128" t="str">
        <f ca="1">IFERROR(IF(0=LEN(ReferenceData!$I$128),"",ReferenceData!$I$128),"")</f>
        <v/>
      </c>
      <c r="J128" t="str">
        <f ca="1">IFERROR(IF(0=LEN(ReferenceData!$J$128),"",ReferenceData!$J$128),"")</f>
        <v/>
      </c>
      <c r="K128" t="str">
        <f ca="1">IFERROR(IF(0=LEN(ReferenceData!$K$128),"",ReferenceData!$K$128),"")</f>
        <v/>
      </c>
      <c r="L128" t="str">
        <f ca="1">IFERROR(IF(0=LEN(ReferenceData!$L$128),"",ReferenceData!$L$128),"")</f>
        <v/>
      </c>
      <c r="M128" t="str">
        <f ca="1">IFERROR(IF(0=LEN(ReferenceData!$M$128),"",ReferenceData!$M$128),"")</f>
        <v/>
      </c>
      <c r="N128" t="str">
        <f ca="1">IFERROR(IF(0=LEN(ReferenceData!$N$128),"",ReferenceData!$N$128),"")</f>
        <v/>
      </c>
      <c r="O128" t="str">
        <f ca="1">IFERROR(IF(0=LEN(ReferenceData!$O$128),"",ReferenceData!$O$128),"")</f>
        <v/>
      </c>
      <c r="P128" t="str">
        <f ca="1">IFERROR(IF(0=LEN(ReferenceData!$P$128),"",ReferenceData!$P$128),"")</f>
        <v/>
      </c>
      <c r="Q128" t="str">
        <f ca="1">IFERROR(IF(0=LEN(ReferenceData!$Q$128),"",ReferenceData!$Q$128),"")</f>
        <v/>
      </c>
      <c r="R128" t="str">
        <f ca="1">IFERROR(IF(0=LEN(ReferenceData!$R$128),"",ReferenceData!$R$128),"")</f>
        <v/>
      </c>
      <c r="S128" t="str">
        <f ca="1">IFERROR(IF(0=LEN(ReferenceData!$S$128),"",ReferenceData!$S$128),"")</f>
        <v/>
      </c>
      <c r="T128" t="str">
        <f ca="1">IFERROR(IF(0=LEN(ReferenceData!$T$128),"",ReferenceData!$T$128),"")</f>
        <v/>
      </c>
      <c r="U128" t="str">
        <f ca="1">IFERROR(IF(0=LEN(ReferenceData!$U$128),"",ReferenceData!$U$128),"")</f>
        <v/>
      </c>
      <c r="V128" t="str">
        <f ca="1">IFERROR(IF(0=LEN(ReferenceData!$V$128),"",ReferenceData!$V$128),"")</f>
        <v/>
      </c>
      <c r="W128" t="str">
        <f ca="1">IFERROR(IF(0=LEN(ReferenceData!$W$128),"",ReferenceData!$W$128),"")</f>
        <v/>
      </c>
      <c r="X128" t="str">
        <f ca="1">IFERROR(IF(0=LEN(ReferenceData!$X$128),"",ReferenceData!$X$128),"")</f>
        <v/>
      </c>
      <c r="Y128" t="str">
        <f ca="1">IFERROR(IF(0=LEN(ReferenceData!$Y$128),"",ReferenceData!$Y$128),"")</f>
        <v/>
      </c>
      <c r="Z128" t="str">
        <f ca="1">IFERROR(IF(0=LEN(ReferenceData!$Z$128),"",ReferenceData!$Z$128),"")</f>
        <v/>
      </c>
      <c r="AA128" t="str">
        <f ca="1">IFERROR(IF(0=LEN(ReferenceData!$AA$128),"",ReferenceData!$AA$128),"")</f>
        <v/>
      </c>
      <c r="AB128" t="str">
        <f ca="1">IFERROR(IF(0=LEN(ReferenceData!$AB$128),"",ReferenceData!$AB$128),"")</f>
        <v/>
      </c>
      <c r="AC128" t="str">
        <f ca="1">IFERROR(IF(0=LEN(ReferenceData!$AC$128),"",ReferenceData!$AC$128),"")</f>
        <v/>
      </c>
      <c r="AD128">
        <f ca="1">IFERROR(IF(0=LEN(ReferenceData!$AD$128),"",ReferenceData!$AD$128),"")</f>
        <v>67.900000000000006</v>
      </c>
      <c r="AE128" t="str">
        <f ca="1">IFERROR(IF(0=LEN(ReferenceData!$AE$128),"",ReferenceData!$AE$128),"")</f>
        <v/>
      </c>
      <c r="AF128" t="str">
        <f ca="1">IFERROR(IF(0=LEN(ReferenceData!$AF$128),"",ReferenceData!$AF$128),"")</f>
        <v/>
      </c>
      <c r="AG128" t="str">
        <f ca="1">IFERROR(IF(0=LEN(ReferenceData!$AG$128),"",ReferenceData!$AG$128),"")</f>
        <v/>
      </c>
      <c r="AH128">
        <f ca="1">IFERROR(IF(0=LEN(ReferenceData!$AH$128),"",ReferenceData!$AH$128),"")</f>
        <v>68</v>
      </c>
      <c r="AI128" t="str">
        <f ca="1">IFERROR(IF(0=LEN(ReferenceData!$AI$128),"",ReferenceData!$AI$128),"")</f>
        <v/>
      </c>
      <c r="AJ128" t="str">
        <f ca="1">IFERROR(IF(0=LEN(ReferenceData!$AJ$128),"",ReferenceData!$AJ$128),"")</f>
        <v/>
      </c>
      <c r="AK128">
        <f ca="1">IFERROR(IF(0=LEN(ReferenceData!$AK$128),"",ReferenceData!$AK$128),"")</f>
        <v>60</v>
      </c>
      <c r="AL128" t="str">
        <f ca="1">IFERROR(IF(0=LEN(ReferenceData!$AL$128),"",ReferenceData!$AL$128),"")</f>
        <v/>
      </c>
      <c r="AM128" t="str">
        <f ca="1">IFERROR(IF(0=LEN(ReferenceData!$AM$128),"",ReferenceData!$AM$128),"")</f>
        <v/>
      </c>
      <c r="AN128" t="str">
        <f ca="1">IFERROR(IF(0=LEN(ReferenceData!$AN$128),"",ReferenceData!$AN$128),"")</f>
        <v/>
      </c>
      <c r="AO128">
        <f ca="1">IFERROR(IF(0=LEN(ReferenceData!$AO$128),"",ReferenceData!$AO$128),"")</f>
        <v>61</v>
      </c>
      <c r="AP128" t="str">
        <f ca="1">IFERROR(IF(0=LEN(ReferenceData!$AP$128),"",ReferenceData!$AP$128),"")</f>
        <v/>
      </c>
      <c r="AQ128" t="str">
        <f ca="1">IFERROR(IF(0=LEN(ReferenceData!$AQ$128),"",ReferenceData!$AQ$128),"")</f>
        <v/>
      </c>
      <c r="AR128" t="str">
        <f ca="1">IFERROR(IF(0=LEN(ReferenceData!$AR$128),"",ReferenceData!$AR$128),"")</f>
        <v/>
      </c>
      <c r="AS128" t="str">
        <f ca="1">IFERROR(IF(0=LEN(ReferenceData!$AS$128),"",ReferenceData!$AS$128),"")</f>
        <v/>
      </c>
      <c r="AT128" t="str">
        <f ca="1">IFERROR(IF(0=LEN(ReferenceData!$AT$128),"",ReferenceData!$AT$128),"")</f>
        <v/>
      </c>
      <c r="AU128" t="str">
        <f ca="1">IFERROR(IF(0=LEN(ReferenceData!$AU$128),"",ReferenceData!$AU$128),"")</f>
        <v/>
      </c>
      <c r="AV128" t="str">
        <f ca="1">IFERROR(IF(0=LEN(ReferenceData!$AV$128),"",ReferenceData!$AV$128),"")</f>
        <v/>
      </c>
      <c r="AW128" t="str">
        <f ca="1">IFERROR(IF(0=LEN(ReferenceData!$AW$128),"",ReferenceData!$AW$128),"")</f>
        <v/>
      </c>
      <c r="AX128" t="str">
        <f ca="1">IFERROR(IF(0=LEN(ReferenceData!$AX$128),"",ReferenceData!$AX$128),"")</f>
        <v/>
      </c>
      <c r="AY128" t="str">
        <f ca="1">IFERROR(IF(0=LEN(ReferenceData!$AY$128),"",ReferenceData!$AY$128),"")</f>
        <v/>
      </c>
      <c r="AZ128" t="str">
        <f ca="1">IFERROR(IF(0=LEN(ReferenceData!$AZ$128),"",ReferenceData!$AZ$128),"")</f>
        <v/>
      </c>
      <c r="BA128" t="str">
        <f ca="1">IFERROR(IF(0=LEN(ReferenceData!$BA$128),"",ReferenceData!$BA$128),"")</f>
        <v/>
      </c>
      <c r="BB128" t="str">
        <f ca="1">IFERROR(IF(0=LEN(ReferenceData!$BB$128),"",ReferenceData!$BB$128),"")</f>
        <v/>
      </c>
      <c r="BC128" t="str">
        <f ca="1">IFERROR(IF(0=LEN(ReferenceData!$BC$128),"",ReferenceData!$BC$128),"")</f>
        <v/>
      </c>
      <c r="BD128" t="str">
        <f ca="1">IFERROR(IF(0=LEN(ReferenceData!$BD$128),"",ReferenceData!$BD$128),"")</f>
        <v/>
      </c>
      <c r="BE128" t="str">
        <f ca="1">IFERROR(IF(0=LEN(ReferenceData!$BE$128),"",ReferenceData!$BE$128),"")</f>
        <v/>
      </c>
      <c r="BF128" t="str">
        <f ca="1">IFERROR(IF(0=LEN(ReferenceData!$BF$128),"",ReferenceData!$BF$128),"")</f>
        <v/>
      </c>
      <c r="BG128" t="str">
        <f ca="1">IFERROR(IF(0=LEN(ReferenceData!$BG$128),"",ReferenceData!$BG$128),"")</f>
        <v/>
      </c>
      <c r="BH128" t="str">
        <f ca="1">IFERROR(IF(0=LEN(ReferenceData!$BH$128),"",ReferenceData!$BH$128),"")</f>
        <v/>
      </c>
      <c r="BI128" t="str">
        <f ca="1">IFERROR(IF(0=LEN(ReferenceData!$BI$128),"",ReferenceData!$BI$128),"")</f>
        <v/>
      </c>
      <c r="BJ128" t="str">
        <f ca="1">IFERROR(IF(0=LEN(ReferenceData!$BJ$128),"",ReferenceData!$BJ$128),"")</f>
        <v/>
      </c>
      <c r="BK128" t="str">
        <f ca="1">IFERROR(IF(0=LEN(ReferenceData!$BK$128),"",ReferenceData!$BK$128),"")</f>
        <v/>
      </c>
      <c r="BL128" t="str">
        <f ca="1">IFERROR(IF(0=LEN(ReferenceData!$BL$128),"",ReferenceData!$BL$128),"")</f>
        <v/>
      </c>
      <c r="BM128" t="str">
        <f ca="1">IFERROR(IF(0=LEN(ReferenceData!$BM$128),"",ReferenceData!$BM$128),"")</f>
        <v/>
      </c>
    </row>
    <row r="129" spans="1:65" x14ac:dyDescent="0.25">
      <c r="A129" t="str">
        <f>IFERROR(IF(0=LEN(ReferenceData!$A$129),"",ReferenceData!$A$129),"")</f>
        <v xml:space="preserve">                of Total Kering Sales (%)</v>
      </c>
      <c r="B129" t="str">
        <f>IFERROR(IF(0=LEN(ReferenceData!$B$129),"",ReferenceData!$B$129),"")</f>
        <v>KER FP Equity</v>
      </c>
      <c r="C129" t="str">
        <f>IFERROR(IF(0=LEN(ReferenceData!$C$129),"",ReferenceData!$C$129),"")</f>
        <v/>
      </c>
      <c r="D129" t="str">
        <f>IFERROR(IF(0=LEN(ReferenceData!$D$129),"",ReferenceData!$D$129),"")</f>
        <v/>
      </c>
      <c r="E129" t="str">
        <f>IFERROR(IF(0=LEN(ReferenceData!$E$129),"",ReferenceData!$E$129),"")</f>
        <v>Expression</v>
      </c>
      <c r="F129" t="str">
        <f ca="1">IFERROR(IF(0=LEN(ReferenceData!$F$129),"",ReferenceData!$F$129),"")</f>
        <v/>
      </c>
      <c r="G129" t="str">
        <f ca="1">IFERROR(IF(0=LEN(ReferenceData!$G$129),"",ReferenceData!$G$129),"")</f>
        <v/>
      </c>
      <c r="H129" t="str">
        <f ca="1">IFERROR(IF(0=LEN(ReferenceData!$H$129),"",ReferenceData!$H$129),"")</f>
        <v/>
      </c>
      <c r="I129" t="str">
        <f ca="1">IFERROR(IF(0=LEN(ReferenceData!$I$129),"",ReferenceData!$I$129),"")</f>
        <v/>
      </c>
      <c r="J129" t="str">
        <f ca="1">IFERROR(IF(0=LEN(ReferenceData!$J$129),"",ReferenceData!$J$129),"")</f>
        <v/>
      </c>
      <c r="K129" t="str">
        <f ca="1">IFERROR(IF(0=LEN(ReferenceData!$K$129),"",ReferenceData!$K$129),"")</f>
        <v/>
      </c>
      <c r="L129" t="str">
        <f ca="1">IFERROR(IF(0=LEN(ReferenceData!$L$129),"",ReferenceData!$L$129),"")</f>
        <v/>
      </c>
      <c r="M129" t="str">
        <f ca="1">IFERROR(IF(0=LEN(ReferenceData!$M$129),"",ReferenceData!$M$129),"")</f>
        <v/>
      </c>
      <c r="N129" t="str">
        <f ca="1">IFERROR(IF(0=LEN(ReferenceData!$N$129),"",ReferenceData!$N$129),"")</f>
        <v/>
      </c>
      <c r="O129" t="str">
        <f ca="1">IFERROR(IF(0=LEN(ReferenceData!$O$129),"",ReferenceData!$O$129),"")</f>
        <v/>
      </c>
      <c r="P129" t="str">
        <f ca="1">IFERROR(IF(0=LEN(ReferenceData!$P$129),"",ReferenceData!$P$129),"")</f>
        <v/>
      </c>
      <c r="Q129" t="str">
        <f ca="1">IFERROR(IF(0=LEN(ReferenceData!$Q$129),"",ReferenceData!$Q$129),"")</f>
        <v/>
      </c>
      <c r="R129" t="str">
        <f ca="1">IFERROR(IF(0=LEN(ReferenceData!$R$129),"",ReferenceData!$R$129),"")</f>
        <v/>
      </c>
      <c r="S129" t="str">
        <f ca="1">IFERROR(IF(0=LEN(ReferenceData!$S$129),"",ReferenceData!$S$129),"")</f>
        <v/>
      </c>
      <c r="T129" t="str">
        <f ca="1">IFERROR(IF(0=LEN(ReferenceData!$T$129),"",ReferenceData!$T$129),"")</f>
        <v/>
      </c>
      <c r="U129" t="str">
        <f ca="1">IFERROR(IF(0=LEN(ReferenceData!$U$129),"",ReferenceData!$U$129),"")</f>
        <v/>
      </c>
      <c r="V129" t="str">
        <f ca="1">IFERROR(IF(0=LEN(ReferenceData!$V$129),"",ReferenceData!$V$129),"")</f>
        <v/>
      </c>
      <c r="W129" t="str">
        <f ca="1">IFERROR(IF(0=LEN(ReferenceData!$W$129),"",ReferenceData!$W$129),"")</f>
        <v/>
      </c>
      <c r="X129" t="str">
        <f ca="1">IFERROR(IF(0=LEN(ReferenceData!$X$129),"",ReferenceData!$X$129),"")</f>
        <v/>
      </c>
      <c r="Y129" t="str">
        <f ca="1">IFERROR(IF(0=LEN(ReferenceData!$Y$129),"",ReferenceData!$Y$129),"")</f>
        <v/>
      </c>
      <c r="Z129" t="str">
        <f ca="1">IFERROR(IF(0=LEN(ReferenceData!$Z$129),"",ReferenceData!$Z$129),"")</f>
        <v/>
      </c>
      <c r="AA129" t="str">
        <f ca="1">IFERROR(IF(0=LEN(ReferenceData!$AA$129),"",ReferenceData!$AA$129),"")</f>
        <v/>
      </c>
      <c r="AB129" t="str">
        <f ca="1">IFERROR(IF(0=LEN(ReferenceData!$AB$129),"",ReferenceData!$AB$129),"")</f>
        <v/>
      </c>
      <c r="AC129" t="str">
        <f ca="1">IFERROR(IF(0=LEN(ReferenceData!$AC$129),"",ReferenceData!$AC$129),"")</f>
        <v/>
      </c>
      <c r="AD129">
        <f ca="1">IFERROR(IF(0=LEN(ReferenceData!$AD$129),"",ReferenceData!$AD$129),"")</f>
        <v>2.1375728000000001</v>
      </c>
      <c r="AE129" t="str">
        <f ca="1">IFERROR(IF(0=LEN(ReferenceData!$AE$129),"",ReferenceData!$AE$129),"")</f>
        <v/>
      </c>
      <c r="AF129" t="str">
        <f ca="1">IFERROR(IF(0=LEN(ReferenceData!$AF$129),"",ReferenceData!$AF$129),"")</f>
        <v/>
      </c>
      <c r="AG129" t="str">
        <f ca="1">IFERROR(IF(0=LEN(ReferenceData!$AG$129),"",ReferenceData!$AG$129),"")</f>
        <v/>
      </c>
      <c r="AH129">
        <f ca="1">IFERROR(IF(0=LEN(ReferenceData!$AH$129),"",ReferenceData!$AH$129),"")</f>
        <v>2.4801225470000001</v>
      </c>
      <c r="AI129" t="str">
        <f ca="1">IFERROR(IF(0=LEN(ReferenceData!$AI$129),"",ReferenceData!$AI$129),"")</f>
        <v/>
      </c>
      <c r="AJ129" t="str">
        <f ca="1">IFERROR(IF(0=LEN(ReferenceData!$AJ$129),"",ReferenceData!$AJ$129),"")</f>
        <v/>
      </c>
      <c r="AK129">
        <f ca="1">IFERROR(IF(0=LEN(ReferenceData!$AK$129),"",ReferenceData!$AK$129),"")</f>
        <v>2.5020850710000002</v>
      </c>
      <c r="AL129" t="str">
        <f ca="1">IFERROR(IF(0=LEN(ReferenceData!$AL$129),"",ReferenceData!$AL$129),"")</f>
        <v/>
      </c>
      <c r="AM129" t="str">
        <f ca="1">IFERROR(IF(0=LEN(ReferenceData!$AM$129),"",ReferenceData!$AM$129),"")</f>
        <v/>
      </c>
      <c r="AN129" t="str">
        <f ca="1">IFERROR(IF(0=LEN(ReferenceData!$AN$129),"",ReferenceData!$AN$129),"")</f>
        <v/>
      </c>
      <c r="AO129">
        <f ca="1">IFERROR(IF(0=LEN(ReferenceData!$AO$129),"",ReferenceData!$AO$129),"")</f>
        <v>2.5734053320000001</v>
      </c>
      <c r="AP129" t="str">
        <f ca="1">IFERROR(IF(0=LEN(ReferenceData!$AP$129),"",ReferenceData!$AP$129),"")</f>
        <v/>
      </c>
      <c r="AQ129" t="str">
        <f ca="1">IFERROR(IF(0=LEN(ReferenceData!$AQ$129),"",ReferenceData!$AQ$129),"")</f>
        <v/>
      </c>
      <c r="AR129" t="str">
        <f ca="1">IFERROR(IF(0=LEN(ReferenceData!$AR$129),"",ReferenceData!$AR$129),"")</f>
        <v/>
      </c>
      <c r="AS129" t="str">
        <f ca="1">IFERROR(IF(0=LEN(ReferenceData!$AS$129),"",ReferenceData!$AS$129),"")</f>
        <v/>
      </c>
      <c r="AT129" t="str">
        <f ca="1">IFERROR(IF(0=LEN(ReferenceData!$AT$129),"",ReferenceData!$AT$129),"")</f>
        <v/>
      </c>
      <c r="AU129" t="str">
        <f ca="1">IFERROR(IF(0=LEN(ReferenceData!$AU$129),"",ReferenceData!$AU$129),"")</f>
        <v/>
      </c>
      <c r="AV129" t="str">
        <f ca="1">IFERROR(IF(0=LEN(ReferenceData!$AV$129),"",ReferenceData!$AV$129),"")</f>
        <v/>
      </c>
      <c r="AW129" t="str">
        <f ca="1">IFERROR(IF(0=LEN(ReferenceData!$AW$129),"",ReferenceData!$AW$129),"")</f>
        <v/>
      </c>
      <c r="AX129" t="str">
        <f ca="1">IFERROR(IF(0=LEN(ReferenceData!$AX$129),"",ReferenceData!$AX$129),"")</f>
        <v/>
      </c>
      <c r="AY129" t="str">
        <f ca="1">IFERROR(IF(0=LEN(ReferenceData!$AY$129),"",ReferenceData!$AY$129),"")</f>
        <v/>
      </c>
      <c r="AZ129" t="str">
        <f ca="1">IFERROR(IF(0=LEN(ReferenceData!$AZ$129),"",ReferenceData!$AZ$129),"")</f>
        <v/>
      </c>
      <c r="BA129" t="str">
        <f ca="1">IFERROR(IF(0=LEN(ReferenceData!$BA$129),"",ReferenceData!$BA$129),"")</f>
        <v/>
      </c>
      <c r="BB129" t="str">
        <f ca="1">IFERROR(IF(0=LEN(ReferenceData!$BB$129),"",ReferenceData!$BB$129),"")</f>
        <v/>
      </c>
      <c r="BC129" t="str">
        <f ca="1">IFERROR(IF(0=LEN(ReferenceData!$BC$129),"",ReferenceData!$BC$129),"")</f>
        <v/>
      </c>
      <c r="BD129" t="str">
        <f ca="1">IFERROR(IF(0=LEN(ReferenceData!$BD$129),"",ReferenceData!$BD$129),"")</f>
        <v/>
      </c>
      <c r="BE129" t="str">
        <f ca="1">IFERROR(IF(0=LEN(ReferenceData!$BE$129),"",ReferenceData!$BE$129),"")</f>
        <v/>
      </c>
      <c r="BF129" t="str">
        <f ca="1">IFERROR(IF(0=LEN(ReferenceData!$BF$129),"",ReferenceData!$BF$129),"")</f>
        <v/>
      </c>
      <c r="BG129" t="str">
        <f ca="1">IFERROR(IF(0=LEN(ReferenceData!$BG$129),"",ReferenceData!$BG$129),"")</f>
        <v/>
      </c>
      <c r="BH129" t="str">
        <f ca="1">IFERROR(IF(0=LEN(ReferenceData!$BH$129),"",ReferenceData!$BH$129),"")</f>
        <v/>
      </c>
      <c r="BI129" t="str">
        <f ca="1">IFERROR(IF(0=LEN(ReferenceData!$BI$129),"",ReferenceData!$BI$129),"")</f>
        <v/>
      </c>
      <c r="BJ129" t="str">
        <f ca="1">IFERROR(IF(0=LEN(ReferenceData!$BJ$129),"",ReferenceData!$BJ$129),"")</f>
        <v/>
      </c>
      <c r="BK129" t="str">
        <f ca="1">IFERROR(IF(0=LEN(ReferenceData!$BK$129),"",ReferenceData!$BK$129),"")</f>
        <v/>
      </c>
      <c r="BL129" t="str">
        <f ca="1">IFERROR(IF(0=LEN(ReferenceData!$BL$129),"",ReferenceData!$BL$129),"")</f>
        <v/>
      </c>
      <c r="BM129" t="str">
        <f ca="1">IFERROR(IF(0=LEN(ReferenceData!$BM$129),"",ReferenceData!$BM$129),"")</f>
        <v/>
      </c>
    </row>
    <row r="130" spans="1:65" x14ac:dyDescent="0.25">
      <c r="A130" t="str">
        <f>IFERROR(IF(0=LEN(ReferenceData!$A$130),"",ReferenceData!$A$130),"")</f>
        <v xml:space="preserve">            Reported Sales Growth (%)</v>
      </c>
      <c r="B130" t="str">
        <f>IFERROR(IF(0=LEN(ReferenceData!$B$130),"",ReferenceData!$B$130),"")</f>
        <v>KER FP Equity</v>
      </c>
      <c r="C130" t="str">
        <f>IFERROR(IF(0=LEN(ReferenceData!$C$130),"",ReferenceData!$C$130),"")</f>
        <v>BI047</v>
      </c>
      <c r="D130" t="str">
        <f>IFERROR(IF(0=LEN(ReferenceData!$D$130),"",ReferenceData!$D$130),"")</f>
        <v>BICS_SEGMENT_DATA</v>
      </c>
      <c r="E130" t="str">
        <f>IFERROR(IF(0=LEN(ReferenceData!$E$130),"",ReferenceData!$E$130),"")</f>
        <v>Dynamic</v>
      </c>
      <c r="F130" t="str">
        <f ca="1">IFERROR(IF(0=LEN(ReferenceData!$F$130),"",ReferenceData!$F$130),"")</f>
        <v/>
      </c>
      <c r="G130" t="str">
        <f ca="1">IFERROR(IF(0=LEN(ReferenceData!$G$130),"",ReferenceData!$G$130),"")</f>
        <v/>
      </c>
      <c r="H130" t="str">
        <f ca="1">IFERROR(IF(0=LEN(ReferenceData!$H$130),"",ReferenceData!$H$130),"")</f>
        <v/>
      </c>
      <c r="I130" t="str">
        <f ca="1">IFERROR(IF(0=LEN(ReferenceData!$I$130),"",ReferenceData!$I$130),"")</f>
        <v/>
      </c>
      <c r="J130" t="str">
        <f ca="1">IFERROR(IF(0=LEN(ReferenceData!$J$130),"",ReferenceData!$J$130),"")</f>
        <v/>
      </c>
      <c r="K130" t="str">
        <f ca="1">IFERROR(IF(0=LEN(ReferenceData!$K$130),"",ReferenceData!$K$130),"")</f>
        <v/>
      </c>
      <c r="L130" t="str">
        <f ca="1">IFERROR(IF(0=LEN(ReferenceData!$L$130),"",ReferenceData!$L$130),"")</f>
        <v/>
      </c>
      <c r="M130" t="str">
        <f ca="1">IFERROR(IF(0=LEN(ReferenceData!$M$130),"",ReferenceData!$M$130),"")</f>
        <v/>
      </c>
      <c r="N130" t="str">
        <f ca="1">IFERROR(IF(0=LEN(ReferenceData!$N$130),"",ReferenceData!$N$130),"")</f>
        <v/>
      </c>
      <c r="O130" t="str">
        <f ca="1">IFERROR(IF(0=LEN(ReferenceData!$O$130),"",ReferenceData!$O$130),"")</f>
        <v/>
      </c>
      <c r="P130" t="str">
        <f ca="1">IFERROR(IF(0=LEN(ReferenceData!$P$130),"",ReferenceData!$P$130),"")</f>
        <v/>
      </c>
      <c r="Q130" t="str">
        <f ca="1">IFERROR(IF(0=LEN(ReferenceData!$Q$130),"",ReferenceData!$Q$130),"")</f>
        <v/>
      </c>
      <c r="R130" t="str">
        <f ca="1">IFERROR(IF(0=LEN(ReferenceData!$R$130),"",ReferenceData!$R$130),"")</f>
        <v/>
      </c>
      <c r="S130" t="str">
        <f ca="1">IFERROR(IF(0=LEN(ReferenceData!$S$130),"",ReferenceData!$S$130),"")</f>
        <v/>
      </c>
      <c r="T130" t="str">
        <f ca="1">IFERROR(IF(0=LEN(ReferenceData!$T$130),"",ReferenceData!$T$130),"")</f>
        <v/>
      </c>
      <c r="U130" t="str">
        <f ca="1">IFERROR(IF(0=LEN(ReferenceData!$U$130),"",ReferenceData!$U$130),"")</f>
        <v/>
      </c>
      <c r="V130" t="str">
        <f ca="1">IFERROR(IF(0=LEN(ReferenceData!$V$130),"",ReferenceData!$V$130),"")</f>
        <v/>
      </c>
      <c r="W130" t="str">
        <f ca="1">IFERROR(IF(0=LEN(ReferenceData!$W$130),"",ReferenceData!$W$130),"")</f>
        <v/>
      </c>
      <c r="X130" t="str">
        <f ca="1">IFERROR(IF(0=LEN(ReferenceData!$X$130),"",ReferenceData!$X$130),"")</f>
        <v/>
      </c>
      <c r="Y130" t="str">
        <f ca="1">IFERROR(IF(0=LEN(ReferenceData!$Y$130),"",ReferenceData!$Y$130),"")</f>
        <v/>
      </c>
      <c r="Z130" t="str">
        <f ca="1">IFERROR(IF(0=LEN(ReferenceData!$Z$130),"",ReferenceData!$Z$130),"")</f>
        <v/>
      </c>
      <c r="AA130" t="str">
        <f ca="1">IFERROR(IF(0=LEN(ReferenceData!$AA$130),"",ReferenceData!$AA$130),"")</f>
        <v/>
      </c>
      <c r="AB130" t="str">
        <f ca="1">IFERROR(IF(0=LEN(ReferenceData!$AB$130),"",ReferenceData!$AB$130),"")</f>
        <v/>
      </c>
      <c r="AC130" t="str">
        <f ca="1">IFERROR(IF(0=LEN(ReferenceData!$AC$130),"",ReferenceData!$AC$130),"")</f>
        <v/>
      </c>
      <c r="AD130">
        <f ca="1">IFERROR(IF(0=LEN(ReferenceData!$AD$130),"",ReferenceData!$AD$130),"")</f>
        <v>-0.1</v>
      </c>
      <c r="AE130">
        <f ca="1">IFERROR(IF(0=LEN(ReferenceData!$AE$130),"",ReferenceData!$AE$130),"")</f>
        <v>9.6</v>
      </c>
      <c r="AF130">
        <f ca="1">IFERROR(IF(0=LEN(ReferenceData!$AF$130),"",ReferenceData!$AF$130),"")</f>
        <v>22.3</v>
      </c>
      <c r="AG130">
        <f ca="1">IFERROR(IF(0=LEN(ReferenceData!$AG$130),"",ReferenceData!$AG$130),"")</f>
        <v>9.1</v>
      </c>
      <c r="AH130">
        <f ca="1">IFERROR(IF(0=LEN(ReferenceData!$AH$130),"",ReferenceData!$AH$130),"")</f>
        <v>12</v>
      </c>
      <c r="AI130">
        <f ca="1">IFERROR(IF(0=LEN(ReferenceData!$AI$130),"",ReferenceData!$AI$130),"")</f>
        <v>13</v>
      </c>
      <c r="AJ130">
        <f ca="1">IFERROR(IF(0=LEN(ReferenceData!$AJ$130),"",ReferenceData!$AJ$130),"")</f>
        <v>2.1</v>
      </c>
      <c r="AK130">
        <f ca="1">IFERROR(IF(0=LEN(ReferenceData!$AK$130),"",ReferenceData!$AK$130),"")</f>
        <v>-2.5</v>
      </c>
      <c r="AL130">
        <f ca="1">IFERROR(IF(0=LEN(ReferenceData!$AL$130),"",ReferenceData!$AL$130),"")</f>
        <v>-4.4000000000000004</v>
      </c>
      <c r="AM130">
        <f ca="1">IFERROR(IF(0=LEN(ReferenceData!$AM$130),"",ReferenceData!$AM$130),"")</f>
        <v>-7.9</v>
      </c>
      <c r="AN130">
        <f ca="1">IFERROR(IF(0=LEN(ReferenceData!$AN$130),"",ReferenceData!$AN$130),"")</f>
        <v>-4.9000000000000004</v>
      </c>
      <c r="AO130">
        <f ca="1">IFERROR(IF(0=LEN(ReferenceData!$AO$130),"",ReferenceData!$AO$130),"")</f>
        <v>-6.9</v>
      </c>
      <c r="AP130">
        <f ca="1">IFERROR(IF(0=LEN(ReferenceData!$AP$130),"",ReferenceData!$AP$130),"")</f>
        <v>-1.7</v>
      </c>
      <c r="AQ130">
        <f ca="1">IFERROR(IF(0=LEN(ReferenceData!$AQ$130),"",ReferenceData!$AQ$130),"")</f>
        <v>-5.6</v>
      </c>
      <c r="AR130" t="str">
        <f ca="1">IFERROR(IF(0=LEN(ReferenceData!$AR$130),"",ReferenceData!$AR$130),"")</f>
        <v/>
      </c>
      <c r="AS130" t="str">
        <f ca="1">IFERROR(IF(0=LEN(ReferenceData!$AS$130),"",ReferenceData!$AS$130),"")</f>
        <v/>
      </c>
      <c r="AT130" t="str">
        <f ca="1">IFERROR(IF(0=LEN(ReferenceData!$AT$130),"",ReferenceData!$AT$130),"")</f>
        <v/>
      </c>
      <c r="AU130" t="str">
        <f ca="1">IFERROR(IF(0=LEN(ReferenceData!$AU$130),"",ReferenceData!$AU$130),"")</f>
        <v/>
      </c>
      <c r="AV130" t="str">
        <f ca="1">IFERROR(IF(0=LEN(ReferenceData!$AV$130),"",ReferenceData!$AV$130),"")</f>
        <v/>
      </c>
      <c r="AW130" t="str">
        <f ca="1">IFERROR(IF(0=LEN(ReferenceData!$AW$130),"",ReferenceData!$AW$130),"")</f>
        <v/>
      </c>
      <c r="AX130" t="str">
        <f ca="1">IFERROR(IF(0=LEN(ReferenceData!$AX$130),"",ReferenceData!$AX$130),"")</f>
        <v/>
      </c>
      <c r="AY130" t="str">
        <f ca="1">IFERROR(IF(0=LEN(ReferenceData!$AY$130),"",ReferenceData!$AY$130),"")</f>
        <v/>
      </c>
      <c r="AZ130" t="str">
        <f ca="1">IFERROR(IF(0=LEN(ReferenceData!$AZ$130),"",ReferenceData!$AZ$130),"")</f>
        <v/>
      </c>
      <c r="BA130" t="str">
        <f ca="1">IFERROR(IF(0=LEN(ReferenceData!$BA$130),"",ReferenceData!$BA$130),"")</f>
        <v/>
      </c>
      <c r="BB130" t="str">
        <f ca="1">IFERROR(IF(0=LEN(ReferenceData!$BB$130),"",ReferenceData!$BB$130),"")</f>
        <v/>
      </c>
      <c r="BC130" t="str">
        <f ca="1">IFERROR(IF(0=LEN(ReferenceData!$BC$130),"",ReferenceData!$BC$130),"")</f>
        <v/>
      </c>
      <c r="BD130" t="str">
        <f ca="1">IFERROR(IF(0=LEN(ReferenceData!$BD$130),"",ReferenceData!$BD$130),"")</f>
        <v/>
      </c>
      <c r="BE130" t="str">
        <f ca="1">IFERROR(IF(0=LEN(ReferenceData!$BE$130),"",ReferenceData!$BE$130),"")</f>
        <v/>
      </c>
      <c r="BF130" t="str">
        <f ca="1">IFERROR(IF(0=LEN(ReferenceData!$BF$130),"",ReferenceData!$BF$130),"")</f>
        <v/>
      </c>
      <c r="BG130" t="str">
        <f ca="1">IFERROR(IF(0=LEN(ReferenceData!$BG$130),"",ReferenceData!$BG$130),"")</f>
        <v/>
      </c>
      <c r="BH130" t="str">
        <f ca="1">IFERROR(IF(0=LEN(ReferenceData!$BH$130),"",ReferenceData!$BH$130),"")</f>
        <v/>
      </c>
      <c r="BI130" t="str">
        <f ca="1">IFERROR(IF(0=LEN(ReferenceData!$BI$130),"",ReferenceData!$BI$130),"")</f>
        <v/>
      </c>
      <c r="BJ130" t="str">
        <f ca="1">IFERROR(IF(0=LEN(ReferenceData!$BJ$130),"",ReferenceData!$BJ$130),"")</f>
        <v/>
      </c>
      <c r="BK130" t="str">
        <f ca="1">IFERROR(IF(0=LEN(ReferenceData!$BK$130),"",ReferenceData!$BK$130),"")</f>
        <v/>
      </c>
      <c r="BL130" t="str">
        <f ca="1">IFERROR(IF(0=LEN(ReferenceData!$BL$130),"",ReferenceData!$BL$130),"")</f>
        <v/>
      </c>
      <c r="BM130" t="str">
        <f ca="1">IFERROR(IF(0=LEN(ReferenceData!$BM$130),"",ReferenceData!$BM$130),"")</f>
        <v/>
      </c>
    </row>
    <row r="131" spans="1:65" x14ac:dyDescent="0.25">
      <c r="A131" t="str">
        <f>IFERROR(IF(0=LEN(ReferenceData!$A$131),"",ReferenceData!$A$131),"")</f>
        <v xml:space="preserve">            Organic Growth (%)</v>
      </c>
      <c r="B131" t="str">
        <f>IFERROR(IF(0=LEN(ReferenceData!$B$131),"",ReferenceData!$B$131),"")</f>
        <v>KER FP Equity</v>
      </c>
      <c r="C131" t="str">
        <f>IFERROR(IF(0=LEN(ReferenceData!$C$131),"",ReferenceData!$C$131),"")</f>
        <v>BI047</v>
      </c>
      <c r="D131" t="str">
        <f>IFERROR(IF(0=LEN(ReferenceData!$D$131),"",ReferenceData!$D$131),"")</f>
        <v>BICS_SEGMENT_DATA</v>
      </c>
      <c r="E131" t="str">
        <f>IFERROR(IF(0=LEN(ReferenceData!$E$131),"",ReferenceData!$E$131),"")</f>
        <v>Dynamic</v>
      </c>
      <c r="F131" t="str">
        <f ca="1">IFERROR(IF(0=LEN(ReferenceData!$F$131),"",ReferenceData!$F$131),"")</f>
        <v/>
      </c>
      <c r="G131" t="str">
        <f ca="1">IFERROR(IF(0=LEN(ReferenceData!$G$131),"",ReferenceData!$G$131),"")</f>
        <v/>
      </c>
      <c r="H131" t="str">
        <f ca="1">IFERROR(IF(0=LEN(ReferenceData!$H$131),"",ReferenceData!$H$131),"")</f>
        <v/>
      </c>
      <c r="I131" t="str">
        <f ca="1">IFERROR(IF(0=LEN(ReferenceData!$I$131),"",ReferenceData!$I$131),"")</f>
        <v/>
      </c>
      <c r="J131" t="str">
        <f ca="1">IFERROR(IF(0=LEN(ReferenceData!$J$131),"",ReferenceData!$J$131),"")</f>
        <v/>
      </c>
      <c r="K131" t="str">
        <f ca="1">IFERROR(IF(0=LEN(ReferenceData!$K$131),"",ReferenceData!$K$131),"")</f>
        <v/>
      </c>
      <c r="L131" t="str">
        <f ca="1">IFERROR(IF(0=LEN(ReferenceData!$L$131),"",ReferenceData!$L$131),"")</f>
        <v/>
      </c>
      <c r="M131" t="str">
        <f ca="1">IFERROR(IF(0=LEN(ReferenceData!$M$131),"",ReferenceData!$M$131),"")</f>
        <v/>
      </c>
      <c r="N131" t="str">
        <f ca="1">IFERROR(IF(0=LEN(ReferenceData!$N$131),"",ReferenceData!$N$131),"")</f>
        <v/>
      </c>
      <c r="O131" t="str">
        <f ca="1">IFERROR(IF(0=LEN(ReferenceData!$O$131),"",ReferenceData!$O$131),"")</f>
        <v/>
      </c>
      <c r="P131" t="str">
        <f ca="1">IFERROR(IF(0=LEN(ReferenceData!$P$131),"",ReferenceData!$P$131),"")</f>
        <v/>
      </c>
      <c r="Q131" t="str">
        <f ca="1">IFERROR(IF(0=LEN(ReferenceData!$Q$131),"",ReferenceData!$Q$131),"")</f>
        <v/>
      </c>
      <c r="R131" t="str">
        <f ca="1">IFERROR(IF(0=LEN(ReferenceData!$R$131),"",ReferenceData!$R$131),"")</f>
        <v/>
      </c>
      <c r="S131" t="str">
        <f ca="1">IFERROR(IF(0=LEN(ReferenceData!$S$131),"",ReferenceData!$S$131),"")</f>
        <v/>
      </c>
      <c r="T131" t="str">
        <f ca="1">IFERROR(IF(0=LEN(ReferenceData!$T$131),"",ReferenceData!$T$131),"")</f>
        <v/>
      </c>
      <c r="U131" t="str">
        <f ca="1">IFERROR(IF(0=LEN(ReferenceData!$U$131),"",ReferenceData!$U$131),"")</f>
        <v/>
      </c>
      <c r="V131" t="str">
        <f ca="1">IFERROR(IF(0=LEN(ReferenceData!$V$131),"",ReferenceData!$V$131),"")</f>
        <v/>
      </c>
      <c r="W131" t="str">
        <f ca="1">IFERROR(IF(0=LEN(ReferenceData!$W$131),"",ReferenceData!$W$131),"")</f>
        <v/>
      </c>
      <c r="X131" t="str">
        <f ca="1">IFERROR(IF(0=LEN(ReferenceData!$X$131),"",ReferenceData!$X$131),"")</f>
        <v/>
      </c>
      <c r="Y131" t="str">
        <f ca="1">IFERROR(IF(0=LEN(ReferenceData!$Y$131),"",ReferenceData!$Y$131),"")</f>
        <v/>
      </c>
      <c r="Z131" t="str">
        <f ca="1">IFERROR(IF(0=LEN(ReferenceData!$Z$131),"",ReferenceData!$Z$131),"")</f>
        <v/>
      </c>
      <c r="AA131" t="str">
        <f ca="1">IFERROR(IF(0=LEN(ReferenceData!$AA$131),"",ReferenceData!$AA$131),"")</f>
        <v/>
      </c>
      <c r="AB131" t="str">
        <f ca="1">IFERROR(IF(0=LEN(ReferenceData!$AB$131),"",ReferenceData!$AB$131),"")</f>
        <v/>
      </c>
      <c r="AC131" t="str">
        <f ca="1">IFERROR(IF(0=LEN(ReferenceData!$AC$131),"",ReferenceData!$AC$131),"")</f>
        <v/>
      </c>
      <c r="AD131">
        <f ca="1">IFERROR(IF(0=LEN(ReferenceData!$AD$131),"",ReferenceData!$AD$131),"")</f>
        <v>-10.1</v>
      </c>
      <c r="AE131">
        <f ca="1">IFERROR(IF(0=LEN(ReferenceData!$AE$131),"",ReferenceData!$AE$131),"")</f>
        <v>-2.4</v>
      </c>
      <c r="AF131">
        <f ca="1">IFERROR(IF(0=LEN(ReferenceData!$AF$131),"",ReferenceData!$AF$131),"")</f>
        <v>-3.9</v>
      </c>
      <c r="AG131">
        <f ca="1">IFERROR(IF(0=LEN(ReferenceData!$AG$131),"",ReferenceData!$AG$131),"")</f>
        <v>-5</v>
      </c>
      <c r="AH131">
        <f ca="1">IFERROR(IF(0=LEN(ReferenceData!$AH$131),"",ReferenceData!$AH$131),"")</f>
        <v>6.3</v>
      </c>
      <c r="AI131" t="str">
        <f ca="1">IFERROR(IF(0=LEN(ReferenceData!$AI$131),"",ReferenceData!$AI$131),"")</f>
        <v/>
      </c>
      <c r="AJ131" t="str">
        <f ca="1">IFERROR(IF(0=LEN(ReferenceData!$AJ$131),"",ReferenceData!$AJ$131),"")</f>
        <v/>
      </c>
      <c r="AK131" t="str">
        <f ca="1">IFERROR(IF(0=LEN(ReferenceData!$AK$131),"",ReferenceData!$AK$131),"")</f>
        <v/>
      </c>
      <c r="AL131">
        <f ca="1">IFERROR(IF(0=LEN(ReferenceData!$AL$131),"",ReferenceData!$AL$131),"")</f>
        <v>1.5</v>
      </c>
      <c r="AM131" t="str">
        <f ca="1">IFERROR(IF(0=LEN(ReferenceData!$AM$131),"",ReferenceData!$AM$131),"")</f>
        <v/>
      </c>
      <c r="AN131" t="str">
        <f ca="1">IFERROR(IF(0=LEN(ReferenceData!$AN$131),"",ReferenceData!$AN$131),"")</f>
        <v/>
      </c>
      <c r="AO131" t="str">
        <f ca="1">IFERROR(IF(0=LEN(ReferenceData!$AO$131),"",ReferenceData!$AO$131),"")</f>
        <v/>
      </c>
      <c r="AP131">
        <f ca="1">IFERROR(IF(0=LEN(ReferenceData!$AP$131),"",ReferenceData!$AP$131),"")</f>
        <v>-4.8</v>
      </c>
      <c r="AQ131">
        <f ca="1">IFERROR(IF(0=LEN(ReferenceData!$AQ$131),"",ReferenceData!$AQ$131),"")</f>
        <v>-13.1</v>
      </c>
      <c r="AR131">
        <f ca="1">IFERROR(IF(0=LEN(ReferenceData!$AR$131),"",ReferenceData!$AR$131),"")</f>
        <v>12.6</v>
      </c>
      <c r="AS131" t="str">
        <f ca="1">IFERROR(IF(0=LEN(ReferenceData!$AS$131),"",ReferenceData!$AS$131),"")</f>
        <v/>
      </c>
      <c r="AT131">
        <f ca="1">IFERROR(IF(0=LEN(ReferenceData!$AT$131),"",ReferenceData!$AT$131),"")</f>
        <v>9.6999999999999993</v>
      </c>
      <c r="AU131">
        <f ca="1">IFERROR(IF(0=LEN(ReferenceData!$AU$131),"",ReferenceData!$AU$131),"")</f>
        <v>7</v>
      </c>
      <c r="AV131" t="str">
        <f ca="1">IFERROR(IF(0=LEN(ReferenceData!$AV$131),"",ReferenceData!$AV$131),"")</f>
        <v/>
      </c>
      <c r="AW131" t="str">
        <f ca="1">IFERROR(IF(0=LEN(ReferenceData!$AW$131),"",ReferenceData!$AW$131),"")</f>
        <v/>
      </c>
      <c r="AX131" t="str">
        <f ca="1">IFERROR(IF(0=LEN(ReferenceData!$AX$131),"",ReferenceData!$AX$131),"")</f>
        <v/>
      </c>
      <c r="AY131" t="str">
        <f ca="1">IFERROR(IF(0=LEN(ReferenceData!$AY$131),"",ReferenceData!$AY$131),"")</f>
        <v/>
      </c>
      <c r="AZ131" t="str">
        <f ca="1">IFERROR(IF(0=LEN(ReferenceData!$AZ$131),"",ReferenceData!$AZ$131),"")</f>
        <v/>
      </c>
      <c r="BA131" t="str">
        <f ca="1">IFERROR(IF(0=LEN(ReferenceData!$BA$131),"",ReferenceData!$BA$131),"")</f>
        <v/>
      </c>
      <c r="BB131" t="str">
        <f ca="1">IFERROR(IF(0=LEN(ReferenceData!$BB$131),"",ReferenceData!$BB$131),"")</f>
        <v/>
      </c>
      <c r="BC131" t="str">
        <f ca="1">IFERROR(IF(0=LEN(ReferenceData!$BC$131),"",ReferenceData!$BC$131),"")</f>
        <v/>
      </c>
      <c r="BD131" t="str">
        <f ca="1">IFERROR(IF(0=LEN(ReferenceData!$BD$131),"",ReferenceData!$BD$131),"")</f>
        <v/>
      </c>
      <c r="BE131" t="str">
        <f ca="1">IFERROR(IF(0=LEN(ReferenceData!$BE$131),"",ReferenceData!$BE$131),"")</f>
        <v/>
      </c>
      <c r="BF131" t="str">
        <f ca="1">IFERROR(IF(0=LEN(ReferenceData!$BF$131),"",ReferenceData!$BF$131),"")</f>
        <v/>
      </c>
      <c r="BG131" t="str">
        <f ca="1">IFERROR(IF(0=LEN(ReferenceData!$BG$131),"",ReferenceData!$BG$131),"")</f>
        <v/>
      </c>
      <c r="BH131" t="str">
        <f ca="1">IFERROR(IF(0=LEN(ReferenceData!$BH$131),"",ReferenceData!$BH$131),"")</f>
        <v/>
      </c>
      <c r="BI131" t="str">
        <f ca="1">IFERROR(IF(0=LEN(ReferenceData!$BI$131),"",ReferenceData!$BI$131),"")</f>
        <v/>
      </c>
      <c r="BJ131" t="str">
        <f ca="1">IFERROR(IF(0=LEN(ReferenceData!$BJ$131),"",ReferenceData!$BJ$131),"")</f>
        <v/>
      </c>
      <c r="BK131" t="str">
        <f ca="1">IFERROR(IF(0=LEN(ReferenceData!$BK$131),"",ReferenceData!$BK$131),"")</f>
        <v/>
      </c>
      <c r="BL131" t="str">
        <f ca="1">IFERROR(IF(0=LEN(ReferenceData!$BL$131),"",ReferenceData!$BL$131),"")</f>
        <v/>
      </c>
      <c r="BM131" t="str">
        <f ca="1">IFERROR(IF(0=LEN(ReferenceData!$BM$131),"",ReferenceData!$BM$131),"")</f>
        <v/>
      </c>
    </row>
    <row r="132" spans="1:65" x14ac:dyDescent="0.25">
      <c r="A132" t="str">
        <f>IFERROR(IF(0=LEN(ReferenceData!$A$132),"",ReferenceData!$A$132),"")</f>
        <v xml:space="preserve">            Recurring Operating Income</v>
      </c>
      <c r="B132" t="str">
        <f>IFERROR(IF(0=LEN(ReferenceData!$B$132),"",ReferenceData!$B$132),"")</f>
        <v>KER FP Equity</v>
      </c>
      <c r="C132" t="str">
        <f>IFERROR(IF(0=LEN(ReferenceData!$C$132),"",ReferenceData!$C$132),"")</f>
        <v>BI047</v>
      </c>
      <c r="D132" t="str">
        <f>IFERROR(IF(0=LEN(ReferenceData!$D$132),"",ReferenceData!$D$132),"")</f>
        <v>BICS_SEGMENT_DATA</v>
      </c>
      <c r="E132" t="str">
        <f>IFERROR(IF(0=LEN(ReferenceData!$E$132),"",ReferenceData!$E$132),"")</f>
        <v>Dynamic</v>
      </c>
      <c r="F132" t="str">
        <f ca="1">IFERROR(IF(0=LEN(ReferenceData!$F$132),"",ReferenceData!$F$132),"")</f>
        <v/>
      </c>
      <c r="G132" t="str">
        <f ca="1">IFERROR(IF(0=LEN(ReferenceData!$G$132),"",ReferenceData!$G$132),"")</f>
        <v/>
      </c>
      <c r="H132" t="str">
        <f ca="1">IFERROR(IF(0=LEN(ReferenceData!$H$132),"",ReferenceData!$H$132),"")</f>
        <v/>
      </c>
      <c r="I132" t="str">
        <f ca="1">IFERROR(IF(0=LEN(ReferenceData!$I$132),"",ReferenceData!$I$132),"")</f>
        <v/>
      </c>
      <c r="J132" t="str">
        <f ca="1">IFERROR(IF(0=LEN(ReferenceData!$J$132),"",ReferenceData!$J$132),"")</f>
        <v/>
      </c>
      <c r="K132" t="str">
        <f ca="1">IFERROR(IF(0=LEN(ReferenceData!$K$132),"",ReferenceData!$K$132),"")</f>
        <v/>
      </c>
      <c r="L132" t="str">
        <f ca="1">IFERROR(IF(0=LEN(ReferenceData!$L$132),"",ReferenceData!$L$132),"")</f>
        <v/>
      </c>
      <c r="M132" t="str">
        <f ca="1">IFERROR(IF(0=LEN(ReferenceData!$M$132),"",ReferenceData!$M$132),"")</f>
        <v/>
      </c>
      <c r="N132" t="str">
        <f ca="1">IFERROR(IF(0=LEN(ReferenceData!$N$132),"",ReferenceData!$N$132),"")</f>
        <v/>
      </c>
      <c r="O132" t="str">
        <f ca="1">IFERROR(IF(0=LEN(ReferenceData!$O$132),"",ReferenceData!$O$132),"")</f>
        <v/>
      </c>
      <c r="P132" t="str">
        <f ca="1">IFERROR(IF(0=LEN(ReferenceData!$P$132),"",ReferenceData!$P$132),"")</f>
        <v/>
      </c>
      <c r="Q132" t="str">
        <f ca="1">IFERROR(IF(0=LEN(ReferenceData!$Q$132),"",ReferenceData!$Q$132),"")</f>
        <v/>
      </c>
      <c r="R132" t="str">
        <f ca="1">IFERROR(IF(0=LEN(ReferenceData!$R$132),"",ReferenceData!$R$132),"")</f>
        <v/>
      </c>
      <c r="S132" t="str">
        <f ca="1">IFERROR(IF(0=LEN(ReferenceData!$S$132),"",ReferenceData!$S$132),"")</f>
        <v/>
      </c>
      <c r="T132" t="str">
        <f ca="1">IFERROR(IF(0=LEN(ReferenceData!$T$132),"",ReferenceData!$T$132),"")</f>
        <v/>
      </c>
      <c r="U132" t="str">
        <f ca="1">IFERROR(IF(0=LEN(ReferenceData!$U$132),"",ReferenceData!$U$132),"")</f>
        <v/>
      </c>
      <c r="V132" t="str">
        <f ca="1">IFERROR(IF(0=LEN(ReferenceData!$V$132),"",ReferenceData!$V$132),"")</f>
        <v/>
      </c>
      <c r="W132" t="str">
        <f ca="1">IFERROR(IF(0=LEN(ReferenceData!$W$132),"",ReferenceData!$W$132),"")</f>
        <v/>
      </c>
      <c r="X132" t="str">
        <f ca="1">IFERROR(IF(0=LEN(ReferenceData!$X$132),"",ReferenceData!$X$132),"")</f>
        <v/>
      </c>
      <c r="Y132" t="str">
        <f ca="1">IFERROR(IF(0=LEN(ReferenceData!$Y$132),"",ReferenceData!$Y$132),"")</f>
        <v/>
      </c>
      <c r="Z132" t="str">
        <f ca="1">IFERROR(IF(0=LEN(ReferenceData!$Z$132),"",ReferenceData!$Z$132),"")</f>
        <v/>
      </c>
      <c r="AA132" t="str">
        <f ca="1">IFERROR(IF(0=LEN(ReferenceData!$AA$132),"",ReferenceData!$AA$132),"")</f>
        <v/>
      </c>
      <c r="AB132" t="str">
        <f ca="1">IFERROR(IF(0=LEN(ReferenceData!$AB$132),"",ReferenceData!$AB$132),"")</f>
        <v/>
      </c>
      <c r="AC132" t="str">
        <f ca="1">IFERROR(IF(0=LEN(ReferenceData!$AC$132),"",ReferenceData!$AC$132),"")</f>
        <v/>
      </c>
      <c r="AD132" t="str">
        <f ca="1">IFERROR(IF(0=LEN(ReferenceData!$AD$132),"",ReferenceData!$AD$132),"")</f>
        <v/>
      </c>
      <c r="AE132" t="str">
        <f ca="1">IFERROR(IF(0=LEN(ReferenceData!$AE$132),"",ReferenceData!$AE$132),"")</f>
        <v/>
      </c>
      <c r="AF132" t="str">
        <f ca="1">IFERROR(IF(0=LEN(ReferenceData!$AF$132),"",ReferenceData!$AF$132),"")</f>
        <v/>
      </c>
      <c r="AG132" t="str">
        <f ca="1">IFERROR(IF(0=LEN(ReferenceData!$AG$132),"",ReferenceData!$AG$132),"")</f>
        <v/>
      </c>
      <c r="AH132" t="str">
        <f ca="1">IFERROR(IF(0=LEN(ReferenceData!$AH$132),"",ReferenceData!$AH$132),"")</f>
        <v/>
      </c>
      <c r="AI132" t="str">
        <f ca="1">IFERROR(IF(0=LEN(ReferenceData!$AI$132),"",ReferenceData!$AI$132),"")</f>
        <v/>
      </c>
      <c r="AJ132" t="str">
        <f ca="1">IFERROR(IF(0=LEN(ReferenceData!$AJ$132),"",ReferenceData!$AJ$132),"")</f>
        <v/>
      </c>
      <c r="AK132" t="str">
        <f ca="1">IFERROR(IF(0=LEN(ReferenceData!$AK$132),"",ReferenceData!$AK$132),"")</f>
        <v/>
      </c>
      <c r="AL132" t="str">
        <f ca="1">IFERROR(IF(0=LEN(ReferenceData!$AL$132),"",ReferenceData!$AL$132),"")</f>
        <v/>
      </c>
      <c r="AM132" t="str">
        <f ca="1">IFERROR(IF(0=LEN(ReferenceData!$AM$132),"",ReferenceData!$AM$132),"")</f>
        <v/>
      </c>
      <c r="AN132" t="str">
        <f ca="1">IFERROR(IF(0=LEN(ReferenceData!$AN$132),"",ReferenceData!$AN$132),"")</f>
        <v/>
      </c>
      <c r="AO132" t="str">
        <f ca="1">IFERROR(IF(0=LEN(ReferenceData!$AO$132),"",ReferenceData!$AO$132),"")</f>
        <v/>
      </c>
      <c r="AP132" t="str">
        <f ca="1">IFERROR(IF(0=LEN(ReferenceData!$AP$132),"",ReferenceData!$AP$132),"")</f>
        <v/>
      </c>
      <c r="AQ132" t="str">
        <f ca="1">IFERROR(IF(0=LEN(ReferenceData!$AQ$132),"",ReferenceData!$AQ$132),"")</f>
        <v/>
      </c>
      <c r="AR132" t="str">
        <f ca="1">IFERROR(IF(0=LEN(ReferenceData!$AR$132),"",ReferenceData!$AR$132),"")</f>
        <v/>
      </c>
      <c r="AS132" t="str">
        <f ca="1">IFERROR(IF(0=LEN(ReferenceData!$AS$132),"",ReferenceData!$AS$132),"")</f>
        <v/>
      </c>
      <c r="AT132" t="str">
        <f ca="1">IFERROR(IF(0=LEN(ReferenceData!$AT$132),"",ReferenceData!$AT$132),"")</f>
        <v/>
      </c>
      <c r="AU132" t="str">
        <f ca="1">IFERROR(IF(0=LEN(ReferenceData!$AU$132),"",ReferenceData!$AU$132),"")</f>
        <v/>
      </c>
      <c r="AV132" t="str">
        <f ca="1">IFERROR(IF(0=LEN(ReferenceData!$AV$132),"",ReferenceData!$AV$132),"")</f>
        <v/>
      </c>
      <c r="AW132" t="str">
        <f ca="1">IFERROR(IF(0=LEN(ReferenceData!$AW$132),"",ReferenceData!$AW$132),"")</f>
        <v/>
      </c>
      <c r="AX132" t="str">
        <f ca="1">IFERROR(IF(0=LEN(ReferenceData!$AX$132),"",ReferenceData!$AX$132),"")</f>
        <v/>
      </c>
      <c r="AY132" t="str">
        <f ca="1">IFERROR(IF(0=LEN(ReferenceData!$AY$132),"",ReferenceData!$AY$132),"")</f>
        <v/>
      </c>
      <c r="AZ132" t="str">
        <f ca="1">IFERROR(IF(0=LEN(ReferenceData!$AZ$132),"",ReferenceData!$AZ$132),"")</f>
        <v/>
      </c>
      <c r="BA132" t="str">
        <f ca="1">IFERROR(IF(0=LEN(ReferenceData!$BA$132),"",ReferenceData!$BA$132),"")</f>
        <v/>
      </c>
      <c r="BB132" t="str">
        <f ca="1">IFERROR(IF(0=LEN(ReferenceData!$BB$132),"",ReferenceData!$BB$132),"")</f>
        <v/>
      </c>
      <c r="BC132" t="str">
        <f ca="1">IFERROR(IF(0=LEN(ReferenceData!$BC$132),"",ReferenceData!$BC$132),"")</f>
        <v/>
      </c>
      <c r="BD132" t="str">
        <f ca="1">IFERROR(IF(0=LEN(ReferenceData!$BD$132),"",ReferenceData!$BD$132),"")</f>
        <v/>
      </c>
      <c r="BE132" t="str">
        <f ca="1">IFERROR(IF(0=LEN(ReferenceData!$BE$132),"",ReferenceData!$BE$132),"")</f>
        <v/>
      </c>
      <c r="BF132" t="str">
        <f ca="1">IFERROR(IF(0=LEN(ReferenceData!$BF$132),"",ReferenceData!$BF$132),"")</f>
        <v/>
      </c>
      <c r="BG132" t="str">
        <f ca="1">IFERROR(IF(0=LEN(ReferenceData!$BG$132),"",ReferenceData!$BG$132),"")</f>
        <v/>
      </c>
      <c r="BH132" t="str">
        <f ca="1">IFERROR(IF(0=LEN(ReferenceData!$BH$132),"",ReferenceData!$BH$132),"")</f>
        <v/>
      </c>
      <c r="BI132" t="str">
        <f ca="1">IFERROR(IF(0=LEN(ReferenceData!$BI$132),"",ReferenceData!$BI$132),"")</f>
        <v/>
      </c>
      <c r="BJ132" t="str">
        <f ca="1">IFERROR(IF(0=LEN(ReferenceData!$BJ$132),"",ReferenceData!$BJ$132),"")</f>
        <v/>
      </c>
      <c r="BK132" t="str">
        <f ca="1">IFERROR(IF(0=LEN(ReferenceData!$BK$132),"",ReferenceData!$BK$132),"")</f>
        <v/>
      </c>
      <c r="BL132" t="str">
        <f ca="1">IFERROR(IF(0=LEN(ReferenceData!$BL$132),"",ReferenceData!$BL$132),"")</f>
        <v/>
      </c>
      <c r="BM132" t="str">
        <f ca="1">IFERROR(IF(0=LEN(ReferenceData!$BM$132),"",ReferenceData!$BM$132),"")</f>
        <v/>
      </c>
    </row>
    <row r="133" spans="1:65" x14ac:dyDescent="0.25">
      <c r="A133" t="str">
        <f>IFERROR(IF(0=LEN(ReferenceData!$A$133),"",ReferenceData!$A$133),"")</f>
        <v xml:space="preserve">            Recurring Operating Margin (%)</v>
      </c>
      <c r="B133" t="str">
        <f>IFERROR(IF(0=LEN(ReferenceData!$B$133),"",ReferenceData!$B$133),"")</f>
        <v>KER FP Equity</v>
      </c>
      <c r="C133" t="str">
        <f>IFERROR(IF(0=LEN(ReferenceData!$C$133),"",ReferenceData!$C$133),"")</f>
        <v/>
      </c>
      <c r="D133" t="str">
        <f>IFERROR(IF(0=LEN(ReferenceData!$D$133),"",ReferenceData!$D$133),"")</f>
        <v/>
      </c>
      <c r="E133" t="str">
        <f>IFERROR(IF(0=LEN(ReferenceData!$E$133),"",ReferenceData!$E$133),"")</f>
        <v>Expression</v>
      </c>
      <c r="F133" t="str">
        <f ca="1">IFERROR(IF(0=LEN(ReferenceData!$F$133),"",ReferenceData!$F$133),"")</f>
        <v/>
      </c>
      <c r="G133" t="str">
        <f ca="1">IFERROR(IF(0=LEN(ReferenceData!$G$133),"",ReferenceData!$G$133),"")</f>
        <v/>
      </c>
      <c r="H133" t="str">
        <f ca="1">IFERROR(IF(0=LEN(ReferenceData!$H$133),"",ReferenceData!$H$133),"")</f>
        <v/>
      </c>
      <c r="I133" t="str">
        <f ca="1">IFERROR(IF(0=LEN(ReferenceData!$I$133),"",ReferenceData!$I$133),"")</f>
        <v/>
      </c>
      <c r="J133" t="str">
        <f ca="1">IFERROR(IF(0=LEN(ReferenceData!$J$133),"",ReferenceData!$J$133),"")</f>
        <v/>
      </c>
      <c r="K133" t="str">
        <f ca="1">IFERROR(IF(0=LEN(ReferenceData!$K$133),"",ReferenceData!$K$133),"")</f>
        <v/>
      </c>
      <c r="L133" t="str">
        <f ca="1">IFERROR(IF(0=LEN(ReferenceData!$L$133),"",ReferenceData!$L$133),"")</f>
        <v/>
      </c>
      <c r="M133" t="str">
        <f ca="1">IFERROR(IF(0=LEN(ReferenceData!$M$133),"",ReferenceData!$M$133),"")</f>
        <v/>
      </c>
      <c r="N133" t="str">
        <f ca="1">IFERROR(IF(0=LEN(ReferenceData!$N$133),"",ReferenceData!$N$133),"")</f>
        <v/>
      </c>
      <c r="O133" t="str">
        <f ca="1">IFERROR(IF(0=LEN(ReferenceData!$O$133),"",ReferenceData!$O$133),"")</f>
        <v/>
      </c>
      <c r="P133" t="str">
        <f ca="1">IFERROR(IF(0=LEN(ReferenceData!$P$133),"",ReferenceData!$P$133),"")</f>
        <v/>
      </c>
      <c r="Q133" t="str">
        <f ca="1">IFERROR(IF(0=LEN(ReferenceData!$Q$133),"",ReferenceData!$Q$133),"")</f>
        <v/>
      </c>
      <c r="R133" t="str">
        <f ca="1">IFERROR(IF(0=LEN(ReferenceData!$R$133),"",ReferenceData!$R$133),"")</f>
        <v/>
      </c>
      <c r="S133" t="str">
        <f ca="1">IFERROR(IF(0=LEN(ReferenceData!$S$133),"",ReferenceData!$S$133),"")</f>
        <v/>
      </c>
      <c r="T133" t="str">
        <f ca="1">IFERROR(IF(0=LEN(ReferenceData!$T$133),"",ReferenceData!$T$133),"")</f>
        <v/>
      </c>
      <c r="U133" t="str">
        <f ca="1">IFERROR(IF(0=LEN(ReferenceData!$U$133),"",ReferenceData!$U$133),"")</f>
        <v/>
      </c>
      <c r="V133" t="str">
        <f ca="1">IFERROR(IF(0=LEN(ReferenceData!$V$133),"",ReferenceData!$V$133),"")</f>
        <v/>
      </c>
      <c r="W133" t="str">
        <f ca="1">IFERROR(IF(0=LEN(ReferenceData!$W$133),"",ReferenceData!$W$133),"")</f>
        <v/>
      </c>
      <c r="X133" t="str">
        <f ca="1">IFERROR(IF(0=LEN(ReferenceData!$X$133),"",ReferenceData!$X$133),"")</f>
        <v/>
      </c>
      <c r="Y133" t="str">
        <f ca="1">IFERROR(IF(0=LEN(ReferenceData!$Y$133),"",ReferenceData!$Y$133),"")</f>
        <v/>
      </c>
      <c r="Z133" t="str">
        <f ca="1">IFERROR(IF(0=LEN(ReferenceData!$Z$133),"",ReferenceData!$Z$133),"")</f>
        <v/>
      </c>
      <c r="AA133" t="str">
        <f ca="1">IFERROR(IF(0=LEN(ReferenceData!$AA$133),"",ReferenceData!$AA$133),"")</f>
        <v/>
      </c>
      <c r="AB133" t="str">
        <f ca="1">IFERROR(IF(0=LEN(ReferenceData!$AB$133),"",ReferenceData!$AB$133),"")</f>
        <v/>
      </c>
      <c r="AC133" t="str">
        <f ca="1">IFERROR(IF(0=LEN(ReferenceData!$AC$133),"",ReferenceData!$AC$133),"")</f>
        <v/>
      </c>
      <c r="AD133" t="str">
        <f ca="1">IFERROR(IF(0=LEN(ReferenceData!$AD$133),"",ReferenceData!$AD$133),"")</f>
        <v/>
      </c>
      <c r="AE133" t="str">
        <f ca="1">IFERROR(IF(0=LEN(ReferenceData!$AE$133),"",ReferenceData!$AE$133),"")</f>
        <v/>
      </c>
      <c r="AF133" t="str">
        <f ca="1">IFERROR(IF(0=LEN(ReferenceData!$AF$133),"",ReferenceData!$AF$133),"")</f>
        <v/>
      </c>
      <c r="AG133" t="str">
        <f ca="1">IFERROR(IF(0=LEN(ReferenceData!$AG$133),"",ReferenceData!$AG$133),"")</f>
        <v/>
      </c>
      <c r="AH133" t="str">
        <f ca="1">IFERROR(IF(0=LEN(ReferenceData!$AH$133),"",ReferenceData!$AH$133),"")</f>
        <v/>
      </c>
      <c r="AI133" t="str">
        <f ca="1">IFERROR(IF(0=LEN(ReferenceData!$AI$133),"",ReferenceData!$AI$133),"")</f>
        <v/>
      </c>
      <c r="AJ133" t="str">
        <f ca="1">IFERROR(IF(0=LEN(ReferenceData!$AJ$133),"",ReferenceData!$AJ$133),"")</f>
        <v/>
      </c>
      <c r="AK133" t="str">
        <f ca="1">IFERROR(IF(0=LEN(ReferenceData!$AK$133),"",ReferenceData!$AK$133),"")</f>
        <v/>
      </c>
      <c r="AL133" t="str">
        <f ca="1">IFERROR(IF(0=LEN(ReferenceData!$AL$133),"",ReferenceData!$AL$133),"")</f>
        <v/>
      </c>
      <c r="AM133" t="str">
        <f ca="1">IFERROR(IF(0=LEN(ReferenceData!$AM$133),"",ReferenceData!$AM$133),"")</f>
        <v/>
      </c>
      <c r="AN133" t="str">
        <f ca="1">IFERROR(IF(0=LEN(ReferenceData!$AN$133),"",ReferenceData!$AN$133),"")</f>
        <v/>
      </c>
      <c r="AO133" t="str">
        <f ca="1">IFERROR(IF(0=LEN(ReferenceData!$AO$133),"",ReferenceData!$AO$133),"")</f>
        <v/>
      </c>
      <c r="AP133" t="str">
        <f ca="1">IFERROR(IF(0=LEN(ReferenceData!$AP$133),"",ReferenceData!$AP$133),"")</f>
        <v/>
      </c>
      <c r="AQ133" t="str">
        <f ca="1">IFERROR(IF(0=LEN(ReferenceData!$AQ$133),"",ReferenceData!$AQ$133),"")</f>
        <v/>
      </c>
      <c r="AR133" t="str">
        <f ca="1">IFERROR(IF(0=LEN(ReferenceData!$AR$133),"",ReferenceData!$AR$133),"")</f>
        <v/>
      </c>
      <c r="AS133" t="str">
        <f ca="1">IFERROR(IF(0=LEN(ReferenceData!$AS$133),"",ReferenceData!$AS$133),"")</f>
        <v/>
      </c>
      <c r="AT133" t="str">
        <f ca="1">IFERROR(IF(0=LEN(ReferenceData!$AT$133),"",ReferenceData!$AT$133),"")</f>
        <v/>
      </c>
      <c r="AU133" t="str">
        <f ca="1">IFERROR(IF(0=LEN(ReferenceData!$AU$133),"",ReferenceData!$AU$133),"")</f>
        <v/>
      </c>
      <c r="AV133" t="str">
        <f ca="1">IFERROR(IF(0=LEN(ReferenceData!$AV$133),"",ReferenceData!$AV$133),"")</f>
        <v/>
      </c>
      <c r="AW133" t="str">
        <f ca="1">IFERROR(IF(0=LEN(ReferenceData!$AW$133),"",ReferenceData!$AW$133),"")</f>
        <v/>
      </c>
      <c r="AX133" t="str">
        <f ca="1">IFERROR(IF(0=LEN(ReferenceData!$AX$133),"",ReferenceData!$AX$133),"")</f>
        <v/>
      </c>
      <c r="AY133" t="str">
        <f ca="1">IFERROR(IF(0=LEN(ReferenceData!$AY$133),"",ReferenceData!$AY$133),"")</f>
        <v/>
      </c>
      <c r="AZ133" t="str">
        <f ca="1">IFERROR(IF(0=LEN(ReferenceData!$AZ$133),"",ReferenceData!$AZ$133),"")</f>
        <v/>
      </c>
      <c r="BA133" t="str">
        <f ca="1">IFERROR(IF(0=LEN(ReferenceData!$BA$133),"",ReferenceData!$BA$133),"")</f>
        <v/>
      </c>
      <c r="BB133" t="str">
        <f ca="1">IFERROR(IF(0=LEN(ReferenceData!$BB$133),"",ReferenceData!$BB$133),"")</f>
        <v/>
      </c>
      <c r="BC133" t="str">
        <f ca="1">IFERROR(IF(0=LEN(ReferenceData!$BC$133),"",ReferenceData!$BC$133),"")</f>
        <v/>
      </c>
      <c r="BD133" t="str">
        <f ca="1">IFERROR(IF(0=LEN(ReferenceData!$BD$133),"",ReferenceData!$BD$133),"")</f>
        <v/>
      </c>
      <c r="BE133" t="str">
        <f ca="1">IFERROR(IF(0=LEN(ReferenceData!$BE$133),"",ReferenceData!$BE$133),"")</f>
        <v/>
      </c>
      <c r="BF133" t="str">
        <f ca="1">IFERROR(IF(0=LEN(ReferenceData!$BF$133),"",ReferenceData!$BF$133),"")</f>
        <v/>
      </c>
      <c r="BG133" t="str">
        <f ca="1">IFERROR(IF(0=LEN(ReferenceData!$BG$133),"",ReferenceData!$BG$133),"")</f>
        <v/>
      </c>
      <c r="BH133" t="str">
        <f ca="1">IFERROR(IF(0=LEN(ReferenceData!$BH$133),"",ReferenceData!$BH$133),"")</f>
        <v/>
      </c>
      <c r="BI133" t="str">
        <f ca="1">IFERROR(IF(0=LEN(ReferenceData!$BI$133),"",ReferenceData!$BI$133),"")</f>
        <v/>
      </c>
      <c r="BJ133" t="str">
        <f ca="1">IFERROR(IF(0=LEN(ReferenceData!$BJ$133),"",ReferenceData!$BJ$133),"")</f>
        <v/>
      </c>
      <c r="BK133" t="str">
        <f ca="1">IFERROR(IF(0=LEN(ReferenceData!$BK$133),"",ReferenceData!$BK$133),"")</f>
        <v/>
      </c>
      <c r="BL133" t="str">
        <f ca="1">IFERROR(IF(0=LEN(ReferenceData!$BL$133),"",ReferenceData!$BL$133),"")</f>
        <v/>
      </c>
      <c r="BM133" t="str">
        <f ca="1">IFERROR(IF(0=LEN(ReferenceData!$BM$133),"",ReferenceData!$BM$133),"")</f>
        <v/>
      </c>
    </row>
    <row r="134" spans="1:65" x14ac:dyDescent="0.25">
      <c r="A134" t="str">
        <f>IFERROR(IF(0=LEN(ReferenceData!$A$134),"",ReferenceData!$A$134),"")</f>
        <v/>
      </c>
      <c r="B134" t="str">
        <f>IFERROR(IF(0=LEN(ReferenceData!$B$134),"",ReferenceData!$B$134),"")</f>
        <v/>
      </c>
      <c r="C134" t="str">
        <f>IFERROR(IF(0=LEN(ReferenceData!$C$134),"",ReferenceData!$C$134),"")</f>
        <v/>
      </c>
      <c r="D134" t="str">
        <f>IFERROR(IF(0=LEN(ReferenceData!$D$134),"",ReferenceData!$D$134),"")</f>
        <v/>
      </c>
      <c r="E134" t="str">
        <f>IFERROR(IF(0=LEN(ReferenceData!$E$134),"",ReferenceData!$E$134),"")</f>
        <v>Static</v>
      </c>
      <c r="F134" t="str">
        <f ca="1">IFERROR(IF(0=LEN(ReferenceData!$F$134),"",ReferenceData!$F$134),"")</f>
        <v/>
      </c>
      <c r="G134" t="str">
        <f ca="1">IFERROR(IF(0=LEN(ReferenceData!$G$134),"",ReferenceData!$G$134),"")</f>
        <v/>
      </c>
      <c r="H134" t="str">
        <f ca="1">IFERROR(IF(0=LEN(ReferenceData!$H$134),"",ReferenceData!$H$134),"")</f>
        <v/>
      </c>
      <c r="I134" t="str">
        <f ca="1">IFERROR(IF(0=LEN(ReferenceData!$I$134),"",ReferenceData!$I$134),"")</f>
        <v/>
      </c>
      <c r="J134" t="str">
        <f ca="1">IFERROR(IF(0=LEN(ReferenceData!$J$134),"",ReferenceData!$J$134),"")</f>
        <v/>
      </c>
      <c r="K134" t="str">
        <f ca="1">IFERROR(IF(0=LEN(ReferenceData!$K$134),"",ReferenceData!$K$134),"")</f>
        <v/>
      </c>
      <c r="L134" t="str">
        <f ca="1">IFERROR(IF(0=LEN(ReferenceData!$L$134),"",ReferenceData!$L$134),"")</f>
        <v/>
      </c>
      <c r="M134" t="str">
        <f ca="1">IFERROR(IF(0=LEN(ReferenceData!$M$134),"",ReferenceData!$M$134),"")</f>
        <v/>
      </c>
      <c r="N134" t="str">
        <f ca="1">IFERROR(IF(0=LEN(ReferenceData!$N$134),"",ReferenceData!$N$134),"")</f>
        <v/>
      </c>
      <c r="O134" t="str">
        <f ca="1">IFERROR(IF(0=LEN(ReferenceData!$O$134),"",ReferenceData!$O$134),"")</f>
        <v/>
      </c>
      <c r="P134" t="str">
        <f ca="1">IFERROR(IF(0=LEN(ReferenceData!$P$134),"",ReferenceData!$P$134),"")</f>
        <v/>
      </c>
      <c r="Q134" t="str">
        <f ca="1">IFERROR(IF(0=LEN(ReferenceData!$Q$134),"",ReferenceData!$Q$134),"")</f>
        <v/>
      </c>
      <c r="R134" t="str">
        <f ca="1">IFERROR(IF(0=LEN(ReferenceData!$R$134),"",ReferenceData!$R$134),"")</f>
        <v/>
      </c>
      <c r="S134" t="str">
        <f ca="1">IFERROR(IF(0=LEN(ReferenceData!$S$134),"",ReferenceData!$S$134),"")</f>
        <v/>
      </c>
      <c r="T134" t="str">
        <f ca="1">IFERROR(IF(0=LEN(ReferenceData!$T$134),"",ReferenceData!$T$134),"")</f>
        <v/>
      </c>
      <c r="U134" t="str">
        <f ca="1">IFERROR(IF(0=LEN(ReferenceData!$U$134),"",ReferenceData!$U$134),"")</f>
        <v/>
      </c>
      <c r="V134" t="str">
        <f ca="1">IFERROR(IF(0=LEN(ReferenceData!$V$134),"",ReferenceData!$V$134),"")</f>
        <v/>
      </c>
      <c r="W134" t="str">
        <f ca="1">IFERROR(IF(0=LEN(ReferenceData!$W$134),"",ReferenceData!$W$134),"")</f>
        <v/>
      </c>
      <c r="X134" t="str">
        <f ca="1">IFERROR(IF(0=LEN(ReferenceData!$X$134),"",ReferenceData!$X$134),"")</f>
        <v/>
      </c>
      <c r="Y134" t="str">
        <f ca="1">IFERROR(IF(0=LEN(ReferenceData!$Y$134),"",ReferenceData!$Y$134),"")</f>
        <v/>
      </c>
      <c r="Z134" t="str">
        <f ca="1">IFERROR(IF(0=LEN(ReferenceData!$Z$134),"",ReferenceData!$Z$134),"")</f>
        <v/>
      </c>
      <c r="AA134" t="str">
        <f ca="1">IFERROR(IF(0=LEN(ReferenceData!$AA$134),"",ReferenceData!$AA$134),"")</f>
        <v/>
      </c>
      <c r="AB134" t="str">
        <f ca="1">IFERROR(IF(0=LEN(ReferenceData!$AB$134),"",ReferenceData!$AB$134),"")</f>
        <v/>
      </c>
      <c r="AC134" t="str">
        <f ca="1">IFERROR(IF(0=LEN(ReferenceData!$AC$134),"",ReferenceData!$AC$134),"")</f>
        <v/>
      </c>
      <c r="AD134" t="str">
        <f ca="1">IFERROR(IF(0=LEN(ReferenceData!$AD$134),"",ReferenceData!$AD$134),"")</f>
        <v/>
      </c>
      <c r="AE134" t="str">
        <f ca="1">IFERROR(IF(0=LEN(ReferenceData!$AE$134),"",ReferenceData!$AE$134),"")</f>
        <v/>
      </c>
      <c r="AF134" t="str">
        <f ca="1">IFERROR(IF(0=LEN(ReferenceData!$AF$134),"",ReferenceData!$AF$134),"")</f>
        <v/>
      </c>
      <c r="AG134" t="str">
        <f ca="1">IFERROR(IF(0=LEN(ReferenceData!$AG$134),"",ReferenceData!$AG$134),"")</f>
        <v/>
      </c>
      <c r="AH134" t="str">
        <f ca="1">IFERROR(IF(0=LEN(ReferenceData!$AH$134),"",ReferenceData!$AH$134),"")</f>
        <v/>
      </c>
      <c r="AI134" t="str">
        <f ca="1">IFERROR(IF(0=LEN(ReferenceData!$AI$134),"",ReferenceData!$AI$134),"")</f>
        <v/>
      </c>
      <c r="AJ134" t="str">
        <f ca="1">IFERROR(IF(0=LEN(ReferenceData!$AJ$134),"",ReferenceData!$AJ$134),"")</f>
        <v/>
      </c>
      <c r="AK134" t="str">
        <f ca="1">IFERROR(IF(0=LEN(ReferenceData!$AK$134),"",ReferenceData!$AK$134),"")</f>
        <v/>
      </c>
      <c r="AL134" t="str">
        <f ca="1">IFERROR(IF(0=LEN(ReferenceData!$AL$134),"",ReferenceData!$AL$134),"")</f>
        <v/>
      </c>
      <c r="AM134" t="str">
        <f ca="1">IFERROR(IF(0=LEN(ReferenceData!$AM$134),"",ReferenceData!$AM$134),"")</f>
        <v/>
      </c>
      <c r="AN134" t="str">
        <f ca="1">IFERROR(IF(0=LEN(ReferenceData!$AN$134),"",ReferenceData!$AN$134),"")</f>
        <v/>
      </c>
      <c r="AO134" t="str">
        <f ca="1">IFERROR(IF(0=LEN(ReferenceData!$AO$134),"",ReferenceData!$AO$134),"")</f>
        <v/>
      </c>
      <c r="AP134" t="str">
        <f ca="1">IFERROR(IF(0=LEN(ReferenceData!$AP$134),"",ReferenceData!$AP$134),"")</f>
        <v/>
      </c>
      <c r="AQ134" t="str">
        <f ca="1">IFERROR(IF(0=LEN(ReferenceData!$AQ$134),"",ReferenceData!$AQ$134),"")</f>
        <v/>
      </c>
      <c r="AR134" t="str">
        <f ca="1">IFERROR(IF(0=LEN(ReferenceData!$AR$134),"",ReferenceData!$AR$134),"")</f>
        <v/>
      </c>
      <c r="AS134" t="str">
        <f ca="1">IFERROR(IF(0=LEN(ReferenceData!$AS$134),"",ReferenceData!$AS$134),"")</f>
        <v/>
      </c>
      <c r="AT134" t="str">
        <f ca="1">IFERROR(IF(0=LEN(ReferenceData!$AT$134),"",ReferenceData!$AT$134),"")</f>
        <v/>
      </c>
      <c r="AU134" t="str">
        <f ca="1">IFERROR(IF(0=LEN(ReferenceData!$AU$134),"",ReferenceData!$AU$134),"")</f>
        <v/>
      </c>
      <c r="AV134" t="str">
        <f ca="1">IFERROR(IF(0=LEN(ReferenceData!$AV$134),"",ReferenceData!$AV$134),"")</f>
        <v/>
      </c>
      <c r="AW134" t="str">
        <f ca="1">IFERROR(IF(0=LEN(ReferenceData!$AW$134),"",ReferenceData!$AW$134),"")</f>
        <v/>
      </c>
      <c r="AX134" t="str">
        <f ca="1">IFERROR(IF(0=LEN(ReferenceData!$AX$134),"",ReferenceData!$AX$134),"")</f>
        <v/>
      </c>
      <c r="AY134" t="str">
        <f ca="1">IFERROR(IF(0=LEN(ReferenceData!$AY$134),"",ReferenceData!$AY$134),"")</f>
        <v/>
      </c>
      <c r="AZ134" t="str">
        <f ca="1">IFERROR(IF(0=LEN(ReferenceData!$AZ$134),"",ReferenceData!$AZ$134),"")</f>
        <v/>
      </c>
      <c r="BA134" t="str">
        <f ca="1">IFERROR(IF(0=LEN(ReferenceData!$BA$134),"",ReferenceData!$BA$134),"")</f>
        <v/>
      </c>
      <c r="BB134" t="str">
        <f ca="1">IFERROR(IF(0=LEN(ReferenceData!$BB$134),"",ReferenceData!$BB$134),"")</f>
        <v/>
      </c>
      <c r="BC134" t="str">
        <f ca="1">IFERROR(IF(0=LEN(ReferenceData!$BC$134),"",ReferenceData!$BC$134),"")</f>
        <v/>
      </c>
      <c r="BD134" t="str">
        <f ca="1">IFERROR(IF(0=LEN(ReferenceData!$BD$134),"",ReferenceData!$BD$134),"")</f>
        <v/>
      </c>
      <c r="BE134" t="str">
        <f ca="1">IFERROR(IF(0=LEN(ReferenceData!$BE$134),"",ReferenceData!$BE$134),"")</f>
        <v/>
      </c>
      <c r="BF134" t="str">
        <f ca="1">IFERROR(IF(0=LEN(ReferenceData!$BF$134),"",ReferenceData!$BF$134),"")</f>
        <v/>
      </c>
      <c r="BG134" t="str">
        <f ca="1">IFERROR(IF(0=LEN(ReferenceData!$BG$134),"",ReferenceData!$BG$134),"")</f>
        <v/>
      </c>
      <c r="BH134" t="str">
        <f ca="1">IFERROR(IF(0=LEN(ReferenceData!$BH$134),"",ReferenceData!$BH$134),"")</f>
        <v/>
      </c>
      <c r="BI134" t="str">
        <f ca="1">IFERROR(IF(0=LEN(ReferenceData!$BI$134),"",ReferenceData!$BI$134),"")</f>
        <v/>
      </c>
      <c r="BJ134" t="str">
        <f ca="1">IFERROR(IF(0=LEN(ReferenceData!$BJ$134),"",ReferenceData!$BJ$134),"")</f>
        <v/>
      </c>
      <c r="BK134" t="str">
        <f ca="1">IFERROR(IF(0=LEN(ReferenceData!$BK$134),"",ReferenceData!$BK$134),"")</f>
        <v/>
      </c>
      <c r="BL134" t="str">
        <f ca="1">IFERROR(IF(0=LEN(ReferenceData!$BL$134),"",ReferenceData!$BL$134),"")</f>
        <v/>
      </c>
      <c r="BM134" t="str">
        <f ca="1">IFERROR(IF(0=LEN(ReferenceData!$BM$134),"",ReferenceData!$BM$134),"")</f>
        <v/>
      </c>
    </row>
    <row r="135" spans="1:65" x14ac:dyDescent="0.25">
      <c r="A135" t="str">
        <f>IFERROR(IF(0=LEN(ReferenceData!$A$135),"",ReferenceData!$A$135),"")</f>
        <v>Income Statement</v>
      </c>
      <c r="B135" t="str">
        <f>IFERROR(IF(0=LEN(ReferenceData!$B$135),"",ReferenceData!$B$135),"")</f>
        <v/>
      </c>
      <c r="C135" t="str">
        <f>IFERROR(IF(0=LEN(ReferenceData!$C$135),"",ReferenceData!$C$135),"")</f>
        <v/>
      </c>
      <c r="D135" t="str">
        <f>IFERROR(IF(0=LEN(ReferenceData!$D$135),"",ReferenceData!$D$135),"")</f>
        <v/>
      </c>
      <c r="E135" t="str">
        <f>IFERROR(IF(0=LEN(ReferenceData!$E$135),"",ReferenceData!$E$135),"")</f>
        <v>Heading</v>
      </c>
      <c r="F135" t="str">
        <f>IFERROR(IF(0=LEN(ReferenceData!$F$135),"",ReferenceData!$F$135),"")</f>
        <v/>
      </c>
      <c r="G135" t="str">
        <f>IFERROR(IF(0=LEN(ReferenceData!$G$135),"",ReferenceData!$G$135),"")</f>
        <v/>
      </c>
      <c r="H135" t="str">
        <f>IFERROR(IF(0=LEN(ReferenceData!$H$135),"",ReferenceData!$H$135),"")</f>
        <v/>
      </c>
      <c r="I135" t="str">
        <f>IFERROR(IF(0=LEN(ReferenceData!$I$135),"",ReferenceData!$I$135),"")</f>
        <v/>
      </c>
      <c r="J135" t="str">
        <f>IFERROR(IF(0=LEN(ReferenceData!$J$135),"",ReferenceData!$J$135),"")</f>
        <v/>
      </c>
      <c r="K135" t="str">
        <f>IFERROR(IF(0=LEN(ReferenceData!$K$135),"",ReferenceData!$K$135),"")</f>
        <v/>
      </c>
      <c r="L135" t="str">
        <f>IFERROR(IF(0=LEN(ReferenceData!$L$135),"",ReferenceData!$L$135),"")</f>
        <v/>
      </c>
      <c r="M135" t="str">
        <f>IFERROR(IF(0=LEN(ReferenceData!$M$135),"",ReferenceData!$M$135),"")</f>
        <v/>
      </c>
      <c r="N135" t="str">
        <f>IFERROR(IF(0=LEN(ReferenceData!$N$135),"",ReferenceData!$N$135),"")</f>
        <v/>
      </c>
      <c r="O135" t="str">
        <f>IFERROR(IF(0=LEN(ReferenceData!$O$135),"",ReferenceData!$O$135),"")</f>
        <v/>
      </c>
      <c r="P135" t="str">
        <f>IFERROR(IF(0=LEN(ReferenceData!$P$135),"",ReferenceData!$P$135),"")</f>
        <v/>
      </c>
      <c r="Q135" t="str">
        <f>IFERROR(IF(0=LEN(ReferenceData!$Q$135),"",ReferenceData!$Q$135),"")</f>
        <v/>
      </c>
      <c r="R135" t="str">
        <f>IFERROR(IF(0=LEN(ReferenceData!$R$135),"",ReferenceData!$R$135),"")</f>
        <v/>
      </c>
      <c r="S135" t="str">
        <f>IFERROR(IF(0=LEN(ReferenceData!$S$135),"",ReferenceData!$S$135),"")</f>
        <v/>
      </c>
      <c r="T135" t="str">
        <f>IFERROR(IF(0=LEN(ReferenceData!$T$135),"",ReferenceData!$T$135),"")</f>
        <v/>
      </c>
      <c r="U135" t="str">
        <f>IFERROR(IF(0=LEN(ReferenceData!$U$135),"",ReferenceData!$U$135),"")</f>
        <v/>
      </c>
      <c r="V135" t="str">
        <f>IFERROR(IF(0=LEN(ReferenceData!$V$135),"",ReferenceData!$V$135),"")</f>
        <v/>
      </c>
      <c r="W135" t="str">
        <f>IFERROR(IF(0=LEN(ReferenceData!$W$135),"",ReferenceData!$W$135),"")</f>
        <v/>
      </c>
      <c r="X135" t="str">
        <f>IFERROR(IF(0=LEN(ReferenceData!$X$135),"",ReferenceData!$X$135),"")</f>
        <v/>
      </c>
      <c r="Y135" t="str">
        <f>IFERROR(IF(0=LEN(ReferenceData!$Y$135),"",ReferenceData!$Y$135),"")</f>
        <v/>
      </c>
      <c r="Z135" t="str">
        <f>IFERROR(IF(0=LEN(ReferenceData!$Z$135),"",ReferenceData!$Z$135),"")</f>
        <v/>
      </c>
      <c r="AA135" t="str">
        <f>IFERROR(IF(0=LEN(ReferenceData!$AA$135),"",ReferenceData!$AA$135),"")</f>
        <v/>
      </c>
      <c r="AB135" t="str">
        <f>IFERROR(IF(0=LEN(ReferenceData!$AB$135),"",ReferenceData!$AB$135),"")</f>
        <v/>
      </c>
      <c r="AC135" t="str">
        <f>IFERROR(IF(0=LEN(ReferenceData!$AC$135),"",ReferenceData!$AC$135),"")</f>
        <v/>
      </c>
      <c r="AD135" t="str">
        <f>IFERROR(IF(0=LEN(ReferenceData!$AD$135),"",ReferenceData!$AD$135),"")</f>
        <v/>
      </c>
      <c r="AE135" t="str">
        <f>IFERROR(IF(0=LEN(ReferenceData!$AE$135),"",ReferenceData!$AE$135),"")</f>
        <v/>
      </c>
      <c r="AF135" t="str">
        <f>IFERROR(IF(0=LEN(ReferenceData!$AF$135),"",ReferenceData!$AF$135),"")</f>
        <v/>
      </c>
      <c r="AG135" t="str">
        <f>IFERROR(IF(0=LEN(ReferenceData!$AG$135),"",ReferenceData!$AG$135),"")</f>
        <v/>
      </c>
      <c r="AH135" t="str">
        <f>IFERROR(IF(0=LEN(ReferenceData!$AH$135),"",ReferenceData!$AH$135),"")</f>
        <v/>
      </c>
      <c r="AI135" t="str">
        <f>IFERROR(IF(0=LEN(ReferenceData!$AI$135),"",ReferenceData!$AI$135),"")</f>
        <v/>
      </c>
      <c r="AJ135" t="str">
        <f>IFERROR(IF(0=LEN(ReferenceData!$AJ$135),"",ReferenceData!$AJ$135),"")</f>
        <v/>
      </c>
      <c r="AK135" t="str">
        <f>IFERROR(IF(0=LEN(ReferenceData!$AK$135),"",ReferenceData!$AK$135),"")</f>
        <v/>
      </c>
      <c r="AL135" t="str">
        <f>IFERROR(IF(0=LEN(ReferenceData!$AL$135),"",ReferenceData!$AL$135),"")</f>
        <v/>
      </c>
      <c r="AM135" t="str">
        <f>IFERROR(IF(0=LEN(ReferenceData!$AM$135),"",ReferenceData!$AM$135),"")</f>
        <v/>
      </c>
      <c r="AN135" t="str">
        <f>IFERROR(IF(0=LEN(ReferenceData!$AN$135),"",ReferenceData!$AN$135),"")</f>
        <v/>
      </c>
      <c r="AO135" t="str">
        <f>IFERROR(IF(0=LEN(ReferenceData!$AO$135),"",ReferenceData!$AO$135),"")</f>
        <v/>
      </c>
      <c r="AP135" t="str">
        <f>IFERROR(IF(0=LEN(ReferenceData!$AP$135),"",ReferenceData!$AP$135),"")</f>
        <v/>
      </c>
      <c r="AQ135" t="str">
        <f>IFERROR(IF(0=LEN(ReferenceData!$AQ$135),"",ReferenceData!$AQ$135),"")</f>
        <v/>
      </c>
      <c r="AR135" t="str">
        <f>IFERROR(IF(0=LEN(ReferenceData!$AR$135),"",ReferenceData!$AR$135),"")</f>
        <v/>
      </c>
      <c r="AS135" t="str">
        <f>IFERROR(IF(0=LEN(ReferenceData!$AS$135),"",ReferenceData!$AS$135),"")</f>
        <v/>
      </c>
      <c r="AT135" t="str">
        <f>IFERROR(IF(0=LEN(ReferenceData!$AT$135),"",ReferenceData!$AT$135),"")</f>
        <v/>
      </c>
      <c r="AU135" t="str">
        <f>IFERROR(IF(0=LEN(ReferenceData!$AU$135),"",ReferenceData!$AU$135),"")</f>
        <v/>
      </c>
      <c r="AV135" t="str">
        <f>IFERROR(IF(0=LEN(ReferenceData!$AV$135),"",ReferenceData!$AV$135),"")</f>
        <v/>
      </c>
      <c r="AW135" t="str">
        <f>IFERROR(IF(0=LEN(ReferenceData!$AW$135),"",ReferenceData!$AW$135),"")</f>
        <v/>
      </c>
      <c r="AX135" t="str">
        <f>IFERROR(IF(0=LEN(ReferenceData!$AX$135),"",ReferenceData!$AX$135),"")</f>
        <v/>
      </c>
      <c r="AY135" t="str">
        <f>IFERROR(IF(0=LEN(ReferenceData!$AY$135),"",ReferenceData!$AY$135),"")</f>
        <v/>
      </c>
      <c r="AZ135" t="str">
        <f>IFERROR(IF(0=LEN(ReferenceData!$AZ$135),"",ReferenceData!$AZ$135),"")</f>
        <v/>
      </c>
      <c r="BA135" t="str">
        <f>IFERROR(IF(0=LEN(ReferenceData!$BA$135),"",ReferenceData!$BA$135),"")</f>
        <v/>
      </c>
      <c r="BB135" t="str">
        <f>IFERROR(IF(0=LEN(ReferenceData!$BB$135),"",ReferenceData!$BB$135),"")</f>
        <v/>
      </c>
      <c r="BC135" t="str">
        <f>IFERROR(IF(0=LEN(ReferenceData!$BC$135),"",ReferenceData!$BC$135),"")</f>
        <v/>
      </c>
      <c r="BD135" t="str">
        <f>IFERROR(IF(0=LEN(ReferenceData!$BD$135),"",ReferenceData!$BD$135),"")</f>
        <v/>
      </c>
      <c r="BE135" t="str">
        <f>IFERROR(IF(0=LEN(ReferenceData!$BE$135),"",ReferenceData!$BE$135),"")</f>
        <v/>
      </c>
      <c r="BF135" t="str">
        <f>IFERROR(IF(0=LEN(ReferenceData!$BF$135),"",ReferenceData!$BF$135),"")</f>
        <v/>
      </c>
      <c r="BG135" t="str">
        <f>IFERROR(IF(0=LEN(ReferenceData!$BG$135),"",ReferenceData!$BG$135),"")</f>
        <v/>
      </c>
      <c r="BH135" t="str">
        <f>IFERROR(IF(0=LEN(ReferenceData!$BH$135),"",ReferenceData!$BH$135),"")</f>
        <v/>
      </c>
      <c r="BI135" t="str">
        <f>IFERROR(IF(0=LEN(ReferenceData!$BI$135),"",ReferenceData!$BI$135),"")</f>
        <v/>
      </c>
      <c r="BJ135" t="str">
        <f>IFERROR(IF(0=LEN(ReferenceData!$BJ$135),"",ReferenceData!$BJ$135),"")</f>
        <v/>
      </c>
      <c r="BK135" t="str">
        <f>IFERROR(IF(0=LEN(ReferenceData!$BK$135),"",ReferenceData!$BK$135),"")</f>
        <v/>
      </c>
      <c r="BL135" t="str">
        <f>IFERROR(IF(0=LEN(ReferenceData!$BL$135),"",ReferenceData!$BL$135),"")</f>
        <v/>
      </c>
      <c r="BM135" t="str">
        <f>IFERROR(IF(0=LEN(ReferenceData!$BM$135),"",ReferenceData!$BM$135),"")</f>
        <v/>
      </c>
    </row>
    <row r="136" spans="1:65" x14ac:dyDescent="0.25">
      <c r="A136" t="str">
        <f>IFERROR(IF(0=LEN(ReferenceData!$A$136),"",ReferenceData!$A$136),"")</f>
        <v xml:space="preserve">    </v>
      </c>
      <c r="B136" t="str">
        <f>IFERROR(IF(0=LEN(ReferenceData!$B$136),"",ReferenceData!$B$136),"")</f>
        <v/>
      </c>
      <c r="C136" t="str">
        <f>IFERROR(IF(0=LEN(ReferenceData!$C$136),"",ReferenceData!$C$136),"")</f>
        <v/>
      </c>
      <c r="D136" t="str">
        <f>IFERROR(IF(0=LEN(ReferenceData!$D$136),"",ReferenceData!$D$136),"")</f>
        <v/>
      </c>
      <c r="E136" t="str">
        <f>IFERROR(IF(0=LEN(ReferenceData!$E$136),"",ReferenceData!$E$136),"")</f>
        <v>Static</v>
      </c>
      <c r="F136" t="str">
        <f ca="1">IFERROR(IF(0=LEN(ReferenceData!$F$136),"",ReferenceData!$F$136),"")</f>
        <v/>
      </c>
      <c r="G136" t="str">
        <f ca="1">IFERROR(IF(0=LEN(ReferenceData!$G$136),"",ReferenceData!$G$136),"")</f>
        <v/>
      </c>
      <c r="H136" t="str">
        <f ca="1">IFERROR(IF(0=LEN(ReferenceData!$H$136),"",ReferenceData!$H$136),"")</f>
        <v/>
      </c>
      <c r="I136" t="str">
        <f ca="1">IFERROR(IF(0=LEN(ReferenceData!$I$136),"",ReferenceData!$I$136),"")</f>
        <v/>
      </c>
      <c r="J136" t="str">
        <f ca="1">IFERROR(IF(0=LEN(ReferenceData!$J$136),"",ReferenceData!$J$136),"")</f>
        <v/>
      </c>
      <c r="K136" t="str">
        <f ca="1">IFERROR(IF(0=LEN(ReferenceData!$K$136),"",ReferenceData!$K$136),"")</f>
        <v/>
      </c>
      <c r="L136" t="str">
        <f ca="1">IFERROR(IF(0=LEN(ReferenceData!$L$136),"",ReferenceData!$L$136),"")</f>
        <v/>
      </c>
      <c r="M136" t="str">
        <f ca="1">IFERROR(IF(0=LEN(ReferenceData!$M$136),"",ReferenceData!$M$136),"")</f>
        <v/>
      </c>
      <c r="N136" t="str">
        <f ca="1">IFERROR(IF(0=LEN(ReferenceData!$N$136),"",ReferenceData!$N$136),"")</f>
        <v/>
      </c>
      <c r="O136" t="str">
        <f ca="1">IFERROR(IF(0=LEN(ReferenceData!$O$136),"",ReferenceData!$O$136),"")</f>
        <v/>
      </c>
      <c r="P136" t="str">
        <f ca="1">IFERROR(IF(0=LEN(ReferenceData!$P$136),"",ReferenceData!$P$136),"")</f>
        <v/>
      </c>
      <c r="Q136" t="str">
        <f ca="1">IFERROR(IF(0=LEN(ReferenceData!$Q$136),"",ReferenceData!$Q$136),"")</f>
        <v/>
      </c>
      <c r="R136" t="str">
        <f ca="1">IFERROR(IF(0=LEN(ReferenceData!$R$136),"",ReferenceData!$R$136),"")</f>
        <v/>
      </c>
      <c r="S136" t="str">
        <f ca="1">IFERROR(IF(0=LEN(ReferenceData!$S$136),"",ReferenceData!$S$136),"")</f>
        <v/>
      </c>
      <c r="T136" t="str">
        <f ca="1">IFERROR(IF(0=LEN(ReferenceData!$T$136),"",ReferenceData!$T$136),"")</f>
        <v/>
      </c>
      <c r="U136" t="str">
        <f ca="1">IFERROR(IF(0=LEN(ReferenceData!$U$136),"",ReferenceData!$U$136),"")</f>
        <v/>
      </c>
      <c r="V136" t="str">
        <f ca="1">IFERROR(IF(0=LEN(ReferenceData!$V$136),"",ReferenceData!$V$136),"")</f>
        <v/>
      </c>
      <c r="W136" t="str">
        <f ca="1">IFERROR(IF(0=LEN(ReferenceData!$W$136),"",ReferenceData!$W$136),"")</f>
        <v/>
      </c>
      <c r="X136" t="str">
        <f ca="1">IFERROR(IF(0=LEN(ReferenceData!$X$136),"",ReferenceData!$X$136),"")</f>
        <v/>
      </c>
      <c r="Y136" t="str">
        <f ca="1">IFERROR(IF(0=LEN(ReferenceData!$Y$136),"",ReferenceData!$Y$136),"")</f>
        <v/>
      </c>
      <c r="Z136" t="str">
        <f ca="1">IFERROR(IF(0=LEN(ReferenceData!$Z$136),"",ReferenceData!$Z$136),"")</f>
        <v/>
      </c>
      <c r="AA136" t="str">
        <f ca="1">IFERROR(IF(0=LEN(ReferenceData!$AA$136),"",ReferenceData!$AA$136),"")</f>
        <v/>
      </c>
      <c r="AB136" t="str">
        <f ca="1">IFERROR(IF(0=LEN(ReferenceData!$AB$136),"",ReferenceData!$AB$136),"")</f>
        <v/>
      </c>
      <c r="AC136" t="str">
        <f ca="1">IFERROR(IF(0=LEN(ReferenceData!$AC$136),"",ReferenceData!$AC$136),"")</f>
        <v/>
      </c>
      <c r="AD136" t="str">
        <f ca="1">IFERROR(IF(0=LEN(ReferenceData!$AD$136),"",ReferenceData!$AD$136),"")</f>
        <v/>
      </c>
      <c r="AE136" t="str">
        <f ca="1">IFERROR(IF(0=LEN(ReferenceData!$AE$136),"",ReferenceData!$AE$136),"")</f>
        <v/>
      </c>
      <c r="AF136" t="str">
        <f ca="1">IFERROR(IF(0=LEN(ReferenceData!$AF$136),"",ReferenceData!$AF$136),"")</f>
        <v/>
      </c>
      <c r="AG136" t="str">
        <f ca="1">IFERROR(IF(0=LEN(ReferenceData!$AG$136),"",ReferenceData!$AG$136),"")</f>
        <v/>
      </c>
      <c r="AH136" t="str">
        <f ca="1">IFERROR(IF(0=LEN(ReferenceData!$AH$136),"",ReferenceData!$AH$136),"")</f>
        <v/>
      </c>
      <c r="AI136" t="str">
        <f ca="1">IFERROR(IF(0=LEN(ReferenceData!$AI$136),"",ReferenceData!$AI$136),"")</f>
        <v/>
      </c>
      <c r="AJ136" t="str">
        <f ca="1">IFERROR(IF(0=LEN(ReferenceData!$AJ$136),"",ReferenceData!$AJ$136),"")</f>
        <v/>
      </c>
      <c r="AK136" t="str">
        <f ca="1">IFERROR(IF(0=LEN(ReferenceData!$AK$136),"",ReferenceData!$AK$136),"")</f>
        <v/>
      </c>
      <c r="AL136" t="str">
        <f ca="1">IFERROR(IF(0=LEN(ReferenceData!$AL$136),"",ReferenceData!$AL$136),"")</f>
        <v/>
      </c>
      <c r="AM136" t="str">
        <f ca="1">IFERROR(IF(0=LEN(ReferenceData!$AM$136),"",ReferenceData!$AM$136),"")</f>
        <v/>
      </c>
      <c r="AN136" t="str">
        <f ca="1">IFERROR(IF(0=LEN(ReferenceData!$AN$136),"",ReferenceData!$AN$136),"")</f>
        <v/>
      </c>
      <c r="AO136" t="str">
        <f ca="1">IFERROR(IF(0=LEN(ReferenceData!$AO$136),"",ReferenceData!$AO$136),"")</f>
        <v/>
      </c>
      <c r="AP136" t="str">
        <f ca="1">IFERROR(IF(0=LEN(ReferenceData!$AP$136),"",ReferenceData!$AP$136),"")</f>
        <v/>
      </c>
      <c r="AQ136" t="str">
        <f ca="1">IFERROR(IF(0=LEN(ReferenceData!$AQ$136),"",ReferenceData!$AQ$136),"")</f>
        <v/>
      </c>
      <c r="AR136" t="str">
        <f ca="1">IFERROR(IF(0=LEN(ReferenceData!$AR$136),"",ReferenceData!$AR$136),"")</f>
        <v/>
      </c>
      <c r="AS136" t="str">
        <f ca="1">IFERROR(IF(0=LEN(ReferenceData!$AS$136),"",ReferenceData!$AS$136),"")</f>
        <v/>
      </c>
      <c r="AT136" t="str">
        <f ca="1">IFERROR(IF(0=LEN(ReferenceData!$AT$136),"",ReferenceData!$AT$136),"")</f>
        <v/>
      </c>
      <c r="AU136" t="str">
        <f ca="1">IFERROR(IF(0=LEN(ReferenceData!$AU$136),"",ReferenceData!$AU$136),"")</f>
        <v/>
      </c>
      <c r="AV136" t="str">
        <f ca="1">IFERROR(IF(0=LEN(ReferenceData!$AV$136),"",ReferenceData!$AV$136),"")</f>
        <v/>
      </c>
      <c r="AW136" t="str">
        <f ca="1">IFERROR(IF(0=LEN(ReferenceData!$AW$136),"",ReferenceData!$AW$136),"")</f>
        <v/>
      </c>
      <c r="AX136" t="str">
        <f ca="1">IFERROR(IF(0=LEN(ReferenceData!$AX$136),"",ReferenceData!$AX$136),"")</f>
        <v/>
      </c>
      <c r="AY136" t="str">
        <f ca="1">IFERROR(IF(0=LEN(ReferenceData!$AY$136),"",ReferenceData!$AY$136),"")</f>
        <v/>
      </c>
      <c r="AZ136" t="str">
        <f ca="1">IFERROR(IF(0=LEN(ReferenceData!$AZ$136),"",ReferenceData!$AZ$136),"")</f>
        <v/>
      </c>
      <c r="BA136" t="str">
        <f ca="1">IFERROR(IF(0=LEN(ReferenceData!$BA$136),"",ReferenceData!$BA$136),"")</f>
        <v/>
      </c>
      <c r="BB136" t="str">
        <f ca="1">IFERROR(IF(0=LEN(ReferenceData!$BB$136),"",ReferenceData!$BB$136),"")</f>
        <v/>
      </c>
      <c r="BC136" t="str">
        <f ca="1">IFERROR(IF(0=LEN(ReferenceData!$BC$136),"",ReferenceData!$BC$136),"")</f>
        <v/>
      </c>
      <c r="BD136" t="str">
        <f ca="1">IFERROR(IF(0=LEN(ReferenceData!$BD$136),"",ReferenceData!$BD$136),"")</f>
        <v/>
      </c>
      <c r="BE136" t="str">
        <f ca="1">IFERROR(IF(0=LEN(ReferenceData!$BE$136),"",ReferenceData!$BE$136),"")</f>
        <v/>
      </c>
      <c r="BF136" t="str">
        <f ca="1">IFERROR(IF(0=LEN(ReferenceData!$BF$136),"",ReferenceData!$BF$136),"")</f>
        <v/>
      </c>
      <c r="BG136" t="str">
        <f ca="1">IFERROR(IF(0=LEN(ReferenceData!$BG$136),"",ReferenceData!$BG$136),"")</f>
        <v/>
      </c>
      <c r="BH136" t="str">
        <f ca="1">IFERROR(IF(0=LEN(ReferenceData!$BH$136),"",ReferenceData!$BH$136),"")</f>
        <v/>
      </c>
      <c r="BI136" t="str">
        <f ca="1">IFERROR(IF(0=LEN(ReferenceData!$BI$136),"",ReferenceData!$BI$136),"")</f>
        <v/>
      </c>
      <c r="BJ136" t="str">
        <f ca="1">IFERROR(IF(0=LEN(ReferenceData!$BJ$136),"",ReferenceData!$BJ$136),"")</f>
        <v/>
      </c>
      <c r="BK136" t="str">
        <f ca="1">IFERROR(IF(0=LEN(ReferenceData!$BK$136),"",ReferenceData!$BK$136),"")</f>
        <v/>
      </c>
      <c r="BL136" t="str">
        <f ca="1">IFERROR(IF(0=LEN(ReferenceData!$BL$136),"",ReferenceData!$BL$136),"")</f>
        <v/>
      </c>
      <c r="BM136" t="str">
        <f ca="1">IFERROR(IF(0=LEN(ReferenceData!$BM$136),"",ReferenceData!$BM$136),"")</f>
        <v/>
      </c>
    </row>
    <row r="137" spans="1:65" x14ac:dyDescent="0.25">
      <c r="A137" t="str">
        <f>IFERROR(IF(0=LEN(ReferenceData!$A$137),"",ReferenceData!$A$137),"")</f>
        <v xml:space="preserve">    Revenue</v>
      </c>
      <c r="B137" t="str">
        <f>IFERROR(IF(0=LEN(ReferenceData!$B$137),"",ReferenceData!$B$137),"")</f>
        <v>KER FP Equity</v>
      </c>
      <c r="C137" t="str">
        <f>IFERROR(IF(0=LEN(ReferenceData!$C$137),"",ReferenceData!$C$137),"")</f>
        <v/>
      </c>
      <c r="D137" t="str">
        <f>IFERROR(IF(0=LEN(ReferenceData!$D$137),"",ReferenceData!$D$137),"")</f>
        <v/>
      </c>
      <c r="E137" t="str">
        <f>IFERROR(IF(0=LEN(ReferenceData!$E$137),"",ReferenceData!$E$137),"")</f>
        <v>Expression</v>
      </c>
      <c r="F137" t="str">
        <f ca="1">IFERROR(IF(0=LEN(ReferenceData!$F$137),"",ReferenceData!$F$137),"")</f>
        <v/>
      </c>
      <c r="G137">
        <f ca="1">IFERROR(IF(0=LEN(ReferenceData!$G$137),"",ReferenceData!$G$137),"")</f>
        <v>4187.8</v>
      </c>
      <c r="H137">
        <f ca="1">IFERROR(IF(0=LEN(ReferenceData!$H$137),"",ReferenceData!$H$137),"")</f>
        <v>4157.2</v>
      </c>
      <c r="I137">
        <f ca="1">IFERROR(IF(0=LEN(ReferenceData!$I$137),"",ReferenceData!$I$137),"")</f>
        <v>3890</v>
      </c>
      <c r="J137">
        <f ca="1">IFERROR(IF(0=LEN(ReferenceData!$J$137),"",ReferenceData!$J$137),"")</f>
        <v>4004.2</v>
      </c>
      <c r="K137">
        <f ca="1">IFERROR(IF(0=LEN(ReferenceData!$K$137),"",ReferenceData!$K$137),"")</f>
        <v>3717.7</v>
      </c>
      <c r="L137">
        <f ca="1">IFERROR(IF(0=LEN(ReferenceData!$L$137),"",ReferenceData!$L$137),"")</f>
        <v>2175.1</v>
      </c>
      <c r="M137">
        <f ca="1">IFERROR(IF(0=LEN(ReferenceData!$M$137),"",ReferenceData!$M$137),"")</f>
        <v>3203.2</v>
      </c>
      <c r="N137">
        <f ca="1">IFERROR(IF(0=LEN(ReferenceData!$N$137),"",ReferenceData!$N$137),"")</f>
        <v>4360.5</v>
      </c>
      <c r="O137">
        <f ca="1">IFERROR(IF(0=LEN(ReferenceData!$O$137),"",ReferenceData!$O$137),"")</f>
        <v>3884.6</v>
      </c>
      <c r="P137">
        <f ca="1">IFERROR(IF(0=LEN(ReferenceData!$P$137),"",ReferenceData!$P$137),"")</f>
        <v>3853.1</v>
      </c>
      <c r="Q137">
        <f ca="1">IFERROR(IF(0=LEN(ReferenceData!$Q$137),"",ReferenceData!$Q$137),"")</f>
        <v>3785.3</v>
      </c>
      <c r="R137">
        <f ca="1">IFERROR(IF(0=LEN(ReferenceData!$R$137),"",ReferenceData!$R$137),"")</f>
        <v>3831.3</v>
      </c>
      <c r="S137">
        <f ca="1">IFERROR(IF(0=LEN(ReferenceData!$S$137),"",ReferenceData!$S$137),"")</f>
        <v>3402</v>
      </c>
      <c r="T137">
        <f ca="1">IFERROR(IF(0=LEN(ReferenceData!$T$137),"",ReferenceData!$T$137),"")</f>
        <v>3324.1</v>
      </c>
      <c r="U137">
        <f ca="1">IFERROR(IF(0=LEN(ReferenceData!$U$137),"",ReferenceData!$U$137),"")</f>
        <v>3107.8</v>
      </c>
      <c r="V137">
        <f ca="1">IFERROR(IF(0=LEN(ReferenceData!$V$137),"",ReferenceData!$V$137),"")</f>
        <v>4256.5</v>
      </c>
      <c r="W137">
        <f ca="1">IFERROR(IF(0=LEN(ReferenceData!$W$137),"",ReferenceData!$W$137),"")</f>
        <v>3925</v>
      </c>
      <c r="X137">
        <f ca="1">IFERROR(IF(0=LEN(ReferenceData!$X$137),"",ReferenceData!$X$137),"")</f>
        <v>3722.7</v>
      </c>
      <c r="Y137">
        <f ca="1">IFERROR(IF(0=LEN(ReferenceData!$Y$137),"",ReferenceData!$Y$137),"")</f>
        <v>3573.5</v>
      </c>
      <c r="Z137">
        <f ca="1">IFERROR(IF(0=LEN(ReferenceData!$Z$137),"",ReferenceData!$Z$137),"")</f>
        <v>3507.3</v>
      </c>
      <c r="AA137">
        <f ca="1">IFERROR(IF(0=LEN(ReferenceData!$AA$137),"",ReferenceData!$AA$137),"")</f>
        <v>3184.7</v>
      </c>
      <c r="AB137">
        <f ca="1">IFERROR(IF(0=LEN(ReferenceData!$AB$137),"",ReferenceData!$AB$137),"")</f>
        <v>2968.9</v>
      </c>
      <c r="AC137">
        <f ca="1">IFERROR(IF(0=LEN(ReferenceData!$AC$137),"",ReferenceData!$AC$137),"")</f>
        <v>2724</v>
      </c>
      <c r="AD137">
        <f ca="1">IFERROR(IF(0=LEN(ReferenceData!$AD$137),"",ReferenceData!$AD$137),"")</f>
        <v>3176.5</v>
      </c>
      <c r="AE137">
        <f ca="1">IFERROR(IF(0=LEN(ReferenceData!$AE$137),"",ReferenceData!$AE$137),"")</f>
        <v>2895.2</v>
      </c>
      <c r="AF137">
        <f ca="1">IFERROR(IF(0=LEN(ReferenceData!$AF$137),"",ReferenceData!$AF$137),"")</f>
        <v>2861.3</v>
      </c>
      <c r="AG137">
        <f ca="1">IFERROR(IF(0=LEN(ReferenceData!$AG$137),"",ReferenceData!$AG$137),"")</f>
        <v>2651</v>
      </c>
      <c r="AH137">
        <f ca="1">IFERROR(IF(0=LEN(ReferenceData!$AH$137),"",ReferenceData!$AH$137),"")</f>
        <v>2741.8</v>
      </c>
      <c r="AI137">
        <f ca="1">IFERROR(IF(0=LEN(ReferenceData!$AI$137),"",ReferenceData!$AI$137),"")</f>
        <v>2585.3000000000002</v>
      </c>
      <c r="AJ137">
        <f ca="1">IFERROR(IF(0=LEN(ReferenceData!$AJ$137),"",ReferenceData!$AJ$137),"")</f>
        <v>2349.1999999999998</v>
      </c>
      <c r="AK137">
        <f ca="1">IFERROR(IF(0=LEN(ReferenceData!$AK$137),"",ReferenceData!$AK$137),"")</f>
        <v>2398</v>
      </c>
      <c r="AL137">
        <f ca="1">IFERROR(IF(0=LEN(ReferenceData!$AL$137),"",ReferenceData!$AL$137),"")</f>
        <v>2547</v>
      </c>
      <c r="AM137">
        <f ca="1">IFERROR(IF(0=LEN(ReferenceData!$AM$137),"",ReferenceData!$AM$137),"")</f>
        <v>2523</v>
      </c>
      <c r="AN137">
        <f ca="1">IFERROR(IF(0=LEN(ReferenceData!$AN$137),"",ReferenceData!$AN$137),"")</f>
        <v>2308</v>
      </c>
      <c r="AO137">
        <f ca="1">IFERROR(IF(0=LEN(ReferenceData!$AO$137),"",ReferenceData!$AO$137),"")</f>
        <v>2370.3000000000002</v>
      </c>
      <c r="AP137">
        <f ca="1">IFERROR(IF(0=LEN(ReferenceData!$AP$137),"",ReferenceData!$AP$137),"")</f>
        <v>2562.1999999999998</v>
      </c>
      <c r="AQ137">
        <f ca="1">IFERROR(IF(0=LEN(ReferenceData!$AQ$137),"",ReferenceData!$AQ$137),"")</f>
        <v>2560.4</v>
      </c>
      <c r="AR137">
        <f ca="1">IFERROR(IF(0=LEN(ReferenceData!$AR$137),"",ReferenceData!$AR$137),"")</f>
        <v>2271.8000000000002</v>
      </c>
      <c r="AS137">
        <f ca="1">IFERROR(IF(0=LEN(ReferenceData!$AS$137),"",ReferenceData!$AS$137),"")</f>
        <v>2341.9</v>
      </c>
      <c r="AT137">
        <f ca="1">IFERROR(IF(0=LEN(ReferenceData!$AT$137),"",ReferenceData!$AT$137),"")</f>
        <v>2008.8</v>
      </c>
      <c r="AU137">
        <f ca="1">IFERROR(IF(0=LEN(ReferenceData!$AU$137),"",ReferenceData!$AU$137),"")</f>
        <v>3857</v>
      </c>
      <c r="AV137">
        <f ca="1">IFERROR(IF(0=LEN(ReferenceData!$AV$137),"",ReferenceData!$AV$137),"")</f>
        <v>2650.2</v>
      </c>
      <c r="AW137">
        <f ca="1">IFERROR(IF(0=LEN(ReferenceData!$AW$137),"",ReferenceData!$AW$137),"")</f>
        <v>2821.8</v>
      </c>
      <c r="AX137">
        <f ca="1">IFERROR(IF(0=LEN(ReferenceData!$AX$137),"",ReferenceData!$AX$137),"")</f>
        <v>4245.8999999999996</v>
      </c>
      <c r="AY137">
        <f ca="1">IFERROR(IF(0=LEN(ReferenceData!$AY$137),"",ReferenceData!$AY$137),"")</f>
        <v>3570.2</v>
      </c>
      <c r="AZ137">
        <f ca="1">IFERROR(IF(0=LEN(ReferenceData!$AZ$137),"",ReferenceData!$AZ$137),"")</f>
        <v>3325.9</v>
      </c>
      <c r="BA137">
        <f ca="1">IFERROR(IF(0=LEN(ReferenceData!$BA$137),"",ReferenceData!$BA$137),"")</f>
        <v>3399.6</v>
      </c>
      <c r="BB137">
        <f ca="1">IFERROR(IF(0=LEN(ReferenceData!$BB$137),"",ReferenceData!$BB$137),"")</f>
        <v>3873.2</v>
      </c>
      <c r="BC137">
        <f ca="1">IFERROR(IF(0=LEN(ReferenceData!$BC$137),"",ReferenceData!$BC$137),"")</f>
        <v>4563.2</v>
      </c>
      <c r="BD137">
        <f ca="1">IFERROR(IF(0=LEN(ReferenceData!$BD$137),"",ReferenceData!$BD$137),"")</f>
        <v>3770.7</v>
      </c>
      <c r="BE137">
        <f ca="1">IFERROR(IF(0=LEN(ReferenceData!$BE$137),"",ReferenceData!$BE$137),"")</f>
        <v>4777</v>
      </c>
      <c r="BF137" t="str">
        <f ca="1">IFERROR(IF(0=LEN(ReferenceData!$BF$137),"",ReferenceData!$BF$137),"")</f>
        <v/>
      </c>
      <c r="BG137" t="str">
        <f ca="1">IFERROR(IF(0=LEN(ReferenceData!$BG$137),"",ReferenceData!$BG$137),"")</f>
        <v/>
      </c>
      <c r="BH137" t="str">
        <f ca="1">IFERROR(IF(0=LEN(ReferenceData!$BH$137),"",ReferenceData!$BH$137),"")</f>
        <v/>
      </c>
      <c r="BI137" t="str">
        <f ca="1">IFERROR(IF(0=LEN(ReferenceData!$BI$137),"",ReferenceData!$BI$137),"")</f>
        <v/>
      </c>
      <c r="BJ137" t="str">
        <f ca="1">IFERROR(IF(0=LEN(ReferenceData!$BJ$137),"",ReferenceData!$BJ$137),"")</f>
        <v/>
      </c>
      <c r="BK137" t="str">
        <f ca="1">IFERROR(IF(0=LEN(ReferenceData!$BK$137),"",ReferenceData!$BK$137),"")</f>
        <v/>
      </c>
      <c r="BL137" t="str">
        <f ca="1">IFERROR(IF(0=LEN(ReferenceData!$BL$137),"",ReferenceData!$BL$137),"")</f>
        <v/>
      </c>
      <c r="BM137" t="str">
        <f ca="1">IFERROR(IF(0=LEN(ReferenceData!$BM$137),"",ReferenceData!$BM$137),"")</f>
        <v/>
      </c>
    </row>
    <row r="138" spans="1:65" x14ac:dyDescent="0.25">
      <c r="A138" t="str">
        <f>IFERROR(IF(0=LEN(ReferenceData!$A$138),"",ReferenceData!$A$138),"")</f>
        <v xml:space="preserve">        Revenue (As Reported)</v>
      </c>
      <c r="B138" t="str">
        <f>IFERROR(IF(0=LEN(ReferenceData!$B$138),"",ReferenceData!$B$138),"")</f>
        <v>KER FP Equity</v>
      </c>
      <c r="C138" t="str">
        <f>IFERROR(IF(0=LEN(ReferenceData!$C$138),"",ReferenceData!$C$138),"")</f>
        <v>IS010</v>
      </c>
      <c r="D138" t="str">
        <f>IFERROR(IF(0=LEN(ReferenceData!$D$138),"",ReferenceData!$D$138),"")</f>
        <v>SALES_REV_TURN</v>
      </c>
      <c r="E138" t="str">
        <f>IFERROR(IF(0=LEN(ReferenceData!$E$138),"",ReferenceData!$E$138),"")</f>
        <v>Dynamic</v>
      </c>
      <c r="F138" t="str">
        <f ca="1">IFERROR(IF(0=LEN(ReferenceData!$F$138),"",ReferenceData!$F$138),"")</f>
        <v/>
      </c>
      <c r="G138">
        <f ca="1">IFERROR(IF(0=LEN(ReferenceData!$G$138),"",ReferenceData!$G$138),"")</f>
        <v>4187.8</v>
      </c>
      <c r="H138">
        <f ca="1">IFERROR(IF(0=LEN(ReferenceData!$H$138),"",ReferenceData!$H$138),"")</f>
        <v>4157.2</v>
      </c>
      <c r="I138">
        <f ca="1">IFERROR(IF(0=LEN(ReferenceData!$I$138),"",ReferenceData!$I$138),"")</f>
        <v>3890</v>
      </c>
      <c r="J138">
        <f ca="1">IFERROR(IF(0=LEN(ReferenceData!$J$138),"",ReferenceData!$J$138),"")</f>
        <v>4004.2</v>
      </c>
      <c r="K138">
        <f ca="1">IFERROR(IF(0=LEN(ReferenceData!$K$138),"",ReferenceData!$K$138),"")</f>
        <v>3717.7</v>
      </c>
      <c r="L138">
        <f ca="1">IFERROR(IF(0=LEN(ReferenceData!$L$138),"",ReferenceData!$L$138),"")</f>
        <v>2175.1</v>
      </c>
      <c r="M138">
        <f ca="1">IFERROR(IF(0=LEN(ReferenceData!$M$138),"",ReferenceData!$M$138),"")</f>
        <v>3203.2</v>
      </c>
      <c r="N138">
        <f ca="1">IFERROR(IF(0=LEN(ReferenceData!$N$138),"",ReferenceData!$N$138),"")</f>
        <v>4360.5</v>
      </c>
      <c r="O138">
        <f ca="1">IFERROR(IF(0=LEN(ReferenceData!$O$138),"",ReferenceData!$O$138),"")</f>
        <v>3884.6</v>
      </c>
      <c r="P138">
        <f ca="1">IFERROR(IF(0=LEN(ReferenceData!$P$138),"",ReferenceData!$P$138),"")</f>
        <v>3853.1</v>
      </c>
      <c r="Q138">
        <f ca="1">IFERROR(IF(0=LEN(ReferenceData!$Q$138),"",ReferenceData!$Q$138),"")</f>
        <v>3785.3</v>
      </c>
      <c r="R138">
        <f ca="1">IFERROR(IF(0=LEN(ReferenceData!$R$138),"",ReferenceData!$R$138),"")</f>
        <v>3829.4</v>
      </c>
      <c r="S138">
        <f ca="1">IFERROR(IF(0=LEN(ReferenceData!$S$138),"",ReferenceData!$S$138),"")</f>
        <v>3402</v>
      </c>
      <c r="T138">
        <f ca="1">IFERROR(IF(0=LEN(ReferenceData!$T$138),"",ReferenceData!$T$138),"")</f>
        <v>3326</v>
      </c>
      <c r="U138">
        <f ca="1">IFERROR(IF(0=LEN(ReferenceData!$U$138),"",ReferenceData!$U$138),"")</f>
        <v>3106.2</v>
      </c>
      <c r="V138">
        <f ca="1">IFERROR(IF(0=LEN(ReferenceData!$V$138),"",ReferenceData!$V$138),"")</f>
        <v>4256.5</v>
      </c>
      <c r="W138">
        <f ca="1">IFERROR(IF(0=LEN(ReferenceData!$W$138),"",ReferenceData!$W$138),"")</f>
        <v>2665.2</v>
      </c>
      <c r="X138">
        <f ca="1">IFERROR(IF(0=LEN(ReferenceData!$X$138),"",ReferenceData!$X$138),"")</f>
        <v>2627.6</v>
      </c>
      <c r="Y138">
        <f ca="1">IFERROR(IF(0=LEN(ReferenceData!$Y$138),"",ReferenceData!$Y$138),"")</f>
        <v>3573.5</v>
      </c>
      <c r="Z138">
        <f ca="1">IFERROR(IF(0=LEN(ReferenceData!$Z$138),"",ReferenceData!$Z$138),"")</f>
        <v>3507.3</v>
      </c>
      <c r="AA138">
        <f ca="1">IFERROR(IF(0=LEN(ReferenceData!$AA$138),"",ReferenceData!$AA$138),"")</f>
        <v>3184.7</v>
      </c>
      <c r="AB138">
        <f ca="1">IFERROR(IF(0=LEN(ReferenceData!$AB$138),"",ReferenceData!$AB$138),"")</f>
        <v>2969.1</v>
      </c>
      <c r="AC138">
        <f ca="1">IFERROR(IF(0=LEN(ReferenceData!$AC$138),"",ReferenceData!$AC$138),"")</f>
        <v>2723.8</v>
      </c>
      <c r="AD138">
        <f ca="1">IFERROR(IF(0=LEN(ReferenceData!$AD$138),"",ReferenceData!$AD$138),"")</f>
        <v>3176.5</v>
      </c>
      <c r="AE138">
        <f ca="1">IFERROR(IF(0=LEN(ReferenceData!$AE$138),"",ReferenceData!$AE$138),"")</f>
        <v>2895.2</v>
      </c>
      <c r="AF138">
        <f ca="1">IFERROR(IF(0=LEN(ReferenceData!$AF$138),"",ReferenceData!$AF$138),"")</f>
        <v>2861.3</v>
      </c>
      <c r="AG138">
        <f ca="1">IFERROR(IF(0=LEN(ReferenceData!$AG$138),"",ReferenceData!$AG$138),"")</f>
        <v>2651</v>
      </c>
      <c r="AH138">
        <f ca="1">IFERROR(IF(0=LEN(ReferenceData!$AH$138),"",ReferenceData!$AH$138),"")</f>
        <v>2741.8</v>
      </c>
      <c r="AI138">
        <f ca="1">IFERROR(IF(0=LEN(ReferenceData!$AI$138),"",ReferenceData!$AI$138),"")</f>
        <v>2585.3000000000002</v>
      </c>
      <c r="AJ138">
        <f ca="1">IFERROR(IF(0=LEN(ReferenceData!$AJ$138),"",ReferenceData!$AJ$138),"")</f>
        <v>2349.1999999999998</v>
      </c>
      <c r="AK138">
        <f ca="1">IFERROR(IF(0=LEN(ReferenceData!$AK$138),"",ReferenceData!$AK$138),"")</f>
        <v>2398</v>
      </c>
      <c r="AL138">
        <f ca="1">IFERROR(IF(0=LEN(ReferenceData!$AL$138),"",ReferenceData!$AL$138),"")</f>
        <v>2521.9</v>
      </c>
      <c r="AM138">
        <f ca="1">IFERROR(IF(0=LEN(ReferenceData!$AM$138),"",ReferenceData!$AM$138),"")</f>
        <v>2523</v>
      </c>
      <c r="AN138">
        <f ca="1">IFERROR(IF(0=LEN(ReferenceData!$AN$138),"",ReferenceData!$AN$138),"")</f>
        <v>2308</v>
      </c>
      <c r="AO138">
        <f ca="1">IFERROR(IF(0=LEN(ReferenceData!$AO$138),"",ReferenceData!$AO$138),"")</f>
        <v>2370.4</v>
      </c>
      <c r="AP138">
        <f ca="1">IFERROR(IF(0=LEN(ReferenceData!$AP$138),"",ReferenceData!$AP$138),"")</f>
        <v>2562.1999999999998</v>
      </c>
      <c r="AQ138">
        <f ca="1">IFERROR(IF(0=LEN(ReferenceData!$AQ$138),"",ReferenceData!$AQ$138),"")</f>
        <v>2560.4</v>
      </c>
      <c r="AR138">
        <f ca="1">IFERROR(IF(0=LEN(ReferenceData!$AR$138),"",ReferenceData!$AR$138),"")</f>
        <v>2271.8000000000002</v>
      </c>
      <c r="AS138">
        <f ca="1">IFERROR(IF(0=LEN(ReferenceData!$AS$138),"",ReferenceData!$AS$138),"")</f>
        <v>2341.9</v>
      </c>
      <c r="AT138">
        <f ca="1">IFERROR(IF(0=LEN(ReferenceData!$AT$138),"",ReferenceData!$AT$138),"")</f>
        <v>2008.8</v>
      </c>
      <c r="AU138">
        <f ca="1">IFERROR(IF(0=LEN(ReferenceData!$AU$138),"",ReferenceData!$AU$138),"")</f>
        <v>3856.9</v>
      </c>
      <c r="AV138">
        <f ca="1">IFERROR(IF(0=LEN(ReferenceData!$AV$138),"",ReferenceData!$AV$138),"")</f>
        <v>2650.2</v>
      </c>
      <c r="AW138">
        <f ca="1">IFERROR(IF(0=LEN(ReferenceData!$AW$138),"",ReferenceData!$AW$138),"")</f>
        <v>2821.8</v>
      </c>
      <c r="AX138">
        <f ca="1">IFERROR(IF(0=LEN(ReferenceData!$AX$138),"",ReferenceData!$AX$138),"")</f>
        <v>4245.8999999999996</v>
      </c>
      <c r="AY138">
        <f ca="1">IFERROR(IF(0=LEN(ReferenceData!$AY$138),"",ReferenceData!$AY$138),"")</f>
        <v>3570.2</v>
      </c>
      <c r="AZ138">
        <f ca="1">IFERROR(IF(0=LEN(ReferenceData!$AZ$138),"",ReferenceData!$AZ$138),"")</f>
        <v>4010</v>
      </c>
      <c r="BA138">
        <f ca="1">IFERROR(IF(0=LEN(ReferenceData!$BA$138),"",ReferenceData!$BA$138),"")</f>
        <v>3399.6</v>
      </c>
      <c r="BB138">
        <f ca="1">IFERROR(IF(0=LEN(ReferenceData!$BB$138),"",ReferenceData!$BB$138),"")</f>
        <v>4725.2</v>
      </c>
      <c r="BC138">
        <f ca="1">IFERROR(IF(0=LEN(ReferenceData!$BC$138),"",ReferenceData!$BC$138),"")</f>
        <v>4563.2001950000003</v>
      </c>
      <c r="BD138">
        <f ca="1">IFERROR(IF(0=LEN(ReferenceData!$BD$138),"",ReferenceData!$BD$138),"")</f>
        <v>4458.3</v>
      </c>
      <c r="BE138">
        <f ca="1">IFERROR(IF(0=LEN(ReferenceData!$BE$138),"",ReferenceData!$BE$138),"")</f>
        <v>4777</v>
      </c>
      <c r="BF138" t="str">
        <f ca="1">IFERROR(IF(0=LEN(ReferenceData!$BF$138),"",ReferenceData!$BF$138),"")</f>
        <v/>
      </c>
      <c r="BG138" t="str">
        <f ca="1">IFERROR(IF(0=LEN(ReferenceData!$BG$138),"",ReferenceData!$BG$138),"")</f>
        <v/>
      </c>
      <c r="BH138" t="str">
        <f ca="1">IFERROR(IF(0=LEN(ReferenceData!$BH$138),"",ReferenceData!$BH$138),"")</f>
        <v/>
      </c>
      <c r="BI138" t="str">
        <f ca="1">IFERROR(IF(0=LEN(ReferenceData!$BI$138),"",ReferenceData!$BI$138),"")</f>
        <v/>
      </c>
      <c r="BJ138" t="str">
        <f ca="1">IFERROR(IF(0=LEN(ReferenceData!$BJ$138),"",ReferenceData!$BJ$138),"")</f>
        <v/>
      </c>
      <c r="BK138" t="str">
        <f ca="1">IFERROR(IF(0=LEN(ReferenceData!$BK$138),"",ReferenceData!$BK$138),"")</f>
        <v/>
      </c>
      <c r="BL138" t="str">
        <f ca="1">IFERROR(IF(0=LEN(ReferenceData!$BL$138),"",ReferenceData!$BL$138),"")</f>
        <v/>
      </c>
      <c r="BM138" t="str">
        <f ca="1">IFERROR(IF(0=LEN(ReferenceData!$BM$138),"",ReferenceData!$BM$138),"")</f>
        <v/>
      </c>
    </row>
    <row r="139" spans="1:65" x14ac:dyDescent="0.25">
      <c r="A139" t="str">
        <f>IFERROR(IF(0=LEN(ReferenceData!$A$139),"",ReferenceData!$A$139),"")</f>
        <v xml:space="preserve">            Check</v>
      </c>
      <c r="B139" t="str">
        <f>IFERROR(IF(0=LEN(ReferenceData!$B$139),"",ReferenceData!$B$139),"")</f>
        <v>KER FP Equity</v>
      </c>
      <c r="C139" t="str">
        <f>IFERROR(IF(0=LEN(ReferenceData!$C$139),"",ReferenceData!$C$139),"")</f>
        <v/>
      </c>
      <c r="D139" t="str">
        <f>IFERROR(IF(0=LEN(ReferenceData!$D$139),"",ReferenceData!$D$139),"")</f>
        <v/>
      </c>
      <c r="E139" t="str">
        <f>IFERROR(IF(0=LEN(ReferenceData!$E$139),"",ReferenceData!$E$139),"")</f>
        <v>Expression</v>
      </c>
      <c r="F139" t="str">
        <f ca="1">IFERROR(IF(0=LEN(ReferenceData!$F$139),"",ReferenceData!$F$139),"")</f>
        <v/>
      </c>
      <c r="G139">
        <f ca="1">IFERROR(IF(0=LEN(ReferenceData!$G$139),"",ReferenceData!$G$139),"")</f>
        <v>0</v>
      </c>
      <c r="H139">
        <f ca="1">IFERROR(IF(0=LEN(ReferenceData!$H$139),"",ReferenceData!$H$139),"")</f>
        <v>0</v>
      </c>
      <c r="I139">
        <f ca="1">IFERROR(IF(0=LEN(ReferenceData!$I$139),"",ReferenceData!$I$139),"")</f>
        <v>0</v>
      </c>
      <c r="J139">
        <f ca="1">IFERROR(IF(0=LEN(ReferenceData!$J$139),"",ReferenceData!$J$139),"")</f>
        <v>0</v>
      </c>
      <c r="K139">
        <f ca="1">IFERROR(IF(0=LEN(ReferenceData!$K$139),"",ReferenceData!$K$139),"")</f>
        <v>0</v>
      </c>
      <c r="L139">
        <f ca="1">IFERROR(IF(0=LEN(ReferenceData!$L$139),"",ReferenceData!$L$139),"")</f>
        <v>0</v>
      </c>
      <c r="M139">
        <f ca="1">IFERROR(IF(0=LEN(ReferenceData!$M$139),"",ReferenceData!$M$139),"")</f>
        <v>0</v>
      </c>
      <c r="N139">
        <f ca="1">IFERROR(IF(0=LEN(ReferenceData!$N$139),"",ReferenceData!$N$139),"")</f>
        <v>0</v>
      </c>
      <c r="O139">
        <f ca="1">IFERROR(IF(0=LEN(ReferenceData!$O$139),"",ReferenceData!$O$139),"")</f>
        <v>0</v>
      </c>
      <c r="P139">
        <f ca="1">IFERROR(IF(0=LEN(ReferenceData!$P$139),"",ReferenceData!$P$139),"")</f>
        <v>0</v>
      </c>
      <c r="Q139">
        <f ca="1">IFERROR(IF(0=LEN(ReferenceData!$Q$139),"",ReferenceData!$Q$139),"")</f>
        <v>0</v>
      </c>
      <c r="R139">
        <f ca="1">IFERROR(IF(0=LEN(ReferenceData!$R$139),"",ReferenceData!$R$139),"")</f>
        <v>1.9</v>
      </c>
      <c r="S139">
        <f ca="1">IFERROR(IF(0=LEN(ReferenceData!$S$139),"",ReferenceData!$S$139),"")</f>
        <v>0</v>
      </c>
      <c r="T139">
        <f ca="1">IFERROR(IF(0=LEN(ReferenceData!$T$139),"",ReferenceData!$T$139),"")</f>
        <v>-1.9</v>
      </c>
      <c r="U139">
        <f ca="1">IFERROR(IF(0=LEN(ReferenceData!$U$139),"",ReferenceData!$U$139),"")</f>
        <v>1.6</v>
      </c>
      <c r="V139">
        <f ca="1">IFERROR(IF(0=LEN(ReferenceData!$V$139),"",ReferenceData!$V$139),"")</f>
        <v>0</v>
      </c>
      <c r="W139">
        <f ca="1">IFERROR(IF(0=LEN(ReferenceData!$W$139),"",ReferenceData!$W$139),"")</f>
        <v>1259.8</v>
      </c>
      <c r="X139">
        <f ca="1">IFERROR(IF(0=LEN(ReferenceData!$X$139),"",ReferenceData!$X$139),"")</f>
        <v>1095.0999999999999</v>
      </c>
      <c r="Y139">
        <f ca="1">IFERROR(IF(0=LEN(ReferenceData!$Y$139),"",ReferenceData!$Y$139),"")</f>
        <v>0</v>
      </c>
      <c r="Z139">
        <f ca="1">IFERROR(IF(0=LEN(ReferenceData!$Z$139),"",ReferenceData!$Z$139),"")</f>
        <v>0</v>
      </c>
      <c r="AA139">
        <f ca="1">IFERROR(IF(0=LEN(ReferenceData!$AA$139),"",ReferenceData!$AA$139),"")</f>
        <v>0</v>
      </c>
      <c r="AB139">
        <f ca="1">IFERROR(IF(0=LEN(ReferenceData!$AB$139),"",ReferenceData!$AB$139),"")</f>
        <v>-0.2</v>
      </c>
      <c r="AC139">
        <f ca="1">IFERROR(IF(0=LEN(ReferenceData!$AC$139),"",ReferenceData!$AC$139),"")</f>
        <v>0.2</v>
      </c>
      <c r="AD139">
        <f ca="1">IFERROR(IF(0=LEN(ReferenceData!$AD$139),"",ReferenceData!$AD$139),"")</f>
        <v>0</v>
      </c>
      <c r="AE139">
        <f ca="1">IFERROR(IF(0=LEN(ReferenceData!$AE$139),"",ReferenceData!$AE$139),"")</f>
        <v>0</v>
      </c>
      <c r="AF139">
        <f ca="1">IFERROR(IF(0=LEN(ReferenceData!$AF$139),"",ReferenceData!$AF$139),"")</f>
        <v>0</v>
      </c>
      <c r="AG139">
        <f ca="1">IFERROR(IF(0=LEN(ReferenceData!$AG$139),"",ReferenceData!$AG$139),"")</f>
        <v>0</v>
      </c>
      <c r="AH139">
        <f ca="1">IFERROR(IF(0=LEN(ReferenceData!$AH$139),"",ReferenceData!$AH$139),"")</f>
        <v>0</v>
      </c>
      <c r="AI139">
        <f ca="1">IFERROR(IF(0=LEN(ReferenceData!$AI$139),"",ReferenceData!$AI$139),"")</f>
        <v>0</v>
      </c>
      <c r="AJ139">
        <f ca="1">IFERROR(IF(0=LEN(ReferenceData!$AJ$139),"",ReferenceData!$AJ$139),"")</f>
        <v>0</v>
      </c>
      <c r="AK139">
        <f ca="1">IFERROR(IF(0=LEN(ReferenceData!$AK$139),"",ReferenceData!$AK$139),"")</f>
        <v>0</v>
      </c>
      <c r="AL139">
        <f ca="1">IFERROR(IF(0=LEN(ReferenceData!$AL$139),"",ReferenceData!$AL$139),"")</f>
        <v>25.1</v>
      </c>
      <c r="AM139">
        <f ca="1">IFERROR(IF(0=LEN(ReferenceData!$AM$139),"",ReferenceData!$AM$139),"")</f>
        <v>0</v>
      </c>
      <c r="AN139">
        <f ca="1">IFERROR(IF(0=LEN(ReferenceData!$AN$139),"",ReferenceData!$AN$139),"")</f>
        <v>0</v>
      </c>
      <c r="AO139">
        <f ca="1">IFERROR(IF(0=LEN(ReferenceData!$AO$139),"",ReferenceData!$AO$139),"")</f>
        <v>-0.1</v>
      </c>
      <c r="AP139">
        <f ca="1">IFERROR(IF(0=LEN(ReferenceData!$AP$139),"",ReferenceData!$AP$139),"")</f>
        <v>0</v>
      </c>
      <c r="AQ139">
        <f ca="1">IFERROR(IF(0=LEN(ReferenceData!$AQ$139),"",ReferenceData!$AQ$139),"")</f>
        <v>0</v>
      </c>
      <c r="AR139">
        <f ca="1">IFERROR(IF(0=LEN(ReferenceData!$AR$139),"",ReferenceData!$AR$139),"")</f>
        <v>0</v>
      </c>
      <c r="AS139">
        <f ca="1">IFERROR(IF(0=LEN(ReferenceData!$AS$139),"",ReferenceData!$AS$139),"")</f>
        <v>0</v>
      </c>
      <c r="AT139">
        <f ca="1">IFERROR(IF(0=LEN(ReferenceData!$AT$139),"",ReferenceData!$AT$139),"")</f>
        <v>0</v>
      </c>
      <c r="AU139">
        <f ca="1">IFERROR(IF(0=LEN(ReferenceData!$AU$139),"",ReferenceData!$AU$139),"")</f>
        <v>0.1</v>
      </c>
      <c r="AV139">
        <f ca="1">IFERROR(IF(0=LEN(ReferenceData!$AV$139),"",ReferenceData!$AV$139),"")</f>
        <v>0</v>
      </c>
      <c r="AW139">
        <f ca="1">IFERROR(IF(0=LEN(ReferenceData!$AW$139),"",ReferenceData!$AW$139),"")</f>
        <v>0</v>
      </c>
      <c r="AX139">
        <f ca="1">IFERROR(IF(0=LEN(ReferenceData!$AX$139),"",ReferenceData!$AX$139),"")</f>
        <v>0</v>
      </c>
      <c r="AY139">
        <f ca="1">IFERROR(IF(0=LEN(ReferenceData!$AY$139),"",ReferenceData!$AY$139),"")</f>
        <v>0</v>
      </c>
      <c r="AZ139">
        <f ca="1">IFERROR(IF(0=LEN(ReferenceData!$AZ$139),"",ReferenceData!$AZ$139),"")</f>
        <v>-684.1</v>
      </c>
      <c r="BA139">
        <f ca="1">IFERROR(IF(0=LEN(ReferenceData!$BA$139),"",ReferenceData!$BA$139),"")</f>
        <v>0</v>
      </c>
      <c r="BB139">
        <f ca="1">IFERROR(IF(0=LEN(ReferenceData!$BB$139),"",ReferenceData!$BB$139),"")</f>
        <v>-852</v>
      </c>
      <c r="BC139">
        <f ca="1">IFERROR(IF(0=LEN(ReferenceData!$BC$139),"",ReferenceData!$BC$139),"")</f>
        <v>-1.95E-4</v>
      </c>
      <c r="BD139">
        <f ca="1">IFERROR(IF(0=LEN(ReferenceData!$BD$139),"",ReferenceData!$BD$139),"")</f>
        <v>-687.6</v>
      </c>
      <c r="BE139">
        <f ca="1">IFERROR(IF(0=LEN(ReferenceData!$BE$139),"",ReferenceData!$BE$139),"")</f>
        <v>0</v>
      </c>
      <c r="BF139" t="str">
        <f ca="1">IFERROR(IF(0=LEN(ReferenceData!$BF$139),"",ReferenceData!$BF$139),"")</f>
        <v/>
      </c>
      <c r="BG139" t="str">
        <f ca="1">IFERROR(IF(0=LEN(ReferenceData!$BG$139),"",ReferenceData!$BG$139),"")</f>
        <v/>
      </c>
      <c r="BH139" t="str">
        <f ca="1">IFERROR(IF(0=LEN(ReferenceData!$BH$139),"",ReferenceData!$BH$139),"")</f>
        <v/>
      </c>
      <c r="BI139" t="str">
        <f ca="1">IFERROR(IF(0=LEN(ReferenceData!$BI$139),"",ReferenceData!$BI$139),"")</f>
        <v/>
      </c>
      <c r="BJ139" t="str">
        <f ca="1">IFERROR(IF(0=LEN(ReferenceData!$BJ$139),"",ReferenceData!$BJ$139),"")</f>
        <v/>
      </c>
      <c r="BK139" t="str">
        <f ca="1">IFERROR(IF(0=LEN(ReferenceData!$BK$139),"",ReferenceData!$BK$139),"")</f>
        <v/>
      </c>
      <c r="BL139" t="str">
        <f ca="1">IFERROR(IF(0=LEN(ReferenceData!$BL$139),"",ReferenceData!$BL$139),"")</f>
        <v/>
      </c>
      <c r="BM139" t="str">
        <f ca="1">IFERROR(IF(0=LEN(ReferenceData!$BM$139),"",ReferenceData!$BM$139),"")</f>
        <v/>
      </c>
    </row>
    <row r="140" spans="1:65" x14ac:dyDescent="0.25">
      <c r="A140" t="str">
        <f>IFERROR(IF(0=LEN(ReferenceData!$A$140),"",ReferenceData!$A$140),"")</f>
        <v xml:space="preserve">    Estimated Sales</v>
      </c>
      <c r="B140" t="str">
        <f>IFERROR(IF(0=LEN(ReferenceData!$B$140),"",ReferenceData!$B$140),"")</f>
        <v>KER FP Equity</v>
      </c>
      <c r="C140" t="str">
        <f>IFERROR(IF(0=LEN(ReferenceData!$C$140),"",ReferenceData!$C$140),"")</f>
        <v>IS902</v>
      </c>
      <c r="D140" t="str">
        <f>IFERROR(IF(0=LEN(ReferenceData!$D$140),"",ReferenceData!$D$140),"")</f>
        <v>IS_COMP_SALES</v>
      </c>
      <c r="E140" t="str">
        <f>IFERROR(IF(0=LEN(ReferenceData!$E$140),"",ReferenceData!$E$140),"")</f>
        <v>Dynamic</v>
      </c>
      <c r="F140" t="str">
        <f ca="1">IFERROR(IF(0=LEN(ReferenceData!$F$140),"",ReferenceData!$F$140),"")</f>
        <v/>
      </c>
      <c r="G140">
        <f ca="1">IFERROR(IF(0=LEN(ReferenceData!$G$140),"",ReferenceData!$G$140),"")</f>
        <v>4039.6669999999999</v>
      </c>
      <c r="H140">
        <f ca="1">IFERROR(IF(0=LEN(ReferenceData!$H$140),"",ReferenceData!$H$140),"")</f>
        <v>3943.875</v>
      </c>
      <c r="I140">
        <f ca="1">IFERROR(IF(0=LEN(ReferenceData!$I$140),"",ReferenceData!$I$140),"")</f>
        <v>3576.6</v>
      </c>
      <c r="J140">
        <f ca="1">IFERROR(IF(0=LEN(ReferenceData!$J$140),"",ReferenceData!$J$140),"")</f>
        <v>4208.6670000000004</v>
      </c>
      <c r="K140">
        <f ca="1">IFERROR(IF(0=LEN(ReferenceData!$K$140),"",ReferenceData!$K$140),"")</f>
        <v>3452.25</v>
      </c>
      <c r="L140">
        <f ca="1">IFERROR(IF(0=LEN(ReferenceData!$L$140),"",ReferenceData!$L$140),"")</f>
        <v>3106</v>
      </c>
      <c r="M140">
        <f ca="1">IFERROR(IF(0=LEN(ReferenceData!$M$140),"",ReferenceData!$M$140),"")</f>
        <v>4086.25</v>
      </c>
      <c r="N140">
        <f ca="1">IFERROR(IF(0=LEN(ReferenceData!$N$140),"",ReferenceData!$N$140),"")</f>
        <v>4140.3329999999996</v>
      </c>
      <c r="O140">
        <f ca="1">IFERROR(IF(0=LEN(ReferenceData!$O$140),"",ReferenceData!$O$140),"")</f>
        <v>4035</v>
      </c>
      <c r="P140">
        <f ca="1">IFERROR(IF(0=LEN(ReferenceData!$P$140),"",ReferenceData!$P$140),"")</f>
        <v>4123.75</v>
      </c>
      <c r="Q140">
        <f ca="1">IFERROR(IF(0=LEN(ReferenceData!$Q$140),"",ReferenceData!$Q$140),"")</f>
        <v>3702.6669999999999</v>
      </c>
      <c r="R140">
        <f ca="1">IFERROR(IF(0=LEN(ReferenceData!$R$140),"",ReferenceData!$R$140),"")</f>
        <v>3795.3330000000001</v>
      </c>
      <c r="S140">
        <f ca="1">IFERROR(IF(0=LEN(ReferenceData!$S$140),"",ReferenceData!$S$140),"")</f>
        <v>3462.25</v>
      </c>
      <c r="T140">
        <f ca="1">IFERROR(IF(0=LEN(ReferenceData!$T$140),"",ReferenceData!$T$140),"")</f>
        <v>3507</v>
      </c>
      <c r="U140">
        <f ca="1">IFERROR(IF(0=LEN(ReferenceData!$U$140),"",ReferenceData!$U$140),"")</f>
        <v>2813.6</v>
      </c>
      <c r="V140">
        <f ca="1">IFERROR(IF(0=LEN(ReferenceData!$V$140),"",ReferenceData!$V$140),"")</f>
        <v>4192.8</v>
      </c>
      <c r="W140">
        <f ca="1">IFERROR(IF(0=LEN(ReferenceData!$W$140),"",ReferenceData!$W$140),"")</f>
        <v>3726.1669999999999</v>
      </c>
      <c r="X140">
        <f ca="1">IFERROR(IF(0=LEN(ReferenceData!$X$140),"",ReferenceData!$X$140),"")</f>
        <v>3640.4290000000001</v>
      </c>
      <c r="Y140">
        <f ca="1">IFERROR(IF(0=LEN(ReferenceData!$Y$140),"",ReferenceData!$Y$140),"")</f>
        <v>3162</v>
      </c>
      <c r="Z140">
        <f ca="1">IFERROR(IF(0=LEN(ReferenceData!$Z$140),"",ReferenceData!$Z$140),"")</f>
        <v>3428</v>
      </c>
      <c r="AA140">
        <f ca="1">IFERROR(IF(0=LEN(ReferenceData!$AA$140),"",ReferenceData!$AA$140),"")</f>
        <v>3097</v>
      </c>
      <c r="AB140">
        <f ca="1">IFERROR(IF(0=LEN(ReferenceData!$AB$140),"",ReferenceData!$AB$140),"")</f>
        <v>2881</v>
      </c>
      <c r="AC140">
        <f ca="1">IFERROR(IF(0=LEN(ReferenceData!$AC$140),"",ReferenceData!$AC$140),"")</f>
        <v>2778.25</v>
      </c>
      <c r="AD140">
        <f ca="1">IFERROR(IF(0=LEN(ReferenceData!$AD$140),"",ReferenceData!$AD$140),"")</f>
        <v>3031.4290000000001</v>
      </c>
      <c r="AE140">
        <f ca="1">IFERROR(IF(0=LEN(ReferenceData!$AE$140),"",ReferenceData!$AE$140),"")</f>
        <v>2897.25</v>
      </c>
      <c r="AF140">
        <f ca="1">IFERROR(IF(0=LEN(ReferenceData!$AF$140),"",ReferenceData!$AF$140),"")</f>
        <v>2636.8</v>
      </c>
      <c r="AG140">
        <f ca="1">IFERROR(IF(0=LEN(ReferenceData!$AG$140),"",ReferenceData!$AG$140),"")</f>
        <v>2607.8000000000002</v>
      </c>
      <c r="AH140">
        <f ca="1">IFERROR(IF(0=LEN(ReferenceData!$AH$140),"",ReferenceData!$AH$140),"")</f>
        <v>2718.2</v>
      </c>
      <c r="AI140">
        <f ca="1">IFERROR(IF(0=LEN(ReferenceData!$AI$140),"",ReferenceData!$AI$140),"")</f>
        <v>2594.5450000000001</v>
      </c>
      <c r="AJ140">
        <f ca="1">IFERROR(IF(0=LEN(ReferenceData!$AJ$140),"",ReferenceData!$AJ$140),"")</f>
        <v>2336</v>
      </c>
      <c r="AK140">
        <f ca="1">IFERROR(IF(0=LEN(ReferenceData!$AK$140),"",ReferenceData!$AK$140),"")</f>
        <v>2357.6669999999999</v>
      </c>
      <c r="AL140">
        <f ca="1">IFERROR(IF(0=LEN(ReferenceData!$AL$140),"",ReferenceData!$AL$140),"")</f>
        <v>2505.4290000000001</v>
      </c>
      <c r="AM140">
        <f ca="1">IFERROR(IF(0=LEN(ReferenceData!$AM$140),"",ReferenceData!$AM$140),"")</f>
        <v>2540.75</v>
      </c>
      <c r="AN140">
        <f ca="1">IFERROR(IF(0=LEN(ReferenceData!$AN$140),"",ReferenceData!$AN$140),"")</f>
        <v>2292.6</v>
      </c>
      <c r="AO140">
        <f ca="1">IFERROR(IF(0=LEN(ReferenceData!$AO$140),"",ReferenceData!$AO$140),"")</f>
        <v>2414.25</v>
      </c>
      <c r="AP140">
        <f ca="1">IFERROR(IF(0=LEN(ReferenceData!$AP$140),"",ReferenceData!$AP$140),"")</f>
        <v>2426</v>
      </c>
      <c r="AQ140">
        <f ca="1">IFERROR(IF(0=LEN(ReferenceData!$AQ$140),"",ReferenceData!$AQ$140),"")</f>
        <v>3475.25</v>
      </c>
      <c r="AR140">
        <f ca="1">IFERROR(IF(0=LEN(ReferenceData!$AR$140),"",ReferenceData!$AR$140),"")</f>
        <v>3040.25</v>
      </c>
      <c r="AS140">
        <f ca="1">IFERROR(IF(0=LEN(ReferenceData!$AS$140),"",ReferenceData!$AS$140),"")</f>
        <v>3146.8330000000001</v>
      </c>
      <c r="AT140">
        <f ca="1">IFERROR(IF(0=LEN(ReferenceData!$AT$140),"",ReferenceData!$AT$140),"")</f>
        <v>2665.3330000000001</v>
      </c>
      <c r="AU140">
        <f ca="1">IFERROR(IF(0=LEN(ReferenceData!$AU$140),"",ReferenceData!$AU$140),"")</f>
        <v>3791.25</v>
      </c>
      <c r="AV140">
        <f ca="1">IFERROR(IF(0=LEN(ReferenceData!$AV$140),"",ReferenceData!$AV$140),"")</f>
        <v>3422.3330000000001</v>
      </c>
      <c r="AW140">
        <f ca="1">IFERROR(IF(0=LEN(ReferenceData!$AW$140),"",ReferenceData!$AW$140),"")</f>
        <v>3610</v>
      </c>
      <c r="AX140" t="str">
        <f ca="1">IFERROR(IF(0=LEN(ReferenceData!$AX$140),"",ReferenceData!$AX$140),"")</f>
        <v/>
      </c>
      <c r="AY140" t="str">
        <f ca="1">IFERROR(IF(0=LEN(ReferenceData!$AY$140),"",ReferenceData!$AY$140),"")</f>
        <v/>
      </c>
      <c r="AZ140" t="str">
        <f ca="1">IFERROR(IF(0=LEN(ReferenceData!$AZ$140),"",ReferenceData!$AZ$140),"")</f>
        <v/>
      </c>
      <c r="BA140" t="str">
        <f ca="1">IFERROR(IF(0=LEN(ReferenceData!$BA$140),"",ReferenceData!$BA$140),"")</f>
        <v/>
      </c>
      <c r="BB140" t="str">
        <f ca="1">IFERROR(IF(0=LEN(ReferenceData!$BB$140),"",ReferenceData!$BB$140),"")</f>
        <v/>
      </c>
      <c r="BC140" t="str">
        <f ca="1">IFERROR(IF(0=LEN(ReferenceData!$BC$140),"",ReferenceData!$BC$140),"")</f>
        <v/>
      </c>
      <c r="BD140" t="str">
        <f ca="1">IFERROR(IF(0=LEN(ReferenceData!$BD$140),"",ReferenceData!$BD$140),"")</f>
        <v/>
      </c>
      <c r="BE140">
        <f ca="1">IFERROR(IF(0=LEN(ReferenceData!$BE$140),"",ReferenceData!$BE$140),"")</f>
        <v>4727</v>
      </c>
      <c r="BF140" t="str">
        <f ca="1">IFERROR(IF(0=LEN(ReferenceData!$BF$140),"",ReferenceData!$BF$140),"")</f>
        <v/>
      </c>
      <c r="BG140" t="str">
        <f ca="1">IFERROR(IF(0=LEN(ReferenceData!$BG$140),"",ReferenceData!$BG$140),"")</f>
        <v/>
      </c>
      <c r="BH140" t="str">
        <f ca="1">IFERROR(IF(0=LEN(ReferenceData!$BH$140),"",ReferenceData!$BH$140),"")</f>
        <v/>
      </c>
      <c r="BI140" t="str">
        <f ca="1">IFERROR(IF(0=LEN(ReferenceData!$BI$140),"",ReferenceData!$BI$140),"")</f>
        <v/>
      </c>
      <c r="BJ140" t="str">
        <f ca="1">IFERROR(IF(0=LEN(ReferenceData!$BJ$140),"",ReferenceData!$BJ$140),"")</f>
        <v/>
      </c>
      <c r="BK140" t="str">
        <f ca="1">IFERROR(IF(0=LEN(ReferenceData!$BK$140),"",ReferenceData!$BK$140),"")</f>
        <v/>
      </c>
      <c r="BL140" t="str">
        <f ca="1">IFERROR(IF(0=LEN(ReferenceData!$BL$140),"",ReferenceData!$BL$140),"")</f>
        <v/>
      </c>
      <c r="BM140">
        <f ca="1">IFERROR(IF(0=LEN(ReferenceData!$BM$140),"",ReferenceData!$BM$140),"")</f>
        <v>4344</v>
      </c>
    </row>
    <row r="141" spans="1:65" x14ac:dyDescent="0.25">
      <c r="A141" t="str">
        <f>IFERROR(IF(0=LEN(ReferenceData!$A$141),"",ReferenceData!$A$141),"")</f>
        <v xml:space="preserve">    Surprise (%)</v>
      </c>
      <c r="B141" t="str">
        <f>IFERROR(IF(0=LEN(ReferenceData!$B$141),"",ReferenceData!$B$141),"")</f>
        <v>KER FP Equity</v>
      </c>
      <c r="C141" t="str">
        <f>IFERROR(IF(0=LEN(ReferenceData!$C$141),"",ReferenceData!$C$141),"")</f>
        <v/>
      </c>
      <c r="D141" t="str">
        <f>IFERROR(IF(0=LEN(ReferenceData!$D$141),"",ReferenceData!$D$141),"")</f>
        <v/>
      </c>
      <c r="E141" t="str">
        <f>IFERROR(IF(0=LEN(ReferenceData!$E$141),"",ReferenceData!$E$141),"")</f>
        <v>Expression</v>
      </c>
      <c r="F141" t="str">
        <f ca="1">IFERROR(IF(0=LEN(ReferenceData!$F$141),"",ReferenceData!$F$141),"")</f>
        <v/>
      </c>
      <c r="G141">
        <f ca="1">IFERROR(IF(0=LEN(ReferenceData!$G$141),"",ReferenceData!$G$141),"")</f>
        <v>3.6669606680000002</v>
      </c>
      <c r="H141">
        <f ca="1">IFERROR(IF(0=LEN(ReferenceData!$H$141),"",ReferenceData!$H$141),"")</f>
        <v>5.4090203160000003</v>
      </c>
      <c r="I141">
        <f ca="1">IFERROR(IF(0=LEN(ReferenceData!$I$141),"",ReferenceData!$I$141),"")</f>
        <v>8.7625118830000002</v>
      </c>
      <c r="J141">
        <f ca="1">IFERROR(IF(0=LEN(ReferenceData!$J$141),"",ReferenceData!$J$141),"")</f>
        <v>-4.8582365870000004</v>
      </c>
      <c r="K141">
        <f ca="1">IFERROR(IF(0=LEN(ReferenceData!$K$141),"",ReferenceData!$K$141),"")</f>
        <v>7.6891882110000003</v>
      </c>
      <c r="L141">
        <f ca="1">IFERROR(IF(0=LEN(ReferenceData!$L$141),"",ReferenceData!$L$141),"")</f>
        <v>-29.971023819999999</v>
      </c>
      <c r="M141">
        <f ca="1">IFERROR(IF(0=LEN(ReferenceData!$M$141),"",ReferenceData!$M$141),"")</f>
        <v>-21.61027837</v>
      </c>
      <c r="N141">
        <f ca="1">IFERROR(IF(0=LEN(ReferenceData!$N$141),"",ReferenceData!$N$141),"")</f>
        <v>5.3176157570000004</v>
      </c>
      <c r="O141">
        <f ca="1">IFERROR(IF(0=LEN(ReferenceData!$O$141),"",ReferenceData!$O$141),"")</f>
        <v>-3.7273853780000001</v>
      </c>
      <c r="P141">
        <f ca="1">IFERROR(IF(0=LEN(ReferenceData!$P$141),"",ReferenceData!$P$141),"")</f>
        <v>-6.5632009699999996</v>
      </c>
      <c r="Q141">
        <f ca="1">IFERROR(IF(0=LEN(ReferenceData!$Q$141),"",ReferenceData!$Q$141),"")</f>
        <v>2.2317156800000002</v>
      </c>
      <c r="R141">
        <f ca="1">IFERROR(IF(0=LEN(ReferenceData!$R$141),"",ReferenceData!$R$141),"")</f>
        <v>0.89760239799999997</v>
      </c>
      <c r="S141">
        <f ca="1">IFERROR(IF(0=LEN(ReferenceData!$S$141),"",ReferenceData!$S$141),"")</f>
        <v>-1.740197848</v>
      </c>
      <c r="T141">
        <f ca="1">IFERROR(IF(0=LEN(ReferenceData!$T$141),"",ReferenceData!$T$141),"")</f>
        <v>-5.1611063589999997</v>
      </c>
      <c r="U141">
        <f ca="1">IFERROR(IF(0=LEN(ReferenceData!$U$141),"",ReferenceData!$U$141),"")</f>
        <v>10.3994882</v>
      </c>
      <c r="V141">
        <f ca="1">IFERROR(IF(0=LEN(ReferenceData!$V$141),"",ReferenceData!$V$141),"")</f>
        <v>1.519271131</v>
      </c>
      <c r="W141">
        <f ca="1">IFERROR(IF(0=LEN(ReferenceData!$W$141),"",ReferenceData!$W$141),"")</f>
        <v>-28.473415169999999</v>
      </c>
      <c r="X141">
        <f ca="1">IFERROR(IF(0=LEN(ReferenceData!$X$141),"",ReferenceData!$X$141),"")</f>
        <v>-27.821693539999998</v>
      </c>
      <c r="Y141">
        <f ca="1">IFERROR(IF(0=LEN(ReferenceData!$Y$141),"",ReferenceData!$Y$141),"")</f>
        <v>13.013915239999999</v>
      </c>
      <c r="Z141">
        <f ca="1">IFERROR(IF(0=LEN(ReferenceData!$Z$141),"",ReferenceData!$Z$141),"")</f>
        <v>2.3133022169999999</v>
      </c>
      <c r="AA141">
        <f ca="1">IFERROR(IF(0=LEN(ReferenceData!$AA$141),"",ReferenceData!$AA$141),"")</f>
        <v>2.8317726830000001</v>
      </c>
      <c r="AB141">
        <f ca="1">IFERROR(IF(0=LEN(ReferenceData!$AB$141),"",ReferenceData!$AB$141),"")</f>
        <v>3.057965984</v>
      </c>
      <c r="AC141">
        <f ca="1">IFERROR(IF(0=LEN(ReferenceData!$AC$141),"",ReferenceData!$AC$141),"")</f>
        <v>-1.959866823</v>
      </c>
      <c r="AD141">
        <f ca="1">IFERROR(IF(0=LEN(ReferenceData!$AD$141),"",ReferenceData!$AD$141),"")</f>
        <v>4.785564828</v>
      </c>
      <c r="AE141">
        <f ca="1">IFERROR(IF(0=LEN(ReferenceData!$AE$141),"",ReferenceData!$AE$141),"")</f>
        <v>-7.0756752000000006E-2</v>
      </c>
      <c r="AF141">
        <f ca="1">IFERROR(IF(0=LEN(ReferenceData!$AF$141),"",ReferenceData!$AF$141),"")</f>
        <v>8.5141080099999993</v>
      </c>
      <c r="AG141">
        <f ca="1">IFERROR(IF(0=LEN(ReferenceData!$AG$141),"",ReferenceData!$AG$141),"")</f>
        <v>1.6565687549999999</v>
      </c>
      <c r="AH141">
        <f ca="1">IFERROR(IF(0=LEN(ReferenceData!$AH$141),"",ReferenceData!$AH$141),"")</f>
        <v>0.868221617</v>
      </c>
      <c r="AI141">
        <f ca="1">IFERROR(IF(0=LEN(ReferenceData!$AI$141),"",ReferenceData!$AI$141),"")</f>
        <v>-0.35632451900000001</v>
      </c>
      <c r="AJ141">
        <f ca="1">IFERROR(IF(0=LEN(ReferenceData!$AJ$141),"",ReferenceData!$AJ$141),"")</f>
        <v>0.56506849299999995</v>
      </c>
      <c r="AK141">
        <f ca="1">IFERROR(IF(0=LEN(ReferenceData!$AK$141),"",ReferenceData!$AK$141),"")</f>
        <v>1.7107165689999999</v>
      </c>
      <c r="AL141">
        <f ca="1">IFERROR(IF(0=LEN(ReferenceData!$AL$141),"",ReferenceData!$AL$141),"")</f>
        <v>0.65741236300000006</v>
      </c>
      <c r="AM141">
        <f ca="1">IFERROR(IF(0=LEN(ReferenceData!$AM$141),"",ReferenceData!$AM$141),"")</f>
        <v>-0.69861261399999997</v>
      </c>
      <c r="AN141">
        <f ca="1">IFERROR(IF(0=LEN(ReferenceData!$AN$141),"",ReferenceData!$AN$141),"")</f>
        <v>0.67172642400000004</v>
      </c>
      <c r="AO141">
        <f ca="1">IFERROR(IF(0=LEN(ReferenceData!$AO$141),"",ReferenceData!$AO$141),"")</f>
        <v>-1.816299058</v>
      </c>
      <c r="AP141">
        <f ca="1">IFERROR(IF(0=LEN(ReferenceData!$AP$141),"",ReferenceData!$AP$141),"")</f>
        <v>5.6141797200000001</v>
      </c>
      <c r="AQ141">
        <f ca="1">IFERROR(IF(0=LEN(ReferenceData!$AQ$141),"",ReferenceData!$AQ$141),"")</f>
        <v>-26.324724839999998</v>
      </c>
      <c r="AR141">
        <f ca="1">IFERROR(IF(0=LEN(ReferenceData!$AR$141),"",ReferenceData!$AR$141),"")</f>
        <v>-25.27588192</v>
      </c>
      <c r="AS141">
        <f ca="1">IFERROR(IF(0=LEN(ReferenceData!$AS$141),"",ReferenceData!$AS$141),"")</f>
        <v>-25.579145759999999</v>
      </c>
      <c r="AT141">
        <f ca="1">IFERROR(IF(0=LEN(ReferenceData!$AT$141),"",ReferenceData!$AT$141),"")</f>
        <v>-24.63230673</v>
      </c>
      <c r="AU141">
        <f ca="1">IFERROR(IF(0=LEN(ReferenceData!$AU$141),"",ReferenceData!$AU$141),"")</f>
        <v>1.7316188589999999</v>
      </c>
      <c r="AV141">
        <f ca="1">IFERROR(IF(0=LEN(ReferenceData!$AV$141),"",ReferenceData!$AV$141),"")</f>
        <v>-22.561597599999999</v>
      </c>
      <c r="AW141">
        <f ca="1">IFERROR(IF(0=LEN(ReferenceData!$AW$141),"",ReferenceData!$AW$141),"")</f>
        <v>-21.833795009999999</v>
      </c>
      <c r="AX141" t="str">
        <f ca="1">IFERROR(IF(0=LEN(ReferenceData!$AX$141),"",ReferenceData!$AX$141),"")</f>
        <v/>
      </c>
      <c r="AY141" t="str">
        <f ca="1">IFERROR(IF(0=LEN(ReferenceData!$AY$141),"",ReferenceData!$AY$141),"")</f>
        <v/>
      </c>
      <c r="AZ141" t="str">
        <f ca="1">IFERROR(IF(0=LEN(ReferenceData!$AZ$141),"",ReferenceData!$AZ$141),"")</f>
        <v/>
      </c>
      <c r="BA141" t="str">
        <f ca="1">IFERROR(IF(0=LEN(ReferenceData!$BA$141),"",ReferenceData!$BA$141),"")</f>
        <v/>
      </c>
      <c r="BB141" t="str">
        <f ca="1">IFERROR(IF(0=LEN(ReferenceData!$BB$141),"",ReferenceData!$BB$141),"")</f>
        <v/>
      </c>
      <c r="BC141" t="str">
        <f ca="1">IFERROR(IF(0=LEN(ReferenceData!$BC$141),"",ReferenceData!$BC$141),"")</f>
        <v/>
      </c>
      <c r="BD141" t="str">
        <f ca="1">IFERROR(IF(0=LEN(ReferenceData!$BD$141),"",ReferenceData!$BD$141),"")</f>
        <v/>
      </c>
      <c r="BE141">
        <f ca="1">IFERROR(IF(0=LEN(ReferenceData!$BE$141),"",ReferenceData!$BE$141),"")</f>
        <v>1.0577533320000001</v>
      </c>
      <c r="BF141" t="str">
        <f ca="1">IFERROR(IF(0=LEN(ReferenceData!$BF$141),"",ReferenceData!$BF$141),"")</f>
        <v/>
      </c>
      <c r="BG141" t="str">
        <f ca="1">IFERROR(IF(0=LEN(ReferenceData!$BG$141),"",ReferenceData!$BG$141),"")</f>
        <v/>
      </c>
      <c r="BH141" t="str">
        <f ca="1">IFERROR(IF(0=LEN(ReferenceData!$BH$141),"",ReferenceData!$BH$141),"")</f>
        <v/>
      </c>
      <c r="BI141" t="str">
        <f ca="1">IFERROR(IF(0=LEN(ReferenceData!$BI$141),"",ReferenceData!$BI$141),"")</f>
        <v/>
      </c>
      <c r="BJ141" t="str">
        <f ca="1">IFERROR(IF(0=LEN(ReferenceData!$BJ$141),"",ReferenceData!$BJ$141),"")</f>
        <v/>
      </c>
      <c r="BK141" t="str">
        <f ca="1">IFERROR(IF(0=LEN(ReferenceData!$BK$141),"",ReferenceData!$BK$141),"")</f>
        <v/>
      </c>
      <c r="BL141" t="str">
        <f ca="1">IFERROR(IF(0=LEN(ReferenceData!$BL$141),"",ReferenceData!$BL$141),"")</f>
        <v/>
      </c>
      <c r="BM141" t="str">
        <f ca="1">IFERROR(IF(0=LEN(ReferenceData!$BM$141),"",ReferenceData!$BM$141),"")</f>
        <v/>
      </c>
    </row>
    <row r="142" spans="1:65" x14ac:dyDescent="0.25">
      <c r="A142" t="str">
        <f>IFERROR(IF(0=LEN(ReferenceData!$A$142),"",ReferenceData!$A$142),"")</f>
        <v xml:space="preserve">    </v>
      </c>
      <c r="B142" t="str">
        <f>IFERROR(IF(0=LEN(ReferenceData!$B$142),"",ReferenceData!$B$142),"")</f>
        <v/>
      </c>
      <c r="C142" t="str">
        <f>IFERROR(IF(0=LEN(ReferenceData!$C$142),"",ReferenceData!$C$142),"")</f>
        <v/>
      </c>
      <c r="D142" t="str">
        <f>IFERROR(IF(0=LEN(ReferenceData!$D$142),"",ReferenceData!$D$142),"")</f>
        <v/>
      </c>
      <c r="E142" t="str">
        <f>IFERROR(IF(0=LEN(ReferenceData!$E$142),"",ReferenceData!$E$142),"")</f>
        <v>Static</v>
      </c>
      <c r="F142" t="str">
        <f ca="1">IFERROR(IF(0=LEN(ReferenceData!$F$142),"",ReferenceData!$F$142),"")</f>
        <v/>
      </c>
      <c r="G142" t="str">
        <f ca="1">IFERROR(IF(0=LEN(ReferenceData!$G$142),"",ReferenceData!$G$142),"")</f>
        <v/>
      </c>
      <c r="H142" t="str">
        <f ca="1">IFERROR(IF(0=LEN(ReferenceData!$H$142),"",ReferenceData!$H$142),"")</f>
        <v/>
      </c>
      <c r="I142" t="str">
        <f ca="1">IFERROR(IF(0=LEN(ReferenceData!$I$142),"",ReferenceData!$I$142),"")</f>
        <v/>
      </c>
      <c r="J142" t="str">
        <f ca="1">IFERROR(IF(0=LEN(ReferenceData!$J$142),"",ReferenceData!$J$142),"")</f>
        <v/>
      </c>
      <c r="K142" t="str">
        <f ca="1">IFERROR(IF(0=LEN(ReferenceData!$K$142),"",ReferenceData!$K$142),"")</f>
        <v/>
      </c>
      <c r="L142" t="str">
        <f ca="1">IFERROR(IF(0=LEN(ReferenceData!$L$142),"",ReferenceData!$L$142),"")</f>
        <v/>
      </c>
      <c r="M142" t="str">
        <f ca="1">IFERROR(IF(0=LEN(ReferenceData!$M$142),"",ReferenceData!$M$142),"")</f>
        <v/>
      </c>
      <c r="N142" t="str">
        <f ca="1">IFERROR(IF(0=LEN(ReferenceData!$N$142),"",ReferenceData!$N$142),"")</f>
        <v/>
      </c>
      <c r="O142" t="str">
        <f ca="1">IFERROR(IF(0=LEN(ReferenceData!$O$142),"",ReferenceData!$O$142),"")</f>
        <v/>
      </c>
      <c r="P142" t="str">
        <f ca="1">IFERROR(IF(0=LEN(ReferenceData!$P$142),"",ReferenceData!$P$142),"")</f>
        <v/>
      </c>
      <c r="Q142" t="str">
        <f ca="1">IFERROR(IF(0=LEN(ReferenceData!$Q$142),"",ReferenceData!$Q$142),"")</f>
        <v/>
      </c>
      <c r="R142" t="str">
        <f ca="1">IFERROR(IF(0=LEN(ReferenceData!$R$142),"",ReferenceData!$R$142),"")</f>
        <v/>
      </c>
      <c r="S142" t="str">
        <f ca="1">IFERROR(IF(0=LEN(ReferenceData!$S$142),"",ReferenceData!$S$142),"")</f>
        <v/>
      </c>
      <c r="T142" t="str">
        <f ca="1">IFERROR(IF(0=LEN(ReferenceData!$T$142),"",ReferenceData!$T$142),"")</f>
        <v/>
      </c>
      <c r="U142" t="str">
        <f ca="1">IFERROR(IF(0=LEN(ReferenceData!$U$142),"",ReferenceData!$U$142),"")</f>
        <v/>
      </c>
      <c r="V142" t="str">
        <f ca="1">IFERROR(IF(0=LEN(ReferenceData!$V$142),"",ReferenceData!$V$142),"")</f>
        <v/>
      </c>
      <c r="W142" t="str">
        <f ca="1">IFERROR(IF(0=LEN(ReferenceData!$W$142),"",ReferenceData!$W$142),"")</f>
        <v/>
      </c>
      <c r="X142" t="str">
        <f ca="1">IFERROR(IF(0=LEN(ReferenceData!$X$142),"",ReferenceData!$X$142),"")</f>
        <v/>
      </c>
      <c r="Y142" t="str">
        <f ca="1">IFERROR(IF(0=LEN(ReferenceData!$Y$142),"",ReferenceData!$Y$142),"")</f>
        <v/>
      </c>
      <c r="Z142" t="str">
        <f ca="1">IFERROR(IF(0=LEN(ReferenceData!$Z$142),"",ReferenceData!$Z$142),"")</f>
        <v/>
      </c>
      <c r="AA142" t="str">
        <f ca="1">IFERROR(IF(0=LEN(ReferenceData!$AA$142),"",ReferenceData!$AA$142),"")</f>
        <v/>
      </c>
      <c r="AB142" t="str">
        <f ca="1">IFERROR(IF(0=LEN(ReferenceData!$AB$142),"",ReferenceData!$AB$142),"")</f>
        <v/>
      </c>
      <c r="AC142" t="str">
        <f ca="1">IFERROR(IF(0=LEN(ReferenceData!$AC$142),"",ReferenceData!$AC$142),"")</f>
        <v/>
      </c>
      <c r="AD142" t="str">
        <f ca="1">IFERROR(IF(0=LEN(ReferenceData!$AD$142),"",ReferenceData!$AD$142),"")</f>
        <v/>
      </c>
      <c r="AE142" t="str">
        <f ca="1">IFERROR(IF(0=LEN(ReferenceData!$AE$142),"",ReferenceData!$AE$142),"")</f>
        <v/>
      </c>
      <c r="AF142" t="str">
        <f ca="1">IFERROR(IF(0=LEN(ReferenceData!$AF$142),"",ReferenceData!$AF$142),"")</f>
        <v/>
      </c>
      <c r="AG142" t="str">
        <f ca="1">IFERROR(IF(0=LEN(ReferenceData!$AG$142),"",ReferenceData!$AG$142),"")</f>
        <v/>
      </c>
      <c r="AH142" t="str">
        <f ca="1">IFERROR(IF(0=LEN(ReferenceData!$AH$142),"",ReferenceData!$AH$142),"")</f>
        <v/>
      </c>
      <c r="AI142" t="str">
        <f ca="1">IFERROR(IF(0=LEN(ReferenceData!$AI$142),"",ReferenceData!$AI$142),"")</f>
        <v/>
      </c>
      <c r="AJ142" t="str">
        <f ca="1">IFERROR(IF(0=LEN(ReferenceData!$AJ$142),"",ReferenceData!$AJ$142),"")</f>
        <v/>
      </c>
      <c r="AK142" t="str">
        <f ca="1">IFERROR(IF(0=LEN(ReferenceData!$AK$142),"",ReferenceData!$AK$142),"")</f>
        <v/>
      </c>
      <c r="AL142" t="str">
        <f ca="1">IFERROR(IF(0=LEN(ReferenceData!$AL$142),"",ReferenceData!$AL$142),"")</f>
        <v/>
      </c>
      <c r="AM142" t="str">
        <f ca="1">IFERROR(IF(0=LEN(ReferenceData!$AM$142),"",ReferenceData!$AM$142),"")</f>
        <v/>
      </c>
      <c r="AN142" t="str">
        <f ca="1">IFERROR(IF(0=LEN(ReferenceData!$AN$142),"",ReferenceData!$AN$142),"")</f>
        <v/>
      </c>
      <c r="AO142" t="str">
        <f ca="1">IFERROR(IF(0=LEN(ReferenceData!$AO$142),"",ReferenceData!$AO$142),"")</f>
        <v/>
      </c>
      <c r="AP142" t="str">
        <f ca="1">IFERROR(IF(0=LEN(ReferenceData!$AP$142),"",ReferenceData!$AP$142),"")</f>
        <v/>
      </c>
      <c r="AQ142" t="str">
        <f ca="1">IFERROR(IF(0=LEN(ReferenceData!$AQ$142),"",ReferenceData!$AQ$142),"")</f>
        <v/>
      </c>
      <c r="AR142" t="str">
        <f ca="1">IFERROR(IF(0=LEN(ReferenceData!$AR$142),"",ReferenceData!$AR$142),"")</f>
        <v/>
      </c>
      <c r="AS142" t="str">
        <f ca="1">IFERROR(IF(0=LEN(ReferenceData!$AS$142),"",ReferenceData!$AS$142),"")</f>
        <v/>
      </c>
      <c r="AT142" t="str">
        <f ca="1">IFERROR(IF(0=LEN(ReferenceData!$AT$142),"",ReferenceData!$AT$142),"")</f>
        <v/>
      </c>
      <c r="AU142" t="str">
        <f ca="1">IFERROR(IF(0=LEN(ReferenceData!$AU$142),"",ReferenceData!$AU$142),"")</f>
        <v/>
      </c>
      <c r="AV142" t="str">
        <f ca="1">IFERROR(IF(0=LEN(ReferenceData!$AV$142),"",ReferenceData!$AV$142),"")</f>
        <v/>
      </c>
      <c r="AW142" t="str">
        <f ca="1">IFERROR(IF(0=LEN(ReferenceData!$AW$142),"",ReferenceData!$AW$142),"")</f>
        <v/>
      </c>
      <c r="AX142" t="str">
        <f ca="1">IFERROR(IF(0=LEN(ReferenceData!$AX$142),"",ReferenceData!$AX$142),"")</f>
        <v/>
      </c>
      <c r="AY142" t="str">
        <f ca="1">IFERROR(IF(0=LEN(ReferenceData!$AY$142),"",ReferenceData!$AY$142),"")</f>
        <v/>
      </c>
      <c r="AZ142" t="str">
        <f ca="1">IFERROR(IF(0=LEN(ReferenceData!$AZ$142),"",ReferenceData!$AZ$142),"")</f>
        <v/>
      </c>
      <c r="BA142" t="str">
        <f ca="1">IFERROR(IF(0=LEN(ReferenceData!$BA$142),"",ReferenceData!$BA$142),"")</f>
        <v/>
      </c>
      <c r="BB142" t="str">
        <f ca="1">IFERROR(IF(0=LEN(ReferenceData!$BB$142),"",ReferenceData!$BB$142),"")</f>
        <v/>
      </c>
      <c r="BC142" t="str">
        <f ca="1">IFERROR(IF(0=LEN(ReferenceData!$BC$142),"",ReferenceData!$BC$142),"")</f>
        <v/>
      </c>
      <c r="BD142" t="str">
        <f ca="1">IFERROR(IF(0=LEN(ReferenceData!$BD$142),"",ReferenceData!$BD$142),"")</f>
        <v/>
      </c>
      <c r="BE142" t="str">
        <f ca="1">IFERROR(IF(0=LEN(ReferenceData!$BE$142),"",ReferenceData!$BE$142),"")</f>
        <v/>
      </c>
      <c r="BF142" t="str">
        <f ca="1">IFERROR(IF(0=LEN(ReferenceData!$BF$142),"",ReferenceData!$BF$142),"")</f>
        <v/>
      </c>
      <c r="BG142" t="str">
        <f ca="1">IFERROR(IF(0=LEN(ReferenceData!$BG$142),"",ReferenceData!$BG$142),"")</f>
        <v/>
      </c>
      <c r="BH142" t="str">
        <f ca="1">IFERROR(IF(0=LEN(ReferenceData!$BH$142),"",ReferenceData!$BH$142),"")</f>
        <v/>
      </c>
      <c r="BI142" t="str">
        <f ca="1">IFERROR(IF(0=LEN(ReferenceData!$BI$142),"",ReferenceData!$BI$142),"")</f>
        <v/>
      </c>
      <c r="BJ142" t="str">
        <f ca="1">IFERROR(IF(0=LEN(ReferenceData!$BJ$142),"",ReferenceData!$BJ$142),"")</f>
        <v/>
      </c>
      <c r="BK142" t="str">
        <f ca="1">IFERROR(IF(0=LEN(ReferenceData!$BK$142),"",ReferenceData!$BK$142),"")</f>
        <v/>
      </c>
      <c r="BL142" t="str">
        <f ca="1">IFERROR(IF(0=LEN(ReferenceData!$BL$142),"",ReferenceData!$BL$142),"")</f>
        <v/>
      </c>
      <c r="BM142" t="str">
        <f ca="1">IFERROR(IF(0=LEN(ReferenceData!$BM$142),"",ReferenceData!$BM$142),"")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83"/>
  <sheetViews>
    <sheetView topLeftCell="A19" workbookViewId="0"/>
  </sheetViews>
  <sheetFormatPr defaultRowHeight="15" x14ac:dyDescent="0.25"/>
  <cols>
    <col min="1" max="1" width="56.28515625" customWidth="1"/>
    <col min="2" max="2" width="15.85546875" customWidth="1"/>
    <col min="3" max="125" width="9.140625" bestFit="1" customWidth="1"/>
  </cols>
  <sheetData>
    <row r="1" spans="1:1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ReferenceData!$C$274</f>
        <v>Q4 2021 Est</v>
      </c>
      <c r="G2" s="1" t="str">
        <f>ReferenceData!$D$274</f>
        <v>Q3 2021</v>
      </c>
      <c r="H2" s="1" t="str">
        <f>ReferenceData!$E$274</f>
        <v>Q2 2021</v>
      </c>
      <c r="I2" s="1" t="str">
        <f>ReferenceData!$F$274</f>
        <v>Q1 2021</v>
      </c>
      <c r="J2" s="1" t="str">
        <f>ReferenceData!$G$274</f>
        <v>Q4 2020</v>
      </c>
      <c r="K2" s="1" t="str">
        <f>ReferenceData!$H$274</f>
        <v>Q3 2020</v>
      </c>
      <c r="L2" s="1" t="str">
        <f>ReferenceData!$I$274</f>
        <v>Q2 2020</v>
      </c>
      <c r="M2" s="1" t="str">
        <f>ReferenceData!$J$274</f>
        <v>Q1 2020</v>
      </c>
      <c r="N2" s="1" t="str">
        <f>ReferenceData!$K$274</f>
        <v>Q4 2019</v>
      </c>
      <c r="O2" s="1" t="str">
        <f>ReferenceData!$L$274</f>
        <v>Q3 2019</v>
      </c>
      <c r="P2" s="1" t="str">
        <f>ReferenceData!$M$274</f>
        <v>Q2 2019</v>
      </c>
      <c r="Q2" s="1" t="str">
        <f>ReferenceData!$N$274</f>
        <v>Q1 2019</v>
      </c>
      <c r="R2" s="1" t="str">
        <f>ReferenceData!$O$274</f>
        <v>Q4 2018</v>
      </c>
      <c r="S2" s="1" t="str">
        <f>ReferenceData!$P$274</f>
        <v>Q3 2018</v>
      </c>
      <c r="T2" s="1" t="str">
        <f>ReferenceData!$Q$274</f>
        <v>Q2 2018</v>
      </c>
      <c r="U2" s="1" t="str">
        <f>ReferenceData!$R$274</f>
        <v>Q1 2018</v>
      </c>
      <c r="V2" s="1" t="str">
        <f>ReferenceData!$S$274</f>
        <v>Q4 2017</v>
      </c>
      <c r="W2" s="1" t="str">
        <f>ReferenceData!$T$274</f>
        <v>Q3 2017</v>
      </c>
      <c r="X2" s="1" t="str">
        <f>ReferenceData!$U$274</f>
        <v>Q2 2017</v>
      </c>
      <c r="Y2" s="1" t="str">
        <f>ReferenceData!$V$274</f>
        <v>Q1 2017</v>
      </c>
      <c r="Z2" s="1" t="str">
        <f>ReferenceData!$W$274</f>
        <v>Q4 2016</v>
      </c>
      <c r="AA2" s="1" t="str">
        <f>ReferenceData!$X$274</f>
        <v>Q3 2016</v>
      </c>
      <c r="AB2" s="1" t="str">
        <f>ReferenceData!$Y$274</f>
        <v>Q2 2016</v>
      </c>
      <c r="AC2" s="1" t="str">
        <f>ReferenceData!$Z$274</f>
        <v>Q1 2016</v>
      </c>
      <c r="AD2" s="1" t="str">
        <f>ReferenceData!$AA$274</f>
        <v>Q4 2015</v>
      </c>
      <c r="AE2" s="1" t="str">
        <f>ReferenceData!$AB$274</f>
        <v>Q3 2015</v>
      </c>
      <c r="AF2" s="1" t="str">
        <f>ReferenceData!$AC$274</f>
        <v>Q2 2015</v>
      </c>
      <c r="AG2" s="1" t="str">
        <f>ReferenceData!$AD$274</f>
        <v>Q1 2015</v>
      </c>
      <c r="AH2" s="1" t="str">
        <f>ReferenceData!$AE$274</f>
        <v>Q4 2014</v>
      </c>
      <c r="AI2" s="1" t="str">
        <f>ReferenceData!$AF$274</f>
        <v>Q3 2014</v>
      </c>
      <c r="AJ2" s="1" t="str">
        <f>ReferenceData!$AG$274</f>
        <v>Q2 2014</v>
      </c>
      <c r="AK2" s="1" t="str">
        <f>ReferenceData!$AH$274</f>
        <v>Q1 2014</v>
      </c>
      <c r="AL2" s="1" t="str">
        <f>ReferenceData!$AI$274</f>
        <v>Q4 2013</v>
      </c>
      <c r="AM2" s="1" t="str">
        <f>ReferenceData!$AJ$274</f>
        <v>Q3 2013</v>
      </c>
      <c r="AN2" s="1" t="str">
        <f>ReferenceData!$AK$274</f>
        <v>Q2 2013</v>
      </c>
      <c r="AO2" s="1" t="str">
        <f>ReferenceData!$AL$274</f>
        <v>Q1 2013</v>
      </c>
      <c r="AP2" s="1" t="str">
        <f>ReferenceData!$AM$274</f>
        <v>Q4 2012</v>
      </c>
      <c r="AQ2" s="1" t="str">
        <f>ReferenceData!$AN$274</f>
        <v>Q3 2012</v>
      </c>
      <c r="AR2" s="1" t="str">
        <f>ReferenceData!$AO$274</f>
        <v>Q2 2012</v>
      </c>
      <c r="AS2" s="1" t="str">
        <f>ReferenceData!$AP$274</f>
        <v>Q1 2012</v>
      </c>
      <c r="AT2" s="1" t="str">
        <f>ReferenceData!$AQ$274</f>
        <v>Q4 2011</v>
      </c>
      <c r="AU2" s="1" t="str">
        <f>ReferenceData!$AR$274</f>
        <v>Q3 2011</v>
      </c>
      <c r="AV2" s="1" t="str">
        <f>ReferenceData!$AS$274</f>
        <v>Q2 2011</v>
      </c>
      <c r="AW2" s="1" t="str">
        <f>ReferenceData!$AT$274</f>
        <v>Q1 2011</v>
      </c>
      <c r="AX2" s="1" t="str">
        <f>ReferenceData!$AU$274</f>
        <v>Q4 2010</v>
      </c>
      <c r="AY2" s="1" t="str">
        <f>ReferenceData!$AV$274</f>
        <v>Q3 2010</v>
      </c>
      <c r="AZ2" s="1" t="str">
        <f>ReferenceData!$AW$274</f>
        <v>Q2 2010</v>
      </c>
      <c r="BA2" s="1" t="str">
        <f>ReferenceData!$AX$274</f>
        <v>Q1 2010</v>
      </c>
      <c r="BB2" s="1" t="str">
        <f>ReferenceData!$AY$274</f>
        <v>Q4 2009</v>
      </c>
      <c r="BC2" s="1" t="str">
        <f>ReferenceData!$AZ$274</f>
        <v>Q3 2009</v>
      </c>
      <c r="BD2" s="1" t="str">
        <f>ReferenceData!$BA$274</f>
        <v>Q2 2009</v>
      </c>
      <c r="BE2" s="1" t="str">
        <f>ReferenceData!$BB$274</f>
        <v>Q1 2009</v>
      </c>
      <c r="BF2" s="1" t="str">
        <f>ReferenceData!$BC$274</f>
        <v>Q4 2008</v>
      </c>
      <c r="BG2" s="1" t="str">
        <f>ReferenceData!$BD$274</f>
        <v>Q3 2008</v>
      </c>
      <c r="BH2" s="1" t="str">
        <f>ReferenceData!$BE$274</f>
        <v>Q2 2008</v>
      </c>
      <c r="BI2" s="1" t="str">
        <f>ReferenceData!$BF$274</f>
        <v>Q1 2008</v>
      </c>
      <c r="BJ2" s="1" t="str">
        <f>ReferenceData!$BG$274</f>
        <v>Q4 2007</v>
      </c>
      <c r="BK2" s="1" t="str">
        <f>ReferenceData!$BH$274</f>
        <v>Q3 2007</v>
      </c>
      <c r="BL2" s="1" t="str">
        <f>ReferenceData!$BI$274</f>
        <v>Q2 2007</v>
      </c>
      <c r="BM2" s="1" t="str">
        <f>ReferenceData!$BJ$274</f>
        <v>Q1 2007</v>
      </c>
      <c r="BN2" t="str">
        <f>$C$274</f>
        <v>Q4 2021 Est</v>
      </c>
      <c r="BO2" t="str">
        <f>$D$274</f>
        <v>Q3 2021</v>
      </c>
      <c r="BP2" t="str">
        <f>$E$274</f>
        <v>Q2 2021</v>
      </c>
      <c r="BQ2" t="str">
        <f>$F$274</f>
        <v>Q1 2021</v>
      </c>
      <c r="BR2" t="str">
        <f>$G$274</f>
        <v>Q4 2020</v>
      </c>
      <c r="BS2" t="str">
        <f>$H$274</f>
        <v>Q3 2020</v>
      </c>
      <c r="BT2" t="str">
        <f>$I$274</f>
        <v>Q2 2020</v>
      </c>
      <c r="BU2" t="str">
        <f>$J$274</f>
        <v>Q1 2020</v>
      </c>
      <c r="BV2" t="str">
        <f>$K$274</f>
        <v>Q4 2019</v>
      </c>
      <c r="BW2" t="str">
        <f>$L$274</f>
        <v>Q3 2019</v>
      </c>
      <c r="BX2" t="str">
        <f>$M$274</f>
        <v>Q2 2019</v>
      </c>
      <c r="BY2" t="str">
        <f>$N$274</f>
        <v>Q1 2019</v>
      </c>
      <c r="BZ2" t="str">
        <f>$O$274</f>
        <v>Q4 2018</v>
      </c>
      <c r="CA2" t="str">
        <f>$P$274</f>
        <v>Q3 2018</v>
      </c>
      <c r="CB2" t="str">
        <f>$Q$274</f>
        <v>Q2 2018</v>
      </c>
      <c r="CC2" t="str">
        <f>$R$274</f>
        <v>Q1 2018</v>
      </c>
      <c r="CD2" t="str">
        <f>$S$274</f>
        <v>Q4 2017</v>
      </c>
      <c r="CE2" t="str">
        <f>$T$274</f>
        <v>Q3 2017</v>
      </c>
      <c r="CF2" t="str">
        <f>$U$274</f>
        <v>Q2 2017</v>
      </c>
      <c r="CG2" t="str">
        <f>$V$274</f>
        <v>Q1 2017</v>
      </c>
      <c r="CH2" t="str">
        <f>$W$274</f>
        <v>Q4 2016</v>
      </c>
      <c r="CI2" t="str">
        <f>$X$274</f>
        <v>Q3 2016</v>
      </c>
      <c r="CJ2" t="str">
        <f>$Y$274</f>
        <v>Q2 2016</v>
      </c>
      <c r="CK2" t="str">
        <f>$Z$274</f>
        <v>Q1 2016</v>
      </c>
      <c r="CL2" t="str">
        <f>$AA$274</f>
        <v>Q4 2015</v>
      </c>
      <c r="CM2" t="str">
        <f>$AB$274</f>
        <v>Q3 2015</v>
      </c>
      <c r="CN2" t="str">
        <f>$AC$274</f>
        <v>Q2 2015</v>
      </c>
      <c r="CO2" t="str">
        <f>$AD$274</f>
        <v>Q1 2015</v>
      </c>
      <c r="CP2" t="str">
        <f>$AE$274</f>
        <v>Q4 2014</v>
      </c>
      <c r="CQ2" t="str">
        <f>$AF$274</f>
        <v>Q3 2014</v>
      </c>
      <c r="CR2" t="str">
        <f>$AG$274</f>
        <v>Q2 2014</v>
      </c>
      <c r="CS2" t="str">
        <f>$AH$274</f>
        <v>Q1 2014</v>
      </c>
      <c r="CT2" t="str">
        <f>$AI$274</f>
        <v>Q4 2013</v>
      </c>
      <c r="CU2" t="str">
        <f>$AJ$274</f>
        <v>Q3 2013</v>
      </c>
      <c r="CV2" t="str">
        <f>$AK$274</f>
        <v>Q2 2013</v>
      </c>
      <c r="CW2" t="str">
        <f>$AL$274</f>
        <v>Q1 2013</v>
      </c>
      <c r="CX2" t="str">
        <f>$AM$274</f>
        <v>Q4 2012</v>
      </c>
      <c r="CY2" t="str">
        <f>$AN$274</f>
        <v>Q3 2012</v>
      </c>
      <c r="CZ2" t="str">
        <f>$AO$274</f>
        <v>Q2 2012</v>
      </c>
      <c r="DA2" t="str">
        <f>$AP$274</f>
        <v>Q1 2012</v>
      </c>
      <c r="DB2" t="str">
        <f>$AQ$274</f>
        <v>Q4 2011</v>
      </c>
      <c r="DC2" t="str">
        <f>$AR$274</f>
        <v>Q3 2011</v>
      </c>
      <c r="DD2" t="str">
        <f>$AS$274</f>
        <v>Q2 2011</v>
      </c>
      <c r="DE2" t="str">
        <f>$AT$274</f>
        <v>Q1 2011</v>
      </c>
      <c r="DF2" t="str">
        <f>$AU$274</f>
        <v>Q4 2010</v>
      </c>
      <c r="DG2" t="str">
        <f>$AV$274</f>
        <v>Q3 2010</v>
      </c>
      <c r="DH2" t="str">
        <f>$AW$274</f>
        <v>Q2 2010</v>
      </c>
      <c r="DI2" t="str">
        <f>$AX$274</f>
        <v>Q1 2010</v>
      </c>
      <c r="DJ2" t="str">
        <f>$AY$274</f>
        <v>Q4 2009</v>
      </c>
      <c r="DK2" t="str">
        <f>$AZ$274</f>
        <v>Q3 2009</v>
      </c>
      <c r="DL2" t="str">
        <f>$BA$274</f>
        <v>Q2 2009</v>
      </c>
      <c r="DM2" t="str">
        <f>$BB$274</f>
        <v>Q1 2009</v>
      </c>
      <c r="DN2" t="str">
        <f>$BC$274</f>
        <v>Q4 2008</v>
      </c>
      <c r="DO2" t="str">
        <f>$BD$274</f>
        <v>Q3 2008</v>
      </c>
      <c r="DP2" t="str">
        <f>$BE$274</f>
        <v>Q2 2008</v>
      </c>
      <c r="DQ2" t="str">
        <f>$BF$274</f>
        <v>Q1 2008</v>
      </c>
      <c r="DR2" t="str">
        <f>$BG$274</f>
        <v>Q4 2007</v>
      </c>
      <c r="DS2" t="str">
        <f>$BH$274</f>
        <v>Q3 2007</v>
      </c>
      <c r="DT2" t="str">
        <f>$BI$274</f>
        <v>Q2 2007</v>
      </c>
      <c r="DU2" t="str">
        <f>$BJ$274</f>
        <v>Q1 2007</v>
      </c>
    </row>
    <row r="3" spans="1:125" x14ac:dyDescent="0.25">
      <c r="A3" t="str">
        <f>"In Millions (Except Per Share or Noted Otherwise)"</f>
        <v>In Millions (Except Per Share or Noted Otherwise)</v>
      </c>
      <c r="B3" t="str">
        <f>""</f>
        <v/>
      </c>
      <c r="E3" t="str">
        <f>"Static"</f>
        <v>Static</v>
      </c>
      <c r="F3" t="str">
        <f t="shared" ref="F3:O4" ca="1" si="0">HLOOKUP(INDIRECT(ADDRESS(2,COLUMN())),OFFSET($BN$2,0,0,ROW()-1,60),ROW()-1,FALSE)</f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ref="P3:Y4" ca="1" si="1">HLOOKUP(INDIRECT(ADDRESS(2,COLUMN())),OFFSET($BN$2,0,0,ROW()-1,60),ROW()-1,FALSE)</f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1"/>
        <v/>
      </c>
      <c r="W3" t="str">
        <f t="shared" ca="1" si="1"/>
        <v/>
      </c>
      <c r="X3" t="str">
        <f t="shared" ca="1" si="1"/>
        <v/>
      </c>
      <c r="Y3" t="str">
        <f t="shared" ca="1" si="1"/>
        <v/>
      </c>
      <c r="Z3" t="str">
        <f t="shared" ref="Z3:AI4" ca="1" si="2">HLOOKUP(INDIRECT(ADDRESS(2,COLUMN())),OFFSET($BN$2,0,0,ROW()-1,60),ROW()-1,FALSE)</f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2"/>
        <v/>
      </c>
      <c r="AG3" t="str">
        <f t="shared" ca="1" si="2"/>
        <v/>
      </c>
      <c r="AH3" t="str">
        <f t="shared" ca="1" si="2"/>
        <v/>
      </c>
      <c r="AI3" t="str">
        <f t="shared" ca="1" si="2"/>
        <v/>
      </c>
      <c r="AJ3" t="str">
        <f t="shared" ref="AJ3:AS4" ca="1" si="3">HLOOKUP(INDIRECT(ADDRESS(2,COLUMN())),OFFSET($BN$2,0,0,ROW()-1,60),ROW()-1,FALSE)</f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3"/>
        <v/>
      </c>
      <c r="AQ3" t="str">
        <f t="shared" ca="1" si="3"/>
        <v/>
      </c>
      <c r="AR3" t="str">
        <f t="shared" ca="1" si="3"/>
        <v/>
      </c>
      <c r="AS3" t="str">
        <f t="shared" ca="1" si="3"/>
        <v/>
      </c>
      <c r="AT3" t="str">
        <f t="shared" ref="AT3:BC4" ca="1" si="4">HLOOKUP(INDIRECT(ADDRESS(2,COLUMN())),OFFSET($BN$2,0,0,ROW()-1,60),ROW()-1,FALSE)</f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4"/>
        <v/>
      </c>
      <c r="BA3" t="str">
        <f t="shared" ca="1" si="4"/>
        <v/>
      </c>
      <c r="BB3" t="str">
        <f t="shared" ca="1" si="4"/>
        <v/>
      </c>
      <c r="BC3" t="str">
        <f t="shared" ca="1" si="4"/>
        <v/>
      </c>
      <c r="BD3" t="str">
        <f t="shared" ref="BD3:BM4" ca="1" si="5">HLOOKUP(INDIRECT(ADDRESS(2,COLUMN())),OFFSET($BN$2,0,0,ROW()-1,60),ROW()-1,FALSE)</f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5"/>
        <v/>
      </c>
      <c r="BK3" t="str">
        <f t="shared" ca="1" si="5"/>
        <v/>
      </c>
      <c r="BL3" t="str">
        <f t="shared" ca="1" si="5"/>
        <v/>
      </c>
      <c r="BM3" t="str">
        <f t="shared" ca="1" si="5"/>
        <v/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  <c r="CH3" t="str">
        <f>""</f>
        <v/>
      </c>
      <c r="CI3" t="str">
        <f>""</f>
        <v/>
      </c>
      <c r="CJ3" t="str">
        <f>""</f>
        <v/>
      </c>
      <c r="CK3" t="str">
        <f>""</f>
        <v/>
      </c>
      <c r="CL3" t="str">
        <f>""</f>
        <v/>
      </c>
      <c r="CM3" t="str">
        <f>""</f>
        <v/>
      </c>
      <c r="CN3" t="str">
        <f>""</f>
        <v/>
      </c>
      <c r="CO3" t="str">
        <f>""</f>
        <v/>
      </c>
      <c r="CP3" t="str">
        <f>""</f>
        <v/>
      </c>
      <c r="CQ3" t="str">
        <f>""</f>
        <v/>
      </c>
      <c r="CR3" t="str">
        <f>""</f>
        <v/>
      </c>
      <c r="CS3" t="str">
        <f>""</f>
        <v/>
      </c>
      <c r="CT3" t="str">
        <f>""</f>
        <v/>
      </c>
      <c r="CU3" t="str">
        <f>""</f>
        <v/>
      </c>
      <c r="CV3" t="str">
        <f>""</f>
        <v/>
      </c>
      <c r="CW3" t="str">
        <f>""</f>
        <v/>
      </c>
      <c r="CX3" t="str">
        <f>""</f>
        <v/>
      </c>
      <c r="CY3" t="str">
        <f>""</f>
        <v/>
      </c>
      <c r="CZ3" t="str">
        <f>""</f>
        <v/>
      </c>
      <c r="DA3" t="str">
        <f>""</f>
        <v/>
      </c>
      <c r="DB3" t="str">
        <f>""</f>
        <v/>
      </c>
      <c r="DC3" t="str">
        <f>""</f>
        <v/>
      </c>
      <c r="DD3" t="str">
        <f>""</f>
        <v/>
      </c>
      <c r="DE3" t="str">
        <f>""</f>
        <v/>
      </c>
      <c r="DF3" t="str">
        <f>""</f>
        <v/>
      </c>
      <c r="DG3" t="str">
        <f>""</f>
        <v/>
      </c>
      <c r="DH3" t="str">
        <f>""</f>
        <v/>
      </c>
      <c r="DI3" t="str">
        <f>""</f>
        <v/>
      </c>
      <c r="DJ3" t="str">
        <f>""</f>
        <v/>
      </c>
      <c r="DK3" t="str">
        <f>""</f>
        <v/>
      </c>
      <c r="DL3" t="str">
        <f>""</f>
        <v/>
      </c>
      <c r="DM3" t="str">
        <f>""</f>
        <v/>
      </c>
      <c r="DN3" t="str">
        <f>""</f>
        <v/>
      </c>
      <c r="DO3" t="str">
        <f>""</f>
        <v/>
      </c>
      <c r="DP3" t="str">
        <f>""</f>
        <v/>
      </c>
      <c r="DQ3" t="str">
        <f>""</f>
        <v/>
      </c>
      <c r="DR3" t="str">
        <f>""</f>
        <v/>
      </c>
      <c r="DS3" t="str">
        <f>""</f>
        <v/>
      </c>
      <c r="DT3" t="str">
        <f>""</f>
        <v/>
      </c>
      <c r="DU3" t="str">
        <f>""</f>
        <v/>
      </c>
    </row>
    <row r="4" spans="1:125" x14ac:dyDescent="0.25">
      <c r="A4" t="str">
        <f>""</f>
        <v/>
      </c>
      <c r="B4" t="str">
        <f>""</f>
        <v/>
      </c>
      <c r="E4" t="str">
        <f>"Static"</f>
        <v>Static</v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1"/>
        <v/>
      </c>
      <c r="W4" t="str">
        <f t="shared" ca="1" si="1"/>
        <v/>
      </c>
      <c r="X4" t="str">
        <f t="shared" ca="1" si="1"/>
        <v/>
      </c>
      <c r="Y4" t="str">
        <f t="shared" ca="1" si="1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2"/>
        <v/>
      </c>
      <c r="AG4" t="str">
        <f t="shared" ca="1" si="2"/>
        <v/>
      </c>
      <c r="AH4" t="str">
        <f t="shared" ca="1" si="2"/>
        <v/>
      </c>
      <c r="AI4" t="str">
        <f t="shared" ca="1" si="2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3"/>
        <v/>
      </c>
      <c r="AQ4" t="str">
        <f t="shared" ca="1" si="3"/>
        <v/>
      </c>
      <c r="AR4" t="str">
        <f t="shared" ca="1" si="3"/>
        <v/>
      </c>
      <c r="AS4" t="str">
        <f t="shared" ca="1" si="3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4"/>
        <v/>
      </c>
      <c r="BA4" t="str">
        <f t="shared" ca="1" si="4"/>
        <v/>
      </c>
      <c r="BB4" t="str">
        <f t="shared" ca="1" si="4"/>
        <v/>
      </c>
      <c r="BC4" t="str">
        <f t="shared" ca="1" si="4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5"/>
        <v/>
      </c>
      <c r="BK4" t="str">
        <f t="shared" ca="1" si="5"/>
        <v/>
      </c>
      <c r="BL4" t="str">
        <f t="shared" ca="1" si="5"/>
        <v/>
      </c>
      <c r="BM4" t="str">
        <f t="shared" ca="1" si="5"/>
        <v/>
      </c>
      <c r="BN4" t="str">
        <f>""</f>
        <v/>
      </c>
      <c r="BO4" t="str">
        <f>""</f>
        <v/>
      </c>
      <c r="BP4" t="str">
        <f>""</f>
        <v/>
      </c>
      <c r="BQ4" t="str">
        <f>""</f>
        <v/>
      </c>
      <c r="BR4" t="str">
        <f>""</f>
        <v/>
      </c>
      <c r="BS4" t="str">
        <f>""</f>
        <v/>
      </c>
      <c r="BT4" t="str">
        <f>""</f>
        <v/>
      </c>
      <c r="BU4" t="str">
        <f>""</f>
        <v/>
      </c>
      <c r="BV4" t="str">
        <f>""</f>
        <v/>
      </c>
      <c r="BW4" t="str">
        <f>""</f>
        <v/>
      </c>
      <c r="BX4" t="str">
        <f>""</f>
        <v/>
      </c>
      <c r="BY4" t="str">
        <f>""</f>
        <v/>
      </c>
      <c r="BZ4" t="str">
        <f>""</f>
        <v/>
      </c>
      <c r="CA4" t="str">
        <f>""</f>
        <v/>
      </c>
      <c r="CB4" t="str">
        <f>""</f>
        <v/>
      </c>
      <c r="CC4" t="str">
        <f>""</f>
        <v/>
      </c>
      <c r="CD4" t="str">
        <f>""</f>
        <v/>
      </c>
      <c r="CE4" t="str">
        <f>""</f>
        <v/>
      </c>
      <c r="CF4" t="str">
        <f>""</f>
        <v/>
      </c>
      <c r="CG4" t="str">
        <f>""</f>
        <v/>
      </c>
      <c r="CH4" t="str">
        <f>""</f>
        <v/>
      </c>
      <c r="CI4" t="str">
        <f>""</f>
        <v/>
      </c>
      <c r="CJ4" t="str">
        <f>""</f>
        <v/>
      </c>
      <c r="CK4" t="str">
        <f>""</f>
        <v/>
      </c>
      <c r="CL4" t="str">
        <f>""</f>
        <v/>
      </c>
      <c r="CM4" t="str">
        <f>""</f>
        <v/>
      </c>
      <c r="CN4" t="str">
        <f>""</f>
        <v/>
      </c>
      <c r="CO4" t="str">
        <f>""</f>
        <v/>
      </c>
      <c r="CP4" t="str">
        <f>""</f>
        <v/>
      </c>
      <c r="CQ4" t="str">
        <f>""</f>
        <v/>
      </c>
      <c r="CR4" t="str">
        <f>""</f>
        <v/>
      </c>
      <c r="CS4" t="str">
        <f>""</f>
        <v/>
      </c>
      <c r="CT4" t="str">
        <f>""</f>
        <v/>
      </c>
      <c r="CU4" t="str">
        <f>""</f>
        <v/>
      </c>
      <c r="CV4" t="str">
        <f>""</f>
        <v/>
      </c>
      <c r="CW4" t="str">
        <f>""</f>
        <v/>
      </c>
      <c r="CX4" t="str">
        <f>""</f>
        <v/>
      </c>
      <c r="CY4" t="str">
        <f>""</f>
        <v/>
      </c>
      <c r="CZ4" t="str">
        <f>""</f>
        <v/>
      </c>
      <c r="DA4" t="str">
        <f>""</f>
        <v/>
      </c>
      <c r="DB4" t="str">
        <f>""</f>
        <v/>
      </c>
      <c r="DC4" t="str">
        <f>""</f>
        <v/>
      </c>
      <c r="DD4" t="str">
        <f>""</f>
        <v/>
      </c>
      <c r="DE4" t="str">
        <f>""</f>
        <v/>
      </c>
      <c r="DF4" t="str">
        <f>""</f>
        <v/>
      </c>
      <c r="DG4" t="str">
        <f>""</f>
        <v/>
      </c>
      <c r="DH4" t="str">
        <f>""</f>
        <v/>
      </c>
      <c r="DI4" t="str">
        <f>""</f>
        <v/>
      </c>
      <c r="DJ4" t="str">
        <f>""</f>
        <v/>
      </c>
      <c r="DK4" t="str">
        <f>""</f>
        <v/>
      </c>
      <c r="DL4" t="str">
        <f>""</f>
        <v/>
      </c>
      <c r="DM4" t="str">
        <f>""</f>
        <v/>
      </c>
      <c r="DN4" t="str">
        <f>""</f>
        <v/>
      </c>
      <c r="DO4" t="str">
        <f>""</f>
        <v/>
      </c>
      <c r="DP4" t="str">
        <f>""</f>
        <v/>
      </c>
      <c r="DQ4" t="str">
        <f>""</f>
        <v/>
      </c>
      <c r="DR4" t="str">
        <f>""</f>
        <v/>
      </c>
      <c r="DS4" t="str">
        <f>""</f>
        <v/>
      </c>
      <c r="DT4" t="str">
        <f>""</f>
        <v/>
      </c>
      <c r="DU4" t="str">
        <f>""</f>
        <v/>
      </c>
    </row>
    <row r="5" spans="1:125" x14ac:dyDescent="0.25">
      <c r="A5" t="str">
        <f>"Key Performance Indicators"</f>
        <v>Key Performance Indicators</v>
      </c>
      <c r="B5" t="str">
        <f>""</f>
        <v/>
      </c>
      <c r="E5" t="str">
        <f>"Heading"</f>
        <v>Heading</v>
      </c>
      <c r="BN5" t="str">
        <f>""</f>
        <v/>
      </c>
      <c r="BO5" t="str">
        <f>""</f>
        <v/>
      </c>
      <c r="BP5" t="str">
        <f>""</f>
        <v/>
      </c>
      <c r="BQ5" t="str">
        <f>""</f>
        <v/>
      </c>
      <c r="BR5" t="str">
        <f>""</f>
        <v/>
      </c>
      <c r="BS5" t="str">
        <f>""</f>
        <v/>
      </c>
      <c r="BT5" t="str">
        <f>""</f>
        <v/>
      </c>
      <c r="BU5" t="str">
        <f>""</f>
        <v/>
      </c>
      <c r="BV5" t="str">
        <f>""</f>
        <v/>
      </c>
      <c r="BW5" t="str">
        <f>""</f>
        <v/>
      </c>
      <c r="BX5" t="str">
        <f>""</f>
        <v/>
      </c>
      <c r="BY5" t="str">
        <f>""</f>
        <v/>
      </c>
      <c r="BZ5" t="str">
        <f>""</f>
        <v/>
      </c>
      <c r="CA5" t="str">
        <f>""</f>
        <v/>
      </c>
      <c r="CB5" t="str">
        <f>""</f>
        <v/>
      </c>
      <c r="CC5" t="str">
        <f>""</f>
        <v/>
      </c>
      <c r="CD5" t="str">
        <f>""</f>
        <v/>
      </c>
      <c r="CE5" t="str">
        <f>""</f>
        <v/>
      </c>
      <c r="CF5" t="str">
        <f>""</f>
        <v/>
      </c>
      <c r="CG5" t="str">
        <f>""</f>
        <v/>
      </c>
      <c r="CH5" t="str">
        <f>""</f>
        <v/>
      </c>
      <c r="CI5" t="str">
        <f>""</f>
        <v/>
      </c>
      <c r="CJ5" t="str">
        <f>""</f>
        <v/>
      </c>
      <c r="CK5" t="str">
        <f>""</f>
        <v/>
      </c>
      <c r="CL5" t="str">
        <f>""</f>
        <v/>
      </c>
      <c r="CM5" t="str">
        <f>""</f>
        <v/>
      </c>
      <c r="CN5" t="str">
        <f>""</f>
        <v/>
      </c>
      <c r="CO5" t="str">
        <f>""</f>
        <v/>
      </c>
      <c r="CP5" t="str">
        <f>""</f>
        <v/>
      </c>
      <c r="CQ5" t="str">
        <f>""</f>
        <v/>
      </c>
      <c r="CR5" t="str">
        <f>""</f>
        <v/>
      </c>
      <c r="CS5" t="str">
        <f>""</f>
        <v/>
      </c>
      <c r="CT5" t="str">
        <f>""</f>
        <v/>
      </c>
      <c r="CU5" t="str">
        <f>""</f>
        <v/>
      </c>
      <c r="CV5" t="str">
        <f>""</f>
        <v/>
      </c>
      <c r="CW5" t="str">
        <f>""</f>
        <v/>
      </c>
      <c r="CX5" t="str">
        <f>""</f>
        <v/>
      </c>
      <c r="CY5" t="str">
        <f>""</f>
        <v/>
      </c>
      <c r="CZ5" t="str">
        <f>""</f>
        <v/>
      </c>
      <c r="DA5" t="str">
        <f>""</f>
        <v/>
      </c>
      <c r="DB5" t="str">
        <f>""</f>
        <v/>
      </c>
      <c r="DC5" t="str">
        <f>""</f>
        <v/>
      </c>
      <c r="DD5" t="str">
        <f>""</f>
        <v/>
      </c>
      <c r="DE5" t="str">
        <f>""</f>
        <v/>
      </c>
      <c r="DF5" t="str">
        <f>""</f>
        <v/>
      </c>
      <c r="DG5" t="str">
        <f>""</f>
        <v/>
      </c>
      <c r="DH5" t="str">
        <f>""</f>
        <v/>
      </c>
      <c r="DI5" t="str">
        <f>""</f>
        <v/>
      </c>
      <c r="DJ5" t="str">
        <f>""</f>
        <v/>
      </c>
      <c r="DK5" t="str">
        <f>""</f>
        <v/>
      </c>
      <c r="DL5" t="str">
        <f>""</f>
        <v/>
      </c>
      <c r="DM5" t="str">
        <f>""</f>
        <v/>
      </c>
      <c r="DN5" t="str">
        <f>""</f>
        <v/>
      </c>
      <c r="DO5" t="str">
        <f>""</f>
        <v/>
      </c>
      <c r="DP5" t="str">
        <f>""</f>
        <v/>
      </c>
      <c r="DQ5" t="str">
        <f>""</f>
        <v/>
      </c>
      <c r="DR5" t="str">
        <f>""</f>
        <v/>
      </c>
      <c r="DS5" t="str">
        <f>""</f>
        <v/>
      </c>
      <c r="DT5" t="str">
        <f>""</f>
        <v/>
      </c>
      <c r="DU5" t="str">
        <f>""</f>
        <v/>
      </c>
    </row>
    <row r="6" spans="1:125" x14ac:dyDescent="0.25">
      <c r="A6" t="str">
        <f>"    "</f>
        <v xml:space="preserve">    </v>
      </c>
      <c r="B6" t="str">
        <f>""</f>
        <v/>
      </c>
      <c r="E6" t="str">
        <f>"Static"</f>
        <v>Static</v>
      </c>
      <c r="F6" t="str">
        <f t="shared" ref="F6:AK6" ca="1" si="6">HLOOKUP(INDIRECT(ADDRESS(2,COLUMN())),OFFSET($BN$2,0,0,ROW()-1,60),ROW()-1,FALSE)</f>
        <v/>
      </c>
      <c r="G6" t="str">
        <f t="shared" ca="1" si="6"/>
        <v/>
      </c>
      <c r="H6" t="str">
        <f t="shared" ca="1" si="6"/>
        <v/>
      </c>
      <c r="I6" t="str">
        <f t="shared" ca="1" si="6"/>
        <v/>
      </c>
      <c r="J6" t="str">
        <f t="shared" ca="1" si="6"/>
        <v/>
      </c>
      <c r="K6" t="str">
        <f t="shared" ca="1" si="6"/>
        <v/>
      </c>
      <c r="L6" t="str">
        <f t="shared" ca="1" si="6"/>
        <v/>
      </c>
      <c r="M6" t="str">
        <f t="shared" ca="1" si="6"/>
        <v/>
      </c>
      <c r="N6" t="str">
        <f t="shared" ca="1" si="6"/>
        <v/>
      </c>
      <c r="O6" t="str">
        <f t="shared" ca="1" si="6"/>
        <v/>
      </c>
      <c r="P6" t="str">
        <f t="shared" ca="1" si="6"/>
        <v/>
      </c>
      <c r="Q6" t="str">
        <f t="shared" ca="1" si="6"/>
        <v/>
      </c>
      <c r="R6" t="str">
        <f t="shared" ca="1" si="6"/>
        <v/>
      </c>
      <c r="S6" t="str">
        <f t="shared" ca="1" si="6"/>
        <v/>
      </c>
      <c r="T6" t="str">
        <f t="shared" ca="1" si="6"/>
        <v/>
      </c>
      <c r="U6" t="str">
        <f t="shared" ca="1" si="6"/>
        <v/>
      </c>
      <c r="V6" t="str">
        <f t="shared" ca="1" si="6"/>
        <v/>
      </c>
      <c r="W6" t="str">
        <f t="shared" ca="1" si="6"/>
        <v/>
      </c>
      <c r="X6" t="str">
        <f t="shared" ca="1" si="6"/>
        <v/>
      </c>
      <c r="Y6" t="str">
        <f t="shared" ca="1" si="6"/>
        <v/>
      </c>
      <c r="Z6" t="str">
        <f t="shared" ca="1" si="6"/>
        <v/>
      </c>
      <c r="AA6" t="str">
        <f t="shared" ca="1" si="6"/>
        <v/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ref="AL6:BM6" ca="1" si="7">HLOOKUP(INDIRECT(ADDRESS(2,COLUMN())),OFFSET($BN$2,0,0,ROW()-1,60),ROW()-1,FALSE)</f>
        <v/>
      </c>
      <c r="AM6" t="str">
        <f t="shared" ca="1" si="7"/>
        <v/>
      </c>
      <c r="AN6" t="str">
        <f t="shared" ca="1" si="7"/>
        <v/>
      </c>
      <c r="AO6" t="str">
        <f t="shared" ca="1" si="7"/>
        <v/>
      </c>
      <c r="AP6" t="str">
        <f t="shared" ca="1" si="7"/>
        <v/>
      </c>
      <c r="AQ6" t="str">
        <f t="shared" ca="1" si="7"/>
        <v/>
      </c>
      <c r="AR6" t="str">
        <f t="shared" ca="1" si="7"/>
        <v/>
      </c>
      <c r="AS6" t="str">
        <f t="shared" ca="1" si="7"/>
        <v/>
      </c>
      <c r="AT6" t="str">
        <f t="shared" ca="1" si="7"/>
        <v/>
      </c>
      <c r="AU6" t="str">
        <f t="shared" ca="1" si="7"/>
        <v/>
      </c>
      <c r="AV6" t="str">
        <f t="shared" ca="1" si="7"/>
        <v/>
      </c>
      <c r="AW6" t="str">
        <f t="shared" ca="1" si="7"/>
        <v/>
      </c>
      <c r="AX6" t="str">
        <f t="shared" ca="1" si="7"/>
        <v/>
      </c>
      <c r="AY6" t="str">
        <f t="shared" ca="1" si="7"/>
        <v/>
      </c>
      <c r="AZ6" t="str">
        <f t="shared" ca="1" si="7"/>
        <v/>
      </c>
      <c r="BA6" t="str">
        <f t="shared" ca="1" si="7"/>
        <v/>
      </c>
      <c r="BB6" t="str">
        <f t="shared" ca="1" si="7"/>
        <v/>
      </c>
      <c r="BC6" t="str">
        <f t="shared" ca="1" si="7"/>
        <v/>
      </c>
      <c r="BD6" t="str">
        <f t="shared" ca="1" si="7"/>
        <v/>
      </c>
      <c r="BE6" t="str">
        <f t="shared" ca="1" si="7"/>
        <v/>
      </c>
      <c r="BF6" t="str">
        <f t="shared" ca="1" si="7"/>
        <v/>
      </c>
      <c r="BG6" t="str">
        <f t="shared" ca="1" si="7"/>
        <v/>
      </c>
      <c r="BH6" t="str">
        <f t="shared" ca="1" si="7"/>
        <v/>
      </c>
      <c r="BI6" t="str">
        <f t="shared" ca="1" si="7"/>
        <v/>
      </c>
      <c r="BJ6" t="str">
        <f t="shared" ca="1" si="7"/>
        <v/>
      </c>
      <c r="BK6" t="str">
        <f t="shared" ca="1" si="7"/>
        <v/>
      </c>
      <c r="BL6" t="str">
        <f t="shared" ca="1" si="7"/>
        <v/>
      </c>
      <c r="BM6" t="str">
        <f t="shared" ca="1" si="7"/>
        <v/>
      </c>
      <c r="BN6" t="str">
        <f>""</f>
        <v/>
      </c>
      <c r="BO6" t="str">
        <f>""</f>
        <v/>
      </c>
      <c r="BP6" t="str">
        <f>""</f>
        <v/>
      </c>
      <c r="BQ6" t="str">
        <f>""</f>
        <v/>
      </c>
      <c r="BR6" t="str">
        <f>""</f>
        <v/>
      </c>
      <c r="BS6" t="str">
        <f>""</f>
        <v/>
      </c>
      <c r="BT6" t="str">
        <f>""</f>
        <v/>
      </c>
      <c r="BU6" t="str">
        <f>""</f>
        <v/>
      </c>
      <c r="BV6" t="str">
        <f>""</f>
        <v/>
      </c>
      <c r="BW6" t="str">
        <f>""</f>
        <v/>
      </c>
      <c r="BX6" t="str">
        <f>""</f>
        <v/>
      </c>
      <c r="BY6" t="str">
        <f>""</f>
        <v/>
      </c>
      <c r="BZ6" t="str">
        <f>""</f>
        <v/>
      </c>
      <c r="CA6" t="str">
        <f>""</f>
        <v/>
      </c>
      <c r="CB6" t="str">
        <f>""</f>
        <v/>
      </c>
      <c r="CC6" t="str">
        <f>""</f>
        <v/>
      </c>
      <c r="CD6" t="str">
        <f>""</f>
        <v/>
      </c>
      <c r="CE6" t="str">
        <f>""</f>
        <v/>
      </c>
      <c r="CF6" t="str">
        <f>""</f>
        <v/>
      </c>
      <c r="CG6" t="str">
        <f>""</f>
        <v/>
      </c>
      <c r="CH6" t="str">
        <f>""</f>
        <v/>
      </c>
      <c r="CI6" t="str">
        <f>""</f>
        <v/>
      </c>
      <c r="CJ6" t="str">
        <f>""</f>
        <v/>
      </c>
      <c r="CK6" t="str">
        <f>""</f>
        <v/>
      </c>
      <c r="CL6" t="str">
        <f>""</f>
        <v/>
      </c>
      <c r="CM6" t="str">
        <f>""</f>
        <v/>
      </c>
      <c r="CN6" t="str">
        <f>""</f>
        <v/>
      </c>
      <c r="CO6" t="str">
        <f>""</f>
        <v/>
      </c>
      <c r="CP6" t="str">
        <f>""</f>
        <v/>
      </c>
      <c r="CQ6" t="str">
        <f>""</f>
        <v/>
      </c>
      <c r="CR6" t="str">
        <f>""</f>
        <v/>
      </c>
      <c r="CS6" t="str">
        <f>""</f>
        <v/>
      </c>
      <c r="CT6" t="str">
        <f>""</f>
        <v/>
      </c>
      <c r="CU6" t="str">
        <f>""</f>
        <v/>
      </c>
      <c r="CV6" t="str">
        <f>""</f>
        <v/>
      </c>
      <c r="CW6" t="str">
        <f>""</f>
        <v/>
      </c>
      <c r="CX6" t="str">
        <f>""</f>
        <v/>
      </c>
      <c r="CY6" t="str">
        <f>""</f>
        <v/>
      </c>
      <c r="CZ6" t="str">
        <f>""</f>
        <v/>
      </c>
      <c r="DA6" t="str">
        <f>""</f>
        <v/>
      </c>
      <c r="DB6" t="str">
        <f>""</f>
        <v/>
      </c>
      <c r="DC6" t="str">
        <f>""</f>
        <v/>
      </c>
      <c r="DD6" t="str">
        <f>""</f>
        <v/>
      </c>
      <c r="DE6" t="str">
        <f>""</f>
        <v/>
      </c>
      <c r="DF6" t="str">
        <f>""</f>
        <v/>
      </c>
      <c r="DG6" t="str">
        <f>""</f>
        <v/>
      </c>
      <c r="DH6" t="str">
        <f>""</f>
        <v/>
      </c>
      <c r="DI6" t="str">
        <f>""</f>
        <v/>
      </c>
      <c r="DJ6" t="str">
        <f>""</f>
        <v/>
      </c>
      <c r="DK6" t="str">
        <f>""</f>
        <v/>
      </c>
      <c r="DL6" t="str">
        <f>""</f>
        <v/>
      </c>
      <c r="DM6" t="str">
        <f>""</f>
        <v/>
      </c>
      <c r="DN6" t="str">
        <f>""</f>
        <v/>
      </c>
      <c r="DO6" t="str">
        <f>""</f>
        <v/>
      </c>
      <c r="DP6" t="str">
        <f>""</f>
        <v/>
      </c>
      <c r="DQ6" t="str">
        <f>""</f>
        <v/>
      </c>
      <c r="DR6" t="str">
        <f>""</f>
        <v/>
      </c>
      <c r="DS6" t="str">
        <f>""</f>
        <v/>
      </c>
      <c r="DT6" t="str">
        <f>""</f>
        <v/>
      </c>
      <c r="DU6" t="str">
        <f>""</f>
        <v/>
      </c>
    </row>
    <row r="7" spans="1:125" x14ac:dyDescent="0.25">
      <c r="A7" t="str">
        <f>"    Macro Drivers &amp; Industry-Level Statistics"</f>
        <v xml:space="preserve">    Macro Drivers &amp; Industry-Level Statistics</v>
      </c>
      <c r="B7" t="str">
        <f>""</f>
        <v/>
      </c>
      <c r="E7" t="str">
        <f>"Heading"</f>
        <v>Heading</v>
      </c>
      <c r="BN7" t="str">
        <f>""</f>
        <v/>
      </c>
      <c r="BO7" t="str">
        <f>""</f>
        <v/>
      </c>
      <c r="BP7" t="str">
        <f>""</f>
        <v/>
      </c>
      <c r="BQ7" t="str">
        <f>""</f>
        <v/>
      </c>
      <c r="BR7" t="str">
        <f>""</f>
        <v/>
      </c>
      <c r="BS7" t="str">
        <f>""</f>
        <v/>
      </c>
      <c r="BT7" t="str">
        <f>""</f>
        <v/>
      </c>
      <c r="BU7" t="str">
        <f>""</f>
        <v/>
      </c>
      <c r="BV7" t="str">
        <f>""</f>
        <v/>
      </c>
      <c r="BW7" t="str">
        <f>""</f>
        <v/>
      </c>
      <c r="BX7" t="str">
        <f>""</f>
        <v/>
      </c>
      <c r="BY7" t="str">
        <f>""</f>
        <v/>
      </c>
      <c r="BZ7" t="str">
        <f>""</f>
        <v/>
      </c>
      <c r="CA7" t="str">
        <f>""</f>
        <v/>
      </c>
      <c r="CB7" t="str">
        <f>""</f>
        <v/>
      </c>
      <c r="CC7" t="str">
        <f>""</f>
        <v/>
      </c>
      <c r="CD7" t="str">
        <f>""</f>
        <v/>
      </c>
      <c r="CE7" t="str">
        <f>""</f>
        <v/>
      </c>
      <c r="CF7" t="str">
        <f>""</f>
        <v/>
      </c>
      <c r="CG7" t="str">
        <f>""</f>
        <v/>
      </c>
      <c r="CH7" t="str">
        <f>""</f>
        <v/>
      </c>
      <c r="CI7" t="str">
        <f>""</f>
        <v/>
      </c>
      <c r="CJ7" t="str">
        <f>""</f>
        <v/>
      </c>
      <c r="CK7" t="str">
        <f>""</f>
        <v/>
      </c>
      <c r="CL7" t="str">
        <f>""</f>
        <v/>
      </c>
      <c r="CM7" t="str">
        <f>""</f>
        <v/>
      </c>
      <c r="CN7" t="str">
        <f>""</f>
        <v/>
      </c>
      <c r="CO7" t="str">
        <f>""</f>
        <v/>
      </c>
      <c r="CP7" t="str">
        <f>""</f>
        <v/>
      </c>
      <c r="CQ7" t="str">
        <f>""</f>
        <v/>
      </c>
      <c r="CR7" t="str">
        <f>""</f>
        <v/>
      </c>
      <c r="CS7" t="str">
        <f>""</f>
        <v/>
      </c>
      <c r="CT7" t="str">
        <f>""</f>
        <v/>
      </c>
      <c r="CU7" t="str">
        <f>""</f>
        <v/>
      </c>
      <c r="CV7" t="str">
        <f>""</f>
        <v/>
      </c>
      <c r="CW7" t="str">
        <f>""</f>
        <v/>
      </c>
      <c r="CX7" t="str">
        <f>""</f>
        <v/>
      </c>
      <c r="CY7" t="str">
        <f>""</f>
        <v/>
      </c>
      <c r="CZ7" t="str">
        <f>""</f>
        <v/>
      </c>
      <c r="DA7" t="str">
        <f>""</f>
        <v/>
      </c>
      <c r="DB7" t="str">
        <f>""</f>
        <v/>
      </c>
      <c r="DC7" t="str">
        <f>""</f>
        <v/>
      </c>
      <c r="DD7" t="str">
        <f>""</f>
        <v/>
      </c>
      <c r="DE7" t="str">
        <f>""</f>
        <v/>
      </c>
      <c r="DF7" t="str">
        <f>""</f>
        <v/>
      </c>
      <c r="DG7" t="str">
        <f>""</f>
        <v/>
      </c>
      <c r="DH7" t="str">
        <f>""</f>
        <v/>
      </c>
      <c r="DI7" t="str">
        <f>""</f>
        <v/>
      </c>
      <c r="DJ7" t="str">
        <f>""</f>
        <v/>
      </c>
      <c r="DK7" t="str">
        <f>""</f>
        <v/>
      </c>
      <c r="DL7" t="str">
        <f>""</f>
        <v/>
      </c>
      <c r="DM7" t="str">
        <f>""</f>
        <v/>
      </c>
      <c r="DN7" t="str">
        <f>""</f>
        <v/>
      </c>
      <c r="DO7" t="str">
        <f>""</f>
        <v/>
      </c>
      <c r="DP7" t="str">
        <f>""</f>
        <v/>
      </c>
      <c r="DQ7" t="str">
        <f>""</f>
        <v/>
      </c>
      <c r="DR7" t="str">
        <f>""</f>
        <v/>
      </c>
      <c r="DS7" t="str">
        <f>""</f>
        <v/>
      </c>
      <c r="DT7" t="str">
        <f>""</f>
        <v/>
      </c>
      <c r="DU7" t="str">
        <f>""</f>
        <v/>
      </c>
    </row>
    <row r="8" spans="1:125" x14ac:dyDescent="0.25">
      <c r="A8" t="str">
        <f>"        Key Consumer Confidence"</f>
        <v xml:space="preserve">        Key Consumer Confidence</v>
      </c>
      <c r="B8" t="str">
        <f>""</f>
        <v/>
      </c>
      <c r="E8" t="str">
        <f>"Static"</f>
        <v>Static</v>
      </c>
      <c r="F8" t="str">
        <f t="shared" ref="F8:AK8" ca="1" si="8">HLOOKUP(INDIRECT(ADDRESS(2,COLUMN())),OFFSET($BN$2,0,0,ROW()-1,60),ROW()-1,FALSE)</f>
        <v/>
      </c>
      <c r="G8" t="str">
        <f t="shared" ca="1" si="8"/>
        <v/>
      </c>
      <c r="H8" t="str">
        <f t="shared" ca="1" si="8"/>
        <v/>
      </c>
      <c r="I8" t="str">
        <f t="shared" ca="1" si="8"/>
        <v/>
      </c>
      <c r="J8" t="str">
        <f t="shared" ca="1" si="8"/>
        <v/>
      </c>
      <c r="K8" t="str">
        <f t="shared" ca="1" si="8"/>
        <v/>
      </c>
      <c r="L8" t="str">
        <f t="shared" ca="1" si="8"/>
        <v/>
      </c>
      <c r="M8" t="str">
        <f t="shared" ca="1" si="8"/>
        <v/>
      </c>
      <c r="N8" t="str">
        <f t="shared" ca="1" si="8"/>
        <v/>
      </c>
      <c r="O8" t="str">
        <f t="shared" ca="1" si="8"/>
        <v/>
      </c>
      <c r="P8" t="str">
        <f t="shared" ca="1" si="8"/>
        <v/>
      </c>
      <c r="Q8" t="str">
        <f t="shared" ca="1" si="8"/>
        <v/>
      </c>
      <c r="R8" t="str">
        <f t="shared" ca="1" si="8"/>
        <v/>
      </c>
      <c r="S8" t="str">
        <f t="shared" ca="1" si="8"/>
        <v/>
      </c>
      <c r="T8" t="str">
        <f t="shared" ca="1" si="8"/>
        <v/>
      </c>
      <c r="U8" t="str">
        <f t="shared" ca="1" si="8"/>
        <v/>
      </c>
      <c r="V8" t="str">
        <f t="shared" ca="1" si="8"/>
        <v/>
      </c>
      <c r="W8" t="str">
        <f t="shared" ca="1" si="8"/>
        <v/>
      </c>
      <c r="X8" t="str">
        <f t="shared" ca="1" si="8"/>
        <v/>
      </c>
      <c r="Y8" t="str">
        <f t="shared" ca="1" si="8"/>
        <v/>
      </c>
      <c r="Z8" t="str">
        <f t="shared" ca="1" si="8"/>
        <v/>
      </c>
      <c r="AA8" t="str">
        <f t="shared" ca="1" si="8"/>
        <v/>
      </c>
      <c r="AB8" t="str">
        <f t="shared" ca="1" si="8"/>
        <v/>
      </c>
      <c r="AC8" t="str">
        <f t="shared" ca="1" si="8"/>
        <v/>
      </c>
      <c r="AD8" t="str">
        <f t="shared" ca="1" si="8"/>
        <v/>
      </c>
      <c r="AE8" t="str">
        <f t="shared" ca="1" si="8"/>
        <v/>
      </c>
      <c r="AF8" t="str">
        <f t="shared" ca="1" si="8"/>
        <v/>
      </c>
      <c r="AG8" t="str">
        <f t="shared" ca="1" si="8"/>
        <v/>
      </c>
      <c r="AH8" t="str">
        <f t="shared" ca="1" si="8"/>
        <v/>
      </c>
      <c r="AI8" t="str">
        <f t="shared" ca="1" si="8"/>
        <v/>
      </c>
      <c r="AJ8" t="str">
        <f t="shared" ca="1" si="8"/>
        <v/>
      </c>
      <c r="AK8" t="str">
        <f t="shared" ca="1" si="8"/>
        <v/>
      </c>
      <c r="AL8" t="str">
        <f t="shared" ref="AL8:BM8" ca="1" si="9">HLOOKUP(INDIRECT(ADDRESS(2,COLUMN())),OFFSET($BN$2,0,0,ROW()-1,60),ROW()-1,FALSE)</f>
        <v/>
      </c>
      <c r="AM8" t="str">
        <f t="shared" ca="1" si="9"/>
        <v/>
      </c>
      <c r="AN8" t="str">
        <f t="shared" ca="1" si="9"/>
        <v/>
      </c>
      <c r="AO8" t="str">
        <f t="shared" ca="1" si="9"/>
        <v/>
      </c>
      <c r="AP8" t="str">
        <f t="shared" ca="1" si="9"/>
        <v/>
      </c>
      <c r="AQ8" t="str">
        <f t="shared" ca="1" si="9"/>
        <v/>
      </c>
      <c r="AR8" t="str">
        <f t="shared" ca="1" si="9"/>
        <v/>
      </c>
      <c r="AS8" t="str">
        <f t="shared" ca="1" si="9"/>
        <v/>
      </c>
      <c r="AT8" t="str">
        <f t="shared" ca="1" si="9"/>
        <v/>
      </c>
      <c r="AU8" t="str">
        <f t="shared" ca="1" si="9"/>
        <v/>
      </c>
      <c r="AV8" t="str">
        <f t="shared" ca="1" si="9"/>
        <v/>
      </c>
      <c r="AW8" t="str">
        <f t="shared" ca="1" si="9"/>
        <v/>
      </c>
      <c r="AX8" t="str">
        <f t="shared" ca="1" si="9"/>
        <v/>
      </c>
      <c r="AY8" t="str">
        <f t="shared" ca="1" si="9"/>
        <v/>
      </c>
      <c r="AZ8" t="str">
        <f t="shared" ca="1" si="9"/>
        <v/>
      </c>
      <c r="BA8" t="str">
        <f t="shared" ca="1" si="9"/>
        <v/>
      </c>
      <c r="BB8" t="str">
        <f t="shared" ca="1" si="9"/>
        <v/>
      </c>
      <c r="BC8" t="str">
        <f t="shared" ca="1" si="9"/>
        <v/>
      </c>
      <c r="BD8" t="str">
        <f t="shared" ca="1" si="9"/>
        <v/>
      </c>
      <c r="BE8" t="str">
        <f t="shared" ca="1" si="9"/>
        <v/>
      </c>
      <c r="BF8" t="str">
        <f t="shared" ca="1" si="9"/>
        <v/>
      </c>
      <c r="BG8" t="str">
        <f t="shared" ca="1" si="9"/>
        <v/>
      </c>
      <c r="BH8" t="str">
        <f t="shared" ca="1" si="9"/>
        <v/>
      </c>
      <c r="BI8" t="str">
        <f t="shared" ca="1" si="9"/>
        <v/>
      </c>
      <c r="BJ8" t="str">
        <f t="shared" ca="1" si="9"/>
        <v/>
      </c>
      <c r="BK8" t="str">
        <f t="shared" ca="1" si="9"/>
        <v/>
      </c>
      <c r="BL8" t="str">
        <f t="shared" ca="1" si="9"/>
        <v/>
      </c>
      <c r="BM8" t="str">
        <f t="shared" ca="1" si="9"/>
        <v/>
      </c>
      <c r="BN8" t="str">
        <f>""</f>
        <v/>
      </c>
      <c r="BO8" t="str">
        <f>""</f>
        <v/>
      </c>
      <c r="BP8" t="str">
        <f>""</f>
        <v/>
      </c>
      <c r="BQ8" t="str">
        <f>""</f>
        <v/>
      </c>
      <c r="BR8" t="str">
        <f>""</f>
        <v/>
      </c>
      <c r="BS8" t="str">
        <f>""</f>
        <v/>
      </c>
      <c r="BT8" t="str">
        <f>""</f>
        <v/>
      </c>
      <c r="BU8" t="str">
        <f>""</f>
        <v/>
      </c>
      <c r="BV8" t="str">
        <f>""</f>
        <v/>
      </c>
      <c r="BW8" t="str">
        <f>""</f>
        <v/>
      </c>
      <c r="BX8" t="str">
        <f>""</f>
        <v/>
      </c>
      <c r="BY8" t="str">
        <f>""</f>
        <v/>
      </c>
      <c r="BZ8" t="str">
        <f>""</f>
        <v/>
      </c>
      <c r="CA8" t="str">
        <f>""</f>
        <v/>
      </c>
      <c r="CB8" t="str">
        <f>""</f>
        <v/>
      </c>
      <c r="CC8" t="str">
        <f>""</f>
        <v/>
      </c>
      <c r="CD8" t="str">
        <f>""</f>
        <v/>
      </c>
      <c r="CE8" t="str">
        <f>""</f>
        <v/>
      </c>
      <c r="CF8" t="str">
        <f>""</f>
        <v/>
      </c>
      <c r="CG8" t="str">
        <f>""</f>
        <v/>
      </c>
      <c r="CH8" t="str">
        <f>""</f>
        <v/>
      </c>
      <c r="CI8" t="str">
        <f>""</f>
        <v/>
      </c>
      <c r="CJ8" t="str">
        <f>""</f>
        <v/>
      </c>
      <c r="CK8" t="str">
        <f>""</f>
        <v/>
      </c>
      <c r="CL8" t="str">
        <f>""</f>
        <v/>
      </c>
      <c r="CM8" t="str">
        <f>""</f>
        <v/>
      </c>
      <c r="CN8" t="str">
        <f>""</f>
        <v/>
      </c>
      <c r="CO8" t="str">
        <f>""</f>
        <v/>
      </c>
      <c r="CP8" t="str">
        <f>""</f>
        <v/>
      </c>
      <c r="CQ8" t="str">
        <f>""</f>
        <v/>
      </c>
      <c r="CR8" t="str">
        <f>""</f>
        <v/>
      </c>
      <c r="CS8" t="str">
        <f>""</f>
        <v/>
      </c>
      <c r="CT8" t="str">
        <f>""</f>
        <v/>
      </c>
      <c r="CU8" t="str">
        <f>""</f>
        <v/>
      </c>
      <c r="CV8" t="str">
        <f>""</f>
        <v/>
      </c>
      <c r="CW8" t="str">
        <f>""</f>
        <v/>
      </c>
      <c r="CX8" t="str">
        <f>""</f>
        <v/>
      </c>
      <c r="CY8" t="str">
        <f>""</f>
        <v/>
      </c>
      <c r="CZ8" t="str">
        <f>""</f>
        <v/>
      </c>
      <c r="DA8" t="str">
        <f>""</f>
        <v/>
      </c>
      <c r="DB8" t="str">
        <f>""</f>
        <v/>
      </c>
      <c r="DC8" t="str">
        <f>""</f>
        <v/>
      </c>
      <c r="DD8" t="str">
        <f>""</f>
        <v/>
      </c>
      <c r="DE8" t="str">
        <f>""</f>
        <v/>
      </c>
      <c r="DF8" t="str">
        <f>""</f>
        <v/>
      </c>
      <c r="DG8" t="str">
        <f>""</f>
        <v/>
      </c>
      <c r="DH8" t="str">
        <f>""</f>
        <v/>
      </c>
      <c r="DI8" t="str">
        <f>""</f>
        <v/>
      </c>
      <c r="DJ8" t="str">
        <f>""</f>
        <v/>
      </c>
      <c r="DK8" t="str">
        <f>""</f>
        <v/>
      </c>
      <c r="DL8" t="str">
        <f>""</f>
        <v/>
      </c>
      <c r="DM8" t="str">
        <f>""</f>
        <v/>
      </c>
      <c r="DN8" t="str">
        <f>""</f>
        <v/>
      </c>
      <c r="DO8" t="str">
        <f>""</f>
        <v/>
      </c>
      <c r="DP8" t="str">
        <f>""</f>
        <v/>
      </c>
      <c r="DQ8" t="str">
        <f>""</f>
        <v/>
      </c>
      <c r="DR8" t="str">
        <f>""</f>
        <v/>
      </c>
      <c r="DS8" t="str">
        <f>""</f>
        <v/>
      </c>
      <c r="DT8" t="str">
        <f>""</f>
        <v/>
      </c>
      <c r="DU8" t="str">
        <f>""</f>
        <v/>
      </c>
    </row>
    <row r="9" spans="1:125" x14ac:dyDescent="0.25">
      <c r="A9" t="str">
        <f>"            China"</f>
        <v xml:space="preserve">            China</v>
      </c>
      <c r="B9" t="str">
        <f>"CHCSCONF Index"</f>
        <v>CHCSCONF Index</v>
      </c>
      <c r="C9" t="str">
        <f>"PR005"</f>
        <v>PR005</v>
      </c>
      <c r="D9" t="str">
        <f>"PX_LAST"</f>
        <v>PX_LAST</v>
      </c>
      <c r="E9" t="str">
        <f>"Dynamic"</f>
        <v>Dynamic</v>
      </c>
      <c r="F9" t="str">
        <f ca="1">IF(AND(ISNUMBER($F$170),$B$158=1),$F$170,HLOOKUP(INDIRECT(ADDRESS(2,COLUMN())),OFFSET($BN$2,0,0,ROW()-1,60),ROW()-1,FALSE))</f>
        <v/>
      </c>
      <c r="G9">
        <f ca="1">IF(AND(ISNUMBER($G$170),$B$158=1),$G$170,HLOOKUP(INDIRECT(ADDRESS(2,COLUMN())),OFFSET($BN$2,0,0,ROW()-1,60),ROW()-1,FALSE))</f>
        <v>121.2</v>
      </c>
      <c r="H9">
        <f ca="1">IF(AND(ISNUMBER($H$170),$B$158=1),$H$170,HLOOKUP(INDIRECT(ADDRESS(2,COLUMN())),OFFSET($BN$2,0,0,ROW()-1,60),ROW()-1,FALSE))</f>
        <v>122.8</v>
      </c>
      <c r="I9">
        <f ca="1">IF(AND(ISNUMBER($I$170),$B$158=1),$I$170,HLOOKUP(INDIRECT(ADDRESS(2,COLUMN())),OFFSET($BN$2,0,0,ROW()-1,60),ROW()-1,FALSE))</f>
        <v>122.2</v>
      </c>
      <c r="J9">
        <f ca="1">IF(AND(ISNUMBER($J$170),$B$158=1),$J$170,HLOOKUP(INDIRECT(ADDRESS(2,COLUMN())),OFFSET($BN$2,0,0,ROW()-1,60),ROW()-1,FALSE))</f>
        <v>122.1</v>
      </c>
      <c r="K9">
        <f ca="1">IF(AND(ISNUMBER($K$170),$B$158=1),$K$170,HLOOKUP(INDIRECT(ADDRESS(2,COLUMN())),OFFSET($BN$2,0,0,ROW()-1,60),ROW()-1,FALSE))</f>
        <v>120.5</v>
      </c>
      <c r="L9">
        <f ca="1">IF(AND(ISNUMBER($L$170),$B$158=1),$L$170,HLOOKUP(INDIRECT(ADDRESS(2,COLUMN())),OFFSET($BN$2,0,0,ROW()-1,60),ROW()-1,FALSE))</f>
        <v>112.6</v>
      </c>
      <c r="M9">
        <f ca="1">IF(AND(ISNUMBER($M$170),$B$158=1),$M$170,HLOOKUP(INDIRECT(ADDRESS(2,COLUMN())),OFFSET($BN$2,0,0,ROW()-1,60),ROW()-1,FALSE))</f>
        <v>122.2</v>
      </c>
      <c r="N9">
        <f ca="1">IF(AND(ISNUMBER($N$170),$B$158=1),$N$170,HLOOKUP(INDIRECT(ADDRESS(2,COLUMN())),OFFSET($BN$2,0,0,ROW()-1,60),ROW()-1,FALSE))</f>
        <v>126.6</v>
      </c>
      <c r="O9">
        <f ca="1">IF(AND(ISNUMBER($O$170),$B$158=1),$O$170,HLOOKUP(INDIRECT(ADDRESS(2,COLUMN())),OFFSET($BN$2,0,0,ROW()-1,60),ROW()-1,FALSE))</f>
        <v>124.1</v>
      </c>
      <c r="P9">
        <f ca="1">IF(AND(ISNUMBER($P$170),$B$158=1),$P$170,HLOOKUP(INDIRECT(ADDRESS(2,COLUMN())),OFFSET($BN$2,0,0,ROW()-1,60),ROW()-1,FALSE))</f>
        <v>125.9</v>
      </c>
      <c r="Q9">
        <f ca="1">IF(AND(ISNUMBER($Q$170),$B$158=1),$Q$170,HLOOKUP(INDIRECT(ADDRESS(2,COLUMN())),OFFSET($BN$2,0,0,ROW()-1,60),ROW()-1,FALSE))</f>
        <v>124.1</v>
      </c>
      <c r="R9">
        <f ca="1">IF(AND(ISNUMBER($R$170),$B$158=1),$R$170,HLOOKUP(INDIRECT(ADDRESS(2,COLUMN())),OFFSET($BN$2,0,0,ROW()-1,60),ROW()-1,FALSE))</f>
        <v>123</v>
      </c>
      <c r="S9">
        <f ca="1">IF(AND(ISNUMBER($S$170),$B$158=1),$S$170,HLOOKUP(INDIRECT(ADDRESS(2,COLUMN())),OFFSET($BN$2,0,0,ROW()-1,60),ROW()-1,FALSE))</f>
        <v>118.5</v>
      </c>
      <c r="T9">
        <f ca="1">IF(AND(ISNUMBER($T$170),$B$158=1),$T$170,HLOOKUP(INDIRECT(ADDRESS(2,COLUMN())),OFFSET($BN$2,0,0,ROW()-1,60),ROW()-1,FALSE))</f>
        <v>118.2</v>
      </c>
      <c r="U9">
        <f ca="1">IF(AND(ISNUMBER($U$170),$B$158=1),$U$170,HLOOKUP(INDIRECT(ADDRESS(2,COLUMN())),OFFSET($BN$2,0,0,ROW()-1,60),ROW()-1,FALSE))</f>
        <v>122.3</v>
      </c>
      <c r="V9">
        <f ca="1">IF(AND(ISNUMBER($V$170),$B$158=1),$V$170,HLOOKUP(INDIRECT(ADDRESS(2,COLUMN())),OFFSET($BN$2,0,0,ROW()-1,60),ROW()-1,FALSE))</f>
        <v>122.6</v>
      </c>
      <c r="W9">
        <f ca="1">IF(AND(ISNUMBER($W$170),$B$158=1),$W$170,HLOOKUP(INDIRECT(ADDRESS(2,COLUMN())),OFFSET($BN$2,0,0,ROW()-1,60),ROW()-1,FALSE))</f>
        <v>118.6</v>
      </c>
      <c r="X9">
        <f ca="1">IF(AND(ISNUMBER($X$170),$B$158=1),$X$170,HLOOKUP(INDIRECT(ADDRESS(2,COLUMN())),OFFSET($BN$2,0,0,ROW()-1,60),ROW()-1,FALSE))</f>
        <v>113.3</v>
      </c>
      <c r="Y9">
        <f ca="1">IF(AND(ISNUMBER($Y$170),$B$158=1),$Y$170,HLOOKUP(INDIRECT(ADDRESS(2,COLUMN())),OFFSET($BN$2,0,0,ROW()-1,60),ROW()-1,FALSE))</f>
        <v>114.2</v>
      </c>
      <c r="Z9">
        <f ca="1">IF(AND(ISNUMBER($Z$170),$B$158=1),$Z$170,HLOOKUP(INDIRECT(ADDRESS(2,COLUMN())),OFFSET($BN$2,0,0,ROW()-1,60),ROW()-1,FALSE))</f>
        <v>108.4</v>
      </c>
      <c r="AA9">
        <f ca="1">IF(AND(ISNUMBER($AA$170),$B$158=1),$AA$170,HLOOKUP(INDIRECT(ADDRESS(2,COLUMN())),OFFSET($BN$2,0,0,ROW()-1,60),ROW()-1,FALSE))</f>
        <v>104.6</v>
      </c>
      <c r="AB9">
        <f ca="1">IF(AND(ISNUMBER($AB$170),$B$158=1),$AB$170,HLOOKUP(INDIRECT(ADDRESS(2,COLUMN())),OFFSET($BN$2,0,0,ROW()-1,60),ROW()-1,FALSE))</f>
        <v>102.9</v>
      </c>
      <c r="AC9">
        <f ca="1">IF(AND(ISNUMBER($AC$170),$B$158=1),$AC$170,HLOOKUP(INDIRECT(ADDRESS(2,COLUMN())),OFFSET($BN$2,0,0,ROW()-1,60),ROW()-1,FALSE))</f>
        <v>100</v>
      </c>
      <c r="AD9">
        <f ca="1">IF(AND(ISNUMBER($AD$170),$B$158=1),$AD$170,HLOOKUP(INDIRECT(ADDRESS(2,COLUMN())),OFFSET($BN$2,0,0,ROW()-1,60),ROW()-1,FALSE))</f>
        <v>103.7</v>
      </c>
      <c r="AE9">
        <f ca="1">IF(AND(ISNUMBER($AE$170),$B$158=1),$AE$170,HLOOKUP(INDIRECT(ADDRESS(2,COLUMN())),OFFSET($BN$2,0,0,ROW()-1,60),ROW()-1,FALSE))</f>
        <v>105.6</v>
      </c>
      <c r="AF9">
        <f ca="1">IF(AND(ISNUMBER($AF$170),$B$158=1),$AF$170,HLOOKUP(INDIRECT(ADDRESS(2,COLUMN())),OFFSET($BN$2,0,0,ROW()-1,60),ROW()-1,FALSE))</f>
        <v>105.54</v>
      </c>
      <c r="AG9">
        <f ca="1">IF(AND(ISNUMBER($AG$170),$B$158=1),$AG$170,HLOOKUP(INDIRECT(ADDRESS(2,COLUMN())),OFFSET($BN$2,0,0,ROW()-1,60),ROW()-1,FALSE))</f>
        <v>107.1</v>
      </c>
      <c r="AH9">
        <f ca="1">IF(AND(ISNUMBER($AH$170),$B$158=1),$AH$170,HLOOKUP(INDIRECT(ADDRESS(2,COLUMN())),OFFSET($BN$2,0,0,ROW()-1,60),ROW()-1,FALSE))</f>
        <v>105.8</v>
      </c>
      <c r="AI9">
        <f ca="1">IF(AND(ISNUMBER($AI$170),$B$158=1),$AI$170,HLOOKUP(INDIRECT(ADDRESS(2,COLUMN())),OFFSET($BN$2,0,0,ROW()-1,60),ROW()-1,FALSE))</f>
        <v>105.4</v>
      </c>
      <c r="AJ9">
        <f ca="1">IF(AND(ISNUMBER($AJ$170),$B$158=1),$AJ$170,HLOOKUP(INDIRECT(ADDRESS(2,COLUMN())),OFFSET($BN$2,0,0,ROW()-1,60),ROW()-1,FALSE))</f>
        <v>104.7</v>
      </c>
      <c r="AK9">
        <f ca="1">IF(AND(ISNUMBER($AK$170),$B$158=1),$AK$170,HLOOKUP(INDIRECT(ADDRESS(2,COLUMN())),OFFSET($BN$2,0,0,ROW()-1,60),ROW()-1,FALSE))</f>
        <v>107.9</v>
      </c>
      <c r="AL9">
        <f ca="1">IF(AND(ISNUMBER($AL$170),$B$158=1),$AL$170,HLOOKUP(INDIRECT(ADDRESS(2,COLUMN())),OFFSET($BN$2,0,0,ROW()-1,60),ROW()-1,FALSE))</f>
        <v>102.3</v>
      </c>
      <c r="AM9">
        <f ca="1">IF(AND(ISNUMBER($AM$170),$B$158=1),$AM$170,HLOOKUP(INDIRECT(ADDRESS(2,COLUMN())),OFFSET($BN$2,0,0,ROW()-1,60),ROW()-1,FALSE))</f>
        <v>99.8</v>
      </c>
      <c r="AN9">
        <f ca="1">IF(AND(ISNUMBER($AN$170),$B$158=1),$AN$170,HLOOKUP(INDIRECT(ADDRESS(2,COLUMN())),OFFSET($BN$2,0,0,ROW()-1,60),ROW()-1,FALSE))</f>
        <v>97</v>
      </c>
      <c r="AO9">
        <f ca="1">IF(AND(ISNUMBER($AO$170),$B$158=1),$AO$170,HLOOKUP(INDIRECT(ADDRESS(2,COLUMN())),OFFSET($BN$2,0,0,ROW()-1,60),ROW()-1,FALSE))</f>
        <v>102.6</v>
      </c>
      <c r="AP9">
        <f ca="1">IF(AND(ISNUMBER($AP$170),$B$158=1),$AP$170,HLOOKUP(INDIRECT(ADDRESS(2,COLUMN())),OFFSET($BN$2,0,0,ROW()-1,60),ROW()-1,FALSE))</f>
        <v>103.7</v>
      </c>
      <c r="AQ9">
        <f ca="1">IF(AND(ISNUMBER($AQ$170),$B$158=1),$AQ$170,HLOOKUP(INDIRECT(ADDRESS(2,COLUMN())),OFFSET($BN$2,0,0,ROW()-1,60),ROW()-1,FALSE))</f>
        <v>100.8</v>
      </c>
      <c r="AR9">
        <f ca="1">IF(AND(ISNUMBER($AR$170),$B$158=1),$AR$170,HLOOKUP(INDIRECT(ADDRESS(2,COLUMN())),OFFSET($BN$2,0,0,ROW()-1,60),ROW()-1,FALSE))</f>
        <v>99.3</v>
      </c>
      <c r="AS9">
        <f ca="1">IF(AND(ISNUMBER($AS$170),$B$158=1),$AS$170,HLOOKUP(INDIRECT(ADDRESS(2,COLUMN())),OFFSET($BN$2,0,0,ROW()-1,60),ROW()-1,FALSE))</f>
        <v>100</v>
      </c>
      <c r="AT9">
        <f ca="1">IF(AND(ISNUMBER($AT$170),$B$158=1),$AT$170,HLOOKUP(INDIRECT(ADDRESS(2,COLUMN())),OFFSET($BN$2,0,0,ROW()-1,60),ROW()-1,FALSE))</f>
        <v>100.5</v>
      </c>
      <c r="AU9">
        <f ca="1">IF(AND(ISNUMBER($AU$170),$B$158=1),$AU$170,HLOOKUP(INDIRECT(ADDRESS(2,COLUMN())),OFFSET($BN$2,0,0,ROW()-1,60),ROW()-1,FALSE))</f>
        <v>103.4</v>
      </c>
      <c r="AV9">
        <f ca="1">IF(AND(ISNUMBER($AV$170),$B$158=1),$AV$170,HLOOKUP(INDIRECT(ADDRESS(2,COLUMN())),OFFSET($BN$2,0,0,ROW()-1,60),ROW()-1,FALSE))</f>
        <v>108.1</v>
      </c>
      <c r="AW9">
        <f ca="1">IF(AND(ISNUMBER($AW$170),$B$158=1),$AW$170,HLOOKUP(INDIRECT(ADDRESS(2,COLUMN())),OFFSET($BN$2,0,0,ROW()-1,60),ROW()-1,FALSE))</f>
        <v>107.6</v>
      </c>
      <c r="AX9">
        <f ca="1">IF(AND(ISNUMBER($AX$170),$B$158=1),$AX$170,HLOOKUP(INDIRECT(ADDRESS(2,COLUMN())),OFFSET($BN$2,0,0,ROW()-1,60),ROW()-1,FALSE))</f>
        <v>100.4</v>
      </c>
      <c r="AY9">
        <f ca="1">IF(AND(ISNUMBER($AY$170),$B$158=1),$AY$170,HLOOKUP(INDIRECT(ADDRESS(2,COLUMN())),OFFSET($BN$2,0,0,ROW()-1,60),ROW()-1,FALSE))</f>
        <v>104.1</v>
      </c>
      <c r="AZ9">
        <f ca="1">IF(AND(ISNUMBER($AZ$170),$B$158=1),$AZ$170,HLOOKUP(INDIRECT(ADDRESS(2,COLUMN())),OFFSET($BN$2,0,0,ROW()-1,60),ROW()-1,FALSE))</f>
        <v>108.5</v>
      </c>
      <c r="BA9">
        <f ca="1">IF(AND(ISNUMBER($BA$170),$B$158=1),$BA$170,HLOOKUP(INDIRECT(ADDRESS(2,COLUMN())),OFFSET($BN$2,0,0,ROW()-1,60),ROW()-1,FALSE))</f>
        <v>107.9</v>
      </c>
      <c r="BB9">
        <f ca="1">IF(AND(ISNUMBER($BB$170),$B$158=1),$BB$170,HLOOKUP(INDIRECT(ADDRESS(2,COLUMN())),OFFSET($BN$2,0,0,ROW()-1,60),ROW()-1,FALSE))</f>
        <v>103.9</v>
      </c>
      <c r="BC9">
        <f ca="1">IF(AND(ISNUMBER($BC$170),$B$158=1),$BC$170,HLOOKUP(INDIRECT(ADDRESS(2,COLUMN())),OFFSET($BN$2,0,0,ROW()-1,60),ROW()-1,FALSE))</f>
        <v>102.8</v>
      </c>
      <c r="BD9">
        <f ca="1">IF(AND(ISNUMBER($BD$170),$B$158=1),$BD$170,HLOOKUP(INDIRECT(ADDRESS(2,COLUMN())),OFFSET($BN$2,0,0,ROW()-1,60),ROW()-1,FALSE))</f>
        <v>101</v>
      </c>
      <c r="BE9">
        <f ca="1">IF(AND(ISNUMBER($BE$170),$B$158=1),$BE$170,HLOOKUP(INDIRECT(ADDRESS(2,COLUMN())),OFFSET($BN$2,0,0,ROW()-1,60),ROW()-1,FALSE))</f>
        <v>100.3</v>
      </c>
      <c r="BF9">
        <f ca="1">IF(AND(ISNUMBER($BF$170),$B$158=1),$BF$170,HLOOKUP(INDIRECT(ADDRESS(2,COLUMN())),OFFSET($BN$2,0,0,ROW()-1,60),ROW()-1,FALSE))</f>
        <v>101.83830399999999</v>
      </c>
      <c r="BG9">
        <f ca="1">IF(AND(ISNUMBER($BG$170),$B$158=1),$BG$170,HLOOKUP(INDIRECT(ADDRESS(2,COLUMN())),OFFSET($BN$2,0,0,ROW()-1,60),ROW()-1,FALSE))</f>
        <v>108.93244799999999</v>
      </c>
      <c r="BH9">
        <f ca="1">IF(AND(ISNUMBER($BH$170),$B$158=1),$BH$170,HLOOKUP(INDIRECT(ADDRESS(2,COLUMN())),OFFSET($BN$2,0,0,ROW()-1,60),ROW()-1,FALSE))</f>
        <v>109.842552</v>
      </c>
      <c r="BI9">
        <f ca="1">IF(AND(ISNUMBER($BI$170),$B$158=1),$BI$170,HLOOKUP(INDIRECT(ADDRESS(2,COLUMN())),OFFSET($BN$2,0,0,ROW()-1,60),ROW()-1,FALSE))</f>
        <v>110.30927200000001</v>
      </c>
      <c r="BJ9">
        <f ca="1">IF(AND(ISNUMBER($BJ$170),$B$158=1),$BJ$170,HLOOKUP(INDIRECT(ADDRESS(2,COLUMN())),OFFSET($BN$2,0,0,ROW()-1,60),ROW()-1,FALSE))</f>
        <v>113.10959200000001</v>
      </c>
      <c r="BK9">
        <f ca="1">IF(AND(ISNUMBER($BK$170),$B$158=1),$BK$170,HLOOKUP(INDIRECT(ADDRESS(2,COLUMN())),OFFSET($BN$2,0,0,ROW()-1,60),ROW()-1,FALSE))</f>
        <v>113.08625600000001</v>
      </c>
      <c r="BL9">
        <f ca="1">IF(AND(ISNUMBER($BL$170),$B$158=1),$BL$170,HLOOKUP(INDIRECT(ADDRESS(2,COLUMN())),OFFSET($BN$2,0,0,ROW()-1,60),ROW()-1,FALSE))</f>
        <v>113.692992</v>
      </c>
      <c r="BM9">
        <f ca="1">IF(AND(ISNUMBER($BM$170),$B$158=1),$BM$170,HLOOKUP(INDIRECT(ADDRESS(2,COLUMN())),OFFSET($BN$2,0,0,ROW()-1,60),ROW()-1,FALSE))</f>
        <v>111.03268799999999</v>
      </c>
      <c r="BN9" t="str">
        <f>""</f>
        <v/>
      </c>
      <c r="BO9">
        <f>121.2</f>
        <v>121.2</v>
      </c>
      <c r="BP9">
        <f>122.8</f>
        <v>122.8</v>
      </c>
      <c r="BQ9">
        <f>122.2</f>
        <v>122.2</v>
      </c>
      <c r="BR9">
        <f>122.1</f>
        <v>122.1</v>
      </c>
      <c r="BS9">
        <f>120.5</f>
        <v>120.5</v>
      </c>
      <c r="BT9">
        <f>112.6</f>
        <v>112.6</v>
      </c>
      <c r="BU9">
        <f>122.2</f>
        <v>122.2</v>
      </c>
      <c r="BV9">
        <f>126.6</f>
        <v>126.6</v>
      </c>
      <c r="BW9">
        <f>124.1</f>
        <v>124.1</v>
      </c>
      <c r="BX9">
        <f>125.9</f>
        <v>125.9</v>
      </c>
      <c r="BY9">
        <f>124.1</f>
        <v>124.1</v>
      </c>
      <c r="BZ9">
        <f>123</f>
        <v>123</v>
      </c>
      <c r="CA9">
        <f>118.5</f>
        <v>118.5</v>
      </c>
      <c r="CB9">
        <f>118.2</f>
        <v>118.2</v>
      </c>
      <c r="CC9">
        <f>122.3</f>
        <v>122.3</v>
      </c>
      <c r="CD9">
        <f>122.6</f>
        <v>122.6</v>
      </c>
      <c r="CE9">
        <f>118.6</f>
        <v>118.6</v>
      </c>
      <c r="CF9">
        <f>113.3</f>
        <v>113.3</v>
      </c>
      <c r="CG9">
        <f>114.2</f>
        <v>114.2</v>
      </c>
      <c r="CH9">
        <f>108.4</f>
        <v>108.4</v>
      </c>
      <c r="CI9">
        <f>104.6</f>
        <v>104.6</v>
      </c>
      <c r="CJ9">
        <f>102.9</f>
        <v>102.9</v>
      </c>
      <c r="CK9">
        <f>100</f>
        <v>100</v>
      </c>
      <c r="CL9">
        <f>103.7</f>
        <v>103.7</v>
      </c>
      <c r="CM9">
        <f>105.6</f>
        <v>105.6</v>
      </c>
      <c r="CN9">
        <f>105.54</f>
        <v>105.54</v>
      </c>
      <c r="CO9">
        <f>107.1</f>
        <v>107.1</v>
      </c>
      <c r="CP9">
        <f>105.8</f>
        <v>105.8</v>
      </c>
      <c r="CQ9">
        <f>105.4</f>
        <v>105.4</v>
      </c>
      <c r="CR9">
        <f>104.7</f>
        <v>104.7</v>
      </c>
      <c r="CS9">
        <f>107.9</f>
        <v>107.9</v>
      </c>
      <c r="CT9">
        <f>102.3</f>
        <v>102.3</v>
      </c>
      <c r="CU9">
        <f>99.8</f>
        <v>99.8</v>
      </c>
      <c r="CV9">
        <f>97</f>
        <v>97</v>
      </c>
      <c r="CW9">
        <f>102.6</f>
        <v>102.6</v>
      </c>
      <c r="CX9">
        <f>103.7</f>
        <v>103.7</v>
      </c>
      <c r="CY9">
        <f>100.8</f>
        <v>100.8</v>
      </c>
      <c r="CZ9">
        <f>99.3</f>
        <v>99.3</v>
      </c>
      <c r="DA9">
        <f>100</f>
        <v>100</v>
      </c>
      <c r="DB9">
        <f>100.5</f>
        <v>100.5</v>
      </c>
      <c r="DC9">
        <f>103.4</f>
        <v>103.4</v>
      </c>
      <c r="DD9">
        <f>108.1</f>
        <v>108.1</v>
      </c>
      <c r="DE9">
        <f>107.6</f>
        <v>107.6</v>
      </c>
      <c r="DF9">
        <f>100.4</f>
        <v>100.4</v>
      </c>
      <c r="DG9">
        <f>104.1</f>
        <v>104.1</v>
      </c>
      <c r="DH9">
        <f>108.5</f>
        <v>108.5</v>
      </c>
      <c r="DI9">
        <f>107.9</f>
        <v>107.9</v>
      </c>
      <c r="DJ9">
        <f>103.9</f>
        <v>103.9</v>
      </c>
      <c r="DK9">
        <f>102.8</f>
        <v>102.8</v>
      </c>
      <c r="DL9">
        <f>101</f>
        <v>101</v>
      </c>
      <c r="DM9">
        <f>100.3</f>
        <v>100.3</v>
      </c>
      <c r="DN9">
        <f>101.838304</f>
        <v>101.83830399999999</v>
      </c>
      <c r="DO9">
        <f>108.932448</f>
        <v>108.93244799999999</v>
      </c>
      <c r="DP9">
        <f>109.842552</f>
        <v>109.842552</v>
      </c>
      <c r="DQ9">
        <f>110.309272</f>
        <v>110.30927200000001</v>
      </c>
      <c r="DR9">
        <f>113.109592</f>
        <v>113.10959200000001</v>
      </c>
      <c r="DS9">
        <f>113.086256</f>
        <v>113.08625600000001</v>
      </c>
      <c r="DT9">
        <f>113.692992</f>
        <v>113.692992</v>
      </c>
      <c r="DU9">
        <f>111.032688</f>
        <v>111.03268799999999</v>
      </c>
    </row>
    <row r="10" spans="1:125" x14ac:dyDescent="0.25">
      <c r="A10" t="str">
        <f>"            U.S. (Uni. of Michigan)"</f>
        <v xml:space="preserve">            U.S. (Uni. of Michigan)</v>
      </c>
      <c r="B10" t="str">
        <f>"CONSSENT Index"</f>
        <v>CONSSENT Index</v>
      </c>
      <c r="C10" t="str">
        <f>"PR291"</f>
        <v>PR291</v>
      </c>
      <c r="D10" t="str">
        <f>"BN_SURVEY_MEDIAN"</f>
        <v>BN_SURVEY_MEDIAN</v>
      </c>
      <c r="E10" t="str">
        <f>"Dynamic"</f>
        <v>Dynamic</v>
      </c>
      <c r="F10">
        <f ca="1">IF(AND(ISNUMBER($F$171),$B$158=1),$F$171,HLOOKUP(INDIRECT(ADDRESS(2,COLUMN())),OFFSET($BN$2,0,0,ROW()-1,60),ROW()-1,FALSE))</f>
        <v>72.25</v>
      </c>
      <c r="G10">
        <f ca="1">IF(AND(ISNUMBER($G$171),$B$158=1),$G$171,HLOOKUP(INDIRECT(ADDRESS(2,COLUMN())),OFFSET($BN$2,0,0,ROW()-1,60),ROW()-1,FALSE))</f>
        <v>71</v>
      </c>
      <c r="H10">
        <f ca="1">IF(AND(ISNUMBER($H$171),$B$158=1),$H$171,HLOOKUP(INDIRECT(ADDRESS(2,COLUMN())),OFFSET($BN$2,0,0,ROW()-1,60),ROW()-1,FALSE))</f>
        <v>86.5</v>
      </c>
      <c r="I10">
        <f ca="1">IF(AND(ISNUMBER($I$171),$B$158=1),$I$171,HLOOKUP(INDIRECT(ADDRESS(2,COLUMN())),OFFSET($BN$2,0,0,ROW()-1,60),ROW()-1,FALSE))</f>
        <v>83.6</v>
      </c>
      <c r="J10">
        <f ca="1">IF(AND(ISNUMBER($J$171),$B$158=1),$J$171,HLOOKUP(INDIRECT(ADDRESS(2,COLUMN())),OFFSET($BN$2,0,0,ROW()-1,60),ROW()-1,FALSE))</f>
        <v>81.099999999999994</v>
      </c>
      <c r="K10">
        <f ca="1">IF(AND(ISNUMBER($K$171),$B$158=1),$K$171,HLOOKUP(INDIRECT(ADDRESS(2,COLUMN())),OFFSET($BN$2,0,0,ROW()-1,60),ROW()-1,FALSE))</f>
        <v>79</v>
      </c>
      <c r="L10">
        <f ca="1">IF(AND(ISNUMBER($L$171),$B$158=1),$L$171,HLOOKUP(INDIRECT(ADDRESS(2,COLUMN())),OFFSET($BN$2,0,0,ROW()-1,60),ROW()-1,FALSE))</f>
        <v>79.2</v>
      </c>
      <c r="M10">
        <f ca="1">IF(AND(ISNUMBER($M$171),$B$158=1),$M$171,HLOOKUP(INDIRECT(ADDRESS(2,COLUMN())),OFFSET($BN$2,0,0,ROW()-1,60),ROW()-1,FALSE))</f>
        <v>90</v>
      </c>
      <c r="N10">
        <f ca="1">IF(AND(ISNUMBER($N$171),$B$158=1),$N$171,HLOOKUP(INDIRECT(ADDRESS(2,COLUMN())),OFFSET($BN$2,0,0,ROW()-1,60),ROW()-1,FALSE))</f>
        <v>99.2</v>
      </c>
      <c r="O10">
        <f ca="1">IF(AND(ISNUMBER($O$171),$B$158=1),$O$171,HLOOKUP(INDIRECT(ADDRESS(2,COLUMN())),OFFSET($BN$2,0,0,ROW()-1,60),ROW()-1,FALSE))</f>
        <v>98.5</v>
      </c>
      <c r="P10">
        <f ca="1">IF(AND(ISNUMBER($P$171),$B$158=1),$P$171,HLOOKUP(INDIRECT(ADDRESS(2,COLUMN())),OFFSET($BN$2,0,0,ROW()-1,60),ROW()-1,FALSE))</f>
        <v>97.9</v>
      </c>
      <c r="Q10">
        <f ca="1">IF(AND(ISNUMBER($Q$171),$B$158=1),$Q$171,HLOOKUP(INDIRECT(ADDRESS(2,COLUMN())),OFFSET($BN$2,0,0,ROW()-1,60),ROW()-1,FALSE))</f>
        <v>97.8</v>
      </c>
      <c r="R10">
        <f ca="1">IF(AND(ISNUMBER($R$171),$B$158=1),$R$171,HLOOKUP(INDIRECT(ADDRESS(2,COLUMN())),OFFSET($BN$2,0,0,ROW()-1,60),ROW()-1,FALSE))</f>
        <v>97.35</v>
      </c>
      <c r="S10">
        <f ca="1">IF(AND(ISNUMBER($S$171),$B$158=1),$S$171,HLOOKUP(INDIRECT(ADDRESS(2,COLUMN())),OFFSET($BN$2,0,0,ROW()-1,60),ROW()-1,FALSE))</f>
        <v>100.55</v>
      </c>
      <c r="T10">
        <f ca="1">IF(AND(ISNUMBER($T$171),$B$158=1),$T$171,HLOOKUP(INDIRECT(ADDRESS(2,COLUMN())),OFFSET($BN$2,0,0,ROW()-1,60),ROW()-1,FALSE))</f>
        <v>99</v>
      </c>
      <c r="U10">
        <f ca="1">IF(AND(ISNUMBER($U$171),$B$158=1),$U$171,HLOOKUP(INDIRECT(ADDRESS(2,COLUMN())),OFFSET($BN$2,0,0,ROW()-1,60),ROW()-1,FALSE))</f>
        <v>102</v>
      </c>
      <c r="V10">
        <f ca="1">IF(AND(ISNUMBER($V$171),$B$158=1),$V$171,HLOOKUP(INDIRECT(ADDRESS(2,COLUMN())),OFFSET($BN$2,0,0,ROW()-1,60),ROW()-1,FALSE))</f>
        <v>97.2</v>
      </c>
      <c r="W10">
        <f ca="1">IF(AND(ISNUMBER($W$171),$B$158=1),$W$171,HLOOKUP(INDIRECT(ADDRESS(2,COLUMN())),OFFSET($BN$2,0,0,ROW()-1,60),ROW()-1,FALSE))</f>
        <v>95.3</v>
      </c>
      <c r="X10">
        <f ca="1">IF(AND(ISNUMBER($X$171),$B$158=1),$X$171,HLOOKUP(INDIRECT(ADDRESS(2,COLUMN())),OFFSET($BN$2,0,0,ROW()-1,60),ROW()-1,FALSE))</f>
        <v>94.5</v>
      </c>
      <c r="Y10">
        <f ca="1">IF(AND(ISNUMBER($Y$171),$B$158=1),$Y$171,HLOOKUP(INDIRECT(ADDRESS(2,COLUMN())),OFFSET($BN$2,0,0,ROW()-1,60),ROW()-1,FALSE))</f>
        <v>97.6</v>
      </c>
      <c r="Z10">
        <f ca="1">IF(AND(ISNUMBER($Z$171),$B$158=1),$Z$171,HLOOKUP(INDIRECT(ADDRESS(2,COLUMN())),OFFSET($BN$2,0,0,ROW()-1,60),ROW()-1,FALSE))</f>
        <v>98</v>
      </c>
      <c r="AA10">
        <f ca="1">IF(AND(ISNUMBER($AA$171),$B$158=1),$AA$171,HLOOKUP(INDIRECT(ADDRESS(2,COLUMN())),OFFSET($BN$2,0,0,ROW()-1,60),ROW()-1,FALSE))</f>
        <v>90</v>
      </c>
      <c r="AB10">
        <f ca="1">IF(AND(ISNUMBER($AB$171),$B$158=1),$AB$171,HLOOKUP(INDIRECT(ADDRESS(2,COLUMN())),OFFSET($BN$2,0,0,ROW()-1,60),ROW()-1,FALSE))</f>
        <v>94.1</v>
      </c>
      <c r="AC10">
        <f ca="1">IF(AND(ISNUMBER($AC$171),$B$158=1),$AC$171,HLOOKUP(INDIRECT(ADDRESS(2,COLUMN())),OFFSET($BN$2,0,0,ROW()-1,60),ROW()-1,FALSE))</f>
        <v>90.5</v>
      </c>
      <c r="AD10">
        <f ca="1">IF(AND(ISNUMBER($AD$171),$B$158=1),$AD$171,HLOOKUP(INDIRECT(ADDRESS(2,COLUMN())),OFFSET($BN$2,0,0,ROW()-1,60),ROW()-1,FALSE))</f>
        <v>92</v>
      </c>
      <c r="AE10">
        <f ca="1">IF(AND(ISNUMBER($AE$171),$B$158=1),$AE$171,HLOOKUP(INDIRECT(ADDRESS(2,COLUMN())),OFFSET($BN$2,0,0,ROW()-1,60),ROW()-1,FALSE))</f>
        <v>86.5</v>
      </c>
      <c r="AF10">
        <f ca="1">IF(AND(ISNUMBER($AF$171),$B$158=1),$AF$171,HLOOKUP(INDIRECT(ADDRESS(2,COLUMN())),OFFSET($BN$2,0,0,ROW()-1,60),ROW()-1,FALSE))</f>
        <v>94.6</v>
      </c>
      <c r="AG10">
        <f ca="1">IF(AND(ISNUMBER($AG$171),$B$158=1),$AG$171,HLOOKUP(INDIRECT(ADDRESS(2,COLUMN())),OFFSET($BN$2,0,0,ROW()-1,60),ROW()-1,FALSE))</f>
        <v>92</v>
      </c>
      <c r="AH10">
        <f ca="1">IF(AND(ISNUMBER($AH$171),$B$158=1),$AH$171,HLOOKUP(INDIRECT(ADDRESS(2,COLUMN())),OFFSET($BN$2,0,0,ROW()-1,60),ROW()-1,FALSE))</f>
        <v>93.5</v>
      </c>
      <c r="AI10">
        <f ca="1">IF(AND(ISNUMBER($AI$171),$B$158=1),$AI$171,HLOOKUP(INDIRECT(ADDRESS(2,COLUMN())),OFFSET($BN$2,0,0,ROW()-1,60),ROW()-1,FALSE))</f>
        <v>84.8</v>
      </c>
      <c r="AJ10">
        <f ca="1">IF(AND(ISNUMBER($AJ$171),$B$158=1),$AJ$171,HLOOKUP(INDIRECT(ADDRESS(2,COLUMN())),OFFSET($BN$2,0,0,ROW()-1,60),ROW()-1,FALSE))</f>
        <v>82</v>
      </c>
      <c r="AK10">
        <f ca="1">IF(AND(ISNUMBER($AK$171),$B$158=1),$AK$171,HLOOKUP(INDIRECT(ADDRESS(2,COLUMN())),OFFSET($BN$2,0,0,ROW()-1,60),ROW()-1,FALSE))</f>
        <v>80.5</v>
      </c>
      <c r="AL10">
        <f ca="1">IF(AND(ISNUMBER($AL$171),$B$158=1),$AL$171,HLOOKUP(INDIRECT(ADDRESS(2,COLUMN())),OFFSET($BN$2,0,0,ROW()-1,60),ROW()-1,FALSE))</f>
        <v>83</v>
      </c>
      <c r="AM10">
        <f ca="1">IF(AND(ISNUMBER($AM$171),$B$158=1),$AM$171,HLOOKUP(INDIRECT(ADDRESS(2,COLUMN())),OFFSET($BN$2,0,0,ROW()-1,60),ROW()-1,FALSE))</f>
        <v>78</v>
      </c>
      <c r="AN10">
        <f ca="1">IF(AND(ISNUMBER($AN$171),$B$158=1),$AN$171,HLOOKUP(INDIRECT(ADDRESS(2,COLUMN())),OFFSET($BN$2,0,0,ROW()-1,60),ROW()-1,FALSE))</f>
        <v>83</v>
      </c>
      <c r="AO10">
        <f ca="1">IF(AND(ISNUMBER($AO$171),$B$158=1),$AO$171,HLOOKUP(INDIRECT(ADDRESS(2,COLUMN())),OFFSET($BN$2,0,0,ROW()-1,60),ROW()-1,FALSE))</f>
        <v>72.599999999999994</v>
      </c>
      <c r="AP10">
        <f ca="1">IF(AND(ISNUMBER($AP$171),$B$158=1),$AP$171,HLOOKUP(INDIRECT(ADDRESS(2,COLUMN())),OFFSET($BN$2,0,0,ROW()-1,60),ROW()-1,FALSE))</f>
        <v>75</v>
      </c>
      <c r="AQ10">
        <f ca="1">IF(AND(ISNUMBER($AQ$171),$B$158=1),$AQ$171,HLOOKUP(INDIRECT(ADDRESS(2,COLUMN())),OFFSET($BN$2,0,0,ROW()-1,60),ROW()-1,FALSE))</f>
        <v>79</v>
      </c>
      <c r="AR10">
        <f ca="1">IF(AND(ISNUMBER($AR$171),$B$158=1),$AR$171,HLOOKUP(INDIRECT(ADDRESS(2,COLUMN())),OFFSET($BN$2,0,0,ROW()-1,60),ROW()-1,FALSE))</f>
        <v>74.099999999999994</v>
      </c>
      <c r="AS10">
        <f ca="1">IF(AND(ISNUMBER($AS$171),$B$158=1),$AS$171,HLOOKUP(INDIRECT(ADDRESS(2,COLUMN())),OFFSET($BN$2,0,0,ROW()-1,60),ROW()-1,FALSE))</f>
        <v>74.5</v>
      </c>
      <c r="AT10">
        <f ca="1">IF(AND(ISNUMBER($AT$171),$B$158=1),$AT$171,HLOOKUP(INDIRECT(ADDRESS(2,COLUMN())),OFFSET($BN$2,0,0,ROW()-1,60),ROW()-1,FALSE))</f>
        <v>68</v>
      </c>
      <c r="AU10">
        <f ca="1">IF(AND(ISNUMBER($AU$171),$B$158=1),$AU$171,HLOOKUP(INDIRECT(ADDRESS(2,COLUMN())),OFFSET($BN$2,0,0,ROW()-1,60),ROW()-1,FALSE))</f>
        <v>57.8</v>
      </c>
      <c r="AV10">
        <f ca="1">IF(AND(ISNUMBER($AV$171),$B$158=1),$AV$171,HLOOKUP(INDIRECT(ADDRESS(2,COLUMN())),OFFSET($BN$2,0,0,ROW()-1,60),ROW()-1,FALSE))</f>
        <v>72</v>
      </c>
      <c r="AW10">
        <f ca="1">IF(AND(ISNUMBER($AW$171),$B$158=1),$AW$171,HLOOKUP(INDIRECT(ADDRESS(2,COLUMN())),OFFSET($BN$2,0,0,ROW()-1,60),ROW()-1,FALSE))</f>
        <v>68</v>
      </c>
      <c r="AX10">
        <f ca="1">IF(AND(ISNUMBER($AX$171),$B$158=1),$AX$171,HLOOKUP(INDIRECT(ADDRESS(2,COLUMN())),OFFSET($BN$2,0,0,ROW()-1,60),ROW()-1,FALSE))</f>
        <v>74.5</v>
      </c>
      <c r="AY10">
        <f ca="1">IF(AND(ISNUMBER($AY$171),$B$158=1),$AY$171,HLOOKUP(INDIRECT(ADDRESS(2,COLUMN())),OFFSET($BN$2,0,0,ROW()-1,60),ROW()-1,FALSE))</f>
        <v>67</v>
      </c>
      <c r="AZ10">
        <f ca="1">IF(AND(ISNUMBER($AZ$171),$B$158=1),$AZ$171,HLOOKUP(INDIRECT(ADDRESS(2,COLUMN())),OFFSET($BN$2,0,0,ROW()-1,60),ROW()-1,FALSE))</f>
        <v>75.5</v>
      </c>
      <c r="BA10">
        <f ca="1">IF(AND(ISNUMBER($BA$171),$B$158=1),$BA$171,HLOOKUP(INDIRECT(ADDRESS(2,COLUMN())),OFFSET($BN$2,0,0,ROW()-1,60),ROW()-1,FALSE))</f>
        <v>73</v>
      </c>
      <c r="BB10">
        <f ca="1">IF(AND(ISNUMBER($BB$171),$B$158=1),$BB$171,HLOOKUP(INDIRECT(ADDRESS(2,COLUMN())),OFFSET($BN$2,0,0,ROW()-1,60),ROW()-1,FALSE))</f>
        <v>73.8</v>
      </c>
      <c r="BC10">
        <f ca="1">IF(AND(ISNUMBER($BC$171),$B$158=1),$BC$171,HLOOKUP(INDIRECT(ADDRESS(2,COLUMN())),OFFSET($BN$2,0,0,ROW()-1,60),ROW()-1,FALSE))</f>
        <v>70.5</v>
      </c>
      <c r="BD10">
        <f ca="1">IF(AND(ISNUMBER($BD$171),$B$158=1),$BD$171,HLOOKUP(INDIRECT(ADDRESS(2,COLUMN())),OFFSET($BN$2,0,0,ROW()-1,60),ROW()-1,FALSE))</f>
        <v>69</v>
      </c>
      <c r="BE10">
        <f ca="1">IF(AND(ISNUMBER($BE$171),$B$158=1),$BE$171,HLOOKUP(INDIRECT(ADDRESS(2,COLUMN())),OFFSET($BN$2,0,0,ROW()-1,60),ROW()-1,FALSE))</f>
        <v>56.8</v>
      </c>
      <c r="BF10">
        <f ca="1">IF(AND(ISNUMBER($BF$171),$B$158=1),$BF$171,HLOOKUP(INDIRECT(ADDRESS(2,COLUMN())),OFFSET($BN$2,0,0,ROW()-1,60),ROW()-1,FALSE))</f>
        <v>58.8</v>
      </c>
      <c r="BG10">
        <f ca="1">IF(AND(ISNUMBER($BG$171),$B$158=1),$BG$171,HLOOKUP(INDIRECT(ADDRESS(2,COLUMN())),OFFSET($BN$2,0,0,ROW()-1,60),ROW()-1,FALSE))</f>
        <v>70.75</v>
      </c>
      <c r="BH10">
        <f ca="1">IF(AND(ISNUMBER($BH$171),$B$158=1),$BH$171,HLOOKUP(INDIRECT(ADDRESS(2,COLUMN())),OFFSET($BN$2,0,0,ROW()-1,60),ROW()-1,FALSE))</f>
        <v>56.7</v>
      </c>
      <c r="BI10">
        <f ca="1">IF(AND(ISNUMBER($BI$171),$B$158=1),$BI$171,HLOOKUP(INDIRECT(ADDRESS(2,COLUMN())),OFFSET($BN$2,0,0,ROW()-1,60),ROW()-1,FALSE))</f>
        <v>70</v>
      </c>
      <c r="BJ10">
        <f ca="1">IF(AND(ISNUMBER($BJ$171),$B$158=1),$BJ$171,HLOOKUP(INDIRECT(ADDRESS(2,COLUMN())),OFFSET($BN$2,0,0,ROW()-1,60),ROW()-1,FALSE))</f>
        <v>74.5</v>
      </c>
      <c r="BK10">
        <f ca="1">IF(AND(ISNUMBER($BK$171),$B$158=1),$BK$171,HLOOKUP(INDIRECT(ADDRESS(2,COLUMN())),OFFSET($BN$2,0,0,ROW()-1,60),ROW()-1,FALSE))</f>
        <v>84</v>
      </c>
      <c r="BL10">
        <f ca="1">IF(AND(ISNUMBER($BL$171),$B$158=1),$BL$171,HLOOKUP(INDIRECT(ADDRESS(2,COLUMN())),OFFSET($BN$2,0,0,ROW()-1,60),ROW()-1,FALSE))</f>
        <v>84</v>
      </c>
      <c r="BM10">
        <f ca="1">IF(AND(ISNUMBER($BM$171),$B$158=1),$BM$171,HLOOKUP(INDIRECT(ADDRESS(2,COLUMN())),OFFSET($BN$2,0,0,ROW()-1,60),ROW()-1,FALSE))</f>
        <v>88.5</v>
      </c>
      <c r="BN10">
        <f>72.25</f>
        <v>72.25</v>
      </c>
      <c r="BO10">
        <f>71</f>
        <v>71</v>
      </c>
      <c r="BP10">
        <f>86.5</f>
        <v>86.5</v>
      </c>
      <c r="BQ10">
        <f>83.6</f>
        <v>83.6</v>
      </c>
      <c r="BR10">
        <f>81.1</f>
        <v>81.099999999999994</v>
      </c>
      <c r="BS10">
        <f>79</f>
        <v>79</v>
      </c>
      <c r="BT10">
        <f>79.2</f>
        <v>79.2</v>
      </c>
      <c r="BU10">
        <f>90</f>
        <v>90</v>
      </c>
      <c r="BV10">
        <f>99.2</f>
        <v>99.2</v>
      </c>
      <c r="BW10">
        <f>98.5</f>
        <v>98.5</v>
      </c>
      <c r="BX10">
        <f>97.9</f>
        <v>97.9</v>
      </c>
      <c r="BY10">
        <f>97.8</f>
        <v>97.8</v>
      </c>
      <c r="BZ10">
        <f>97.35</f>
        <v>97.35</v>
      </c>
      <c r="CA10">
        <f>100.55</f>
        <v>100.55</v>
      </c>
      <c r="CB10">
        <f>99</f>
        <v>99</v>
      </c>
      <c r="CC10">
        <f>102</f>
        <v>102</v>
      </c>
      <c r="CD10">
        <f>97.2</f>
        <v>97.2</v>
      </c>
      <c r="CE10">
        <f>95.3</f>
        <v>95.3</v>
      </c>
      <c r="CF10">
        <f>94.5</f>
        <v>94.5</v>
      </c>
      <c r="CG10">
        <f>97.6</f>
        <v>97.6</v>
      </c>
      <c r="CH10">
        <f>98</f>
        <v>98</v>
      </c>
      <c r="CI10">
        <f>90</f>
        <v>90</v>
      </c>
      <c r="CJ10">
        <f>94.1</f>
        <v>94.1</v>
      </c>
      <c r="CK10">
        <f>90.5</f>
        <v>90.5</v>
      </c>
      <c r="CL10">
        <f>92</f>
        <v>92</v>
      </c>
      <c r="CM10">
        <f>86.5</f>
        <v>86.5</v>
      </c>
      <c r="CN10">
        <f>94.6</f>
        <v>94.6</v>
      </c>
      <c r="CO10">
        <f>92</f>
        <v>92</v>
      </c>
      <c r="CP10">
        <f>93.5</f>
        <v>93.5</v>
      </c>
      <c r="CQ10">
        <f>84.8</f>
        <v>84.8</v>
      </c>
      <c r="CR10">
        <f>82</f>
        <v>82</v>
      </c>
      <c r="CS10">
        <f>80.5</f>
        <v>80.5</v>
      </c>
      <c r="CT10">
        <f>83</f>
        <v>83</v>
      </c>
      <c r="CU10">
        <f>78</f>
        <v>78</v>
      </c>
      <c r="CV10">
        <f>83</f>
        <v>83</v>
      </c>
      <c r="CW10">
        <f>72.6</f>
        <v>72.599999999999994</v>
      </c>
      <c r="CX10">
        <f>75</f>
        <v>75</v>
      </c>
      <c r="CY10">
        <f>79</f>
        <v>79</v>
      </c>
      <c r="CZ10">
        <f>74.1</f>
        <v>74.099999999999994</v>
      </c>
      <c r="DA10">
        <f>74.5</f>
        <v>74.5</v>
      </c>
      <c r="DB10">
        <f>68</f>
        <v>68</v>
      </c>
      <c r="DC10">
        <f>57.8</f>
        <v>57.8</v>
      </c>
      <c r="DD10">
        <f>72</f>
        <v>72</v>
      </c>
      <c r="DE10">
        <f>68</f>
        <v>68</v>
      </c>
      <c r="DF10">
        <f>74.5</f>
        <v>74.5</v>
      </c>
      <c r="DG10">
        <f>67</f>
        <v>67</v>
      </c>
      <c r="DH10">
        <f>75.5</f>
        <v>75.5</v>
      </c>
      <c r="DI10">
        <f>73</f>
        <v>73</v>
      </c>
      <c r="DJ10">
        <f>73.8</f>
        <v>73.8</v>
      </c>
      <c r="DK10">
        <f>70.5</f>
        <v>70.5</v>
      </c>
      <c r="DL10">
        <f>69</f>
        <v>69</v>
      </c>
      <c r="DM10">
        <f>56.8</f>
        <v>56.8</v>
      </c>
      <c r="DN10">
        <f>58.8</f>
        <v>58.8</v>
      </c>
      <c r="DO10">
        <f>70.75</f>
        <v>70.75</v>
      </c>
      <c r="DP10">
        <f>56.7</f>
        <v>56.7</v>
      </c>
      <c r="DQ10">
        <f>70</f>
        <v>70</v>
      </c>
      <c r="DR10">
        <f>74.5</f>
        <v>74.5</v>
      </c>
      <c r="DS10">
        <f>84</f>
        <v>84</v>
      </c>
      <c r="DT10">
        <f>84</f>
        <v>84</v>
      </c>
      <c r="DU10">
        <f>88.5</f>
        <v>88.5</v>
      </c>
    </row>
    <row r="11" spans="1:125" x14ac:dyDescent="0.25">
      <c r="A11" t="str">
        <f>"            EUR"</f>
        <v xml:space="preserve">            EUR</v>
      </c>
      <c r="B11" t="str">
        <f>"EUCCEMU Index"</f>
        <v>EUCCEMU Index</v>
      </c>
      <c r="C11" t="str">
        <f>"PR291"</f>
        <v>PR291</v>
      </c>
      <c r="D11" t="str">
        <f>"BN_SURVEY_MEDIAN"</f>
        <v>BN_SURVEY_MEDIAN</v>
      </c>
      <c r="E11" t="str">
        <f>"Dynamic"</f>
        <v>Dynamic</v>
      </c>
      <c r="F11">
        <f ca="1">IF(AND(ISNUMBER($F$172),$B$158=1),$F$172,HLOOKUP(INDIRECT(ADDRESS(2,COLUMN())),OFFSET($BN$2,0,0,ROW()-1,60),ROW()-1,FALSE))</f>
        <v>-5</v>
      </c>
      <c r="G11">
        <f ca="1">IF(AND(ISNUMBER($G$172),$B$158=1),$G$172,HLOOKUP(INDIRECT(ADDRESS(2,COLUMN())),OFFSET($BN$2,0,0,ROW()-1,60),ROW()-1,FALSE))</f>
        <v>-5.85</v>
      </c>
      <c r="H11">
        <f ca="1">IF(AND(ISNUMBER($H$172),$B$158=1),$H$172,HLOOKUP(INDIRECT(ADDRESS(2,COLUMN())),OFFSET($BN$2,0,0,ROW()-1,60),ROW()-1,FALSE))</f>
        <v>-3.1</v>
      </c>
      <c r="I11">
        <f ca="1">IF(AND(ISNUMBER($I$172),$B$158=1),$I$172,HLOOKUP(INDIRECT(ADDRESS(2,COLUMN())),OFFSET($BN$2,0,0,ROW()-1,60),ROW()-1,FALSE))</f>
        <v>-14.5</v>
      </c>
      <c r="J11">
        <f ca="1">IF(AND(ISNUMBER($J$172),$B$158=1),$J$172,HLOOKUP(INDIRECT(ADDRESS(2,COLUMN())),OFFSET($BN$2,0,0,ROW()-1,60),ROW()-1,FALSE))</f>
        <v>-18</v>
      </c>
      <c r="K11">
        <f ca="1">IF(AND(ISNUMBER($K$172),$B$158=1),$K$172,HLOOKUP(INDIRECT(ADDRESS(2,COLUMN())),OFFSET($BN$2,0,0,ROW()-1,60),ROW()-1,FALSE))</f>
        <v>-14.7</v>
      </c>
      <c r="L11">
        <f ca="1">IF(AND(ISNUMBER($L$172),$B$158=1),$L$172,HLOOKUP(INDIRECT(ADDRESS(2,COLUMN())),OFFSET($BN$2,0,0,ROW()-1,60),ROW()-1,FALSE))</f>
        <v>-15</v>
      </c>
      <c r="M11">
        <f ca="1">IF(AND(ISNUMBER($M$172),$B$158=1),$M$172,HLOOKUP(INDIRECT(ADDRESS(2,COLUMN())),OFFSET($BN$2,0,0,ROW()-1,60),ROW()-1,FALSE))</f>
        <v>-13</v>
      </c>
      <c r="N11">
        <f ca="1">IF(AND(ISNUMBER($N$172),$B$158=1),$N$172,HLOOKUP(INDIRECT(ADDRESS(2,COLUMN())),OFFSET($BN$2,0,0,ROW()-1,60),ROW()-1,FALSE))</f>
        <v>-7.3</v>
      </c>
      <c r="O11">
        <f ca="1">IF(AND(ISNUMBER($O$172),$B$158=1),$O$172,HLOOKUP(INDIRECT(ADDRESS(2,COLUMN())),OFFSET($BN$2,0,0,ROW()-1,60),ROW()-1,FALSE))</f>
        <v>-6.6</v>
      </c>
      <c r="P11">
        <f ca="1">IF(AND(ISNUMBER($P$172),$B$158=1),$P$172,HLOOKUP(INDIRECT(ADDRESS(2,COLUMN())),OFFSET($BN$2,0,0,ROW()-1,60),ROW()-1,FALSE))</f>
        <v>-7.2</v>
      </c>
      <c r="Q11">
        <f ca="1">IF(AND(ISNUMBER($Q$172),$B$158=1),$Q$172,HLOOKUP(INDIRECT(ADDRESS(2,COLUMN())),OFFSET($BN$2,0,0,ROW()-1,60),ROW()-1,FALSE))</f>
        <v>-7.2</v>
      </c>
      <c r="R11">
        <f ca="1">IF(AND(ISNUMBER($R$172),$B$158=1),$R$172,HLOOKUP(INDIRECT(ADDRESS(2,COLUMN())),OFFSET($BN$2,0,0,ROW()-1,60),ROW()-1,FALSE))</f>
        <v>-6.2</v>
      </c>
      <c r="S11">
        <f ca="1">IF(AND(ISNUMBER($S$172),$B$158=1),$S$172,HLOOKUP(INDIRECT(ADDRESS(2,COLUMN())),OFFSET($BN$2,0,0,ROW()-1,60),ROW()-1,FALSE))</f>
        <v>-2.9</v>
      </c>
      <c r="T11">
        <f ca="1">IF(AND(ISNUMBER($T$172),$B$158=1),$T$172,HLOOKUP(INDIRECT(ADDRESS(2,COLUMN())),OFFSET($BN$2,0,0,ROW()-1,60),ROW()-1,FALSE))</f>
        <v>-0.5</v>
      </c>
      <c r="U11">
        <f ca="1">IF(AND(ISNUMBER($U$172),$B$158=1),$U$172,HLOOKUP(INDIRECT(ADDRESS(2,COLUMN())),OFFSET($BN$2,0,0,ROW()-1,60),ROW()-1,FALSE))</f>
        <v>0.1</v>
      </c>
      <c r="V11">
        <f ca="1">IF(AND(ISNUMBER($V$172),$B$158=1),$V$172,HLOOKUP(INDIRECT(ADDRESS(2,COLUMN())),OFFSET($BN$2,0,0,ROW()-1,60),ROW()-1,FALSE))</f>
        <v>0.5</v>
      </c>
      <c r="W11">
        <f ca="1">IF(AND(ISNUMBER($W$172),$B$158=1),$W$172,HLOOKUP(INDIRECT(ADDRESS(2,COLUMN())),OFFSET($BN$2,0,0,ROW()-1,60),ROW()-1,FALSE))</f>
        <v>-1.2</v>
      </c>
      <c r="X11">
        <f ca="1">IF(AND(ISNUMBER($X$172),$B$158=1),$X$172,HLOOKUP(INDIRECT(ADDRESS(2,COLUMN())),OFFSET($BN$2,0,0,ROW()-1,60),ROW()-1,FALSE))</f>
        <v>-1.3</v>
      </c>
      <c r="Y11">
        <f ca="1">IF(AND(ISNUMBER($Y$172),$B$158=1),$Y$172,HLOOKUP(INDIRECT(ADDRESS(2,COLUMN())),OFFSET($BN$2,0,0,ROW()-1,60),ROW()-1,FALSE))</f>
        <v>-5</v>
      </c>
      <c r="Z11">
        <f ca="1">IF(AND(ISNUMBER($Z$172),$B$158=1),$Z$172,HLOOKUP(INDIRECT(ADDRESS(2,COLUMN())),OFFSET($BN$2,0,0,ROW()-1,60),ROW()-1,FALSE))</f>
        <v>-5.0999999999999996</v>
      </c>
      <c r="AA11">
        <f ca="1">IF(AND(ISNUMBER($AA$172),$B$158=1),$AA$172,HLOOKUP(INDIRECT(ADDRESS(2,COLUMN())),OFFSET($BN$2,0,0,ROW()-1,60),ROW()-1,FALSE))</f>
        <v>-8.1999999999999993</v>
      </c>
      <c r="AB11">
        <f ca="1">IF(AND(ISNUMBER($AB$172),$B$158=1),$AB$172,HLOOKUP(INDIRECT(ADDRESS(2,COLUMN())),OFFSET($BN$2,0,0,ROW()-1,60),ROW()-1,FALSE))</f>
        <v>-7.3</v>
      </c>
      <c r="AC11">
        <f ca="1">IF(AND(ISNUMBER($AC$172),$B$158=1),$AC$172,HLOOKUP(INDIRECT(ADDRESS(2,COLUMN())),OFFSET($BN$2,0,0,ROW()-1,60),ROW()-1,FALSE))</f>
        <v>-9.6999999999999993</v>
      </c>
      <c r="AD11">
        <f ca="1">IF(AND(ISNUMBER($AD$172),$B$158=1),$AD$172,HLOOKUP(INDIRECT(ADDRESS(2,COLUMN())),OFFSET($BN$2,0,0,ROW()-1,60),ROW()-1,FALSE))</f>
        <v>-5.7</v>
      </c>
      <c r="AE11">
        <f ca="1">IF(AND(ISNUMBER($AE$172),$B$158=1),$AE$172,HLOOKUP(INDIRECT(ADDRESS(2,COLUMN())),OFFSET($BN$2,0,0,ROW()-1,60),ROW()-1,FALSE))</f>
        <v>-7.1</v>
      </c>
      <c r="AF11">
        <f ca="1">IF(AND(ISNUMBER($AF$172),$B$158=1),$AF$172,HLOOKUP(INDIRECT(ADDRESS(2,COLUMN())),OFFSET($BN$2,0,0,ROW()-1,60),ROW()-1,FALSE))</f>
        <v>-5.6</v>
      </c>
      <c r="AG11">
        <f ca="1">IF(AND(ISNUMBER($AG$172),$B$158=1),$AG$172,HLOOKUP(INDIRECT(ADDRESS(2,COLUMN())),OFFSET($BN$2,0,0,ROW()-1,60),ROW()-1,FALSE))</f>
        <v>-3.7</v>
      </c>
      <c r="AH11">
        <f ca="1">IF(AND(ISNUMBER($AH$172),$B$158=1),$AH$172,HLOOKUP(INDIRECT(ADDRESS(2,COLUMN())),OFFSET($BN$2,0,0,ROW()-1,60),ROW()-1,FALSE))</f>
        <v>-10.9</v>
      </c>
      <c r="AI11">
        <f ca="1">IF(AND(ISNUMBER($AI$172),$B$158=1),$AI$172,HLOOKUP(INDIRECT(ADDRESS(2,COLUMN())),OFFSET($BN$2,0,0,ROW()-1,60),ROW()-1,FALSE))</f>
        <v>-11.4</v>
      </c>
      <c r="AJ11">
        <f ca="1">IF(AND(ISNUMBER($AJ$172),$B$158=1),$AJ$172,HLOOKUP(INDIRECT(ADDRESS(2,COLUMN())),OFFSET($BN$2,0,0,ROW()-1,60),ROW()-1,FALSE))</f>
        <v>-6.5</v>
      </c>
      <c r="AK11">
        <f ca="1">IF(AND(ISNUMBER($AK$172),$B$158=1),$AK$172,HLOOKUP(INDIRECT(ADDRESS(2,COLUMN())),OFFSET($BN$2,0,0,ROW()-1,60),ROW()-1,FALSE))</f>
        <v>-12.3</v>
      </c>
      <c r="AL11">
        <f ca="1">IF(AND(ISNUMBER($AL$172),$B$158=1),$AL$172,HLOOKUP(INDIRECT(ADDRESS(2,COLUMN())),OFFSET($BN$2,0,0,ROW()-1,60),ROW()-1,FALSE))</f>
        <v>-13.6</v>
      </c>
      <c r="AM11">
        <f ca="1">IF(AND(ISNUMBER($AM$172),$B$158=1),$AM$172,HLOOKUP(INDIRECT(ADDRESS(2,COLUMN())),OFFSET($BN$2,0,0,ROW()-1,60),ROW()-1,FALSE))</f>
        <v>-14.5</v>
      </c>
      <c r="AN11">
        <f ca="1">IF(AND(ISNUMBER($AN$172),$B$158=1),$AN$172,HLOOKUP(INDIRECT(ADDRESS(2,COLUMN())),OFFSET($BN$2,0,0,ROW()-1,60),ROW()-1,FALSE))</f>
        <v>-18.8</v>
      </c>
      <c r="AO11">
        <f ca="1">IF(AND(ISNUMBER($AO$172),$B$158=1),$AO$172,HLOOKUP(INDIRECT(ADDRESS(2,COLUMN())),OFFSET($BN$2,0,0,ROW()-1,60),ROW()-1,FALSE))</f>
        <v>-23.5</v>
      </c>
      <c r="AP11">
        <f ca="1">IF(AND(ISNUMBER($AP$172),$B$158=1),$AP$172,HLOOKUP(INDIRECT(ADDRESS(2,COLUMN())),OFFSET($BN$2,0,0,ROW()-1,60),ROW()-1,FALSE))</f>
        <v>-26.6</v>
      </c>
      <c r="AQ11">
        <f ca="1">IF(AND(ISNUMBER($AQ$172),$B$158=1),$AQ$172,HLOOKUP(INDIRECT(ADDRESS(2,COLUMN())),OFFSET($BN$2,0,0,ROW()-1,60),ROW()-1,FALSE))</f>
        <v>-25.9</v>
      </c>
      <c r="AR11">
        <f ca="1">IF(AND(ISNUMBER($AR$172),$B$158=1),$AR$172,HLOOKUP(INDIRECT(ADDRESS(2,COLUMN())),OFFSET($BN$2,0,0,ROW()-1,60),ROW()-1,FALSE))</f>
        <v>-20</v>
      </c>
      <c r="AS11">
        <f ca="1">IF(AND(ISNUMBER($AS$172),$B$158=1),$AS$172,HLOOKUP(INDIRECT(ADDRESS(2,COLUMN())),OFFSET($BN$2,0,0,ROW()-1,60),ROW()-1,FALSE))</f>
        <v>-19</v>
      </c>
      <c r="AT11">
        <f ca="1">IF(AND(ISNUMBER($AT$172),$B$158=1),$AT$172,HLOOKUP(INDIRECT(ADDRESS(2,COLUMN())),OFFSET($BN$2,0,0,ROW()-1,60),ROW()-1,FALSE))</f>
        <v>-21</v>
      </c>
      <c r="AU11">
        <f ca="1">IF(AND(ISNUMBER($AU$172),$B$158=1),$AU$172,HLOOKUP(INDIRECT(ADDRESS(2,COLUMN())),OFFSET($BN$2,0,0,ROW()-1,60),ROW()-1,FALSE))</f>
        <v>-18</v>
      </c>
      <c r="AV11">
        <f ca="1">IF(AND(ISNUMBER($AV$172),$B$158=1),$AV$172,HLOOKUP(INDIRECT(ADDRESS(2,COLUMN())),OFFSET($BN$2,0,0,ROW()-1,60),ROW()-1,FALSE))</f>
        <v>-10.4</v>
      </c>
      <c r="AW11">
        <f ca="1">IF(AND(ISNUMBER($AW$172),$B$158=1),$AW$172,HLOOKUP(INDIRECT(ADDRESS(2,COLUMN())),OFFSET($BN$2,0,0,ROW()-1,60),ROW()-1,FALSE))</f>
        <v>-11</v>
      </c>
      <c r="AX11">
        <f ca="1">IF(AND(ISNUMBER($AX$172),$B$158=1),$AX$172,HLOOKUP(INDIRECT(ADDRESS(2,COLUMN())),OFFSET($BN$2,0,0,ROW()-1,60),ROW()-1,FALSE))</f>
        <v>-10.199999999999999</v>
      </c>
      <c r="AY11">
        <f ca="1">IF(AND(ISNUMBER($AY$172),$B$158=1),$AY$172,HLOOKUP(INDIRECT(ADDRESS(2,COLUMN())),OFFSET($BN$2,0,0,ROW()-1,60),ROW()-1,FALSE))</f>
        <v>-11</v>
      </c>
      <c r="AZ11">
        <f ca="1">IF(AND(ISNUMBER($AZ$172),$B$158=1),$AZ$172,HLOOKUP(INDIRECT(ADDRESS(2,COLUMN())),OFFSET($BN$2,0,0,ROW()-1,60),ROW()-1,FALSE))</f>
        <v>-17</v>
      </c>
      <c r="BA11">
        <f ca="1">IF(AND(ISNUMBER($BA$172),$B$158=1),$BA$172,HLOOKUP(INDIRECT(ADDRESS(2,COLUMN())),OFFSET($BN$2,0,0,ROW()-1,60),ROW()-1,FALSE))</f>
        <v>-17</v>
      </c>
      <c r="BB11">
        <f ca="1">IF(AND(ISNUMBER($BB$172),$B$158=1),$BB$172,HLOOKUP(INDIRECT(ADDRESS(2,COLUMN())),OFFSET($BN$2,0,0,ROW()-1,60),ROW()-1,FALSE))</f>
        <v>-16</v>
      </c>
      <c r="BC11">
        <f ca="1">IF(AND(ISNUMBER($BC$172),$B$158=1),$BC$172,HLOOKUP(INDIRECT(ADDRESS(2,COLUMN())),OFFSET($BN$2,0,0,ROW()-1,60),ROW()-1,FALSE))</f>
        <v>-21</v>
      </c>
      <c r="BD11">
        <f ca="1">IF(AND(ISNUMBER($BD$172),$B$158=1),$BD$172,HLOOKUP(INDIRECT(ADDRESS(2,COLUMN())),OFFSET($BN$2,0,0,ROW()-1,60),ROW()-1,FALSE))</f>
        <v>-30</v>
      </c>
      <c r="BE11">
        <f ca="1">IF(AND(ISNUMBER($BE$172),$B$158=1),$BE$172,HLOOKUP(INDIRECT(ADDRESS(2,COLUMN())),OFFSET($BN$2,0,0,ROW()-1,60),ROW()-1,FALSE))</f>
        <v>-33.5</v>
      </c>
      <c r="BF11">
        <f ca="1">IF(AND(ISNUMBER($BF$172),$B$158=1),$BF$172,HLOOKUP(INDIRECT(ADDRESS(2,COLUMN())),OFFSET($BN$2,0,0,ROW()-1,60),ROW()-1,FALSE))</f>
        <v>-26</v>
      </c>
      <c r="BG11">
        <f ca="1">IF(AND(ISNUMBER($BG$172),$B$158=1),$BG$172,HLOOKUP(INDIRECT(ADDRESS(2,COLUMN())),OFFSET($BN$2,0,0,ROW()-1,60),ROW()-1,FALSE))</f>
        <v>-19</v>
      </c>
      <c r="BH11">
        <f ca="1">IF(AND(ISNUMBER($BH$172),$B$158=1),$BH$172,HLOOKUP(INDIRECT(ADDRESS(2,COLUMN())),OFFSET($BN$2,0,0,ROW()-1,60),ROW()-1,FALSE))</f>
        <v>-16</v>
      </c>
      <c r="BI11">
        <f ca="1">IF(AND(ISNUMBER($BI$172),$B$158=1),$BI$172,HLOOKUP(INDIRECT(ADDRESS(2,COLUMN())),OFFSET($BN$2,0,0,ROW()-1,60),ROW()-1,FALSE))</f>
        <v>-12</v>
      </c>
      <c r="BJ11">
        <f ca="1">IF(AND(ISNUMBER($BJ$172),$B$158=1),$BJ$172,HLOOKUP(INDIRECT(ADDRESS(2,COLUMN())),OFFSET($BN$2,0,0,ROW()-1,60),ROW()-1,FALSE))</f>
        <v>-8</v>
      </c>
      <c r="BK11">
        <f ca="1">IF(AND(ISNUMBER($BK$172),$B$158=1),$BK$172,HLOOKUP(INDIRECT(ADDRESS(2,COLUMN())),OFFSET($BN$2,0,0,ROW()-1,60),ROW()-1,FALSE))</f>
        <v>-4</v>
      </c>
      <c r="BL11">
        <f ca="1">IF(AND(ISNUMBER($BL$172),$B$158=1),$BL$172,HLOOKUP(INDIRECT(ADDRESS(2,COLUMN())),OFFSET($BN$2,0,0,ROW()-1,60),ROW()-1,FALSE))</f>
        <v>-1</v>
      </c>
      <c r="BM11">
        <f ca="1">IF(AND(ISNUMBER($BM$172),$B$158=1),$BM$172,HLOOKUP(INDIRECT(ADDRESS(2,COLUMN())),OFFSET($BN$2,0,0,ROW()-1,60),ROW()-1,FALSE))</f>
        <v>-4</v>
      </c>
      <c r="BN11">
        <f>-5</f>
        <v>-5</v>
      </c>
      <c r="BO11">
        <f>-5.85</f>
        <v>-5.85</v>
      </c>
      <c r="BP11">
        <f>-3.1</f>
        <v>-3.1</v>
      </c>
      <c r="BQ11">
        <f>-14.5</f>
        <v>-14.5</v>
      </c>
      <c r="BR11">
        <f>-18</f>
        <v>-18</v>
      </c>
      <c r="BS11">
        <f>-14.7</f>
        <v>-14.7</v>
      </c>
      <c r="BT11">
        <f>-15</f>
        <v>-15</v>
      </c>
      <c r="BU11">
        <f>-13</f>
        <v>-13</v>
      </c>
      <c r="BV11">
        <f>-7.3</f>
        <v>-7.3</v>
      </c>
      <c r="BW11">
        <f>-6.6</f>
        <v>-6.6</v>
      </c>
      <c r="BX11">
        <f>-7.2</f>
        <v>-7.2</v>
      </c>
      <c r="BY11">
        <f>-7.2</f>
        <v>-7.2</v>
      </c>
      <c r="BZ11">
        <f>-6.2</f>
        <v>-6.2</v>
      </c>
      <c r="CA11">
        <f>-2.9</f>
        <v>-2.9</v>
      </c>
      <c r="CB11">
        <f>-0.5</f>
        <v>-0.5</v>
      </c>
      <c r="CC11">
        <f>0.1</f>
        <v>0.1</v>
      </c>
      <c r="CD11">
        <f>0.5</f>
        <v>0.5</v>
      </c>
      <c r="CE11">
        <f>-1.2</f>
        <v>-1.2</v>
      </c>
      <c r="CF11">
        <f>-1.3</f>
        <v>-1.3</v>
      </c>
      <c r="CG11">
        <f>-5</f>
        <v>-5</v>
      </c>
      <c r="CH11">
        <f>-5.1</f>
        <v>-5.0999999999999996</v>
      </c>
      <c r="CI11">
        <f>-8.2</f>
        <v>-8.1999999999999993</v>
      </c>
      <c r="CJ11">
        <f>-7.3</f>
        <v>-7.3</v>
      </c>
      <c r="CK11">
        <f>-9.7</f>
        <v>-9.6999999999999993</v>
      </c>
      <c r="CL11">
        <f>-5.7</f>
        <v>-5.7</v>
      </c>
      <c r="CM11">
        <f>-7.1</f>
        <v>-7.1</v>
      </c>
      <c r="CN11">
        <f>-5.6</f>
        <v>-5.6</v>
      </c>
      <c r="CO11">
        <f>-3.7</f>
        <v>-3.7</v>
      </c>
      <c r="CP11">
        <f>-10.9</f>
        <v>-10.9</v>
      </c>
      <c r="CQ11">
        <f>-11.4</f>
        <v>-11.4</v>
      </c>
      <c r="CR11">
        <f>-6.5</f>
        <v>-6.5</v>
      </c>
      <c r="CS11">
        <f>-12.3</f>
        <v>-12.3</v>
      </c>
      <c r="CT11">
        <f>-13.6</f>
        <v>-13.6</v>
      </c>
      <c r="CU11">
        <f>-14.5</f>
        <v>-14.5</v>
      </c>
      <c r="CV11">
        <f>-18.8</f>
        <v>-18.8</v>
      </c>
      <c r="CW11">
        <f>-23.5</f>
        <v>-23.5</v>
      </c>
      <c r="CX11">
        <f>-26.6</f>
        <v>-26.6</v>
      </c>
      <c r="CY11">
        <f>-25.9</f>
        <v>-25.9</v>
      </c>
      <c r="CZ11">
        <f>-20</f>
        <v>-20</v>
      </c>
      <c r="DA11">
        <f>-19</f>
        <v>-19</v>
      </c>
      <c r="DB11">
        <f>-21</f>
        <v>-21</v>
      </c>
      <c r="DC11">
        <f>-18</f>
        <v>-18</v>
      </c>
      <c r="DD11">
        <f>-10.4</f>
        <v>-10.4</v>
      </c>
      <c r="DE11">
        <f>-11</f>
        <v>-11</v>
      </c>
      <c r="DF11">
        <f>-10.2</f>
        <v>-10.199999999999999</v>
      </c>
      <c r="DG11">
        <f>-11</f>
        <v>-11</v>
      </c>
      <c r="DH11">
        <f>-17</f>
        <v>-17</v>
      </c>
      <c r="DI11">
        <f>-17</f>
        <v>-17</v>
      </c>
      <c r="DJ11">
        <f>-16</f>
        <v>-16</v>
      </c>
      <c r="DK11">
        <f>-21</f>
        <v>-21</v>
      </c>
      <c r="DL11">
        <f>-30</f>
        <v>-30</v>
      </c>
      <c r="DM11">
        <f>-33.5</f>
        <v>-33.5</v>
      </c>
      <c r="DN11">
        <f>-26</f>
        <v>-26</v>
      </c>
      <c r="DO11">
        <f>-19</f>
        <v>-19</v>
      </c>
      <c r="DP11">
        <f>-16</f>
        <v>-16</v>
      </c>
      <c r="DQ11">
        <f>-12</f>
        <v>-12</v>
      </c>
      <c r="DR11">
        <f>-8</f>
        <v>-8</v>
      </c>
      <c r="DS11">
        <f>-4</f>
        <v>-4</v>
      </c>
      <c r="DT11">
        <f>-1</f>
        <v>-1</v>
      </c>
      <c r="DU11">
        <f>-4</f>
        <v>-4</v>
      </c>
    </row>
    <row r="12" spans="1:125" x14ac:dyDescent="0.25">
      <c r="A12" t="str">
        <f>"            Russia"</f>
        <v xml:space="preserve">            Russia</v>
      </c>
      <c r="B12" t="str">
        <f>"RUCNCNCF Index"</f>
        <v>RUCNCNCF Index</v>
      </c>
      <c r="C12" t="str">
        <f>"PR005"</f>
        <v>PR005</v>
      </c>
      <c r="D12" t="str">
        <f>"PX_LAST"</f>
        <v>PX_LAST</v>
      </c>
      <c r="E12" t="str">
        <f>"Dynamic"</f>
        <v>Dynamic</v>
      </c>
      <c r="F12" t="str">
        <f ca="1">IF(AND(ISNUMBER($F$173),$B$158=1),$F$173,HLOOKUP(INDIRECT(ADDRESS(2,COLUMN())),OFFSET($BN$2,0,0,ROW()-1,60),ROW()-1,FALSE))</f>
        <v/>
      </c>
      <c r="G12">
        <f ca="1">IF(AND(ISNUMBER($G$173),$B$158=1),$G$173,HLOOKUP(INDIRECT(ADDRESS(2,COLUMN())),OFFSET($BN$2,0,0,ROW()-1,60),ROW()-1,FALSE))</f>
        <v>-19</v>
      </c>
      <c r="H12">
        <f ca="1">IF(AND(ISNUMBER($H$173),$B$158=1),$H$173,HLOOKUP(INDIRECT(ADDRESS(2,COLUMN())),OFFSET($BN$2,0,0,ROW()-1,60),ROW()-1,FALSE))</f>
        <v>-18</v>
      </c>
      <c r="I12">
        <f ca="1">IF(AND(ISNUMBER($I$173),$B$158=1),$I$173,HLOOKUP(INDIRECT(ADDRESS(2,COLUMN())),OFFSET($BN$2,0,0,ROW()-1,60),ROW()-1,FALSE))</f>
        <v>-21</v>
      </c>
      <c r="J12">
        <f ca="1">IF(AND(ISNUMBER($J$173),$B$158=1),$J$173,HLOOKUP(INDIRECT(ADDRESS(2,COLUMN())),OFFSET($BN$2,0,0,ROW()-1,60),ROW()-1,FALSE))</f>
        <v>-26</v>
      </c>
      <c r="K12">
        <f ca="1">IF(AND(ISNUMBER($K$173),$B$158=1),$K$173,HLOOKUP(INDIRECT(ADDRESS(2,COLUMN())),OFFSET($BN$2,0,0,ROW()-1,60),ROW()-1,FALSE))</f>
        <v>-22</v>
      </c>
      <c r="L12">
        <f ca="1">IF(AND(ISNUMBER($L$173),$B$158=1),$L$173,HLOOKUP(INDIRECT(ADDRESS(2,COLUMN())),OFFSET($BN$2,0,0,ROW()-1,60),ROW()-1,FALSE))</f>
        <v>-30</v>
      </c>
      <c r="M12">
        <f ca="1">IF(AND(ISNUMBER($M$173),$B$158=1),$M$173,HLOOKUP(INDIRECT(ADDRESS(2,COLUMN())),OFFSET($BN$2,0,0,ROW()-1,60),ROW()-1,FALSE))</f>
        <v>-11</v>
      </c>
      <c r="N12">
        <f ca="1">IF(AND(ISNUMBER($N$173),$B$158=1),$N$173,HLOOKUP(INDIRECT(ADDRESS(2,COLUMN())),OFFSET($BN$2,0,0,ROW()-1,60),ROW()-1,FALSE))</f>
        <v>-13</v>
      </c>
      <c r="O12">
        <f ca="1">IF(AND(ISNUMBER($O$173),$B$158=1),$O$173,HLOOKUP(INDIRECT(ADDRESS(2,COLUMN())),OFFSET($BN$2,0,0,ROW()-1,60),ROW()-1,FALSE))</f>
        <v>-13</v>
      </c>
      <c r="P12">
        <f ca="1">IF(AND(ISNUMBER($P$173),$B$158=1),$P$173,HLOOKUP(INDIRECT(ADDRESS(2,COLUMN())),OFFSET($BN$2,0,0,ROW()-1,60),ROW()-1,FALSE))</f>
        <v>-15</v>
      </c>
      <c r="Q12">
        <f ca="1">IF(AND(ISNUMBER($Q$173),$B$158=1),$Q$173,HLOOKUP(INDIRECT(ADDRESS(2,COLUMN())),OFFSET($BN$2,0,0,ROW()-1,60),ROW()-1,FALSE))</f>
        <v>-16</v>
      </c>
      <c r="R12">
        <f ca="1">IF(AND(ISNUMBER($R$173),$B$158=1),$R$173,HLOOKUP(INDIRECT(ADDRESS(2,COLUMN())),OFFSET($BN$2,0,0,ROW()-1,60),ROW()-1,FALSE))</f>
        <v>-17</v>
      </c>
      <c r="S12">
        <f ca="1">IF(AND(ISNUMBER($S$173),$B$158=1),$S$173,HLOOKUP(INDIRECT(ADDRESS(2,COLUMN())),OFFSET($BN$2,0,0,ROW()-1,60),ROW()-1,FALSE))</f>
        <v>-14</v>
      </c>
      <c r="T12">
        <f ca="1">IF(AND(ISNUMBER($T$173),$B$158=1),$T$173,HLOOKUP(INDIRECT(ADDRESS(2,COLUMN())),OFFSET($BN$2,0,0,ROW()-1,60),ROW()-1,FALSE))</f>
        <v>-8</v>
      </c>
      <c r="U12">
        <f ca="1">IF(AND(ISNUMBER($U$173),$B$158=1),$U$173,HLOOKUP(INDIRECT(ADDRESS(2,COLUMN())),OFFSET($BN$2,0,0,ROW()-1,60),ROW()-1,FALSE))</f>
        <v>-8</v>
      </c>
      <c r="V12">
        <f ca="1">IF(AND(ISNUMBER($V$173),$B$158=1),$V$173,HLOOKUP(INDIRECT(ADDRESS(2,COLUMN())),OFFSET($BN$2,0,0,ROW()-1,60),ROW()-1,FALSE))</f>
        <v>-11</v>
      </c>
      <c r="W12">
        <f ca="1">IF(AND(ISNUMBER($W$173),$B$158=1),$W$173,HLOOKUP(INDIRECT(ADDRESS(2,COLUMN())),OFFSET($BN$2,0,0,ROW()-1,60),ROW()-1,FALSE))</f>
        <v>-11</v>
      </c>
      <c r="X12">
        <f ca="1">IF(AND(ISNUMBER($X$173),$B$158=1),$X$173,HLOOKUP(INDIRECT(ADDRESS(2,COLUMN())),OFFSET($BN$2,0,0,ROW()-1,60),ROW()-1,FALSE))</f>
        <v>-14</v>
      </c>
      <c r="Y12">
        <f ca="1">IF(AND(ISNUMBER($Y$173),$B$158=1),$Y$173,HLOOKUP(INDIRECT(ADDRESS(2,COLUMN())),OFFSET($BN$2,0,0,ROW()-1,60),ROW()-1,FALSE))</f>
        <v>-15</v>
      </c>
      <c r="Z12">
        <f ca="1">IF(AND(ISNUMBER($Z$173),$B$158=1),$Z$173,HLOOKUP(INDIRECT(ADDRESS(2,COLUMN())),OFFSET($BN$2,0,0,ROW()-1,60),ROW()-1,FALSE))</f>
        <v>-18</v>
      </c>
      <c r="AA12">
        <f ca="1">IF(AND(ISNUMBER($AA$173),$B$158=1),$AA$173,HLOOKUP(INDIRECT(ADDRESS(2,COLUMN())),OFFSET($BN$2,0,0,ROW()-1,60),ROW()-1,FALSE))</f>
        <v>-19</v>
      </c>
      <c r="AB12">
        <f ca="1">IF(AND(ISNUMBER($AB$173),$B$158=1),$AB$173,HLOOKUP(INDIRECT(ADDRESS(2,COLUMN())),OFFSET($BN$2,0,0,ROW()-1,60),ROW()-1,FALSE))</f>
        <v>-26</v>
      </c>
      <c r="AC12">
        <f ca="1">IF(AND(ISNUMBER($AC$173),$B$158=1),$AC$173,HLOOKUP(INDIRECT(ADDRESS(2,COLUMN())),OFFSET($BN$2,0,0,ROW()-1,60),ROW()-1,FALSE))</f>
        <v>-30</v>
      </c>
      <c r="AD12">
        <f ca="1">IF(AND(ISNUMBER($AD$173),$B$158=1),$AD$173,HLOOKUP(INDIRECT(ADDRESS(2,COLUMN())),OFFSET($BN$2,0,0,ROW()-1,60),ROW()-1,FALSE))</f>
        <v>-26</v>
      </c>
      <c r="AE12">
        <f ca="1">IF(AND(ISNUMBER($AE$173),$B$158=1),$AE$173,HLOOKUP(INDIRECT(ADDRESS(2,COLUMN())),OFFSET($BN$2,0,0,ROW()-1,60),ROW()-1,FALSE))</f>
        <v>-24</v>
      </c>
      <c r="AF12">
        <f ca="1">IF(AND(ISNUMBER($AF$173),$B$158=1),$AF$173,HLOOKUP(INDIRECT(ADDRESS(2,COLUMN())),OFFSET($BN$2,0,0,ROW()-1,60),ROW()-1,FALSE))</f>
        <v>-23</v>
      </c>
      <c r="AG12">
        <f ca="1">IF(AND(ISNUMBER($AG$173),$B$158=1),$AG$173,HLOOKUP(INDIRECT(ADDRESS(2,COLUMN())),OFFSET($BN$2,0,0,ROW()-1,60),ROW()-1,FALSE))</f>
        <v>-32</v>
      </c>
      <c r="AH12">
        <f ca="1">IF(AND(ISNUMBER($AH$173),$B$158=1),$AH$173,HLOOKUP(INDIRECT(ADDRESS(2,COLUMN())),OFFSET($BN$2,0,0,ROW()-1,60),ROW()-1,FALSE))</f>
        <v>-18</v>
      </c>
      <c r="AI12">
        <f ca="1">IF(AND(ISNUMBER($AI$173),$B$158=1),$AI$173,HLOOKUP(INDIRECT(ADDRESS(2,COLUMN())),OFFSET($BN$2,0,0,ROW()-1,60),ROW()-1,FALSE))</f>
        <v>-7</v>
      </c>
      <c r="AJ12">
        <f ca="1">IF(AND(ISNUMBER($AJ$173),$B$158=1),$AJ$173,HLOOKUP(INDIRECT(ADDRESS(2,COLUMN())),OFFSET($BN$2,0,0,ROW()-1,60),ROW()-1,FALSE))</f>
        <v>-6</v>
      </c>
      <c r="AK12">
        <f ca="1">IF(AND(ISNUMBER($AK$173),$B$158=1),$AK$173,HLOOKUP(INDIRECT(ADDRESS(2,COLUMN())),OFFSET($BN$2,0,0,ROW()-1,60),ROW()-1,FALSE))</f>
        <v>-11</v>
      </c>
      <c r="AL12">
        <f ca="1">IF(AND(ISNUMBER($AL$173),$B$158=1),$AL$173,HLOOKUP(INDIRECT(ADDRESS(2,COLUMN())),OFFSET($BN$2,0,0,ROW()-1,60),ROW()-1,FALSE))</f>
        <v>-11</v>
      </c>
      <c r="AM12">
        <f ca="1">IF(AND(ISNUMBER($AM$173),$B$158=1),$AM$173,HLOOKUP(INDIRECT(ADDRESS(2,COLUMN())),OFFSET($BN$2,0,0,ROW()-1,60),ROW()-1,FALSE))</f>
        <v>-7</v>
      </c>
      <c r="AN12">
        <f ca="1">IF(AND(ISNUMBER($AN$173),$B$158=1),$AN$173,HLOOKUP(INDIRECT(ADDRESS(2,COLUMN())),OFFSET($BN$2,0,0,ROW()-1,60),ROW()-1,FALSE))</f>
        <v>-6</v>
      </c>
      <c r="AO12">
        <f ca="1">IF(AND(ISNUMBER($AO$173),$B$158=1),$AO$173,HLOOKUP(INDIRECT(ADDRESS(2,COLUMN())),OFFSET($BN$2,0,0,ROW()-1,60),ROW()-1,FALSE))</f>
        <v>-7</v>
      </c>
      <c r="AP12">
        <f ca="1">IF(AND(ISNUMBER($AP$173),$B$158=1),$AP$173,HLOOKUP(INDIRECT(ADDRESS(2,COLUMN())),OFFSET($BN$2,0,0,ROW()-1,60),ROW()-1,FALSE))</f>
        <v>-8</v>
      </c>
      <c r="AQ12">
        <f ca="1">IF(AND(ISNUMBER($AQ$173),$B$158=1),$AQ$173,HLOOKUP(INDIRECT(ADDRESS(2,COLUMN())),OFFSET($BN$2,0,0,ROW()-1,60),ROW()-1,FALSE))</f>
        <v>-6</v>
      </c>
      <c r="AR12">
        <f ca="1">IF(AND(ISNUMBER($AR$173),$B$158=1),$AR$173,HLOOKUP(INDIRECT(ADDRESS(2,COLUMN())),OFFSET($BN$2,0,0,ROW()-1,60),ROW()-1,FALSE))</f>
        <v>-4</v>
      </c>
      <c r="AS12">
        <f ca="1">IF(AND(ISNUMBER($AS$173),$B$158=1),$AS$173,HLOOKUP(INDIRECT(ADDRESS(2,COLUMN())),OFFSET($BN$2,0,0,ROW()-1,60),ROW()-1,FALSE))</f>
        <v>-5</v>
      </c>
      <c r="AT12">
        <f ca="1">IF(AND(ISNUMBER($AT$173),$B$158=1),$AT$173,HLOOKUP(INDIRECT(ADDRESS(2,COLUMN())),OFFSET($BN$2,0,0,ROW()-1,60),ROW()-1,FALSE))</f>
        <v>-7</v>
      </c>
      <c r="AU12">
        <f ca="1">IF(AND(ISNUMBER($AU$173),$B$158=1),$AU$173,HLOOKUP(INDIRECT(ADDRESS(2,COLUMN())),OFFSET($BN$2,0,0,ROW()-1,60),ROW()-1,FALSE))</f>
        <v>-7</v>
      </c>
      <c r="AV12">
        <f ca="1">IF(AND(ISNUMBER($AV$173),$B$158=1),$AV$173,HLOOKUP(INDIRECT(ADDRESS(2,COLUMN())),OFFSET($BN$2,0,0,ROW()-1,60),ROW()-1,FALSE))</f>
        <v>-9</v>
      </c>
      <c r="AW12">
        <f ca="1">IF(AND(ISNUMBER($AW$173),$B$158=1),$AW$173,HLOOKUP(INDIRECT(ADDRESS(2,COLUMN())),OFFSET($BN$2,0,0,ROW()-1,60),ROW()-1,FALSE))</f>
        <v>-13</v>
      </c>
      <c r="AX12">
        <f ca="1">IF(AND(ISNUMBER($AX$173),$B$158=1),$AX$173,HLOOKUP(INDIRECT(ADDRESS(2,COLUMN())),OFFSET($BN$2,0,0,ROW()-1,60),ROW()-1,FALSE))</f>
        <v>-10</v>
      </c>
      <c r="AY12">
        <f ca="1">IF(AND(ISNUMBER($AY$173),$B$158=1),$AY$173,HLOOKUP(INDIRECT(ADDRESS(2,COLUMN())),OFFSET($BN$2,0,0,ROW()-1,60),ROW()-1,FALSE))</f>
        <v>-11</v>
      </c>
      <c r="AZ12">
        <f ca="1">IF(AND(ISNUMBER($AZ$173),$B$158=1),$AZ$173,HLOOKUP(INDIRECT(ADDRESS(2,COLUMN())),OFFSET($BN$2,0,0,ROW()-1,60),ROW()-1,FALSE))</f>
        <v>-7</v>
      </c>
      <c r="BA12">
        <f ca="1">IF(AND(ISNUMBER($BA$173),$B$158=1),$BA$173,HLOOKUP(INDIRECT(ADDRESS(2,COLUMN())),OFFSET($BN$2,0,0,ROW()-1,60),ROW()-1,FALSE))</f>
        <v>-10</v>
      </c>
      <c r="BB12">
        <f ca="1">IF(AND(ISNUMBER($BB$173),$B$158=1),$BB$173,HLOOKUP(INDIRECT(ADDRESS(2,COLUMN())),OFFSET($BN$2,0,0,ROW()-1,60),ROW()-1,FALSE))</f>
        <v>-20</v>
      </c>
      <c r="BC12">
        <f ca="1">IF(AND(ISNUMBER($BC$173),$B$158=1),$BC$173,HLOOKUP(INDIRECT(ADDRESS(2,COLUMN())),OFFSET($BN$2,0,0,ROW()-1,60),ROW()-1,FALSE))</f>
        <v>-25</v>
      </c>
      <c r="BD12">
        <f ca="1">IF(AND(ISNUMBER($BD$173),$B$158=1),$BD$173,HLOOKUP(INDIRECT(ADDRESS(2,COLUMN())),OFFSET($BN$2,0,0,ROW()-1,60),ROW()-1,FALSE))</f>
        <v>-32</v>
      </c>
      <c r="BE12">
        <f ca="1">IF(AND(ISNUMBER($BE$173),$B$158=1),$BE$173,HLOOKUP(INDIRECT(ADDRESS(2,COLUMN())),OFFSET($BN$2,0,0,ROW()-1,60),ROW()-1,FALSE))</f>
        <v>-35</v>
      </c>
      <c r="BF12">
        <f ca="1">IF(AND(ISNUMBER($BF$173),$B$158=1),$BF$173,HLOOKUP(INDIRECT(ADDRESS(2,COLUMN())),OFFSET($BN$2,0,0,ROW()-1,60),ROW()-1,FALSE))</f>
        <v>-20</v>
      </c>
      <c r="BG12">
        <f ca="1">IF(AND(ISNUMBER($BG$173),$B$158=1),$BG$173,HLOOKUP(INDIRECT(ADDRESS(2,COLUMN())),OFFSET($BN$2,0,0,ROW()-1,60),ROW()-1,FALSE))</f>
        <v>1</v>
      </c>
      <c r="BH12">
        <f ca="1">IF(AND(ISNUMBER($BH$173),$B$158=1),$BH$173,HLOOKUP(INDIRECT(ADDRESS(2,COLUMN())),OFFSET($BN$2,0,0,ROW()-1,60),ROW()-1,FALSE))</f>
        <v>-2</v>
      </c>
      <c r="BI12">
        <f ca="1">IF(AND(ISNUMBER($BI$173),$B$158=1),$BI$173,HLOOKUP(INDIRECT(ADDRESS(2,COLUMN())),OFFSET($BN$2,0,0,ROW()-1,60),ROW()-1,FALSE))</f>
        <v>0.4</v>
      </c>
      <c r="BJ12">
        <f ca="1">IF(AND(ISNUMBER($BJ$173),$B$158=1),$BJ$173,HLOOKUP(INDIRECT(ADDRESS(2,COLUMN())),OFFSET($BN$2,0,0,ROW()-1,60),ROW()-1,FALSE))</f>
        <v>-5</v>
      </c>
      <c r="BK12">
        <f ca="1">IF(AND(ISNUMBER($BK$173),$B$158=1),$BK$173,HLOOKUP(INDIRECT(ADDRESS(2,COLUMN())),OFFSET($BN$2,0,0,ROW()-1,60),ROW()-1,FALSE))</f>
        <v>-0.5</v>
      </c>
      <c r="BL12">
        <f ca="1">IF(AND(ISNUMBER($BL$173),$B$158=1),$BL$173,HLOOKUP(INDIRECT(ADDRESS(2,COLUMN())),OFFSET($BN$2,0,0,ROW()-1,60),ROW()-1,FALSE))</f>
        <v>0.2</v>
      </c>
      <c r="BM12">
        <f ca="1">IF(AND(ISNUMBER($BM$173),$B$158=1),$BM$173,HLOOKUP(INDIRECT(ADDRESS(2,COLUMN())),OFFSET($BN$2,0,0,ROW()-1,60),ROW()-1,FALSE))</f>
        <v>-3</v>
      </c>
      <c r="BN12" t="str">
        <f>""</f>
        <v/>
      </c>
      <c r="BO12">
        <f>-19</f>
        <v>-19</v>
      </c>
      <c r="BP12">
        <f>-18</f>
        <v>-18</v>
      </c>
      <c r="BQ12">
        <f>-21</f>
        <v>-21</v>
      </c>
      <c r="BR12">
        <f>-26</f>
        <v>-26</v>
      </c>
      <c r="BS12">
        <f>-22</f>
        <v>-22</v>
      </c>
      <c r="BT12">
        <f>-30</f>
        <v>-30</v>
      </c>
      <c r="BU12">
        <f>-11</f>
        <v>-11</v>
      </c>
      <c r="BV12">
        <f>-13</f>
        <v>-13</v>
      </c>
      <c r="BW12">
        <f>-13</f>
        <v>-13</v>
      </c>
      <c r="BX12">
        <f>-15</f>
        <v>-15</v>
      </c>
      <c r="BY12">
        <f>-16</f>
        <v>-16</v>
      </c>
      <c r="BZ12">
        <f>-17</f>
        <v>-17</v>
      </c>
      <c r="CA12">
        <f>-14</f>
        <v>-14</v>
      </c>
      <c r="CB12">
        <f>-8</f>
        <v>-8</v>
      </c>
      <c r="CC12">
        <f>-8</f>
        <v>-8</v>
      </c>
      <c r="CD12">
        <f>-11</f>
        <v>-11</v>
      </c>
      <c r="CE12">
        <f>-11</f>
        <v>-11</v>
      </c>
      <c r="CF12">
        <f>-14</f>
        <v>-14</v>
      </c>
      <c r="CG12">
        <f>-15</f>
        <v>-15</v>
      </c>
      <c r="CH12">
        <f>-18</f>
        <v>-18</v>
      </c>
      <c r="CI12">
        <f>-19</f>
        <v>-19</v>
      </c>
      <c r="CJ12">
        <f>-26</f>
        <v>-26</v>
      </c>
      <c r="CK12">
        <f>-30</f>
        <v>-30</v>
      </c>
      <c r="CL12">
        <f>-26</f>
        <v>-26</v>
      </c>
      <c r="CM12">
        <f>-24</f>
        <v>-24</v>
      </c>
      <c r="CN12">
        <f>-23</f>
        <v>-23</v>
      </c>
      <c r="CO12">
        <f>-32</f>
        <v>-32</v>
      </c>
      <c r="CP12">
        <f>-18</f>
        <v>-18</v>
      </c>
      <c r="CQ12">
        <f>-7</f>
        <v>-7</v>
      </c>
      <c r="CR12">
        <f>-6</f>
        <v>-6</v>
      </c>
      <c r="CS12">
        <f>-11</f>
        <v>-11</v>
      </c>
      <c r="CT12">
        <f>-11</f>
        <v>-11</v>
      </c>
      <c r="CU12">
        <f>-7</f>
        <v>-7</v>
      </c>
      <c r="CV12">
        <f>-6</f>
        <v>-6</v>
      </c>
      <c r="CW12">
        <f>-7</f>
        <v>-7</v>
      </c>
      <c r="CX12">
        <f>-8</f>
        <v>-8</v>
      </c>
      <c r="CY12">
        <f>-6</f>
        <v>-6</v>
      </c>
      <c r="CZ12">
        <f>-4</f>
        <v>-4</v>
      </c>
      <c r="DA12">
        <f>-5</f>
        <v>-5</v>
      </c>
      <c r="DB12">
        <f>-7</f>
        <v>-7</v>
      </c>
      <c r="DC12">
        <f>-7</f>
        <v>-7</v>
      </c>
      <c r="DD12">
        <f>-9</f>
        <v>-9</v>
      </c>
      <c r="DE12">
        <f>-13</f>
        <v>-13</v>
      </c>
      <c r="DF12">
        <f>-10</f>
        <v>-10</v>
      </c>
      <c r="DG12">
        <f>-11</f>
        <v>-11</v>
      </c>
      <c r="DH12">
        <f>-7</f>
        <v>-7</v>
      </c>
      <c r="DI12">
        <f>-10</f>
        <v>-10</v>
      </c>
      <c r="DJ12">
        <f>-20</f>
        <v>-20</v>
      </c>
      <c r="DK12">
        <f>-25</f>
        <v>-25</v>
      </c>
      <c r="DL12">
        <f>-32</f>
        <v>-32</v>
      </c>
      <c r="DM12">
        <f>-35</f>
        <v>-35</v>
      </c>
      <c r="DN12">
        <f>-20</f>
        <v>-20</v>
      </c>
      <c r="DO12">
        <f>1</f>
        <v>1</v>
      </c>
      <c r="DP12">
        <f>-2</f>
        <v>-2</v>
      </c>
      <c r="DQ12">
        <f>0.4</f>
        <v>0.4</v>
      </c>
      <c r="DR12">
        <f>-5</f>
        <v>-5</v>
      </c>
      <c r="DS12">
        <f>-0.5</f>
        <v>-0.5</v>
      </c>
      <c r="DT12">
        <f>0.2</f>
        <v>0.2</v>
      </c>
      <c r="DU12">
        <f>-3</f>
        <v>-3</v>
      </c>
    </row>
    <row r="13" spans="1:125" x14ac:dyDescent="0.25">
      <c r="A13" t="str">
        <f>"        Key Average FOREX Rates (Period Average)"</f>
        <v xml:space="preserve">        Key Average FOREX Rates (Period Average)</v>
      </c>
      <c r="B13" t="str">
        <f>""</f>
        <v/>
      </c>
      <c r="E13" t="str">
        <f>"Static"</f>
        <v>Static</v>
      </c>
      <c r="F13" t="str">
        <f t="shared" ref="F13:AK13" ca="1" si="10">HLOOKUP(INDIRECT(ADDRESS(2,COLUMN())),OFFSET($BN$2,0,0,ROW()-1,60),ROW()-1,FALSE)</f>
        <v/>
      </c>
      <c r="G13" t="str">
        <f t="shared" ca="1" si="10"/>
        <v/>
      </c>
      <c r="H13" t="str">
        <f t="shared" ca="1" si="10"/>
        <v/>
      </c>
      <c r="I13" t="str">
        <f t="shared" ca="1" si="10"/>
        <v/>
      </c>
      <c r="J13" t="str">
        <f t="shared" ca="1" si="10"/>
        <v/>
      </c>
      <c r="K13" t="str">
        <f t="shared" ca="1" si="10"/>
        <v/>
      </c>
      <c r="L13" t="str">
        <f t="shared" ca="1" si="10"/>
        <v/>
      </c>
      <c r="M13" t="str">
        <f t="shared" ca="1" si="10"/>
        <v/>
      </c>
      <c r="N13" t="str">
        <f t="shared" ca="1" si="10"/>
        <v/>
      </c>
      <c r="O13" t="str">
        <f t="shared" ca="1" si="10"/>
        <v/>
      </c>
      <c r="P13" t="str">
        <f t="shared" ca="1" si="10"/>
        <v/>
      </c>
      <c r="Q13" t="str">
        <f t="shared" ca="1" si="10"/>
        <v/>
      </c>
      <c r="R13" t="str">
        <f t="shared" ca="1" si="10"/>
        <v/>
      </c>
      <c r="S13" t="str">
        <f t="shared" ca="1" si="10"/>
        <v/>
      </c>
      <c r="T13" t="str">
        <f t="shared" ca="1" si="10"/>
        <v/>
      </c>
      <c r="U13" t="str">
        <f t="shared" ca="1" si="10"/>
        <v/>
      </c>
      <c r="V13" t="str">
        <f t="shared" ca="1" si="10"/>
        <v/>
      </c>
      <c r="W13" t="str">
        <f t="shared" ca="1" si="10"/>
        <v/>
      </c>
      <c r="X13" t="str">
        <f t="shared" ca="1" si="10"/>
        <v/>
      </c>
      <c r="Y13" t="str">
        <f t="shared" ca="1" si="10"/>
        <v/>
      </c>
      <c r="Z13" t="str">
        <f t="shared" ca="1" si="10"/>
        <v/>
      </c>
      <c r="AA13" t="str">
        <f t="shared" ca="1" si="10"/>
        <v/>
      </c>
      <c r="AB13" t="str">
        <f t="shared" ca="1" si="10"/>
        <v/>
      </c>
      <c r="AC13" t="str">
        <f t="shared" ca="1" si="10"/>
        <v/>
      </c>
      <c r="AD13" t="str">
        <f t="shared" ca="1" si="10"/>
        <v/>
      </c>
      <c r="AE13" t="str">
        <f t="shared" ca="1" si="10"/>
        <v/>
      </c>
      <c r="AF13" t="str">
        <f t="shared" ca="1" si="10"/>
        <v/>
      </c>
      <c r="AG13" t="str">
        <f t="shared" ca="1" si="10"/>
        <v/>
      </c>
      <c r="AH13" t="str">
        <f t="shared" ca="1" si="10"/>
        <v/>
      </c>
      <c r="AI13" t="str">
        <f t="shared" ca="1" si="10"/>
        <v/>
      </c>
      <c r="AJ13" t="str">
        <f t="shared" ca="1" si="10"/>
        <v/>
      </c>
      <c r="AK13" t="str">
        <f t="shared" ca="1" si="10"/>
        <v/>
      </c>
      <c r="AL13" t="str">
        <f t="shared" ref="AL13:BM13" ca="1" si="11">HLOOKUP(INDIRECT(ADDRESS(2,COLUMN())),OFFSET($BN$2,0,0,ROW()-1,60),ROW()-1,FALSE)</f>
        <v/>
      </c>
      <c r="AM13" t="str">
        <f t="shared" ca="1" si="11"/>
        <v/>
      </c>
      <c r="AN13" t="str">
        <f t="shared" ca="1" si="11"/>
        <v/>
      </c>
      <c r="AO13" t="str">
        <f t="shared" ca="1" si="11"/>
        <v/>
      </c>
      <c r="AP13" t="str">
        <f t="shared" ca="1" si="11"/>
        <v/>
      </c>
      <c r="AQ13" t="str">
        <f t="shared" ca="1" si="11"/>
        <v/>
      </c>
      <c r="AR13" t="str">
        <f t="shared" ca="1" si="11"/>
        <v/>
      </c>
      <c r="AS13" t="str">
        <f t="shared" ca="1" si="11"/>
        <v/>
      </c>
      <c r="AT13" t="str">
        <f t="shared" ca="1" si="11"/>
        <v/>
      </c>
      <c r="AU13" t="str">
        <f t="shared" ca="1" si="11"/>
        <v/>
      </c>
      <c r="AV13" t="str">
        <f t="shared" ca="1" si="11"/>
        <v/>
      </c>
      <c r="AW13" t="str">
        <f t="shared" ca="1" si="11"/>
        <v/>
      </c>
      <c r="AX13" t="str">
        <f t="shared" ca="1" si="11"/>
        <v/>
      </c>
      <c r="AY13" t="str">
        <f t="shared" ca="1" si="11"/>
        <v/>
      </c>
      <c r="AZ13" t="str">
        <f t="shared" ca="1" si="11"/>
        <v/>
      </c>
      <c r="BA13" t="str">
        <f t="shared" ca="1" si="11"/>
        <v/>
      </c>
      <c r="BB13" t="str">
        <f t="shared" ca="1" si="11"/>
        <v/>
      </c>
      <c r="BC13" t="str">
        <f t="shared" ca="1" si="11"/>
        <v/>
      </c>
      <c r="BD13" t="str">
        <f t="shared" ca="1" si="11"/>
        <v/>
      </c>
      <c r="BE13" t="str">
        <f t="shared" ca="1" si="11"/>
        <v/>
      </c>
      <c r="BF13" t="str">
        <f t="shared" ca="1" si="11"/>
        <v/>
      </c>
      <c r="BG13" t="str">
        <f t="shared" ca="1" si="11"/>
        <v/>
      </c>
      <c r="BH13" t="str">
        <f t="shared" ca="1" si="11"/>
        <v/>
      </c>
      <c r="BI13" t="str">
        <f t="shared" ca="1" si="11"/>
        <v/>
      </c>
      <c r="BJ13" t="str">
        <f t="shared" ca="1" si="11"/>
        <v/>
      </c>
      <c r="BK13" t="str">
        <f t="shared" ca="1" si="11"/>
        <v/>
      </c>
      <c r="BL13" t="str">
        <f t="shared" ca="1" si="11"/>
        <v/>
      </c>
      <c r="BM13" t="str">
        <f t="shared" ca="1" si="11"/>
        <v/>
      </c>
      <c r="BN13" t="str">
        <f>""</f>
        <v/>
      </c>
      <c r="BO13" t="str">
        <f>""</f>
        <v/>
      </c>
      <c r="BP13" t="str">
        <f>""</f>
        <v/>
      </c>
      <c r="BQ13" t="str">
        <f>""</f>
        <v/>
      </c>
      <c r="BR13" t="str">
        <f>""</f>
        <v/>
      </c>
      <c r="BS13" t="str">
        <f>""</f>
        <v/>
      </c>
      <c r="BT13" t="str">
        <f>""</f>
        <v/>
      </c>
      <c r="BU13" t="str">
        <f>""</f>
        <v/>
      </c>
      <c r="BV13" t="str">
        <f>""</f>
        <v/>
      </c>
      <c r="BW13" t="str">
        <f>""</f>
        <v/>
      </c>
      <c r="BX13" t="str">
        <f>""</f>
        <v/>
      </c>
      <c r="BY13" t="str">
        <f>""</f>
        <v/>
      </c>
      <c r="BZ13" t="str">
        <f>""</f>
        <v/>
      </c>
      <c r="CA13" t="str">
        <f>""</f>
        <v/>
      </c>
      <c r="CB13" t="str">
        <f>""</f>
        <v/>
      </c>
      <c r="CC13" t="str">
        <f>""</f>
        <v/>
      </c>
      <c r="CD13" t="str">
        <f>""</f>
        <v/>
      </c>
      <c r="CE13" t="str">
        <f>""</f>
        <v/>
      </c>
      <c r="CF13" t="str">
        <f>""</f>
        <v/>
      </c>
      <c r="CG13" t="str">
        <f>""</f>
        <v/>
      </c>
      <c r="CH13" t="str">
        <f>""</f>
        <v/>
      </c>
      <c r="CI13" t="str">
        <f>""</f>
        <v/>
      </c>
      <c r="CJ13" t="str">
        <f>""</f>
        <v/>
      </c>
      <c r="CK13" t="str">
        <f>""</f>
        <v/>
      </c>
      <c r="CL13" t="str">
        <f>""</f>
        <v/>
      </c>
      <c r="CM13" t="str">
        <f>""</f>
        <v/>
      </c>
      <c r="CN13" t="str">
        <f>""</f>
        <v/>
      </c>
      <c r="CO13" t="str">
        <f>""</f>
        <v/>
      </c>
      <c r="CP13" t="str">
        <f>""</f>
        <v/>
      </c>
      <c r="CQ13" t="str">
        <f>""</f>
        <v/>
      </c>
      <c r="CR13" t="str">
        <f>""</f>
        <v/>
      </c>
      <c r="CS13" t="str">
        <f>""</f>
        <v/>
      </c>
      <c r="CT13" t="str">
        <f>""</f>
        <v/>
      </c>
      <c r="CU13" t="str">
        <f>""</f>
        <v/>
      </c>
      <c r="CV13" t="str">
        <f>""</f>
        <v/>
      </c>
      <c r="CW13" t="str">
        <f>""</f>
        <v/>
      </c>
      <c r="CX13" t="str">
        <f>""</f>
        <v/>
      </c>
      <c r="CY13" t="str">
        <f>""</f>
        <v/>
      </c>
      <c r="CZ13" t="str">
        <f>""</f>
        <v/>
      </c>
      <c r="DA13" t="str">
        <f>""</f>
        <v/>
      </c>
      <c r="DB13" t="str">
        <f>""</f>
        <v/>
      </c>
      <c r="DC13" t="str">
        <f>""</f>
        <v/>
      </c>
      <c r="DD13" t="str">
        <f>""</f>
        <v/>
      </c>
      <c r="DE13" t="str">
        <f>""</f>
        <v/>
      </c>
      <c r="DF13" t="str">
        <f>""</f>
        <v/>
      </c>
      <c r="DG13" t="str">
        <f>""</f>
        <v/>
      </c>
      <c r="DH13" t="str">
        <f>""</f>
        <v/>
      </c>
      <c r="DI13" t="str">
        <f>""</f>
        <v/>
      </c>
      <c r="DJ13" t="str">
        <f>""</f>
        <v/>
      </c>
      <c r="DK13" t="str">
        <f>""</f>
        <v/>
      </c>
      <c r="DL13" t="str">
        <f>""</f>
        <v/>
      </c>
      <c r="DM13" t="str">
        <f>""</f>
        <v/>
      </c>
      <c r="DN13" t="str">
        <f>""</f>
        <v/>
      </c>
      <c r="DO13" t="str">
        <f>""</f>
        <v/>
      </c>
      <c r="DP13" t="str">
        <f>""</f>
        <v/>
      </c>
      <c r="DQ13" t="str">
        <f>""</f>
        <v/>
      </c>
      <c r="DR13" t="str">
        <f>""</f>
        <v/>
      </c>
      <c r="DS13" t="str">
        <f>""</f>
        <v/>
      </c>
      <c r="DT13" t="str">
        <f>""</f>
        <v/>
      </c>
      <c r="DU13" t="str">
        <f>""</f>
        <v/>
      </c>
    </row>
    <row r="14" spans="1:125" x14ac:dyDescent="0.25">
      <c r="A14" t="str">
        <f>"            CNH/USD"</f>
        <v xml:space="preserve">            CNH/USD</v>
      </c>
      <c r="B14" t="str">
        <f>"CNHUSD Curncy"</f>
        <v>CNHUSD Curncy</v>
      </c>
      <c r="C14" t="str">
        <f>"PX388"</f>
        <v>PX388</v>
      </c>
      <c r="D14" t="str">
        <f>"INTERVAL_AVG"</f>
        <v>INTERVAL_AVG</v>
      </c>
      <c r="E14" t="str">
        <f>"Dynamic"</f>
        <v>Dynamic</v>
      </c>
      <c r="F14">
        <f ca="1">IF(AND(ISNUMBER($F$174),$B$158=1),$F$174,HLOOKUP(INDIRECT(ADDRESS(2,COLUMN())),OFFSET($BN$2,0,0,ROW()-1,60),ROW()-1,FALSE))</f>
        <v>0.15590000000000001</v>
      </c>
      <c r="G14">
        <f ca="1">IF(AND(ISNUMBER($G$174),$B$158=1),$G$174,HLOOKUP(INDIRECT(ADDRESS(2,COLUMN())),OFFSET($BN$2,0,0,ROW()-1,60),ROW()-1,FALSE))</f>
        <v>0.15459999999999999</v>
      </c>
      <c r="H14">
        <f ca="1">IF(AND(ISNUMBER($H$174),$B$158=1),$H$174,HLOOKUP(INDIRECT(ADDRESS(2,COLUMN())),OFFSET($BN$2,0,0,ROW()-1,60),ROW()-1,FALSE))</f>
        <v>0.15479999999999999</v>
      </c>
      <c r="I14">
        <f ca="1">IF(AND(ISNUMBER($I$174),$B$158=1),$I$174,HLOOKUP(INDIRECT(ADDRESS(2,COLUMN())),OFFSET($BN$2,0,0,ROW()-1,60),ROW()-1,FALSE))</f>
        <v>0.15429999999999999</v>
      </c>
      <c r="J14">
        <f ca="1">IF(AND(ISNUMBER($J$174),$B$158=1),$J$174,HLOOKUP(INDIRECT(ADDRESS(2,COLUMN())),OFFSET($BN$2,0,0,ROW()-1,60),ROW()-1,FALSE))</f>
        <v>0.15129999999999999</v>
      </c>
      <c r="K14">
        <f ca="1">IF(AND(ISNUMBER($K$174),$B$158=1),$K$174,HLOOKUP(INDIRECT(ADDRESS(2,COLUMN())),OFFSET($BN$2,0,0,ROW()-1,60),ROW()-1,FALSE))</f>
        <v>0.14460000000000001</v>
      </c>
      <c r="L14">
        <f ca="1">IF(AND(ISNUMBER($L$174),$B$158=1),$L$174,HLOOKUP(INDIRECT(ADDRESS(2,COLUMN())),OFFSET($BN$2,0,0,ROW()-1,60),ROW()-1,FALSE))</f>
        <v>0.1409</v>
      </c>
      <c r="M14">
        <f ca="1">IF(AND(ISNUMBER($M$174),$B$158=1),$M$174,HLOOKUP(INDIRECT(ADDRESS(2,COLUMN())),OFFSET($BN$2,0,0,ROW()-1,60),ROW()-1,FALSE))</f>
        <v>0.1431</v>
      </c>
      <c r="N14">
        <f ca="1">IF(AND(ISNUMBER($N$174),$B$158=1),$N$174,HLOOKUP(INDIRECT(ADDRESS(2,COLUMN())),OFFSET($BN$2,0,0,ROW()-1,60),ROW()-1,FALSE))</f>
        <v>0.14199999999999999</v>
      </c>
      <c r="O14">
        <f ca="1">IF(AND(ISNUMBER($O$174),$B$158=1),$O$174,HLOOKUP(INDIRECT(ADDRESS(2,COLUMN())),OFFSET($BN$2,0,0,ROW()-1,60),ROW()-1,FALSE))</f>
        <v>0.1424</v>
      </c>
      <c r="P14">
        <f ca="1">IF(AND(ISNUMBER($P$174),$B$158=1),$P$174,HLOOKUP(INDIRECT(ADDRESS(2,COLUMN())),OFFSET($BN$2,0,0,ROW()-1,60),ROW()-1,FALSE))</f>
        <v>0.1464</v>
      </c>
      <c r="Q14">
        <f ca="1">IF(AND(ISNUMBER($Q$174),$B$158=1),$Q$174,HLOOKUP(INDIRECT(ADDRESS(2,COLUMN())),OFFSET($BN$2,0,0,ROW()-1,60),ROW()-1,FALSE))</f>
        <v>0.14799999999999999</v>
      </c>
      <c r="R14">
        <f ca="1">IF(AND(ISNUMBER($R$174),$B$158=1),$R$174,HLOOKUP(INDIRECT(ADDRESS(2,COLUMN())),OFFSET($BN$2,0,0,ROW()-1,60),ROW()-1,FALSE))</f>
        <v>0.14460000000000001</v>
      </c>
      <c r="S14">
        <f ca="1">IF(AND(ISNUMBER($S$174),$B$158=1),$S$174,HLOOKUP(INDIRECT(ADDRESS(2,COLUMN())),OFFSET($BN$2,0,0,ROW()-1,60),ROW()-1,FALSE))</f>
        <v>0.14680000000000001</v>
      </c>
      <c r="T14">
        <f ca="1">IF(AND(ISNUMBER($T$174),$B$158=1),$T$174,HLOOKUP(INDIRECT(ADDRESS(2,COLUMN())),OFFSET($BN$2,0,0,ROW()-1,60),ROW()-1,FALSE))</f>
        <v>0.15690000000000001</v>
      </c>
      <c r="U14">
        <f ca="1">IF(AND(ISNUMBER($U$174),$B$158=1),$U$174,HLOOKUP(INDIRECT(ADDRESS(2,COLUMN())),OFFSET($BN$2,0,0,ROW()-1,60),ROW()-1,FALSE))</f>
        <v>0.15740000000000001</v>
      </c>
      <c r="V14">
        <f ca="1">IF(AND(ISNUMBER($V$174),$B$158=1),$V$174,HLOOKUP(INDIRECT(ADDRESS(2,COLUMN())),OFFSET($BN$2,0,0,ROW()-1,60),ROW()-1,FALSE))</f>
        <v>0.1512</v>
      </c>
      <c r="W14">
        <f ca="1">IF(AND(ISNUMBER($W$174),$B$158=1),$W$174,HLOOKUP(INDIRECT(ADDRESS(2,COLUMN())),OFFSET($BN$2,0,0,ROW()-1,60),ROW()-1,FALSE))</f>
        <v>0.14990000000000001</v>
      </c>
      <c r="X14">
        <f ca="1">IF(AND(ISNUMBER($X$174),$B$158=1),$X$174,HLOOKUP(INDIRECT(ADDRESS(2,COLUMN())),OFFSET($BN$2,0,0,ROW()-1,60),ROW()-1,FALSE))</f>
        <v>0.1459</v>
      </c>
      <c r="Y14">
        <f ca="1">IF(AND(ISNUMBER($Y$174),$B$158=1),$Y$174,HLOOKUP(INDIRECT(ADDRESS(2,COLUMN())),OFFSET($BN$2,0,0,ROW()-1,60),ROW()-1,FALSE))</f>
        <v>0.1457</v>
      </c>
      <c r="Z14">
        <f ca="1">IF(AND(ISNUMBER($Z$174),$B$158=1),$Z$174,HLOOKUP(INDIRECT(ADDRESS(2,COLUMN())),OFFSET($BN$2,0,0,ROW()-1,60),ROW()-1,FALSE))</f>
        <v>0.14610000000000001</v>
      </c>
      <c r="AA14">
        <f ca="1">IF(AND(ISNUMBER($AA$174),$B$158=1),$AA$174,HLOOKUP(INDIRECT(ADDRESS(2,COLUMN())),OFFSET($BN$2,0,0,ROW()-1,60),ROW()-1,FALSE))</f>
        <v>0.14979999999999999</v>
      </c>
      <c r="AB14">
        <f ca="1">IF(AND(ISNUMBER($AB$174),$B$158=1),$AB$174,HLOOKUP(INDIRECT(ADDRESS(2,COLUMN())),OFFSET($BN$2,0,0,ROW()-1,60),ROW()-1,FALSE))</f>
        <v>0.15279999999999999</v>
      </c>
      <c r="AC14">
        <f ca="1">IF(AND(ISNUMBER($AC$174),$B$158=1),$AC$174,HLOOKUP(INDIRECT(ADDRESS(2,COLUMN())),OFFSET($BN$2,0,0,ROW()-1,60),ROW()-1,FALSE))</f>
        <v>0.15260000000000001</v>
      </c>
      <c r="AD14">
        <f ca="1">IF(AND(ISNUMBER($AD$174),$B$158=1),$AD$174,HLOOKUP(INDIRECT(ADDRESS(2,COLUMN())),OFFSET($BN$2,0,0,ROW()-1,60),ROW()-1,FALSE))</f>
        <v>0.15559999999999999</v>
      </c>
      <c r="AE14">
        <f ca="1">IF(AND(ISNUMBER($AE$174),$B$158=1),$AE$174,HLOOKUP(INDIRECT(ADDRESS(2,COLUMN())),OFFSET($BN$2,0,0,ROW()-1,60),ROW()-1,FALSE))</f>
        <v>0.15790000000000001</v>
      </c>
      <c r="AF14">
        <f ca="1">IF(AND(ISNUMBER($AF$174),$B$158=1),$AF$174,HLOOKUP(INDIRECT(ADDRESS(2,COLUMN())),OFFSET($BN$2,0,0,ROW()-1,60),ROW()-1,FALSE))</f>
        <v>0.16120000000000001</v>
      </c>
      <c r="AG14">
        <f ca="1">IF(AND(ISNUMBER($AG$174),$B$158=1),$AG$174,HLOOKUP(INDIRECT(ADDRESS(2,COLUMN())),OFFSET($BN$2,0,0,ROW()-1,60),ROW()-1,FALSE))</f>
        <v>0.16009999999999999</v>
      </c>
      <c r="AH14">
        <f ca="1">IF(AND(ISNUMBER($AH$174),$B$158=1),$AH$174,HLOOKUP(INDIRECT(ADDRESS(2,COLUMN())),OFFSET($BN$2,0,0,ROW()-1,60),ROW()-1,FALSE))</f>
        <v>0.16239999999999999</v>
      </c>
      <c r="AI14">
        <f ca="1">IF(AND(ISNUMBER($AI$174),$B$158=1),$AI$174,HLOOKUP(INDIRECT(ADDRESS(2,COLUMN())),OFFSET($BN$2,0,0,ROW()-1,60),ROW()-1,FALSE))</f>
        <v>0.16209999999999999</v>
      </c>
      <c r="AJ14">
        <f ca="1">IF(AND(ISNUMBER($AJ$174),$B$158=1),$AJ$174,HLOOKUP(INDIRECT(ADDRESS(2,COLUMN())),OFFSET($BN$2,0,0,ROW()-1,60),ROW()-1,FALSE))</f>
        <v>0.1605</v>
      </c>
      <c r="AK14">
        <f ca="1">IF(AND(ISNUMBER($AK$174),$B$158=1),$AK$174,HLOOKUP(INDIRECT(ADDRESS(2,COLUMN())),OFFSET($BN$2,0,0,ROW()-1,60),ROW()-1,FALSE))</f>
        <v>0.16439999999999999</v>
      </c>
      <c r="AL14">
        <f ca="1">IF(AND(ISNUMBER($AL$174),$B$158=1),$AL$174,HLOOKUP(INDIRECT(ADDRESS(2,COLUMN())),OFFSET($BN$2,0,0,ROW()-1,60),ROW()-1,FALSE))</f>
        <v>0.16439999999999999</v>
      </c>
      <c r="AM14">
        <f ca="1">IF(AND(ISNUMBER($AM$174),$B$158=1),$AM$174,HLOOKUP(INDIRECT(ADDRESS(2,COLUMN())),OFFSET($BN$2,0,0,ROW()-1,60),ROW()-1,FALSE))</f>
        <v>0.1633</v>
      </c>
      <c r="AN14">
        <f ca="1">IF(AND(ISNUMBER($AN$174),$B$158=1),$AN$174,HLOOKUP(INDIRECT(ADDRESS(2,COLUMN())),OFFSET($BN$2,0,0,ROW()-1,60),ROW()-1,FALSE))</f>
        <v>0.16250000000000001</v>
      </c>
      <c r="AO14">
        <f ca="1">IF(AND(ISNUMBER($AO$174),$B$158=1),$AO$174,HLOOKUP(INDIRECT(ADDRESS(2,COLUMN())),OFFSET($BN$2,0,0,ROW()-1,60),ROW()-1,FALSE))</f>
        <v>0.161</v>
      </c>
      <c r="AP14">
        <f ca="1">IF(AND(ISNUMBER($AP$174),$B$158=1),$AP$174,HLOOKUP(INDIRECT(ADDRESS(2,COLUMN())),OFFSET($BN$2,0,0,ROW()-1,60),ROW()-1,FALSE))</f>
        <v>0.1603</v>
      </c>
      <c r="AQ14">
        <f ca="1">IF(AND(ISNUMBER($AQ$174),$B$158=1),$AQ$174,HLOOKUP(INDIRECT(ADDRESS(2,COLUMN())),OFFSET($BN$2,0,0,ROW()-1,60),ROW()-1,FALSE))</f>
        <v>0.1573</v>
      </c>
      <c r="AR14">
        <f ca="1">IF(AND(ISNUMBER($AR$174),$B$158=1),$AR$174,HLOOKUP(INDIRECT(ADDRESS(2,COLUMN())),OFFSET($BN$2,0,0,ROW()-1,60),ROW()-1,FALSE))</f>
        <v>0.15790000000000001</v>
      </c>
      <c r="AS14">
        <f ca="1">IF(AND(ISNUMBER($AS$174),$B$158=1),$AS$174,HLOOKUP(INDIRECT(ADDRESS(2,COLUMN())),OFFSET($BN$2,0,0,ROW()-1,60),ROW()-1,FALSE))</f>
        <v>0.15859999999999999</v>
      </c>
      <c r="AT14">
        <f ca="1">IF(AND(ISNUMBER($AT$174),$B$158=1),$AT$174,HLOOKUP(INDIRECT(ADDRESS(2,COLUMN())),OFFSET($BN$2,0,0,ROW()-1,60),ROW()-1,FALSE))</f>
        <v>0.1565</v>
      </c>
      <c r="AU14">
        <f ca="1">IF(AND(ISNUMBER($AU$174),$B$158=1),$AU$174,HLOOKUP(INDIRECT(ADDRESS(2,COLUMN())),OFFSET($BN$2,0,0,ROW()-1,60),ROW()-1,FALSE))</f>
        <v>0.15579999999999999</v>
      </c>
      <c r="AV14">
        <f ca="1">IF(AND(ISNUMBER($AV$174),$B$158=1),$AV$174,HLOOKUP(INDIRECT(ADDRESS(2,COLUMN())),OFFSET($BN$2,0,0,ROW()-1,60),ROW()-1,FALSE))</f>
        <v>0.154</v>
      </c>
      <c r="AW14">
        <f ca="1">IF(AND(ISNUMBER($AW$174),$B$158=1),$AW$174,HLOOKUP(INDIRECT(ADDRESS(2,COLUMN())),OFFSET($BN$2,0,0,ROW()-1,60),ROW()-1,FALSE))</f>
        <v>0.1522</v>
      </c>
      <c r="AX14">
        <f ca="1">IF(AND(ISNUMBER($AX$174),$B$158=1),$AX$174,HLOOKUP(INDIRECT(ADDRESS(2,COLUMN())),OFFSET($BN$2,0,0,ROW()-1,60),ROW()-1,FALSE))</f>
        <v>0.15140000000000001</v>
      </c>
      <c r="AY14">
        <f ca="1">IF(AND(ISNUMBER($AY$174),$B$158=1),$AY$174,HLOOKUP(INDIRECT(ADDRESS(2,COLUMN())),OFFSET($BN$2,0,0,ROW()-1,60),ROW()-1,FALSE))</f>
        <v>0.1489</v>
      </c>
      <c r="AZ14">
        <f ca="1">IF(AND(ISNUMBER($AZ$174),$B$158=1),$AZ$174,HLOOKUP(INDIRECT(ADDRESS(2,COLUMN())),OFFSET($BN$2,0,0,ROW()-1,60),ROW()-1,FALSE))</f>
        <v>0</v>
      </c>
      <c r="BA14">
        <f ca="1">IF(AND(ISNUMBER($BA$174),$B$158=1),$BA$174,HLOOKUP(INDIRECT(ADDRESS(2,COLUMN())),OFFSET($BN$2,0,0,ROW()-1,60),ROW()-1,FALSE))</f>
        <v>0</v>
      </c>
      <c r="BB14">
        <f ca="1">IF(AND(ISNUMBER($BB$174),$B$158=1),$BB$174,HLOOKUP(INDIRECT(ADDRESS(2,COLUMN())),OFFSET($BN$2,0,0,ROW()-1,60),ROW()-1,FALSE))</f>
        <v>0</v>
      </c>
      <c r="BC14">
        <f ca="1">IF(AND(ISNUMBER($BC$174),$B$158=1),$BC$174,HLOOKUP(INDIRECT(ADDRESS(2,COLUMN())),OFFSET($BN$2,0,0,ROW()-1,60),ROW()-1,FALSE))</f>
        <v>0</v>
      </c>
      <c r="BD14">
        <f ca="1">IF(AND(ISNUMBER($BD$174),$B$158=1),$BD$174,HLOOKUP(INDIRECT(ADDRESS(2,COLUMN())),OFFSET($BN$2,0,0,ROW()-1,60),ROW()-1,FALSE))</f>
        <v>0</v>
      </c>
      <c r="BE14">
        <f ca="1">IF(AND(ISNUMBER($BE$174),$B$158=1),$BE$174,HLOOKUP(INDIRECT(ADDRESS(2,COLUMN())),OFFSET($BN$2,0,0,ROW()-1,60),ROW()-1,FALSE))</f>
        <v>0</v>
      </c>
      <c r="BF14">
        <f ca="1">IF(AND(ISNUMBER($BF$174),$B$158=1),$BF$174,HLOOKUP(INDIRECT(ADDRESS(2,COLUMN())),OFFSET($BN$2,0,0,ROW()-1,60),ROW()-1,FALSE))</f>
        <v>0</v>
      </c>
      <c r="BG14">
        <f ca="1">IF(AND(ISNUMBER($BG$174),$B$158=1),$BG$174,HLOOKUP(INDIRECT(ADDRESS(2,COLUMN())),OFFSET($BN$2,0,0,ROW()-1,60),ROW()-1,FALSE))</f>
        <v>0</v>
      </c>
      <c r="BH14">
        <f ca="1">IF(AND(ISNUMBER($BH$174),$B$158=1),$BH$174,HLOOKUP(INDIRECT(ADDRESS(2,COLUMN())),OFFSET($BN$2,0,0,ROW()-1,60),ROW()-1,FALSE))</f>
        <v>0</v>
      </c>
      <c r="BI14">
        <f ca="1">IF(AND(ISNUMBER($BI$174),$B$158=1),$BI$174,HLOOKUP(INDIRECT(ADDRESS(2,COLUMN())),OFFSET($BN$2,0,0,ROW()-1,60),ROW()-1,FALSE))</f>
        <v>0</v>
      </c>
      <c r="BJ14">
        <f ca="1">IF(AND(ISNUMBER($BJ$174),$B$158=1),$BJ$174,HLOOKUP(INDIRECT(ADDRESS(2,COLUMN())),OFFSET($BN$2,0,0,ROW()-1,60),ROW()-1,FALSE))</f>
        <v>0</v>
      </c>
      <c r="BK14">
        <f ca="1">IF(AND(ISNUMBER($BK$174),$B$158=1),$BK$174,HLOOKUP(INDIRECT(ADDRESS(2,COLUMN())),OFFSET($BN$2,0,0,ROW()-1,60),ROW()-1,FALSE))</f>
        <v>0</v>
      </c>
      <c r="BL14">
        <f ca="1">IF(AND(ISNUMBER($BL$174),$B$158=1),$BL$174,HLOOKUP(INDIRECT(ADDRESS(2,COLUMN())),OFFSET($BN$2,0,0,ROW()-1,60),ROW()-1,FALSE))</f>
        <v>0</v>
      </c>
      <c r="BM14">
        <f ca="1">IF(AND(ISNUMBER($BM$174),$B$158=1),$BM$174,HLOOKUP(INDIRECT(ADDRESS(2,COLUMN())),OFFSET($BN$2,0,0,ROW()-1,60),ROW()-1,FALSE))</f>
        <v>0</v>
      </c>
      <c r="BN14">
        <f>0.1559</f>
        <v>0.15590000000000001</v>
      </c>
      <c r="BO14">
        <f>0.1546</f>
        <v>0.15459999999999999</v>
      </c>
      <c r="BP14">
        <f>0.1548</f>
        <v>0.15479999999999999</v>
      </c>
      <c r="BQ14">
        <f>0.1543</f>
        <v>0.15429999999999999</v>
      </c>
      <c r="BR14">
        <f>0.1513</f>
        <v>0.15129999999999999</v>
      </c>
      <c r="BS14">
        <f>0.1446</f>
        <v>0.14460000000000001</v>
      </c>
      <c r="BT14">
        <f>0.1409</f>
        <v>0.1409</v>
      </c>
      <c r="BU14">
        <f>0.1431</f>
        <v>0.1431</v>
      </c>
      <c r="BV14">
        <f>0.142</f>
        <v>0.14199999999999999</v>
      </c>
      <c r="BW14">
        <f>0.1424</f>
        <v>0.1424</v>
      </c>
      <c r="BX14">
        <f>0.1464</f>
        <v>0.1464</v>
      </c>
      <c r="BY14">
        <f>0.148</f>
        <v>0.14799999999999999</v>
      </c>
      <c r="BZ14">
        <f>0.1446</f>
        <v>0.14460000000000001</v>
      </c>
      <c r="CA14">
        <f>0.1468</f>
        <v>0.14680000000000001</v>
      </c>
      <c r="CB14">
        <f>0.1569</f>
        <v>0.15690000000000001</v>
      </c>
      <c r="CC14">
        <f>0.1574</f>
        <v>0.15740000000000001</v>
      </c>
      <c r="CD14">
        <f>0.1512</f>
        <v>0.1512</v>
      </c>
      <c r="CE14">
        <f>0.1499</f>
        <v>0.14990000000000001</v>
      </c>
      <c r="CF14">
        <f>0.1459</f>
        <v>0.1459</v>
      </c>
      <c r="CG14">
        <f>0.1457</f>
        <v>0.1457</v>
      </c>
      <c r="CH14">
        <f>0.1461</f>
        <v>0.14610000000000001</v>
      </c>
      <c r="CI14">
        <f>0.1498</f>
        <v>0.14979999999999999</v>
      </c>
      <c r="CJ14">
        <f>0.1528</f>
        <v>0.15279999999999999</v>
      </c>
      <c r="CK14">
        <f>0.1526</f>
        <v>0.15260000000000001</v>
      </c>
      <c r="CL14">
        <f>0.1556</f>
        <v>0.15559999999999999</v>
      </c>
      <c r="CM14">
        <f>0.1579</f>
        <v>0.15790000000000001</v>
      </c>
      <c r="CN14">
        <f>0.1612</f>
        <v>0.16120000000000001</v>
      </c>
      <c r="CO14">
        <f>0.1601</f>
        <v>0.16009999999999999</v>
      </c>
      <c r="CP14">
        <f>0.1624</f>
        <v>0.16239999999999999</v>
      </c>
      <c r="CQ14">
        <f>0.1621</f>
        <v>0.16209999999999999</v>
      </c>
      <c r="CR14">
        <f>0.1605</f>
        <v>0.1605</v>
      </c>
      <c r="CS14">
        <f>0.1644</f>
        <v>0.16439999999999999</v>
      </c>
      <c r="CT14">
        <f>0.1644</f>
        <v>0.16439999999999999</v>
      </c>
      <c r="CU14">
        <f>0.1633</f>
        <v>0.1633</v>
      </c>
      <c r="CV14">
        <f>0.1625</f>
        <v>0.16250000000000001</v>
      </c>
      <c r="CW14">
        <f>0.161</f>
        <v>0.161</v>
      </c>
      <c r="CX14">
        <f>0.1603</f>
        <v>0.1603</v>
      </c>
      <c r="CY14">
        <f>0.1573</f>
        <v>0.1573</v>
      </c>
      <c r="CZ14">
        <f>0.1579</f>
        <v>0.15790000000000001</v>
      </c>
      <c r="DA14">
        <f>0.1586</f>
        <v>0.15859999999999999</v>
      </c>
      <c r="DB14">
        <f>0.1565</f>
        <v>0.1565</v>
      </c>
      <c r="DC14">
        <f>0.1558</f>
        <v>0.15579999999999999</v>
      </c>
      <c r="DD14">
        <f>0.154</f>
        <v>0.154</v>
      </c>
      <c r="DE14">
        <f>0.1522</f>
        <v>0.1522</v>
      </c>
      <c r="DF14">
        <f>0.1514</f>
        <v>0.15140000000000001</v>
      </c>
      <c r="DG14">
        <f>0.1489</f>
        <v>0.1489</v>
      </c>
      <c r="DH14">
        <f>0</f>
        <v>0</v>
      </c>
      <c r="DI14">
        <f>0</f>
        <v>0</v>
      </c>
      <c r="DJ14">
        <f>0</f>
        <v>0</v>
      </c>
      <c r="DK14">
        <f>0</f>
        <v>0</v>
      </c>
      <c r="DL14">
        <f>0</f>
        <v>0</v>
      </c>
      <c r="DM14">
        <f>0</f>
        <v>0</v>
      </c>
      <c r="DN14">
        <f>0</f>
        <v>0</v>
      </c>
      <c r="DO14">
        <f>0</f>
        <v>0</v>
      </c>
      <c r="DP14">
        <f>0</f>
        <v>0</v>
      </c>
      <c r="DQ14">
        <f>0</f>
        <v>0</v>
      </c>
      <c r="DR14">
        <f>0</f>
        <v>0</v>
      </c>
      <c r="DS14">
        <f>0</f>
        <v>0</v>
      </c>
      <c r="DT14">
        <f>0</f>
        <v>0</v>
      </c>
      <c r="DU14">
        <f>0</f>
        <v>0</v>
      </c>
    </row>
    <row r="15" spans="1:125" x14ac:dyDescent="0.25">
      <c r="A15" t="str">
        <f>"            CNH/EUR"</f>
        <v xml:space="preserve">            CNH/EUR</v>
      </c>
      <c r="B15" t="str">
        <f>"CNHEUR Curncy"</f>
        <v>CNHEUR Curncy</v>
      </c>
      <c r="C15" t="str">
        <f>"PX388"</f>
        <v>PX388</v>
      </c>
      <c r="D15" t="str">
        <f>"INTERVAL_AVG"</f>
        <v>INTERVAL_AVG</v>
      </c>
      <c r="E15" t="str">
        <f>"Dynamic"</f>
        <v>Dynamic</v>
      </c>
      <c r="F15">
        <f ca="1">IF(AND(ISNUMBER($F$175),$B$158=1),$F$175,HLOOKUP(INDIRECT(ADDRESS(2,COLUMN())),OFFSET($BN$2,0,0,ROW()-1,60),ROW()-1,FALSE))</f>
        <v>0.13439999999999999</v>
      </c>
      <c r="G15">
        <f ca="1">IF(AND(ISNUMBER($G$175),$B$158=1),$G$175,HLOOKUP(INDIRECT(ADDRESS(2,COLUMN())),OFFSET($BN$2,0,0,ROW()-1,60),ROW()-1,FALSE))</f>
        <v>0.13120000000000001</v>
      </c>
      <c r="H15">
        <f ca="1">IF(AND(ISNUMBER($H$175),$B$158=1),$H$175,HLOOKUP(INDIRECT(ADDRESS(2,COLUMN())),OFFSET($BN$2,0,0,ROW()-1,60),ROW()-1,FALSE))</f>
        <v>0.1285</v>
      </c>
      <c r="I15">
        <f ca="1">IF(AND(ISNUMBER($I$175),$B$158=1),$I$175,HLOOKUP(INDIRECT(ADDRESS(2,COLUMN())),OFFSET($BN$2,0,0,ROW()-1,60),ROW()-1,FALSE))</f>
        <v>0.12809999999999999</v>
      </c>
      <c r="J15">
        <f ca="1">IF(AND(ISNUMBER($J$175),$B$158=1),$J$175,HLOOKUP(INDIRECT(ADDRESS(2,COLUMN())),OFFSET($BN$2,0,0,ROW()-1,60),ROW()-1,FALSE))</f>
        <v>0.12690000000000001</v>
      </c>
      <c r="K15">
        <f ca="1">IF(AND(ISNUMBER($K$175),$B$158=1),$K$175,HLOOKUP(INDIRECT(ADDRESS(2,COLUMN())),OFFSET($BN$2,0,0,ROW()-1,60),ROW()-1,FALSE))</f>
        <v>0.1237</v>
      </c>
      <c r="L15">
        <f ca="1">IF(AND(ISNUMBER($L$175),$B$158=1),$L$175,HLOOKUP(INDIRECT(ADDRESS(2,COLUMN())),OFFSET($BN$2,0,0,ROW()-1,60),ROW()-1,FALSE))</f>
        <v>0.128</v>
      </c>
      <c r="M15">
        <f ca="1">IF(AND(ISNUMBER($M$175),$B$158=1),$M$175,HLOOKUP(INDIRECT(ADDRESS(2,COLUMN())),OFFSET($BN$2,0,0,ROW()-1,60),ROW()-1,FALSE))</f>
        <v>0.1298</v>
      </c>
      <c r="N15">
        <f ca="1">IF(AND(ISNUMBER($N$175),$B$158=1),$N$175,HLOOKUP(INDIRECT(ADDRESS(2,COLUMN())),OFFSET($BN$2,0,0,ROW()-1,60),ROW()-1,FALSE))</f>
        <v>0.1283</v>
      </c>
      <c r="O15">
        <f ca="1">IF(AND(ISNUMBER($O$175),$B$158=1),$O$175,HLOOKUP(INDIRECT(ADDRESS(2,COLUMN())),OFFSET($BN$2,0,0,ROW()-1,60),ROW()-1,FALSE))</f>
        <v>0.12809999999999999</v>
      </c>
      <c r="P15">
        <f ca="1">IF(AND(ISNUMBER($P$175),$B$158=1),$P$175,HLOOKUP(INDIRECT(ADDRESS(2,COLUMN())),OFFSET($BN$2,0,0,ROW()-1,60),ROW()-1,FALSE))</f>
        <v>0.1303</v>
      </c>
      <c r="Q15">
        <f ca="1">IF(AND(ISNUMBER($Q$175),$B$158=1),$Q$175,HLOOKUP(INDIRECT(ADDRESS(2,COLUMN())),OFFSET($BN$2,0,0,ROW()-1,60),ROW()-1,FALSE))</f>
        <v>0.1303</v>
      </c>
      <c r="R15">
        <f ca="1">IF(AND(ISNUMBER($R$175),$B$158=1),$R$175,HLOOKUP(INDIRECT(ADDRESS(2,COLUMN())),OFFSET($BN$2,0,0,ROW()-1,60),ROW()-1,FALSE))</f>
        <v>0.12670000000000001</v>
      </c>
      <c r="S15">
        <f ca="1">IF(AND(ISNUMBER($S$175),$B$158=1),$S$175,HLOOKUP(INDIRECT(ADDRESS(2,COLUMN())),OFFSET($BN$2,0,0,ROW()-1,60),ROW()-1,FALSE))</f>
        <v>0.12620000000000001</v>
      </c>
      <c r="T15">
        <f ca="1">IF(AND(ISNUMBER($T$175),$B$158=1),$T$175,HLOOKUP(INDIRECT(ADDRESS(2,COLUMN())),OFFSET($BN$2,0,0,ROW()-1,60),ROW()-1,FALSE))</f>
        <v>0.13170000000000001</v>
      </c>
      <c r="U15">
        <f ca="1">IF(AND(ISNUMBER($U$175),$B$158=1),$U$175,HLOOKUP(INDIRECT(ADDRESS(2,COLUMN())),OFFSET($BN$2,0,0,ROW()-1,60),ROW()-1,FALSE))</f>
        <v>0.12809999999999999</v>
      </c>
      <c r="V15">
        <f ca="1">IF(AND(ISNUMBER($V$175),$B$158=1),$V$175,HLOOKUP(INDIRECT(ADDRESS(2,COLUMN())),OFFSET($BN$2,0,0,ROW()-1,60),ROW()-1,FALSE))</f>
        <v>0.12839999999999999</v>
      </c>
      <c r="W15">
        <f ca="1">IF(AND(ISNUMBER($W$175),$B$158=1),$W$175,HLOOKUP(INDIRECT(ADDRESS(2,COLUMN())),OFFSET($BN$2,0,0,ROW()-1,60),ROW()-1,FALSE))</f>
        <v>0.1275</v>
      </c>
      <c r="X15">
        <f ca="1">IF(AND(ISNUMBER($X$175),$B$158=1),$X$175,HLOOKUP(INDIRECT(ADDRESS(2,COLUMN())),OFFSET($BN$2,0,0,ROW()-1,60),ROW()-1,FALSE))</f>
        <v>0.13250000000000001</v>
      </c>
      <c r="Y15">
        <f ca="1">IF(AND(ISNUMBER($Y$175),$B$158=1),$Y$175,HLOOKUP(INDIRECT(ADDRESS(2,COLUMN())),OFFSET($BN$2,0,0,ROW()-1,60),ROW()-1,FALSE))</f>
        <v>0.1368</v>
      </c>
      <c r="Z15">
        <f ca="1">IF(AND(ISNUMBER($Z$175),$B$158=1),$Z$175,HLOOKUP(INDIRECT(ADDRESS(2,COLUMN())),OFFSET($BN$2,0,0,ROW()-1,60),ROW()-1,FALSE))</f>
        <v>0.1356</v>
      </c>
      <c r="AA15">
        <f ca="1">IF(AND(ISNUMBER($AA$175),$B$158=1),$AA$175,HLOOKUP(INDIRECT(ADDRESS(2,COLUMN())),OFFSET($BN$2,0,0,ROW()-1,60),ROW()-1,FALSE))</f>
        <v>0.13420000000000001</v>
      </c>
      <c r="AB15">
        <f ca="1">IF(AND(ISNUMBER($AB$175),$B$158=1),$AB$175,HLOOKUP(INDIRECT(ADDRESS(2,COLUMN())),OFFSET($BN$2,0,0,ROW()-1,60),ROW()-1,FALSE))</f>
        <v>0.1353</v>
      </c>
      <c r="AC15">
        <f ca="1">IF(AND(ISNUMBER($AC$175),$B$158=1),$AC$175,HLOOKUP(INDIRECT(ADDRESS(2,COLUMN())),OFFSET($BN$2,0,0,ROW()-1,60),ROW()-1,FALSE))</f>
        <v>0.13819999999999999</v>
      </c>
      <c r="AD15">
        <f ca="1">IF(AND(ISNUMBER($AD$175),$B$158=1),$AD$175,HLOOKUP(INDIRECT(ADDRESS(2,COLUMN())),OFFSET($BN$2,0,0,ROW()-1,60),ROW()-1,FALSE))</f>
        <v>0.1421</v>
      </c>
      <c r="AE15">
        <f ca="1">IF(AND(ISNUMBER($AE$175),$B$158=1),$AE$175,HLOOKUP(INDIRECT(ADDRESS(2,COLUMN())),OFFSET($BN$2,0,0,ROW()-1,60),ROW()-1,FALSE))</f>
        <v>0.14199999999999999</v>
      </c>
      <c r="AF15">
        <f ca="1">IF(AND(ISNUMBER($AF$175),$B$158=1),$AF$175,HLOOKUP(INDIRECT(ADDRESS(2,COLUMN())),OFFSET($BN$2,0,0,ROW()-1,60),ROW()-1,FALSE))</f>
        <v>0.14560000000000001</v>
      </c>
      <c r="AG15">
        <f ca="1">IF(AND(ISNUMBER($AG$175),$B$158=1),$AG$175,HLOOKUP(INDIRECT(ADDRESS(2,COLUMN())),OFFSET($BN$2,0,0,ROW()-1,60),ROW()-1,FALSE))</f>
        <v>0.14230000000000001</v>
      </c>
      <c r="AH15">
        <f ca="1">IF(AND(ISNUMBER($AH$175),$B$158=1),$AH$175,HLOOKUP(INDIRECT(ADDRESS(2,COLUMN())),OFFSET($BN$2,0,0,ROW()-1,60),ROW()-1,FALSE))</f>
        <v>0.13009999999999999</v>
      </c>
      <c r="AI15">
        <f ca="1">IF(AND(ISNUMBER($AI$175),$B$158=1),$AI$175,HLOOKUP(INDIRECT(ADDRESS(2,COLUMN())),OFFSET($BN$2,0,0,ROW()-1,60),ROW()-1,FALSE))</f>
        <v>0.12239999999999999</v>
      </c>
      <c r="AJ15">
        <f ca="1">IF(AND(ISNUMBER($AJ$175),$B$158=1),$AJ$175,HLOOKUP(INDIRECT(ADDRESS(2,COLUMN())),OFFSET($BN$2,0,0,ROW()-1,60),ROW()-1,FALSE))</f>
        <v>0.11700000000000001</v>
      </c>
      <c r="AK15">
        <f ca="1">IF(AND(ISNUMBER($AK$175),$B$158=1),$AK$175,HLOOKUP(INDIRECT(ADDRESS(2,COLUMN())),OFFSET($BN$2,0,0,ROW()-1,60),ROW()-1,FALSE))</f>
        <v>0.12</v>
      </c>
      <c r="AL15">
        <f ca="1">IF(AND(ISNUMBER($AL$175),$B$158=1),$AL$175,HLOOKUP(INDIRECT(ADDRESS(2,COLUMN())),OFFSET($BN$2,0,0,ROW()-1,60),ROW()-1,FALSE))</f>
        <v>0.1208</v>
      </c>
      <c r="AM15">
        <f ca="1">IF(AND(ISNUMBER($AM$175),$B$158=1),$AM$175,HLOOKUP(INDIRECT(ADDRESS(2,COLUMN())),OFFSET($BN$2,0,0,ROW()-1,60),ROW()-1,FALSE))</f>
        <v>0.12330000000000001</v>
      </c>
      <c r="AN15">
        <f ca="1">IF(AND(ISNUMBER($AN$175),$B$158=1),$AN$175,HLOOKUP(INDIRECT(ADDRESS(2,COLUMN())),OFFSET($BN$2,0,0,ROW()-1,60),ROW()-1,FALSE))</f>
        <v>0.1244</v>
      </c>
      <c r="AO15">
        <f ca="1">IF(AND(ISNUMBER($AO$175),$B$158=1),$AO$175,HLOOKUP(INDIRECT(ADDRESS(2,COLUMN())),OFFSET($BN$2,0,0,ROW()-1,60),ROW()-1,FALSE))</f>
        <v>0.122</v>
      </c>
      <c r="AP15">
        <f ca="1">IF(AND(ISNUMBER($AP$175),$B$158=1),$AP$175,HLOOKUP(INDIRECT(ADDRESS(2,COLUMN())),OFFSET($BN$2,0,0,ROW()-1,60),ROW()-1,FALSE))</f>
        <v>0.1235</v>
      </c>
      <c r="AQ15">
        <f ca="1">IF(AND(ISNUMBER($AQ$175),$B$158=1),$AQ$175,HLOOKUP(INDIRECT(ADDRESS(2,COLUMN())),OFFSET($BN$2,0,0,ROW()-1,60),ROW()-1,FALSE))</f>
        <v>0.1258</v>
      </c>
      <c r="AR15">
        <f ca="1">IF(AND(ISNUMBER($AR$175),$B$158=1),$AR$175,HLOOKUP(INDIRECT(ADDRESS(2,COLUMN())),OFFSET($BN$2,0,0,ROW()-1,60),ROW()-1,FALSE))</f>
        <v>0.1231</v>
      </c>
      <c r="AS15">
        <f ca="1">IF(AND(ISNUMBER($AS$175),$B$158=1),$AS$175,HLOOKUP(INDIRECT(ADDRESS(2,COLUMN())),OFFSET($BN$2,0,0,ROW()-1,60),ROW()-1,FALSE))</f>
        <v>0.12089999999999999</v>
      </c>
      <c r="AT15">
        <f ca="1">IF(AND(ISNUMBER($AT$175),$B$158=1),$AT$175,HLOOKUP(INDIRECT(ADDRESS(2,COLUMN())),OFFSET($BN$2,0,0,ROW()-1,60),ROW()-1,FALSE))</f>
        <v>0.1162</v>
      </c>
      <c r="AU15">
        <f ca="1">IF(AND(ISNUMBER($AU$175),$B$158=1),$AU$175,HLOOKUP(INDIRECT(ADDRESS(2,COLUMN())),OFFSET($BN$2,0,0,ROW()-1,60),ROW()-1,FALSE))</f>
        <v>0.1104</v>
      </c>
      <c r="AV15">
        <f ca="1">IF(AND(ISNUMBER($AV$175),$B$158=1),$AV$175,HLOOKUP(INDIRECT(ADDRESS(2,COLUMN())),OFFSET($BN$2,0,0,ROW()-1,60),ROW()-1,FALSE))</f>
        <v>0.107</v>
      </c>
      <c r="AW15">
        <f ca="1">IF(AND(ISNUMBER($AW$175),$B$158=1),$AW$175,HLOOKUP(INDIRECT(ADDRESS(2,COLUMN())),OFFSET($BN$2,0,0,ROW()-1,60),ROW()-1,FALSE))</f>
        <v>0.11119999999999999</v>
      </c>
      <c r="AX15">
        <f ca="1">IF(AND(ISNUMBER($AX$175),$B$158=1),$AX$175,HLOOKUP(INDIRECT(ADDRESS(2,COLUMN())),OFFSET($BN$2,0,0,ROW()-1,60),ROW()-1,FALSE))</f>
        <v>0.1116</v>
      </c>
      <c r="AY15">
        <f ca="1">IF(AND(ISNUMBER($AY$175),$B$158=1),$AY$175,HLOOKUP(INDIRECT(ADDRESS(2,COLUMN())),OFFSET($BN$2,0,0,ROW()-1,60),ROW()-1,FALSE))</f>
        <v>0.11459999999999999</v>
      </c>
      <c r="AZ15">
        <f ca="1">IF(AND(ISNUMBER($AZ$175),$B$158=1),$AZ$175,HLOOKUP(INDIRECT(ADDRESS(2,COLUMN())),OFFSET($BN$2,0,0,ROW()-1,60),ROW()-1,FALSE))</f>
        <v>0</v>
      </c>
      <c r="BA15">
        <f ca="1">IF(AND(ISNUMBER($BA$175),$B$158=1),$BA$175,HLOOKUP(INDIRECT(ADDRESS(2,COLUMN())),OFFSET($BN$2,0,0,ROW()-1,60),ROW()-1,FALSE))</f>
        <v>0</v>
      </c>
      <c r="BB15">
        <f ca="1">IF(AND(ISNUMBER($BB$175),$B$158=1),$BB$175,HLOOKUP(INDIRECT(ADDRESS(2,COLUMN())),OFFSET($BN$2,0,0,ROW()-1,60),ROW()-1,FALSE))</f>
        <v>0</v>
      </c>
      <c r="BC15">
        <f ca="1">IF(AND(ISNUMBER($BC$175),$B$158=1),$BC$175,HLOOKUP(INDIRECT(ADDRESS(2,COLUMN())),OFFSET($BN$2,0,0,ROW()-1,60),ROW()-1,FALSE))</f>
        <v>0</v>
      </c>
      <c r="BD15">
        <f ca="1">IF(AND(ISNUMBER($BD$175),$B$158=1),$BD$175,HLOOKUP(INDIRECT(ADDRESS(2,COLUMN())),OFFSET($BN$2,0,0,ROW()-1,60),ROW()-1,FALSE))</f>
        <v>0</v>
      </c>
      <c r="BE15">
        <f ca="1">IF(AND(ISNUMBER($BE$175),$B$158=1),$BE$175,HLOOKUP(INDIRECT(ADDRESS(2,COLUMN())),OFFSET($BN$2,0,0,ROW()-1,60),ROW()-1,FALSE))</f>
        <v>0</v>
      </c>
      <c r="BF15">
        <f ca="1">IF(AND(ISNUMBER($BF$175),$B$158=1),$BF$175,HLOOKUP(INDIRECT(ADDRESS(2,COLUMN())),OFFSET($BN$2,0,0,ROW()-1,60),ROW()-1,FALSE))</f>
        <v>0</v>
      </c>
      <c r="BG15">
        <f ca="1">IF(AND(ISNUMBER($BG$175),$B$158=1),$BG$175,HLOOKUP(INDIRECT(ADDRESS(2,COLUMN())),OFFSET($BN$2,0,0,ROW()-1,60),ROW()-1,FALSE))</f>
        <v>0</v>
      </c>
      <c r="BH15">
        <f ca="1">IF(AND(ISNUMBER($BH$175),$B$158=1),$BH$175,HLOOKUP(INDIRECT(ADDRESS(2,COLUMN())),OFFSET($BN$2,0,0,ROW()-1,60),ROW()-1,FALSE))</f>
        <v>0</v>
      </c>
      <c r="BI15">
        <f ca="1">IF(AND(ISNUMBER($BI$175),$B$158=1),$BI$175,HLOOKUP(INDIRECT(ADDRESS(2,COLUMN())),OFFSET($BN$2,0,0,ROW()-1,60),ROW()-1,FALSE))</f>
        <v>0</v>
      </c>
      <c r="BJ15">
        <f ca="1">IF(AND(ISNUMBER($BJ$175),$B$158=1),$BJ$175,HLOOKUP(INDIRECT(ADDRESS(2,COLUMN())),OFFSET($BN$2,0,0,ROW()-1,60),ROW()-1,FALSE))</f>
        <v>0</v>
      </c>
      <c r="BK15">
        <f ca="1">IF(AND(ISNUMBER($BK$175),$B$158=1),$BK$175,HLOOKUP(INDIRECT(ADDRESS(2,COLUMN())),OFFSET($BN$2,0,0,ROW()-1,60),ROW()-1,FALSE))</f>
        <v>0</v>
      </c>
      <c r="BL15">
        <f ca="1">IF(AND(ISNUMBER($BL$175),$B$158=1),$BL$175,HLOOKUP(INDIRECT(ADDRESS(2,COLUMN())),OFFSET($BN$2,0,0,ROW()-1,60),ROW()-1,FALSE))</f>
        <v>0</v>
      </c>
      <c r="BM15">
        <f ca="1">IF(AND(ISNUMBER($BM$175),$B$158=1),$BM$175,HLOOKUP(INDIRECT(ADDRESS(2,COLUMN())),OFFSET($BN$2,0,0,ROW()-1,60),ROW()-1,FALSE))</f>
        <v>0</v>
      </c>
      <c r="BN15">
        <f>0.1344</f>
        <v>0.13439999999999999</v>
      </c>
      <c r="BO15">
        <f>0.1312</f>
        <v>0.13120000000000001</v>
      </c>
      <c r="BP15">
        <f>0.1285</f>
        <v>0.1285</v>
      </c>
      <c r="BQ15">
        <f>0.1281</f>
        <v>0.12809999999999999</v>
      </c>
      <c r="BR15">
        <f>0.1269</f>
        <v>0.12690000000000001</v>
      </c>
      <c r="BS15">
        <f>0.1237</f>
        <v>0.1237</v>
      </c>
      <c r="BT15">
        <f>0.128</f>
        <v>0.128</v>
      </c>
      <c r="BU15">
        <f>0.1298</f>
        <v>0.1298</v>
      </c>
      <c r="BV15">
        <f>0.1283</f>
        <v>0.1283</v>
      </c>
      <c r="BW15">
        <f>0.1281</f>
        <v>0.12809999999999999</v>
      </c>
      <c r="BX15">
        <f>0.1303</f>
        <v>0.1303</v>
      </c>
      <c r="BY15">
        <f>0.1303</f>
        <v>0.1303</v>
      </c>
      <c r="BZ15">
        <f>0.1267</f>
        <v>0.12670000000000001</v>
      </c>
      <c r="CA15">
        <f>0.1262</f>
        <v>0.12620000000000001</v>
      </c>
      <c r="CB15">
        <f>0.1317</f>
        <v>0.13170000000000001</v>
      </c>
      <c r="CC15">
        <f>0.1281</f>
        <v>0.12809999999999999</v>
      </c>
      <c r="CD15">
        <f>0.1284</f>
        <v>0.12839999999999999</v>
      </c>
      <c r="CE15">
        <f>0.1275</f>
        <v>0.1275</v>
      </c>
      <c r="CF15">
        <f>0.1325</f>
        <v>0.13250000000000001</v>
      </c>
      <c r="CG15">
        <f>0.1368</f>
        <v>0.1368</v>
      </c>
      <c r="CH15">
        <f>0.1356</f>
        <v>0.1356</v>
      </c>
      <c r="CI15">
        <f>0.1342</f>
        <v>0.13420000000000001</v>
      </c>
      <c r="CJ15">
        <f>0.1353</f>
        <v>0.1353</v>
      </c>
      <c r="CK15">
        <f>0.1382</f>
        <v>0.13819999999999999</v>
      </c>
      <c r="CL15">
        <f>0.1421</f>
        <v>0.1421</v>
      </c>
      <c r="CM15">
        <f>0.142</f>
        <v>0.14199999999999999</v>
      </c>
      <c r="CN15">
        <f>0.1456</f>
        <v>0.14560000000000001</v>
      </c>
      <c r="CO15">
        <f>0.1423</f>
        <v>0.14230000000000001</v>
      </c>
      <c r="CP15">
        <f>0.1301</f>
        <v>0.13009999999999999</v>
      </c>
      <c r="CQ15">
        <f>0.1224</f>
        <v>0.12239999999999999</v>
      </c>
      <c r="CR15">
        <f>0.117</f>
        <v>0.11700000000000001</v>
      </c>
      <c r="CS15">
        <f>0.12</f>
        <v>0.12</v>
      </c>
      <c r="CT15">
        <f>0.1208</f>
        <v>0.1208</v>
      </c>
      <c r="CU15">
        <f>0.1233</f>
        <v>0.12330000000000001</v>
      </c>
      <c r="CV15">
        <f>0.1244</f>
        <v>0.1244</v>
      </c>
      <c r="CW15">
        <f>0.122</f>
        <v>0.122</v>
      </c>
      <c r="CX15">
        <f>0.1235</f>
        <v>0.1235</v>
      </c>
      <c r="CY15">
        <f>0.1258</f>
        <v>0.1258</v>
      </c>
      <c r="CZ15">
        <f>0.1231</f>
        <v>0.1231</v>
      </c>
      <c r="DA15">
        <f>0.1209</f>
        <v>0.12089999999999999</v>
      </c>
      <c r="DB15">
        <f>0.1162</f>
        <v>0.1162</v>
      </c>
      <c r="DC15">
        <f>0.1104</f>
        <v>0.1104</v>
      </c>
      <c r="DD15">
        <f>0.107</f>
        <v>0.107</v>
      </c>
      <c r="DE15">
        <f>0.1112</f>
        <v>0.11119999999999999</v>
      </c>
      <c r="DF15">
        <f>0.1116</f>
        <v>0.1116</v>
      </c>
      <c r="DG15">
        <f>0.1146</f>
        <v>0.11459999999999999</v>
      </c>
      <c r="DH15">
        <f>0</f>
        <v>0</v>
      </c>
      <c r="DI15">
        <f>0</f>
        <v>0</v>
      </c>
      <c r="DJ15">
        <f>0</f>
        <v>0</v>
      </c>
      <c r="DK15">
        <f>0</f>
        <v>0</v>
      </c>
      <c r="DL15">
        <f>0</f>
        <v>0</v>
      </c>
      <c r="DM15">
        <f>0</f>
        <v>0</v>
      </c>
      <c r="DN15">
        <f>0</f>
        <v>0</v>
      </c>
      <c r="DO15">
        <f>0</f>
        <v>0</v>
      </c>
      <c r="DP15">
        <f>0</f>
        <v>0</v>
      </c>
      <c r="DQ15">
        <f>0</f>
        <v>0</v>
      </c>
      <c r="DR15">
        <f>0</f>
        <v>0</v>
      </c>
      <c r="DS15">
        <f>0</f>
        <v>0</v>
      </c>
      <c r="DT15">
        <f>0</f>
        <v>0</v>
      </c>
      <c r="DU15">
        <f>0</f>
        <v>0</v>
      </c>
    </row>
    <row r="16" spans="1:125" x14ac:dyDescent="0.25">
      <c r="A16" t="str">
        <f>"            EUR/USD"</f>
        <v xml:space="preserve">            EUR/USD</v>
      </c>
      <c r="B16" t="str">
        <f>"EURUSD Curncy"</f>
        <v>EURUSD Curncy</v>
      </c>
      <c r="C16" t="str">
        <f>"PX388"</f>
        <v>PX388</v>
      </c>
      <c r="D16" t="str">
        <f>"INTERVAL_AVG"</f>
        <v>INTERVAL_AVG</v>
      </c>
      <c r="E16" t="str">
        <f>"Dynamic"</f>
        <v>Dynamic</v>
      </c>
      <c r="F16">
        <f ca="1">IF(AND(ISNUMBER($F$176),$B$158=1),$F$176,HLOOKUP(INDIRECT(ADDRESS(2,COLUMN())),OFFSET($BN$2,0,0,ROW()-1,60),ROW()-1,FALSE))</f>
        <v>1.1594</v>
      </c>
      <c r="G16">
        <f ca="1">IF(AND(ISNUMBER($G$176),$B$158=1),$G$176,HLOOKUP(INDIRECT(ADDRESS(2,COLUMN())),OFFSET($BN$2,0,0,ROW()-1,60),ROW()-1,FALSE))</f>
        <v>1.1786000000000001</v>
      </c>
      <c r="H16">
        <f ca="1">IF(AND(ISNUMBER($H$176),$B$158=1),$H$176,HLOOKUP(INDIRECT(ADDRESS(2,COLUMN())),OFFSET($BN$2,0,0,ROW()-1,60),ROW()-1,FALSE))</f>
        <v>1.2052</v>
      </c>
      <c r="I16">
        <f ca="1">IF(AND(ISNUMBER($I$176),$B$158=1),$I$176,HLOOKUP(INDIRECT(ADDRESS(2,COLUMN())),OFFSET($BN$2,0,0,ROW()-1,60),ROW()-1,FALSE))</f>
        <v>1.2051000000000001</v>
      </c>
      <c r="J16">
        <f ca="1">IF(AND(ISNUMBER($J$176),$B$158=1),$J$176,HLOOKUP(INDIRECT(ADDRESS(2,COLUMN())),OFFSET($BN$2,0,0,ROW()-1,60),ROW()-1,FALSE))</f>
        <v>1.1930000000000001</v>
      </c>
      <c r="K16">
        <f ca="1">IF(AND(ISNUMBER($K$176),$B$158=1),$K$176,HLOOKUP(INDIRECT(ADDRESS(2,COLUMN())),OFFSET($BN$2,0,0,ROW()-1,60),ROW()-1,FALSE))</f>
        <v>1.1691</v>
      </c>
      <c r="L16">
        <f ca="1">IF(AND(ISNUMBER($L$176),$B$158=1),$L$176,HLOOKUP(INDIRECT(ADDRESS(2,COLUMN())),OFFSET($BN$2,0,0,ROW()-1,60),ROW()-1,FALSE))</f>
        <v>1.1012999999999999</v>
      </c>
      <c r="M16">
        <f ca="1">IF(AND(ISNUMBER($M$176),$B$158=1),$M$176,HLOOKUP(INDIRECT(ADDRESS(2,COLUMN())),OFFSET($BN$2,0,0,ROW()-1,60),ROW()-1,FALSE))</f>
        <v>1.1029</v>
      </c>
      <c r="N16">
        <f ca="1">IF(AND(ISNUMBER($N$176),$B$158=1),$N$176,HLOOKUP(INDIRECT(ADDRESS(2,COLUMN())),OFFSET($BN$2,0,0,ROW()-1,60),ROW()-1,FALSE))</f>
        <v>1.1073</v>
      </c>
      <c r="O16">
        <f ca="1">IF(AND(ISNUMBER($O$176),$B$158=1),$O$176,HLOOKUP(INDIRECT(ADDRESS(2,COLUMN())),OFFSET($BN$2,0,0,ROW()-1,60),ROW()-1,FALSE))</f>
        <v>1.1116999999999999</v>
      </c>
      <c r="P16">
        <f ca="1">IF(AND(ISNUMBER($P$176),$B$158=1),$P$176,HLOOKUP(INDIRECT(ADDRESS(2,COLUMN())),OFFSET($BN$2,0,0,ROW()-1,60),ROW()-1,FALSE))</f>
        <v>1.1234</v>
      </c>
      <c r="Q16">
        <f ca="1">IF(AND(ISNUMBER($Q$176),$B$158=1),$Q$176,HLOOKUP(INDIRECT(ADDRESS(2,COLUMN())),OFFSET($BN$2,0,0,ROW()-1,60),ROW()-1,FALSE))</f>
        <v>1.1356999999999999</v>
      </c>
      <c r="R16">
        <f ca="1">IF(AND(ISNUMBER($R$176),$B$158=1),$R$176,HLOOKUP(INDIRECT(ADDRESS(2,COLUMN())),OFFSET($BN$2,0,0,ROW()-1,60),ROW()-1,FALSE))</f>
        <v>1.1408</v>
      </c>
      <c r="S16">
        <f ca="1">IF(AND(ISNUMBER($S$176),$B$158=1),$S$176,HLOOKUP(INDIRECT(ADDRESS(2,COLUMN())),OFFSET($BN$2,0,0,ROW()-1,60),ROW()-1,FALSE))</f>
        <v>1.1629</v>
      </c>
      <c r="T16">
        <f ca="1">IF(AND(ISNUMBER($T$176),$B$158=1),$T$176,HLOOKUP(INDIRECT(ADDRESS(2,COLUMN())),OFFSET($BN$2,0,0,ROW()-1,60),ROW()-1,FALSE))</f>
        <v>1.1916</v>
      </c>
      <c r="U16">
        <f ca="1">IF(AND(ISNUMBER($U$176),$B$158=1),$U$176,HLOOKUP(INDIRECT(ADDRESS(2,COLUMN())),OFFSET($BN$2,0,0,ROW()-1,60),ROW()-1,FALSE))</f>
        <v>1.2287999999999999</v>
      </c>
      <c r="V16">
        <f ca="1">IF(AND(ISNUMBER($V$176),$B$158=1),$V$176,HLOOKUP(INDIRECT(ADDRESS(2,COLUMN())),OFFSET($BN$2,0,0,ROW()-1,60),ROW()-1,FALSE))</f>
        <v>1.1778</v>
      </c>
      <c r="W16">
        <f ca="1">IF(AND(ISNUMBER($W$176),$B$158=1),$W$176,HLOOKUP(INDIRECT(ADDRESS(2,COLUMN())),OFFSET($BN$2,0,0,ROW()-1,60),ROW()-1,FALSE))</f>
        <v>1.1754</v>
      </c>
      <c r="X16">
        <f ca="1">IF(AND(ISNUMBER($X$176),$B$158=1),$X$176,HLOOKUP(INDIRECT(ADDRESS(2,COLUMN())),OFFSET($BN$2,0,0,ROW()-1,60),ROW()-1,FALSE))</f>
        <v>1.1012999999999999</v>
      </c>
      <c r="Y16">
        <f ca="1">IF(AND(ISNUMBER($Y$176),$B$158=1),$Y$176,HLOOKUP(INDIRECT(ADDRESS(2,COLUMN())),OFFSET($BN$2,0,0,ROW()-1,60),ROW()-1,FALSE))</f>
        <v>1.0653999999999999</v>
      </c>
      <c r="Z16">
        <f ca="1">IF(AND(ISNUMBER($Z$176),$B$158=1),$Z$176,HLOOKUP(INDIRECT(ADDRESS(2,COLUMN())),OFFSET($BN$2,0,0,ROW()-1,60),ROW()-1,FALSE))</f>
        <v>1.0779000000000001</v>
      </c>
      <c r="AA16">
        <f ca="1">IF(AND(ISNUMBER($AA$176),$B$158=1),$AA$176,HLOOKUP(INDIRECT(ADDRESS(2,COLUMN())),OFFSET($BN$2,0,0,ROW()-1,60),ROW()-1,FALSE))</f>
        <v>1.1163000000000001</v>
      </c>
      <c r="AB16">
        <f ca="1">IF(AND(ISNUMBER($AB$176),$B$158=1),$AB$176,HLOOKUP(INDIRECT(ADDRESS(2,COLUMN())),OFFSET($BN$2,0,0,ROW()-1,60),ROW()-1,FALSE))</f>
        <v>1.1292</v>
      </c>
      <c r="AC16">
        <f ca="1">IF(AND(ISNUMBER($AC$176),$B$158=1),$AC$176,HLOOKUP(INDIRECT(ADDRESS(2,COLUMN())),OFFSET($BN$2,0,0,ROW()-1,60),ROW()-1,FALSE))</f>
        <v>1.1041000000000001</v>
      </c>
      <c r="AD16">
        <f ca="1">IF(AND(ISNUMBER($AD$176),$B$158=1),$AD$176,HLOOKUP(INDIRECT(ADDRESS(2,COLUMN())),OFFSET($BN$2,0,0,ROW()-1,60),ROW()-1,FALSE))</f>
        <v>1.0952</v>
      </c>
      <c r="AE16">
        <f ca="1">IF(AND(ISNUMBER($AE$176),$B$158=1),$AE$176,HLOOKUP(INDIRECT(ADDRESS(2,COLUMN())),OFFSET($BN$2,0,0,ROW()-1,60),ROW()-1,FALSE))</f>
        <v>1.1125</v>
      </c>
      <c r="AF16">
        <f ca="1">IF(AND(ISNUMBER($AF$176),$B$158=1),$AF$176,HLOOKUP(INDIRECT(ADDRESS(2,COLUMN())),OFFSET($BN$2,0,0,ROW()-1,60),ROW()-1,FALSE))</f>
        <v>1.1069</v>
      </c>
      <c r="AG16">
        <f ca="1">IF(AND(ISNUMBER($AG$176),$B$158=1),$AG$176,HLOOKUP(INDIRECT(ADDRESS(2,COLUMN())),OFFSET($BN$2,0,0,ROW()-1,60),ROW()-1,FALSE))</f>
        <v>1.1268</v>
      </c>
      <c r="AH16">
        <f ca="1">IF(AND(ISNUMBER($AH$176),$B$158=1),$AH$176,HLOOKUP(INDIRECT(ADDRESS(2,COLUMN())),OFFSET($BN$2,0,0,ROW()-1,60),ROW()-1,FALSE))</f>
        <v>1.2487999999999999</v>
      </c>
      <c r="AI16">
        <f ca="1">IF(AND(ISNUMBER($AI$176),$B$158=1),$AI$176,HLOOKUP(INDIRECT(ADDRESS(2,COLUMN())),OFFSET($BN$2,0,0,ROW()-1,60),ROW()-1,FALSE))</f>
        <v>1.3251999999999999</v>
      </c>
      <c r="AJ16">
        <f ca="1">IF(AND(ISNUMBER($AJ$176),$B$158=1),$AJ$176,HLOOKUP(INDIRECT(ADDRESS(2,COLUMN())),OFFSET($BN$2,0,0,ROW()-1,60),ROW()-1,FALSE))</f>
        <v>1.3715999999999999</v>
      </c>
      <c r="AK16">
        <f ca="1">IF(AND(ISNUMBER($AK$176),$B$158=1),$AK$176,HLOOKUP(INDIRECT(ADDRESS(2,COLUMN())),OFFSET($BN$2,0,0,ROW()-1,60),ROW()-1,FALSE))</f>
        <v>1.3704000000000001</v>
      </c>
      <c r="AL16">
        <f ca="1">IF(AND(ISNUMBER($AL$176),$B$158=1),$AL$176,HLOOKUP(INDIRECT(ADDRESS(2,COLUMN())),OFFSET($BN$2,0,0,ROW()-1,60),ROW()-1,FALSE))</f>
        <v>1.3614999999999999</v>
      </c>
      <c r="AM16">
        <f ca="1">IF(AND(ISNUMBER($AM$176),$B$158=1),$AM$176,HLOOKUP(INDIRECT(ADDRESS(2,COLUMN())),OFFSET($BN$2,0,0,ROW()-1,60),ROW()-1,FALSE))</f>
        <v>1.3253999999999999</v>
      </c>
      <c r="AN16">
        <f ca="1">IF(AND(ISNUMBER($AN$176),$B$158=1),$AN$176,HLOOKUP(INDIRECT(ADDRESS(2,COLUMN())),OFFSET($BN$2,0,0,ROW()-1,60),ROW()-1,FALSE))</f>
        <v>1.3062</v>
      </c>
      <c r="AO16">
        <f ca="1">IF(AND(ISNUMBER($AO$176),$B$158=1),$AO$176,HLOOKUP(INDIRECT(ADDRESS(2,COLUMN())),OFFSET($BN$2,0,0,ROW()-1,60),ROW()-1,FALSE))</f>
        <v>1.32</v>
      </c>
      <c r="AP16">
        <f ca="1">IF(AND(ISNUMBER($AP$176),$B$158=1),$AP$176,HLOOKUP(INDIRECT(ADDRESS(2,COLUMN())),OFFSET($BN$2,0,0,ROW()-1,60),ROW()-1,FALSE))</f>
        <v>1.2976000000000001</v>
      </c>
      <c r="AQ16">
        <f ca="1">IF(AND(ISNUMBER($AQ$176),$B$158=1),$AQ$176,HLOOKUP(INDIRECT(ADDRESS(2,COLUMN())),OFFSET($BN$2,0,0,ROW()-1,60),ROW()-1,FALSE))</f>
        <v>1.2511000000000001</v>
      </c>
      <c r="AR16">
        <f ca="1">IF(AND(ISNUMBER($AR$176),$B$158=1),$AR$176,HLOOKUP(INDIRECT(ADDRESS(2,COLUMN())),OFFSET($BN$2,0,0,ROW()-1,60),ROW()-1,FALSE))</f>
        <v>1.2831999999999999</v>
      </c>
      <c r="AS16">
        <f ca="1">IF(AND(ISNUMBER($AS$176),$B$158=1),$AS$176,HLOOKUP(INDIRECT(ADDRESS(2,COLUMN())),OFFSET($BN$2,0,0,ROW()-1,60),ROW()-1,FALSE))</f>
        <v>1.3119000000000001</v>
      </c>
      <c r="AT16">
        <f ca="1">IF(AND(ISNUMBER($AT$176),$B$158=1),$AT$176,HLOOKUP(INDIRECT(ADDRESS(2,COLUMN())),OFFSET($BN$2,0,0,ROW()-1,60),ROW()-1,FALSE))</f>
        <v>1.3472999999999999</v>
      </c>
      <c r="AU16">
        <f ca="1">IF(AND(ISNUMBER($AU$176),$B$158=1),$AU$176,HLOOKUP(INDIRECT(ADDRESS(2,COLUMN())),OFFSET($BN$2,0,0,ROW()-1,60),ROW()-1,FALSE))</f>
        <v>1.4129</v>
      </c>
      <c r="AV16">
        <f ca="1">IF(AND(ISNUMBER($AV$176),$B$158=1),$AV$176,HLOOKUP(INDIRECT(ADDRESS(2,COLUMN())),OFFSET($BN$2,0,0,ROW()-1,60),ROW()-1,FALSE))</f>
        <v>1.4398</v>
      </c>
      <c r="AW16">
        <f ca="1">IF(AND(ISNUMBER($AW$176),$B$158=1),$AW$176,HLOOKUP(INDIRECT(ADDRESS(2,COLUMN())),OFFSET($BN$2,0,0,ROW()-1,60),ROW()-1,FALSE))</f>
        <v>1.3695999999999999</v>
      </c>
      <c r="AX16">
        <f ca="1">IF(AND(ISNUMBER($AX$176),$B$158=1),$AX$176,HLOOKUP(INDIRECT(ADDRESS(2,COLUMN())),OFFSET($BN$2,0,0,ROW()-1,60),ROW()-1,FALSE))</f>
        <v>1.3579000000000001</v>
      </c>
      <c r="AY16">
        <f ca="1">IF(AND(ISNUMBER($AY$176),$B$158=1),$AY$176,HLOOKUP(INDIRECT(ADDRESS(2,COLUMN())),OFFSET($BN$2,0,0,ROW()-1,60),ROW()-1,FALSE))</f>
        <v>1.2930999999999999</v>
      </c>
      <c r="AZ16">
        <f ca="1">IF(AND(ISNUMBER($AZ$176),$B$158=1),$AZ$176,HLOOKUP(INDIRECT(ADDRESS(2,COLUMN())),OFFSET($BN$2,0,0,ROW()-1,60),ROW()-1,FALSE))</f>
        <v>1.2727999999999999</v>
      </c>
      <c r="BA16">
        <f ca="1">IF(AND(ISNUMBER($BA$176),$B$158=1),$BA$176,HLOOKUP(INDIRECT(ADDRESS(2,COLUMN())),OFFSET($BN$2,0,0,ROW()-1,60),ROW()-1,FALSE))</f>
        <v>1.3836999999999999</v>
      </c>
      <c r="BB16">
        <f ca="1">IF(AND(ISNUMBER($BB$176),$B$158=1),$BB$176,HLOOKUP(INDIRECT(ADDRESS(2,COLUMN())),OFFSET($BN$2,0,0,ROW()-1,60),ROW()-1,FALSE))</f>
        <v>1.4765999999999999</v>
      </c>
      <c r="BC16">
        <f ca="1">IF(AND(ISNUMBER($BC$176),$B$158=1),$BC$176,HLOOKUP(INDIRECT(ADDRESS(2,COLUMN())),OFFSET($BN$2,0,0,ROW()-1,60),ROW()-1,FALSE))</f>
        <v>1.4301999999999999</v>
      </c>
      <c r="BD16">
        <f ca="1">IF(AND(ISNUMBER($BD$176),$B$158=1),$BD$176,HLOOKUP(INDIRECT(ADDRESS(2,COLUMN())),OFFSET($BN$2,0,0,ROW()-1,60),ROW()-1,FALSE))</f>
        <v>1.363</v>
      </c>
      <c r="BE16">
        <f ca="1">IF(AND(ISNUMBER($BE$176),$B$158=1),$BE$176,HLOOKUP(INDIRECT(ADDRESS(2,COLUMN())),OFFSET($BN$2,0,0,ROW()-1,60),ROW()-1,FALSE))</f>
        <v>1.3063</v>
      </c>
      <c r="BF16">
        <f ca="1">IF(AND(ISNUMBER($BF$176),$B$158=1),$BF$176,HLOOKUP(INDIRECT(ADDRESS(2,COLUMN())),OFFSET($BN$2,0,0,ROW()-1,60),ROW()-1,FALSE))</f>
        <v>1.3201000000000001</v>
      </c>
      <c r="BG16">
        <f ca="1">IF(AND(ISNUMBER($BG$176),$B$158=1),$BG$176,HLOOKUP(INDIRECT(ADDRESS(2,COLUMN())),OFFSET($BN$2,0,0,ROW()-1,60),ROW()-1,FALSE))</f>
        <v>1.504</v>
      </c>
      <c r="BH16">
        <f ca="1">IF(AND(ISNUMBER($BH$176),$B$158=1),$BH$176,HLOOKUP(INDIRECT(ADDRESS(2,COLUMN())),OFFSET($BN$2,0,0,ROW()-1,60),ROW()-1,FALSE))</f>
        <v>1.5631999999999999</v>
      </c>
      <c r="BI16">
        <f ca="1">IF(AND(ISNUMBER($BI$176),$B$158=1),$BI$176,HLOOKUP(INDIRECT(ADDRESS(2,COLUMN())),OFFSET($BN$2,0,0,ROW()-1,60),ROW()-1,FALSE))</f>
        <v>1.4992000000000001</v>
      </c>
      <c r="BJ16">
        <f ca="1">IF(AND(ISNUMBER($BJ$176),$B$158=1),$BJ$176,HLOOKUP(INDIRECT(ADDRESS(2,COLUMN())),OFFSET($BN$2,0,0,ROW()-1,60),ROW()-1,FALSE))</f>
        <v>1.4483999999999999</v>
      </c>
      <c r="BK16">
        <f ca="1">IF(AND(ISNUMBER($BK$176),$B$158=1),$BK$176,HLOOKUP(INDIRECT(ADDRESS(2,COLUMN())),OFFSET($BN$2,0,0,ROW()-1,60),ROW()-1,FALSE))</f>
        <v>1.3746</v>
      </c>
      <c r="BL16">
        <f ca="1">IF(AND(ISNUMBER($BL$176),$B$158=1),$BL$176,HLOOKUP(INDIRECT(ADDRESS(2,COLUMN())),OFFSET($BN$2,0,0,ROW()-1,60),ROW()-1,FALSE))</f>
        <v>1.3483000000000001</v>
      </c>
      <c r="BM16">
        <f ca="1">IF(AND(ISNUMBER($BM$176),$B$158=1),$BM$176,HLOOKUP(INDIRECT(ADDRESS(2,COLUMN())),OFFSET($BN$2,0,0,ROW()-1,60),ROW()-1,FALSE))</f>
        <v>1.3110999999999999</v>
      </c>
      <c r="BN16">
        <f>1.1594</f>
        <v>1.1594</v>
      </c>
      <c r="BO16">
        <f>1.1786</f>
        <v>1.1786000000000001</v>
      </c>
      <c r="BP16">
        <f>1.2052</f>
        <v>1.2052</v>
      </c>
      <c r="BQ16">
        <f>1.2051</f>
        <v>1.2051000000000001</v>
      </c>
      <c r="BR16">
        <f>1.193</f>
        <v>1.1930000000000001</v>
      </c>
      <c r="BS16">
        <f>1.1691</f>
        <v>1.1691</v>
      </c>
      <c r="BT16">
        <f>1.1013</f>
        <v>1.1012999999999999</v>
      </c>
      <c r="BU16">
        <f>1.1029</f>
        <v>1.1029</v>
      </c>
      <c r="BV16">
        <f>1.1073</f>
        <v>1.1073</v>
      </c>
      <c r="BW16">
        <f>1.1117</f>
        <v>1.1116999999999999</v>
      </c>
      <c r="BX16">
        <f>1.1234</f>
        <v>1.1234</v>
      </c>
      <c r="BY16">
        <f>1.1357</f>
        <v>1.1356999999999999</v>
      </c>
      <c r="BZ16">
        <f>1.1408</f>
        <v>1.1408</v>
      </c>
      <c r="CA16">
        <f>1.1629</f>
        <v>1.1629</v>
      </c>
      <c r="CB16">
        <f>1.1916</f>
        <v>1.1916</v>
      </c>
      <c r="CC16">
        <f>1.2288</f>
        <v>1.2287999999999999</v>
      </c>
      <c r="CD16">
        <f>1.1778</f>
        <v>1.1778</v>
      </c>
      <c r="CE16">
        <f>1.1754</f>
        <v>1.1754</v>
      </c>
      <c r="CF16">
        <f>1.1013</f>
        <v>1.1012999999999999</v>
      </c>
      <c r="CG16">
        <f>1.0654</f>
        <v>1.0653999999999999</v>
      </c>
      <c r="CH16">
        <f>1.0779</f>
        <v>1.0779000000000001</v>
      </c>
      <c r="CI16">
        <f>1.1163</f>
        <v>1.1163000000000001</v>
      </c>
      <c r="CJ16">
        <f>1.1292</f>
        <v>1.1292</v>
      </c>
      <c r="CK16">
        <f>1.1041</f>
        <v>1.1041000000000001</v>
      </c>
      <c r="CL16">
        <f>1.0952</f>
        <v>1.0952</v>
      </c>
      <c r="CM16">
        <f>1.1125</f>
        <v>1.1125</v>
      </c>
      <c r="CN16">
        <f>1.1069</f>
        <v>1.1069</v>
      </c>
      <c r="CO16">
        <f>1.1268</f>
        <v>1.1268</v>
      </c>
      <c r="CP16">
        <f>1.2488</f>
        <v>1.2487999999999999</v>
      </c>
      <c r="CQ16">
        <f>1.3252</f>
        <v>1.3251999999999999</v>
      </c>
      <c r="CR16">
        <f>1.3716</f>
        <v>1.3715999999999999</v>
      </c>
      <c r="CS16">
        <f>1.3704</f>
        <v>1.3704000000000001</v>
      </c>
      <c r="CT16">
        <f>1.3615</f>
        <v>1.3614999999999999</v>
      </c>
      <c r="CU16">
        <f>1.3254</f>
        <v>1.3253999999999999</v>
      </c>
      <c r="CV16">
        <f>1.3062</f>
        <v>1.3062</v>
      </c>
      <c r="CW16">
        <f>1.32</f>
        <v>1.32</v>
      </c>
      <c r="CX16">
        <f>1.2976</f>
        <v>1.2976000000000001</v>
      </c>
      <c r="CY16">
        <f>1.2511</f>
        <v>1.2511000000000001</v>
      </c>
      <c r="CZ16">
        <f>1.2832</f>
        <v>1.2831999999999999</v>
      </c>
      <c r="DA16">
        <f>1.3119</f>
        <v>1.3119000000000001</v>
      </c>
      <c r="DB16">
        <f>1.3473</f>
        <v>1.3472999999999999</v>
      </c>
      <c r="DC16">
        <f>1.4129</f>
        <v>1.4129</v>
      </c>
      <c r="DD16">
        <f>1.4398</f>
        <v>1.4398</v>
      </c>
      <c r="DE16">
        <f>1.3696</f>
        <v>1.3695999999999999</v>
      </c>
      <c r="DF16">
        <f>1.3579</f>
        <v>1.3579000000000001</v>
      </c>
      <c r="DG16">
        <f>1.2931</f>
        <v>1.2930999999999999</v>
      </c>
      <c r="DH16">
        <f>1.2728</f>
        <v>1.2727999999999999</v>
      </c>
      <c r="DI16">
        <f>1.3837</f>
        <v>1.3836999999999999</v>
      </c>
      <c r="DJ16">
        <f>1.4766</f>
        <v>1.4765999999999999</v>
      </c>
      <c r="DK16">
        <f>1.4302</f>
        <v>1.4301999999999999</v>
      </c>
      <c r="DL16">
        <f>1.363</f>
        <v>1.363</v>
      </c>
      <c r="DM16">
        <f>1.3063</f>
        <v>1.3063</v>
      </c>
      <c r="DN16">
        <f>1.3201</f>
        <v>1.3201000000000001</v>
      </c>
      <c r="DO16">
        <f>1.504</f>
        <v>1.504</v>
      </c>
      <c r="DP16">
        <f>1.5632</f>
        <v>1.5631999999999999</v>
      </c>
      <c r="DQ16">
        <f>1.4992</f>
        <v>1.4992000000000001</v>
      </c>
      <c r="DR16">
        <f>1.4484</f>
        <v>1.4483999999999999</v>
      </c>
      <c r="DS16">
        <f>1.3746</f>
        <v>1.3746</v>
      </c>
      <c r="DT16">
        <f>1.3483</f>
        <v>1.3483000000000001</v>
      </c>
      <c r="DU16">
        <f>1.3111</f>
        <v>1.3110999999999999</v>
      </c>
    </row>
    <row r="17" spans="1:125" x14ac:dyDescent="0.25">
      <c r="A17" t="str">
        <f>"            CNH/JPY"</f>
        <v xml:space="preserve">            CNH/JPY</v>
      </c>
      <c r="B17" t="str">
        <f>"CNHJPY Curncy"</f>
        <v>CNHJPY Curncy</v>
      </c>
      <c r="C17" t="str">
        <f>"PX388"</f>
        <v>PX388</v>
      </c>
      <c r="D17" t="str">
        <f>"INTERVAL_AVG"</f>
        <v>INTERVAL_AVG</v>
      </c>
      <c r="E17" t="str">
        <f>"Dynamic"</f>
        <v>Dynamic</v>
      </c>
      <c r="F17">
        <f ca="1">IF(AND(ISNUMBER($F$177),$B$158=1),$F$177,HLOOKUP(INDIRECT(ADDRESS(2,COLUMN())),OFFSET($BN$2,0,0,ROW()-1,60),ROW()-1,FALSE))</f>
        <v>17.66</v>
      </c>
      <c r="G17">
        <f ca="1">IF(AND(ISNUMBER($G$177),$B$158=1),$G$177,HLOOKUP(INDIRECT(ADDRESS(2,COLUMN())),OFFSET($BN$2,0,0,ROW()-1,60),ROW()-1,FALSE))</f>
        <v>17.012499999999999</v>
      </c>
      <c r="H17">
        <f ca="1">IF(AND(ISNUMBER($H$177),$B$158=1),$H$177,HLOOKUP(INDIRECT(ADDRESS(2,COLUMN())),OFFSET($BN$2,0,0,ROW()-1,60),ROW()-1,FALSE))</f>
        <v>16.945399999999999</v>
      </c>
      <c r="I17">
        <f ca="1">IF(AND(ISNUMBER($I$177),$B$158=1),$I$177,HLOOKUP(INDIRECT(ADDRESS(2,COLUMN())),OFFSET($BN$2,0,0,ROW()-1,60),ROW()-1,FALSE))</f>
        <v>16.362200000000001</v>
      </c>
      <c r="J17">
        <f ca="1">IF(AND(ISNUMBER($J$177),$B$158=1),$J$177,HLOOKUP(INDIRECT(ADDRESS(2,COLUMN())),OFFSET($BN$2,0,0,ROW()-1,60),ROW()-1,FALSE))</f>
        <v>15.805899999999999</v>
      </c>
      <c r="K17">
        <f ca="1">IF(AND(ISNUMBER($K$177),$B$158=1),$K$177,HLOOKUP(INDIRECT(ADDRESS(2,COLUMN())),OFFSET($BN$2,0,0,ROW()-1,60),ROW()-1,FALSE))</f>
        <v>15.3452</v>
      </c>
      <c r="L17">
        <f ca="1">IF(AND(ISNUMBER($L$177),$B$158=1),$L$177,HLOOKUP(INDIRECT(ADDRESS(2,COLUMN())),OFFSET($BN$2,0,0,ROW()-1,60),ROW()-1,FALSE))</f>
        <v>15.1555</v>
      </c>
      <c r="M17">
        <f ca="1">IF(AND(ISNUMBER($M$177),$B$158=1),$M$177,HLOOKUP(INDIRECT(ADDRESS(2,COLUMN())),OFFSET($BN$2,0,0,ROW()-1,60),ROW()-1,FALSE))</f>
        <v>15.595000000000001</v>
      </c>
      <c r="N17">
        <f ca="1">IF(AND(ISNUMBER($N$177),$B$158=1),$N$177,HLOOKUP(INDIRECT(ADDRESS(2,COLUMN())),OFFSET($BN$2,0,0,ROW()-1,60),ROW()-1,FALSE))</f>
        <v>15.4383</v>
      </c>
      <c r="O17">
        <f ca="1">IF(AND(ISNUMBER($O$177),$B$158=1),$O$177,HLOOKUP(INDIRECT(ADDRESS(2,COLUMN())),OFFSET($BN$2,0,0,ROW()-1,60),ROW()-1,FALSE))</f>
        <v>15.6995</v>
      </c>
      <c r="P17">
        <f ca="1">IF(AND(ISNUMBER($P$177),$B$158=1),$P$177,HLOOKUP(INDIRECT(ADDRESS(2,COLUMN())),OFFSET($BN$2,0,0,ROW()-1,60),ROW()-1,FALSE))</f>
        <v>16.100000000000001</v>
      </c>
      <c r="Q17">
        <f ca="1">IF(AND(ISNUMBER($Q$177),$B$158=1),$Q$177,HLOOKUP(INDIRECT(ADDRESS(2,COLUMN())),OFFSET($BN$2,0,0,ROW()-1,60),ROW()-1,FALSE))</f>
        <v>16.305700000000002</v>
      </c>
      <c r="R17">
        <f ca="1">IF(AND(ISNUMBER($R$177),$B$158=1),$R$177,HLOOKUP(INDIRECT(ADDRESS(2,COLUMN())),OFFSET($BN$2,0,0,ROW()-1,60),ROW()-1,FALSE))</f>
        <v>16.303699999999999</v>
      </c>
      <c r="S17">
        <f ca="1">IF(AND(ISNUMBER($S$177),$B$158=1),$S$177,HLOOKUP(INDIRECT(ADDRESS(2,COLUMN())),OFFSET($BN$2,0,0,ROW()-1,60),ROW()-1,FALSE))</f>
        <v>16.366199999999999</v>
      </c>
      <c r="T17">
        <f ca="1">IF(AND(ISNUMBER($T$177),$B$158=1),$T$177,HLOOKUP(INDIRECT(ADDRESS(2,COLUMN())),OFFSET($BN$2,0,0,ROW()-1,60),ROW()-1,FALSE))</f>
        <v>17.125599999999999</v>
      </c>
      <c r="U17">
        <f ca="1">IF(AND(ISNUMBER($U$177),$B$158=1),$U$177,HLOOKUP(INDIRECT(ADDRESS(2,COLUMN())),OFFSET($BN$2,0,0,ROW()-1,60),ROW()-1,FALSE))</f>
        <v>17.048300000000001</v>
      </c>
      <c r="V17">
        <f ca="1">IF(AND(ISNUMBER($V$177),$B$158=1),$V$177,HLOOKUP(INDIRECT(ADDRESS(2,COLUMN())),OFFSET($BN$2,0,0,ROW()-1,60),ROW()-1,FALSE))</f>
        <v>17.072500000000002</v>
      </c>
      <c r="W17">
        <f ca="1">IF(AND(ISNUMBER($W$177),$B$158=1),$W$177,HLOOKUP(INDIRECT(ADDRESS(2,COLUMN())),OFFSET($BN$2,0,0,ROW()-1,60),ROW()-1,FALSE))</f>
        <v>16.632000000000001</v>
      </c>
      <c r="X17">
        <f ca="1">IF(AND(ISNUMBER($X$177),$B$158=1),$X$177,HLOOKUP(INDIRECT(ADDRESS(2,COLUMN())),OFFSET($BN$2,0,0,ROW()-1,60),ROW()-1,FALSE))</f>
        <v>16.215599999999998</v>
      </c>
      <c r="Y17">
        <f ca="1">IF(AND(ISNUMBER($Y$177),$B$158=1),$Y$177,HLOOKUP(INDIRECT(ADDRESS(2,COLUMN())),OFFSET($BN$2,0,0,ROW()-1,60),ROW()-1,FALSE))</f>
        <v>16.554600000000001</v>
      </c>
      <c r="Z17">
        <f ca="1">IF(AND(ISNUMBER($Z$177),$B$158=1),$Z$177,HLOOKUP(INDIRECT(ADDRESS(2,COLUMN())),OFFSET($BN$2,0,0,ROW()-1,60),ROW()-1,FALSE))</f>
        <v>16.002700000000001</v>
      </c>
      <c r="AA17">
        <f ca="1">IF(AND(ISNUMBER($AA$177),$B$158=1),$AA$177,HLOOKUP(INDIRECT(ADDRESS(2,COLUMN())),OFFSET($BN$2,0,0,ROW()-1,60),ROW()-1,FALSE))</f>
        <v>15.337999999999999</v>
      </c>
      <c r="AB17">
        <f ca="1">IF(AND(ISNUMBER($AB$177),$B$158=1),$AB$177,HLOOKUP(INDIRECT(ADDRESS(2,COLUMN())),OFFSET($BN$2,0,0,ROW()-1,60),ROW()-1,FALSE))</f>
        <v>16.497199999999999</v>
      </c>
      <c r="AC17">
        <f ca="1">IF(AND(ISNUMBER($AC$177),$B$158=1),$AC$177,HLOOKUP(INDIRECT(ADDRESS(2,COLUMN())),OFFSET($BN$2,0,0,ROW()-1,60),ROW()-1,FALSE))</f>
        <v>17.5687</v>
      </c>
      <c r="AD17">
        <f ca="1">IF(AND(ISNUMBER($AD$177),$B$158=1),$AD$177,HLOOKUP(INDIRECT(ADDRESS(2,COLUMN())),OFFSET($BN$2,0,0,ROW()-1,60),ROW()-1,FALSE))</f>
        <v>18.8903</v>
      </c>
      <c r="AE17">
        <f ca="1">IF(AND(ISNUMBER($AE$177),$B$158=1),$AE$177,HLOOKUP(INDIRECT(ADDRESS(2,COLUMN())),OFFSET($BN$2,0,0,ROW()-1,60),ROW()-1,FALSE))</f>
        <v>19.2865</v>
      </c>
      <c r="AF17">
        <f ca="1">IF(AND(ISNUMBER($AF$177),$B$158=1),$AF$177,HLOOKUP(INDIRECT(ADDRESS(2,COLUMN())),OFFSET($BN$2,0,0,ROW()-1,60),ROW()-1,FALSE))</f>
        <v>19.556699999999999</v>
      </c>
      <c r="AG17">
        <f ca="1">IF(AND(ISNUMBER($AG$177),$B$158=1),$AG$177,HLOOKUP(INDIRECT(ADDRESS(2,COLUMN())),OFFSET($BN$2,0,0,ROW()-1,60),ROW()-1,FALSE))</f>
        <v>19.081</v>
      </c>
      <c r="AH17">
        <f ca="1">IF(AND(ISNUMBER($AH$177),$B$158=1),$AH$177,HLOOKUP(INDIRECT(ADDRESS(2,COLUMN())),OFFSET($BN$2,0,0,ROW()-1,60),ROW()-1,FALSE))</f>
        <v>18.6022</v>
      </c>
      <c r="AI17">
        <f ca="1">IF(AND(ISNUMBER($AI$177),$B$158=1),$AI$177,HLOOKUP(INDIRECT(ADDRESS(2,COLUMN())),OFFSET($BN$2,0,0,ROW()-1,60),ROW()-1,FALSE))</f>
        <v>16.864000000000001</v>
      </c>
      <c r="AJ17">
        <f ca="1">IF(AND(ISNUMBER($AJ$177),$B$158=1),$AJ$177,HLOOKUP(INDIRECT(ADDRESS(2,COLUMN())),OFFSET($BN$2,0,0,ROW()-1,60),ROW()-1,FALSE))</f>
        <v>16.3916</v>
      </c>
      <c r="AK17">
        <f ca="1">IF(AND(ISNUMBER($AK$177),$B$158=1),$AK$177,HLOOKUP(INDIRECT(ADDRESS(2,COLUMN())),OFFSET($BN$2,0,0,ROW()-1,60),ROW()-1,FALSE))</f>
        <v>16.902100000000001</v>
      </c>
      <c r="AL17">
        <f ca="1">IF(AND(ISNUMBER($AL$177),$B$158=1),$AL$177,HLOOKUP(INDIRECT(ADDRESS(2,COLUMN())),OFFSET($BN$2,0,0,ROW()-1,60),ROW()-1,FALSE))</f>
        <v>16.518000000000001</v>
      </c>
      <c r="AM17">
        <f ca="1">IF(AND(ISNUMBER($AM$177),$B$158=1),$AM$177,HLOOKUP(INDIRECT(ADDRESS(2,COLUMN())),OFFSET($BN$2,0,0,ROW()-1,60),ROW()-1,FALSE))</f>
        <v>16.150700000000001</v>
      </c>
      <c r="AN17">
        <f ca="1">IF(AND(ISNUMBER($AN$177),$B$158=1),$AN$177,HLOOKUP(INDIRECT(ADDRESS(2,COLUMN())),OFFSET($BN$2,0,0,ROW()-1,60),ROW()-1,FALSE))</f>
        <v>16.045999999999999</v>
      </c>
      <c r="AO17">
        <f ca="1">IF(AND(ISNUMBER($AO$177),$B$158=1),$AO$177,HLOOKUP(INDIRECT(ADDRESS(2,COLUMN())),OFFSET($BN$2,0,0,ROW()-1,60),ROW()-1,FALSE))</f>
        <v>14.8507</v>
      </c>
      <c r="AP17">
        <f ca="1">IF(AND(ISNUMBER($AP$177),$B$158=1),$AP$177,HLOOKUP(INDIRECT(ADDRESS(2,COLUMN())),OFFSET($BN$2,0,0,ROW()-1,60),ROW()-1,FALSE))</f>
        <v>13.022399999999999</v>
      </c>
      <c r="AQ17">
        <f ca="1">IF(AND(ISNUMBER($AQ$177),$B$158=1),$AQ$177,HLOOKUP(INDIRECT(ADDRESS(2,COLUMN())),OFFSET($BN$2,0,0,ROW()-1,60),ROW()-1,FALSE))</f>
        <v>12.3697</v>
      </c>
      <c r="AR17">
        <f ca="1">IF(AND(ISNUMBER($AR$177),$B$158=1),$AR$177,HLOOKUP(INDIRECT(ADDRESS(2,COLUMN())),OFFSET($BN$2,0,0,ROW()-1,60),ROW()-1,FALSE))</f>
        <v>12.648</v>
      </c>
      <c r="AS17">
        <f ca="1">IF(AND(ISNUMBER($AS$177),$B$158=1),$AS$177,HLOOKUP(INDIRECT(ADDRESS(2,COLUMN())),OFFSET($BN$2,0,0,ROW()-1,60),ROW()-1,FALSE))</f>
        <v>12.586600000000001</v>
      </c>
      <c r="AT17">
        <f ca="1">IF(AND(ISNUMBER($AT$177),$B$158=1),$AT$177,HLOOKUP(INDIRECT(ADDRESS(2,COLUMN())),OFFSET($BN$2,0,0,ROW()-1,60),ROW()-1,FALSE))</f>
        <v>12.1149</v>
      </c>
      <c r="AU17">
        <f ca="1">IF(AND(ISNUMBER($AU$177),$B$158=1),$AU$177,HLOOKUP(INDIRECT(ADDRESS(2,COLUMN())),OFFSET($BN$2,0,0,ROW()-1,60),ROW()-1,FALSE))</f>
        <v>12.1113</v>
      </c>
      <c r="AV17">
        <f ca="1">IF(AND(ISNUMBER($AV$177),$B$158=1),$AV$177,HLOOKUP(INDIRECT(ADDRESS(2,COLUMN())),OFFSET($BN$2,0,0,ROW()-1,60),ROW()-1,FALSE))</f>
        <v>12.570600000000001</v>
      </c>
      <c r="AW17">
        <f ca="1">IF(AND(ISNUMBER($AW$177),$B$158=1),$AW$177,HLOOKUP(INDIRECT(ADDRESS(2,COLUMN())),OFFSET($BN$2,0,0,ROW()-1,60),ROW()-1,FALSE))</f>
        <v>12.5215</v>
      </c>
      <c r="AX17">
        <f ca="1">IF(AND(ISNUMBER($AX$177),$B$158=1),$AX$177,HLOOKUP(INDIRECT(ADDRESS(2,COLUMN())),OFFSET($BN$2,0,0,ROW()-1,60),ROW()-1,FALSE))</f>
        <v>12.4977</v>
      </c>
      <c r="AY17">
        <f ca="1">IF(AND(ISNUMBER($AY$177),$B$158=1),$AY$177,HLOOKUP(INDIRECT(ADDRESS(2,COLUMN())),OFFSET($BN$2,0,0,ROW()-1,60),ROW()-1,FALSE))</f>
        <v>12.5709</v>
      </c>
      <c r="AZ17">
        <f ca="1">IF(AND(ISNUMBER($AZ$177),$B$158=1),$AZ$177,HLOOKUP(INDIRECT(ADDRESS(2,COLUMN())),OFFSET($BN$2,0,0,ROW()-1,60),ROW()-1,FALSE))</f>
        <v>0</v>
      </c>
      <c r="BA17">
        <f ca="1">IF(AND(ISNUMBER($BA$177),$B$158=1),$BA$177,HLOOKUP(INDIRECT(ADDRESS(2,COLUMN())),OFFSET($BN$2,0,0,ROW()-1,60),ROW()-1,FALSE))</f>
        <v>0</v>
      </c>
      <c r="BB17">
        <f ca="1">IF(AND(ISNUMBER($BB$177),$B$158=1),$BB$177,HLOOKUP(INDIRECT(ADDRESS(2,COLUMN())),OFFSET($BN$2,0,0,ROW()-1,60),ROW()-1,FALSE))</f>
        <v>0</v>
      </c>
      <c r="BC17">
        <f ca="1">IF(AND(ISNUMBER($BC$177),$B$158=1),$BC$177,HLOOKUP(INDIRECT(ADDRESS(2,COLUMN())),OFFSET($BN$2,0,0,ROW()-1,60),ROW()-1,FALSE))</f>
        <v>0</v>
      </c>
      <c r="BD17">
        <f ca="1">IF(AND(ISNUMBER($BD$177),$B$158=1),$BD$177,HLOOKUP(INDIRECT(ADDRESS(2,COLUMN())),OFFSET($BN$2,0,0,ROW()-1,60),ROW()-1,FALSE))</f>
        <v>0</v>
      </c>
      <c r="BE17">
        <f ca="1">IF(AND(ISNUMBER($BE$177),$B$158=1),$BE$177,HLOOKUP(INDIRECT(ADDRESS(2,COLUMN())),OFFSET($BN$2,0,0,ROW()-1,60),ROW()-1,FALSE))</f>
        <v>0</v>
      </c>
      <c r="BF17">
        <f ca="1">IF(AND(ISNUMBER($BF$177),$B$158=1),$BF$177,HLOOKUP(INDIRECT(ADDRESS(2,COLUMN())),OFFSET($BN$2,0,0,ROW()-1,60),ROW()-1,FALSE))</f>
        <v>0</v>
      </c>
      <c r="BG17">
        <f ca="1">IF(AND(ISNUMBER($BG$177),$B$158=1),$BG$177,HLOOKUP(INDIRECT(ADDRESS(2,COLUMN())),OFFSET($BN$2,0,0,ROW()-1,60),ROW()-1,FALSE))</f>
        <v>0</v>
      </c>
      <c r="BH17">
        <f ca="1">IF(AND(ISNUMBER($BH$177),$B$158=1),$BH$177,HLOOKUP(INDIRECT(ADDRESS(2,COLUMN())),OFFSET($BN$2,0,0,ROW()-1,60),ROW()-1,FALSE))</f>
        <v>0</v>
      </c>
      <c r="BI17">
        <f ca="1">IF(AND(ISNUMBER($BI$177),$B$158=1),$BI$177,HLOOKUP(INDIRECT(ADDRESS(2,COLUMN())),OFFSET($BN$2,0,0,ROW()-1,60),ROW()-1,FALSE))</f>
        <v>0</v>
      </c>
      <c r="BJ17">
        <f ca="1">IF(AND(ISNUMBER($BJ$177),$B$158=1),$BJ$177,HLOOKUP(INDIRECT(ADDRESS(2,COLUMN())),OFFSET($BN$2,0,0,ROW()-1,60),ROW()-1,FALSE))</f>
        <v>0</v>
      </c>
      <c r="BK17">
        <f ca="1">IF(AND(ISNUMBER($BK$177),$B$158=1),$BK$177,HLOOKUP(INDIRECT(ADDRESS(2,COLUMN())),OFFSET($BN$2,0,0,ROW()-1,60),ROW()-1,FALSE))</f>
        <v>0</v>
      </c>
      <c r="BL17">
        <f ca="1">IF(AND(ISNUMBER($BL$177),$B$158=1),$BL$177,HLOOKUP(INDIRECT(ADDRESS(2,COLUMN())),OFFSET($BN$2,0,0,ROW()-1,60),ROW()-1,FALSE))</f>
        <v>0</v>
      </c>
      <c r="BM17">
        <f ca="1">IF(AND(ISNUMBER($BM$177),$B$158=1),$BM$177,HLOOKUP(INDIRECT(ADDRESS(2,COLUMN())),OFFSET($BN$2,0,0,ROW()-1,60),ROW()-1,FALSE))</f>
        <v>0</v>
      </c>
      <c r="BN17">
        <f>17.66</f>
        <v>17.66</v>
      </c>
      <c r="BO17">
        <f>17.0125</f>
        <v>17.012499999999999</v>
      </c>
      <c r="BP17">
        <f>16.9454</f>
        <v>16.945399999999999</v>
      </c>
      <c r="BQ17">
        <f>16.3622</f>
        <v>16.362200000000001</v>
      </c>
      <c r="BR17">
        <f>15.8059</f>
        <v>15.805899999999999</v>
      </c>
      <c r="BS17">
        <f>15.3452</f>
        <v>15.3452</v>
      </c>
      <c r="BT17">
        <f>15.1555</f>
        <v>15.1555</v>
      </c>
      <c r="BU17">
        <f>15.595</f>
        <v>15.595000000000001</v>
      </c>
      <c r="BV17">
        <f>15.4383</f>
        <v>15.4383</v>
      </c>
      <c r="BW17">
        <f>15.6995</f>
        <v>15.6995</v>
      </c>
      <c r="BX17">
        <f>16.1</f>
        <v>16.100000000000001</v>
      </c>
      <c r="BY17">
        <f>16.3057</f>
        <v>16.305700000000002</v>
      </c>
      <c r="BZ17">
        <f>16.3037</f>
        <v>16.303699999999999</v>
      </c>
      <c r="CA17">
        <f>16.3662</f>
        <v>16.366199999999999</v>
      </c>
      <c r="CB17">
        <f>17.1256</f>
        <v>17.125599999999999</v>
      </c>
      <c r="CC17">
        <f>17.0483</f>
        <v>17.048300000000001</v>
      </c>
      <c r="CD17">
        <f>17.0725</f>
        <v>17.072500000000002</v>
      </c>
      <c r="CE17">
        <f>16.632</f>
        <v>16.632000000000001</v>
      </c>
      <c r="CF17">
        <f>16.2156</f>
        <v>16.215599999999998</v>
      </c>
      <c r="CG17">
        <f>16.5546</f>
        <v>16.554600000000001</v>
      </c>
      <c r="CH17">
        <f>16.0027</f>
        <v>16.002700000000001</v>
      </c>
      <c r="CI17">
        <f>15.338</f>
        <v>15.337999999999999</v>
      </c>
      <c r="CJ17">
        <f>16.4972</f>
        <v>16.497199999999999</v>
      </c>
      <c r="CK17">
        <f>17.5687</f>
        <v>17.5687</v>
      </c>
      <c r="CL17">
        <f>18.8903</f>
        <v>18.8903</v>
      </c>
      <c r="CM17">
        <f>19.2865</f>
        <v>19.2865</v>
      </c>
      <c r="CN17">
        <f>19.5567</f>
        <v>19.556699999999999</v>
      </c>
      <c r="CO17">
        <f>19.081</f>
        <v>19.081</v>
      </c>
      <c r="CP17">
        <f>18.6022</f>
        <v>18.6022</v>
      </c>
      <c r="CQ17">
        <f>16.864</f>
        <v>16.864000000000001</v>
      </c>
      <c r="CR17">
        <f>16.3916</f>
        <v>16.3916</v>
      </c>
      <c r="CS17">
        <f>16.9021</f>
        <v>16.902100000000001</v>
      </c>
      <c r="CT17">
        <f>16.518</f>
        <v>16.518000000000001</v>
      </c>
      <c r="CU17">
        <f>16.1507</f>
        <v>16.150700000000001</v>
      </c>
      <c r="CV17">
        <f>16.046</f>
        <v>16.045999999999999</v>
      </c>
      <c r="CW17">
        <f>14.8507</f>
        <v>14.8507</v>
      </c>
      <c r="CX17">
        <f>13.0224</f>
        <v>13.022399999999999</v>
      </c>
      <c r="CY17">
        <f>12.3697</f>
        <v>12.3697</v>
      </c>
      <c r="CZ17">
        <f>12.648</f>
        <v>12.648</v>
      </c>
      <c r="DA17">
        <f>12.5866</f>
        <v>12.586600000000001</v>
      </c>
      <c r="DB17">
        <f>12.1149</f>
        <v>12.1149</v>
      </c>
      <c r="DC17">
        <f>12.1113</f>
        <v>12.1113</v>
      </c>
      <c r="DD17">
        <f>12.5706</f>
        <v>12.570600000000001</v>
      </c>
      <c r="DE17">
        <f>12.5215</f>
        <v>12.5215</v>
      </c>
      <c r="DF17">
        <f>12.4977</f>
        <v>12.4977</v>
      </c>
      <c r="DG17">
        <f>12.5709</f>
        <v>12.5709</v>
      </c>
      <c r="DH17">
        <f>0</f>
        <v>0</v>
      </c>
      <c r="DI17">
        <f>0</f>
        <v>0</v>
      </c>
      <c r="DJ17">
        <f>0</f>
        <v>0</v>
      </c>
      <c r="DK17">
        <f>0</f>
        <v>0</v>
      </c>
      <c r="DL17">
        <f>0</f>
        <v>0</v>
      </c>
      <c r="DM17">
        <f>0</f>
        <v>0</v>
      </c>
      <c r="DN17">
        <f>0</f>
        <v>0</v>
      </c>
      <c r="DO17">
        <f>0</f>
        <v>0</v>
      </c>
      <c r="DP17">
        <f>0</f>
        <v>0</v>
      </c>
      <c r="DQ17">
        <f>0</f>
        <v>0</v>
      </c>
      <c r="DR17">
        <f>0</f>
        <v>0</v>
      </c>
      <c r="DS17">
        <f>0</f>
        <v>0</v>
      </c>
      <c r="DT17">
        <f>0</f>
        <v>0</v>
      </c>
      <c r="DU17">
        <f>0</f>
        <v>0</v>
      </c>
    </row>
    <row r="18" spans="1:125" x14ac:dyDescent="0.25">
      <c r="A18" t="str">
        <f>"    "</f>
        <v xml:space="preserve">    </v>
      </c>
      <c r="B18" t="str">
        <f>""</f>
        <v/>
      </c>
      <c r="E18" t="str">
        <f>"Static"</f>
        <v>Static</v>
      </c>
      <c r="F18" t="str">
        <f t="shared" ref="F18:AK18" ca="1" si="12">HLOOKUP(INDIRECT(ADDRESS(2,COLUMN())),OFFSET($BN$2,0,0,ROW()-1,60),ROW()-1,FALSE)</f>
        <v/>
      </c>
      <c r="G18" t="str">
        <f t="shared" ca="1" si="12"/>
        <v/>
      </c>
      <c r="H18" t="str">
        <f t="shared" ca="1" si="12"/>
        <v/>
      </c>
      <c r="I18" t="str">
        <f t="shared" ca="1" si="12"/>
        <v/>
      </c>
      <c r="J18" t="str">
        <f t="shared" ca="1" si="12"/>
        <v/>
      </c>
      <c r="K18" t="str">
        <f t="shared" ca="1" si="12"/>
        <v/>
      </c>
      <c r="L18" t="str">
        <f t="shared" ca="1" si="12"/>
        <v/>
      </c>
      <c r="M18" t="str">
        <f t="shared" ca="1" si="12"/>
        <v/>
      </c>
      <c r="N18" t="str">
        <f t="shared" ca="1" si="12"/>
        <v/>
      </c>
      <c r="O18" t="str">
        <f t="shared" ca="1" si="12"/>
        <v/>
      </c>
      <c r="P18" t="str">
        <f t="shared" ca="1" si="12"/>
        <v/>
      </c>
      <c r="Q18" t="str">
        <f t="shared" ca="1" si="12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2"/>
        <v/>
      </c>
      <c r="AI18" t="str">
        <f t="shared" ca="1" si="12"/>
        <v/>
      </c>
      <c r="AJ18" t="str">
        <f t="shared" ca="1" si="12"/>
        <v/>
      </c>
      <c r="AK18" t="str">
        <f t="shared" ca="1" si="12"/>
        <v/>
      </c>
      <c r="AL18" t="str">
        <f t="shared" ref="AL18:BM18" ca="1" si="13">HLOOKUP(INDIRECT(ADDRESS(2,COLUMN())),OFFSET($BN$2,0,0,ROW()-1,60),ROW()-1,FALSE)</f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3"/>
        <v/>
      </c>
      <c r="AY18" t="str">
        <f t="shared" ca="1" si="13"/>
        <v/>
      </c>
      <c r="AZ18" t="str">
        <f t="shared" ca="1" si="13"/>
        <v/>
      </c>
      <c r="BA18" t="str">
        <f t="shared" ca="1" si="13"/>
        <v/>
      </c>
      <c r="BB18" t="str">
        <f t="shared" ca="1" si="13"/>
        <v/>
      </c>
      <c r="BC18" t="str">
        <f t="shared" ca="1" si="13"/>
        <v/>
      </c>
      <c r="BD18" t="str">
        <f t="shared" ca="1" si="13"/>
        <v/>
      </c>
      <c r="BE18" t="str">
        <f t="shared" ca="1" si="13"/>
        <v/>
      </c>
      <c r="BF18" t="str">
        <f t="shared" ca="1" si="13"/>
        <v/>
      </c>
      <c r="BG18" t="str">
        <f t="shared" ca="1" si="13"/>
        <v/>
      </c>
      <c r="BH18" t="str">
        <f t="shared" ca="1" si="13"/>
        <v/>
      </c>
      <c r="BI18" t="str">
        <f t="shared" ca="1" si="13"/>
        <v/>
      </c>
      <c r="BJ18" t="str">
        <f t="shared" ca="1" si="13"/>
        <v/>
      </c>
      <c r="BK18" t="str">
        <f t="shared" ca="1" si="13"/>
        <v/>
      </c>
      <c r="BL18" t="str">
        <f t="shared" ca="1" si="13"/>
        <v/>
      </c>
      <c r="BM18" t="str">
        <f t="shared" ca="1" si="13"/>
        <v/>
      </c>
      <c r="BN18" t="str">
        <f>""</f>
        <v/>
      </c>
      <c r="BO18" t="str">
        <f>""</f>
        <v/>
      </c>
      <c r="BP18" t="str">
        <f>""</f>
        <v/>
      </c>
      <c r="BQ18" t="str">
        <f>""</f>
        <v/>
      </c>
      <c r="BR18" t="str">
        <f>""</f>
        <v/>
      </c>
      <c r="BS18" t="str">
        <f>""</f>
        <v/>
      </c>
      <c r="BT18" t="str">
        <f>""</f>
        <v/>
      </c>
      <c r="BU18" t="str">
        <f>""</f>
        <v/>
      </c>
      <c r="BV18" t="str">
        <f>""</f>
        <v/>
      </c>
      <c r="BW18" t="str">
        <f>""</f>
        <v/>
      </c>
      <c r="BX18" t="str">
        <f>""</f>
        <v/>
      </c>
      <c r="BY18" t="str">
        <f>""</f>
        <v/>
      </c>
      <c r="BZ18" t="str">
        <f>""</f>
        <v/>
      </c>
      <c r="CA18" t="str">
        <f>""</f>
        <v/>
      </c>
      <c r="CB18" t="str">
        <f>""</f>
        <v/>
      </c>
      <c r="CC18" t="str">
        <f>""</f>
        <v/>
      </c>
      <c r="CD18" t="str">
        <f>""</f>
        <v/>
      </c>
      <c r="CE18" t="str">
        <f>""</f>
        <v/>
      </c>
      <c r="CF18" t="str">
        <f>""</f>
        <v/>
      </c>
      <c r="CG18" t="str">
        <f>""</f>
        <v/>
      </c>
      <c r="CH18" t="str">
        <f>""</f>
        <v/>
      </c>
      <c r="CI18" t="str">
        <f>""</f>
        <v/>
      </c>
      <c r="CJ18" t="str">
        <f>""</f>
        <v/>
      </c>
      <c r="CK18" t="str">
        <f>""</f>
        <v/>
      </c>
      <c r="CL18" t="str">
        <f>""</f>
        <v/>
      </c>
      <c r="CM18" t="str">
        <f>""</f>
        <v/>
      </c>
      <c r="CN18" t="str">
        <f>""</f>
        <v/>
      </c>
      <c r="CO18" t="str">
        <f>""</f>
        <v/>
      </c>
      <c r="CP18" t="str">
        <f>""</f>
        <v/>
      </c>
      <c r="CQ18" t="str">
        <f>""</f>
        <v/>
      </c>
      <c r="CR18" t="str">
        <f>""</f>
        <v/>
      </c>
      <c r="CS18" t="str">
        <f>""</f>
        <v/>
      </c>
      <c r="CT18" t="str">
        <f>""</f>
        <v/>
      </c>
      <c r="CU18" t="str">
        <f>""</f>
        <v/>
      </c>
      <c r="CV18" t="str">
        <f>""</f>
        <v/>
      </c>
      <c r="CW18" t="str">
        <f>""</f>
        <v/>
      </c>
      <c r="CX18" t="str">
        <f>""</f>
        <v/>
      </c>
      <c r="CY18" t="str">
        <f>""</f>
        <v/>
      </c>
      <c r="CZ18" t="str">
        <f>""</f>
        <v/>
      </c>
      <c r="DA18" t="str">
        <f>""</f>
        <v/>
      </c>
      <c r="DB18" t="str">
        <f>""</f>
        <v/>
      </c>
      <c r="DC18" t="str">
        <f>""</f>
        <v/>
      </c>
      <c r="DD18" t="str">
        <f>""</f>
        <v/>
      </c>
      <c r="DE18" t="str">
        <f>""</f>
        <v/>
      </c>
      <c r="DF18" t="str">
        <f>""</f>
        <v/>
      </c>
      <c r="DG18" t="str">
        <f>""</f>
        <v/>
      </c>
      <c r="DH18" t="str">
        <f>""</f>
        <v/>
      </c>
      <c r="DI18" t="str">
        <f>""</f>
        <v/>
      </c>
      <c r="DJ18" t="str">
        <f>""</f>
        <v/>
      </c>
      <c r="DK18" t="str">
        <f>""</f>
        <v/>
      </c>
      <c r="DL18" t="str">
        <f>""</f>
        <v/>
      </c>
      <c r="DM18" t="str">
        <f>""</f>
        <v/>
      </c>
      <c r="DN18" t="str">
        <f>""</f>
        <v/>
      </c>
      <c r="DO18" t="str">
        <f>""</f>
        <v/>
      </c>
      <c r="DP18" t="str">
        <f>""</f>
        <v/>
      </c>
      <c r="DQ18" t="str">
        <f>""</f>
        <v/>
      </c>
      <c r="DR18" t="str">
        <f>""</f>
        <v/>
      </c>
      <c r="DS18" t="str">
        <f>""</f>
        <v/>
      </c>
      <c r="DT18" t="str">
        <f>""</f>
        <v/>
      </c>
      <c r="DU18" t="str">
        <f>""</f>
        <v/>
      </c>
    </row>
    <row r="19" spans="1:125" x14ac:dyDescent="0.25">
      <c r="A19" t="str">
        <f>"    Company-Level Industry Statistics"</f>
        <v xml:space="preserve">    Company-Level Industry Statistics</v>
      </c>
      <c r="B19" t="str">
        <f>""</f>
        <v/>
      </c>
      <c r="E19" t="str">
        <f>"Heading"</f>
        <v>Heading</v>
      </c>
      <c r="BN19" t="str">
        <f>""</f>
        <v/>
      </c>
      <c r="BO19" t="str">
        <f>""</f>
        <v/>
      </c>
      <c r="BP19" t="str">
        <f>""</f>
        <v/>
      </c>
      <c r="BQ19" t="str">
        <f>""</f>
        <v/>
      </c>
      <c r="BR19" t="str">
        <f>""</f>
        <v/>
      </c>
      <c r="BS19" t="str">
        <f>""</f>
        <v/>
      </c>
      <c r="BT19" t="str">
        <f>""</f>
        <v/>
      </c>
      <c r="BU19" t="str">
        <f>""</f>
        <v/>
      </c>
      <c r="BV19" t="str">
        <f>""</f>
        <v/>
      </c>
      <c r="BW19" t="str">
        <f>""</f>
        <v/>
      </c>
      <c r="BX19" t="str">
        <f>""</f>
        <v/>
      </c>
      <c r="BY19" t="str">
        <f>""</f>
        <v/>
      </c>
      <c r="BZ19" t="str">
        <f>""</f>
        <v/>
      </c>
      <c r="CA19" t="str">
        <f>""</f>
        <v/>
      </c>
      <c r="CB19" t="str">
        <f>""</f>
        <v/>
      </c>
      <c r="CC19" t="str">
        <f>""</f>
        <v/>
      </c>
      <c r="CD19" t="str">
        <f>""</f>
        <v/>
      </c>
      <c r="CE19" t="str">
        <f>""</f>
        <v/>
      </c>
      <c r="CF19" t="str">
        <f>""</f>
        <v/>
      </c>
      <c r="CG19" t="str">
        <f>""</f>
        <v/>
      </c>
      <c r="CH19" t="str">
        <f>""</f>
        <v/>
      </c>
      <c r="CI19" t="str">
        <f>""</f>
        <v/>
      </c>
      <c r="CJ19" t="str">
        <f>""</f>
        <v/>
      </c>
      <c r="CK19" t="str">
        <f>""</f>
        <v/>
      </c>
      <c r="CL19" t="str">
        <f>""</f>
        <v/>
      </c>
      <c r="CM19" t="str">
        <f>""</f>
        <v/>
      </c>
      <c r="CN19" t="str">
        <f>""</f>
        <v/>
      </c>
      <c r="CO19" t="str">
        <f>""</f>
        <v/>
      </c>
      <c r="CP19" t="str">
        <f>""</f>
        <v/>
      </c>
      <c r="CQ19" t="str">
        <f>""</f>
        <v/>
      </c>
      <c r="CR19" t="str">
        <f>""</f>
        <v/>
      </c>
      <c r="CS19" t="str">
        <f>""</f>
        <v/>
      </c>
      <c r="CT19" t="str">
        <f>""</f>
        <v/>
      </c>
      <c r="CU19" t="str">
        <f>""</f>
        <v/>
      </c>
      <c r="CV19" t="str">
        <f>""</f>
        <v/>
      </c>
      <c r="CW19" t="str">
        <f>""</f>
        <v/>
      </c>
      <c r="CX19" t="str">
        <f>""</f>
        <v/>
      </c>
      <c r="CY19" t="str">
        <f>""</f>
        <v/>
      </c>
      <c r="CZ19" t="str">
        <f>""</f>
        <v/>
      </c>
      <c r="DA19" t="str">
        <f>""</f>
        <v/>
      </c>
      <c r="DB19" t="str">
        <f>""</f>
        <v/>
      </c>
      <c r="DC19" t="str">
        <f>""</f>
        <v/>
      </c>
      <c r="DD19" t="str">
        <f>""</f>
        <v/>
      </c>
      <c r="DE19" t="str">
        <f>""</f>
        <v/>
      </c>
      <c r="DF19" t="str">
        <f>""</f>
        <v/>
      </c>
      <c r="DG19" t="str">
        <f>""</f>
        <v/>
      </c>
      <c r="DH19" t="str">
        <f>""</f>
        <v/>
      </c>
      <c r="DI19" t="str">
        <f>""</f>
        <v/>
      </c>
      <c r="DJ19" t="str">
        <f>""</f>
        <v/>
      </c>
      <c r="DK19" t="str">
        <f>""</f>
        <v/>
      </c>
      <c r="DL19" t="str">
        <f>""</f>
        <v/>
      </c>
      <c r="DM19" t="str">
        <f>""</f>
        <v/>
      </c>
      <c r="DN19" t="str">
        <f>""</f>
        <v/>
      </c>
      <c r="DO19" t="str">
        <f>""</f>
        <v/>
      </c>
      <c r="DP19" t="str">
        <f>""</f>
        <v/>
      </c>
      <c r="DQ19" t="str">
        <f>""</f>
        <v/>
      </c>
      <c r="DR19" t="str">
        <f>""</f>
        <v/>
      </c>
      <c r="DS19" t="str">
        <f>""</f>
        <v/>
      </c>
      <c r="DT19" t="str">
        <f>""</f>
        <v/>
      </c>
      <c r="DU19" t="str">
        <f>""</f>
        <v/>
      </c>
    </row>
    <row r="20" spans="1:125" x14ac:dyDescent="0.25">
      <c r="A20" t="str">
        <f>"        "</f>
        <v xml:space="preserve">        </v>
      </c>
      <c r="B20" t="str">
        <f>""</f>
        <v/>
      </c>
      <c r="E20" t="str">
        <f>"Static"</f>
        <v>Static</v>
      </c>
      <c r="F20" t="str">
        <f t="shared" ref="F20:AK20" ca="1" si="14">HLOOKUP(INDIRECT(ADDRESS(2,COLUMN())),OFFSET($BN$2,0,0,ROW()-1,60),ROW()-1,FALSE)</f>
        <v/>
      </c>
      <c r="G20" t="str">
        <f t="shared" ca="1" si="14"/>
        <v/>
      </c>
      <c r="H20" t="str">
        <f t="shared" ca="1" si="14"/>
        <v/>
      </c>
      <c r="I20" t="str">
        <f t="shared" ca="1" si="14"/>
        <v/>
      </c>
      <c r="J20" t="str">
        <f t="shared" ca="1" si="14"/>
        <v/>
      </c>
      <c r="K20" t="str">
        <f t="shared" ca="1" si="14"/>
        <v/>
      </c>
      <c r="L20" t="str">
        <f t="shared" ca="1" si="14"/>
        <v/>
      </c>
      <c r="M20" t="str">
        <f t="shared" ca="1" si="14"/>
        <v/>
      </c>
      <c r="N20" t="str">
        <f t="shared" ca="1" si="14"/>
        <v/>
      </c>
      <c r="O20" t="str">
        <f t="shared" ca="1" si="14"/>
        <v/>
      </c>
      <c r="P20" t="str">
        <f t="shared" ca="1" si="14"/>
        <v/>
      </c>
      <c r="Q20" t="str">
        <f t="shared" ca="1" si="14"/>
        <v/>
      </c>
      <c r="R20" t="str">
        <f t="shared" ca="1" si="14"/>
        <v/>
      </c>
      <c r="S20" t="str">
        <f t="shared" ca="1" si="14"/>
        <v/>
      </c>
      <c r="T20" t="str">
        <f t="shared" ca="1" si="14"/>
        <v/>
      </c>
      <c r="U20" t="str">
        <f t="shared" ca="1" si="14"/>
        <v/>
      </c>
      <c r="V20" t="str">
        <f t="shared" ca="1" si="14"/>
        <v/>
      </c>
      <c r="W20" t="str">
        <f t="shared" ca="1" si="14"/>
        <v/>
      </c>
      <c r="X20" t="str">
        <f t="shared" ca="1" si="14"/>
        <v/>
      </c>
      <c r="Y20" t="str">
        <f t="shared" ca="1" si="14"/>
        <v/>
      </c>
      <c r="Z20" t="str">
        <f t="shared" ca="1" si="14"/>
        <v/>
      </c>
      <c r="AA20" t="str">
        <f t="shared" ca="1" si="14"/>
        <v/>
      </c>
      <c r="AB20" t="str">
        <f t="shared" ca="1" si="14"/>
        <v/>
      </c>
      <c r="AC20" t="str">
        <f t="shared" ca="1" si="14"/>
        <v/>
      </c>
      <c r="AD20" t="str">
        <f t="shared" ca="1" si="14"/>
        <v/>
      </c>
      <c r="AE20" t="str">
        <f t="shared" ca="1" si="14"/>
        <v/>
      </c>
      <c r="AF20" t="str">
        <f t="shared" ca="1" si="14"/>
        <v/>
      </c>
      <c r="AG20" t="str">
        <f t="shared" ca="1" si="14"/>
        <v/>
      </c>
      <c r="AH20" t="str">
        <f t="shared" ca="1" si="14"/>
        <v/>
      </c>
      <c r="AI20" t="str">
        <f t="shared" ca="1" si="14"/>
        <v/>
      </c>
      <c r="AJ20" t="str">
        <f t="shared" ca="1" si="14"/>
        <v/>
      </c>
      <c r="AK20" t="str">
        <f t="shared" ca="1" si="14"/>
        <v/>
      </c>
      <c r="AL20" t="str">
        <f t="shared" ref="AL20:BM20" ca="1" si="15">HLOOKUP(INDIRECT(ADDRESS(2,COLUMN())),OFFSET($BN$2,0,0,ROW()-1,60),ROW()-1,FALSE)</f>
        <v/>
      </c>
      <c r="AM20" t="str">
        <f t="shared" ca="1" si="15"/>
        <v/>
      </c>
      <c r="AN20" t="str">
        <f t="shared" ca="1" si="15"/>
        <v/>
      </c>
      <c r="AO20" t="str">
        <f t="shared" ca="1" si="15"/>
        <v/>
      </c>
      <c r="AP20" t="str">
        <f t="shared" ca="1" si="15"/>
        <v/>
      </c>
      <c r="AQ20" t="str">
        <f t="shared" ca="1" si="15"/>
        <v/>
      </c>
      <c r="AR20" t="str">
        <f t="shared" ca="1" si="15"/>
        <v/>
      </c>
      <c r="AS20" t="str">
        <f t="shared" ca="1" si="15"/>
        <v/>
      </c>
      <c r="AT20" t="str">
        <f t="shared" ca="1" si="15"/>
        <v/>
      </c>
      <c r="AU20" t="str">
        <f t="shared" ca="1" si="15"/>
        <v/>
      </c>
      <c r="AV20" t="str">
        <f t="shared" ca="1" si="15"/>
        <v/>
      </c>
      <c r="AW20" t="str">
        <f t="shared" ca="1" si="15"/>
        <v/>
      </c>
      <c r="AX20" t="str">
        <f t="shared" ca="1" si="15"/>
        <v/>
      </c>
      <c r="AY20" t="str">
        <f t="shared" ca="1" si="15"/>
        <v/>
      </c>
      <c r="AZ20" t="str">
        <f t="shared" ca="1" si="15"/>
        <v/>
      </c>
      <c r="BA20" t="str">
        <f t="shared" ca="1" si="15"/>
        <v/>
      </c>
      <c r="BB20" t="str">
        <f t="shared" ca="1" si="15"/>
        <v/>
      </c>
      <c r="BC20" t="str">
        <f t="shared" ca="1" si="15"/>
        <v/>
      </c>
      <c r="BD20" t="str">
        <f t="shared" ca="1" si="15"/>
        <v/>
      </c>
      <c r="BE20" t="str">
        <f t="shared" ca="1" si="15"/>
        <v/>
      </c>
      <c r="BF20" t="str">
        <f t="shared" ca="1" si="15"/>
        <v/>
      </c>
      <c r="BG20" t="str">
        <f t="shared" ca="1" si="15"/>
        <v/>
      </c>
      <c r="BH20" t="str">
        <f t="shared" ca="1" si="15"/>
        <v/>
      </c>
      <c r="BI20" t="str">
        <f t="shared" ca="1" si="15"/>
        <v/>
      </c>
      <c r="BJ20" t="str">
        <f t="shared" ca="1" si="15"/>
        <v/>
      </c>
      <c r="BK20" t="str">
        <f t="shared" ca="1" si="15"/>
        <v/>
      </c>
      <c r="BL20" t="str">
        <f t="shared" ca="1" si="15"/>
        <v/>
      </c>
      <c r="BM20" t="str">
        <f t="shared" ca="1" si="15"/>
        <v/>
      </c>
      <c r="BN20" t="str">
        <f>""</f>
        <v/>
      </c>
      <c r="BO20" t="str">
        <f>""</f>
        <v/>
      </c>
      <c r="BP20" t="str">
        <f>""</f>
        <v/>
      </c>
      <c r="BQ20" t="str">
        <f>""</f>
        <v/>
      </c>
      <c r="BR20" t="str">
        <f>""</f>
        <v/>
      </c>
      <c r="BS20" t="str">
        <f>""</f>
        <v/>
      </c>
      <c r="BT20" t="str">
        <f>""</f>
        <v/>
      </c>
      <c r="BU20" t="str">
        <f>""</f>
        <v/>
      </c>
      <c r="BV20" t="str">
        <f>""</f>
        <v/>
      </c>
      <c r="BW20" t="str">
        <f>""</f>
        <v/>
      </c>
      <c r="BX20" t="str">
        <f>""</f>
        <v/>
      </c>
      <c r="BY20" t="str">
        <f>""</f>
        <v/>
      </c>
      <c r="BZ20" t="str">
        <f>""</f>
        <v/>
      </c>
      <c r="CA20" t="str">
        <f>""</f>
        <v/>
      </c>
      <c r="CB20" t="str">
        <f>""</f>
        <v/>
      </c>
      <c r="CC20" t="str">
        <f>""</f>
        <v/>
      </c>
      <c r="CD20" t="str">
        <f>""</f>
        <v/>
      </c>
      <c r="CE20" t="str">
        <f>""</f>
        <v/>
      </c>
      <c r="CF20" t="str">
        <f>""</f>
        <v/>
      </c>
      <c r="CG20" t="str">
        <f>""</f>
        <v/>
      </c>
      <c r="CH20" t="str">
        <f>""</f>
        <v/>
      </c>
      <c r="CI20" t="str">
        <f>""</f>
        <v/>
      </c>
      <c r="CJ20" t="str">
        <f>""</f>
        <v/>
      </c>
      <c r="CK20" t="str">
        <f>""</f>
        <v/>
      </c>
      <c r="CL20" t="str">
        <f>""</f>
        <v/>
      </c>
      <c r="CM20" t="str">
        <f>""</f>
        <v/>
      </c>
      <c r="CN20" t="str">
        <f>""</f>
        <v/>
      </c>
      <c r="CO20" t="str">
        <f>""</f>
        <v/>
      </c>
      <c r="CP20" t="str">
        <f>""</f>
        <v/>
      </c>
      <c r="CQ20" t="str">
        <f>""</f>
        <v/>
      </c>
      <c r="CR20" t="str">
        <f>""</f>
        <v/>
      </c>
      <c r="CS20" t="str">
        <f>""</f>
        <v/>
      </c>
      <c r="CT20" t="str">
        <f>""</f>
        <v/>
      </c>
      <c r="CU20" t="str">
        <f>""</f>
        <v/>
      </c>
      <c r="CV20" t="str">
        <f>""</f>
        <v/>
      </c>
      <c r="CW20" t="str">
        <f>""</f>
        <v/>
      </c>
      <c r="CX20" t="str">
        <f>""</f>
        <v/>
      </c>
      <c r="CY20" t="str">
        <f>""</f>
        <v/>
      </c>
      <c r="CZ20" t="str">
        <f>""</f>
        <v/>
      </c>
      <c r="DA20" t="str">
        <f>""</f>
        <v/>
      </c>
      <c r="DB20" t="str">
        <f>""</f>
        <v/>
      </c>
      <c r="DC20" t="str">
        <f>""</f>
        <v/>
      </c>
      <c r="DD20" t="str">
        <f>""</f>
        <v/>
      </c>
      <c r="DE20" t="str">
        <f>""</f>
        <v/>
      </c>
      <c r="DF20" t="str">
        <f>""</f>
        <v/>
      </c>
      <c r="DG20" t="str">
        <f>""</f>
        <v/>
      </c>
      <c r="DH20" t="str">
        <f>""</f>
        <v/>
      </c>
      <c r="DI20" t="str">
        <f>""</f>
        <v/>
      </c>
      <c r="DJ20" t="str">
        <f>""</f>
        <v/>
      </c>
      <c r="DK20" t="str">
        <f>""</f>
        <v/>
      </c>
      <c r="DL20" t="str">
        <f>""</f>
        <v/>
      </c>
      <c r="DM20" t="str">
        <f>""</f>
        <v/>
      </c>
      <c r="DN20" t="str">
        <f>""</f>
        <v/>
      </c>
      <c r="DO20" t="str">
        <f>""</f>
        <v/>
      </c>
      <c r="DP20" t="str">
        <f>""</f>
        <v/>
      </c>
      <c r="DQ20" t="str">
        <f>""</f>
        <v/>
      </c>
      <c r="DR20" t="str">
        <f>""</f>
        <v/>
      </c>
      <c r="DS20" t="str">
        <f>""</f>
        <v/>
      </c>
      <c r="DT20" t="str">
        <f>""</f>
        <v/>
      </c>
      <c r="DU20" t="str">
        <f>""</f>
        <v/>
      </c>
    </row>
    <row r="21" spans="1:125" x14ac:dyDescent="0.25">
      <c r="A21" t="str">
        <f>"        Total Sales Growth (%)"</f>
        <v xml:space="preserve">        Total Sales Growth (%)</v>
      </c>
      <c r="B21" t="str">
        <f t="shared" ref="B21:B26" si="16">"KER FP Equity"</f>
        <v>KER FP Equity</v>
      </c>
      <c r="C21" t="str">
        <f>"RR033"</f>
        <v>RR033</v>
      </c>
      <c r="D21" t="str">
        <f>"SALES_GROWTH"</f>
        <v>SALES_GROWTH</v>
      </c>
      <c r="E21" t="str">
        <f t="shared" ref="E21:E26" si="17">"Dynamic"</f>
        <v>Dynamic</v>
      </c>
      <c r="F21" t="str">
        <f ca="1">IF(AND(ISNUMBER($F$178),$B$158=1),$F$178,HLOOKUP(INDIRECT(ADDRESS(2,COLUMN())),OFFSET($BN$2,0,0,ROW()-1,60),ROW()-1,FALSE))</f>
        <v/>
      </c>
      <c r="G21">
        <f ca="1">IF(AND(ISNUMBER($G$178),$B$158=1),$G$178,HLOOKUP(INDIRECT(ADDRESS(2,COLUMN())),OFFSET($BN$2,0,0,ROW()-1,60),ROW()-1,FALSE))</f>
        <v>12.644914869999999</v>
      </c>
      <c r="H21">
        <f ca="1">IF(AND(ISNUMBER($H$178),$B$158=1),$H$178,HLOOKUP(INDIRECT(ADDRESS(2,COLUMN())),OFFSET($BN$2,0,0,ROW()-1,60),ROW()-1,FALSE))</f>
        <v>91.126844739999996</v>
      </c>
      <c r="I21">
        <f ca="1">IF(AND(ISNUMBER($I$178),$B$158=1),$I$178,HLOOKUP(INDIRECT(ADDRESS(2,COLUMN())),OFFSET($BN$2,0,0,ROW()-1,60),ROW()-1,FALSE))</f>
        <v>21.441058940000001</v>
      </c>
      <c r="J21">
        <f ca="1">IF(AND(ISNUMBER($J$178),$B$158=1),$J$178,HLOOKUP(INDIRECT(ADDRESS(2,COLUMN())),OFFSET($BN$2,0,0,ROW()-1,60),ROW()-1,FALSE))</f>
        <v>-8.1710812980000007</v>
      </c>
      <c r="K21">
        <f ca="1">IF(AND(ISNUMBER($K$178),$B$158=1),$K$178,HLOOKUP(INDIRECT(ADDRESS(2,COLUMN())),OFFSET($BN$2,0,0,ROW()-1,60),ROW()-1,FALSE))</f>
        <v>-4.2964526589999998</v>
      </c>
      <c r="L21">
        <f ca="1">IF(AND(ISNUMBER($L$178),$B$158=1),$L$178,HLOOKUP(INDIRECT(ADDRESS(2,COLUMN())),OFFSET($BN$2,0,0,ROW()-1,60),ROW()-1,FALSE))</f>
        <v>-43.54934987</v>
      </c>
      <c r="M21">
        <f ca="1">IF(AND(ISNUMBER($M$178),$B$158=1),$M$178,HLOOKUP(INDIRECT(ADDRESS(2,COLUMN())),OFFSET($BN$2,0,0,ROW()-1,60),ROW()-1,FALSE))</f>
        <v>-15.377909280000001</v>
      </c>
      <c r="N21">
        <f ca="1">IF(AND(ISNUMBER($N$178),$B$158=1),$N$178,HLOOKUP(INDIRECT(ADDRESS(2,COLUMN())),OFFSET($BN$2,0,0,ROW()-1,60),ROW()-1,FALSE))</f>
        <v>13.86901342</v>
      </c>
      <c r="O21">
        <f ca="1">IF(AND(ISNUMBER($O$178),$B$158=1),$O$178,HLOOKUP(INDIRECT(ADDRESS(2,COLUMN())),OFFSET($BN$2,0,0,ROW()-1,60),ROW()-1,FALSE))</f>
        <v>14.18577307</v>
      </c>
      <c r="P21">
        <f ca="1">IF(AND(ISNUMBER($P$178),$B$158=1),$P$178,HLOOKUP(INDIRECT(ADDRESS(2,COLUMN())),OFFSET($BN$2,0,0,ROW()-1,60),ROW()-1,FALSE))</f>
        <v>15.8478653</v>
      </c>
      <c r="Q21">
        <f ca="1">IF(AND(ISNUMBER($Q$178),$B$158=1),$Q$178,HLOOKUP(INDIRECT(ADDRESS(2,COLUMN())),OFFSET($BN$2,0,0,ROW()-1,60),ROW()-1,FALSE))</f>
        <v>21.862726160000001</v>
      </c>
      <c r="R21">
        <f ca="1">IF(AND(ISNUMBER($R$178),$B$158=1),$R$178,HLOOKUP(INDIRECT(ADDRESS(2,COLUMN())),OFFSET($BN$2,0,0,ROW()-1,60),ROW()-1,FALSE))</f>
        <v>-10.034065549999999</v>
      </c>
      <c r="S21">
        <f ca="1">IF(AND(ISNUMBER($S$178),$B$158=1),$S$178,HLOOKUP(INDIRECT(ADDRESS(2,COLUMN())),OFFSET($BN$2,0,0,ROW()-1,60),ROW()-1,FALSE))</f>
        <v>27.64520486</v>
      </c>
      <c r="T21">
        <f ca="1">IF(AND(ISNUMBER($T$178),$B$158=1),$T$178,HLOOKUP(INDIRECT(ADDRESS(2,COLUMN())),OFFSET($BN$2,0,0,ROW()-1,60),ROW()-1,FALSE))</f>
        <v>26.57938803</v>
      </c>
      <c r="U21">
        <f ca="1">IF(AND(ISNUMBER($U$178),$B$158=1),$U$178,HLOOKUP(INDIRECT(ADDRESS(2,COLUMN())),OFFSET($BN$2,0,0,ROW()-1,60),ROW()-1,FALSE))</f>
        <v>27.022164060000001</v>
      </c>
      <c r="V21">
        <f ca="1">IF(AND(ISNUMBER($V$178),$B$158=1),$V$178,HLOOKUP(INDIRECT(ADDRESS(2,COLUMN())),OFFSET($BN$2,0,0,ROW()-1,60),ROW()-1,FALSE))</f>
        <v>21.36116101</v>
      </c>
      <c r="W21">
        <f ca="1">IF(AND(ISNUMBER($W$178),$B$158=1),$W$178,HLOOKUP(INDIRECT(ADDRESS(2,COLUMN())),OFFSET($BN$2,0,0,ROW()-1,60),ROW()-1,FALSE))</f>
        <v>-16.312368509999999</v>
      </c>
      <c r="X21">
        <f ca="1">IF(AND(ISNUMBER($X$178),$B$158=1),$X$178,HLOOKUP(INDIRECT(ADDRESS(2,COLUMN())),OFFSET($BN$2,0,0,ROW()-1,60),ROW()-1,FALSE))</f>
        <v>-11.501801889999999</v>
      </c>
      <c r="Y21">
        <f ca="1">IF(AND(ISNUMBER($Y$178),$B$158=1),$Y$178,HLOOKUP(INDIRECT(ADDRESS(2,COLUMN())),OFFSET($BN$2,0,0,ROW()-1,60),ROW()-1,FALSE))</f>
        <v>31.1953888</v>
      </c>
      <c r="Z21">
        <f ca="1">IF(AND(ISNUMBER($Z$178),$B$158=1),$Z$178,HLOOKUP(INDIRECT(ADDRESS(2,COLUMN())),OFFSET($BN$2,0,0,ROW()-1,60),ROW()-1,FALSE))</f>
        <v>10.41397765</v>
      </c>
      <c r="AA21">
        <f ca="1">IF(AND(ISNUMBER($AA$178),$B$158=1),$AA$178,HLOOKUP(INDIRECT(ADDRESS(2,COLUMN())),OFFSET($BN$2,0,0,ROW()-1,60),ROW()-1,FALSE))</f>
        <v>9.9993092010000009</v>
      </c>
      <c r="AB21">
        <f ca="1">IF(AND(ISNUMBER($AB$178),$B$158=1),$AB$178,HLOOKUP(INDIRECT(ADDRESS(2,COLUMN())),OFFSET($BN$2,0,0,ROW()-1,60),ROW()-1,FALSE))</f>
        <v>3.7675182610000002</v>
      </c>
      <c r="AC21">
        <f ca="1">IF(AND(ISNUMBER($AC$178),$B$158=1),$AC$178,HLOOKUP(INDIRECT(ADDRESS(2,COLUMN())),OFFSET($BN$2,0,0,ROW()-1,60),ROW()-1,FALSE))</f>
        <v>2.7461335349999998</v>
      </c>
      <c r="AD21">
        <f ca="1">IF(AND(ISNUMBER($AD$178),$B$158=1),$AD$178,HLOOKUP(INDIRECT(ADDRESS(2,COLUMN())),OFFSET($BN$2,0,0,ROW()-1,60),ROW()-1,FALSE))</f>
        <v>15.85454811</v>
      </c>
      <c r="AE21">
        <f ca="1">IF(AND(ISNUMBER($AE$178),$B$158=1),$AE$178,HLOOKUP(INDIRECT(ADDRESS(2,COLUMN())),OFFSET($BN$2,0,0,ROW()-1,60),ROW()-1,FALSE))</f>
        <v>11.987003440000001</v>
      </c>
      <c r="AF21">
        <f ca="1">IF(AND(ISNUMBER($AF$178),$B$158=1),$AF$178,HLOOKUP(INDIRECT(ADDRESS(2,COLUMN())),OFFSET($BN$2,0,0,ROW()-1,60),ROW()-1,FALSE))</f>
        <v>21.79891027</v>
      </c>
      <c r="AG21">
        <f ca="1">IF(AND(ISNUMBER($AG$178),$B$158=1),$AG$178,HLOOKUP(INDIRECT(ADDRESS(2,COLUMN())),OFFSET($BN$2,0,0,ROW()-1,60),ROW()-1,FALSE))</f>
        <v>10.55045872</v>
      </c>
      <c r="AH21">
        <f ca="1">IF(AND(ISNUMBER($AH$178),$B$158=1),$AH$178,HLOOKUP(INDIRECT(ADDRESS(2,COLUMN())),OFFSET($BN$2,0,0,ROW()-1,60),ROW()-1,FALSE))</f>
        <v>8.7196161619999994</v>
      </c>
      <c r="AI21">
        <f ca="1">IF(AND(ISNUMBER($AI$178),$B$158=1),$AI$178,HLOOKUP(INDIRECT(ADDRESS(2,COLUMN())),OFFSET($BN$2,0,0,ROW()-1,60),ROW()-1,FALSE))</f>
        <v>2.4692826000000001</v>
      </c>
      <c r="AJ21">
        <f ca="1">IF(AND(ISNUMBER($AJ$178),$B$158=1),$AJ$178,HLOOKUP(INDIRECT(ADDRESS(2,COLUMN())),OFFSET($BN$2,0,0,ROW()-1,60),ROW()-1,FALSE))</f>
        <v>1.785095321</v>
      </c>
      <c r="AK21">
        <f ca="1">IF(AND(ISNUMBER($AK$178),$B$158=1),$AK$178,HLOOKUP(INDIRECT(ADDRESS(2,COLUMN())),OFFSET($BN$2,0,0,ROW()-1,60),ROW()-1,FALSE))</f>
        <v>1.164360445</v>
      </c>
      <c r="AL21">
        <f ca="1">IF(AND(ISNUMBER($AL$178),$B$158=1),$AL$178,HLOOKUP(INDIRECT(ADDRESS(2,COLUMN())),OFFSET($BN$2,0,0,ROW()-1,60),ROW()-1,FALSE))</f>
        <v>-1.572867067</v>
      </c>
      <c r="AM21">
        <f ca="1">IF(AND(ISNUMBER($AM$178),$B$158=1),$AM$178,HLOOKUP(INDIRECT(ADDRESS(2,COLUMN())),OFFSET($BN$2,0,0,ROW()-1,60),ROW()-1,FALSE))</f>
        <v>-1.4607092639999999</v>
      </c>
      <c r="AN21">
        <f ca="1">IF(AND(ISNUMBER($AN$178),$B$158=1),$AN$178,HLOOKUP(INDIRECT(ADDRESS(2,COLUMN())),OFFSET($BN$2,0,0,ROW()-1,60),ROW()-1,FALSE))</f>
        <v>1.593450128</v>
      </c>
      <c r="AO21">
        <f ca="1">IF(AND(ISNUMBER($AO$178),$B$158=1),$AO$178,HLOOKUP(INDIRECT(ADDRESS(2,COLUMN())),OFFSET($BN$2,0,0,ROW()-1,60),ROW()-1,FALSE))</f>
        <v>1.2169605880000001</v>
      </c>
      <c r="AP21">
        <f ca="1">IF(AND(ISNUMBER($AP$178),$B$158=1),$AP$178,HLOOKUP(INDIRECT(ADDRESS(2,COLUMN())),OFFSET($BN$2,0,0,ROW()-1,60),ROW()-1,FALSE))</f>
        <v>27.548785339999998</v>
      </c>
      <c r="AQ21">
        <f ca="1">IF(AND(ISNUMBER($AQ$178),$B$158=1),$AQ$178,HLOOKUP(INDIRECT(ADDRESS(2,COLUMN())),OFFSET($BN$2,0,0,ROW()-1,60),ROW()-1,FALSE))</f>
        <v>-33.615079469999998</v>
      </c>
      <c r="AR21">
        <f ca="1">IF(AND(ISNUMBER($AR$178),$B$158=1),$AR$178,HLOOKUP(INDIRECT(ADDRESS(2,COLUMN())),OFFSET($BN$2,0,0,ROW()-1,60),ROW()-1,FALSE))</f>
        <v>-14.27816769</v>
      </c>
      <c r="AS21">
        <f ca="1">IF(AND(ISNUMBER($AS$178),$B$158=1),$AS$178,HLOOKUP(INDIRECT(ADDRESS(2,COLUMN())),OFFSET($BN$2,0,0,ROW()-1,60),ROW()-1,FALSE))</f>
        <v>-17.006875040000001</v>
      </c>
      <c r="AT21">
        <f ca="1">IF(AND(ISNUMBER($AT$178),$B$158=1),$AT$178,HLOOKUP(INDIRECT(ADDRESS(2,COLUMN())),OFFSET($BN$2,0,0,ROW()-1,60),ROW()-1,FALSE))</f>
        <v>-52.688475939999996</v>
      </c>
      <c r="AU21">
        <f ca="1">IF(AND(ISNUMBER($AU$178),$B$158=1),$AU$178,HLOOKUP(INDIRECT(ADDRESS(2,COLUMN())),OFFSET($BN$2,0,0,ROW()-1,60),ROW()-1,FALSE))</f>
        <v>8.0303624449999997</v>
      </c>
      <c r="AV21">
        <f ca="1">IF(AND(ISNUMBER($AV$178),$B$158=1),$AV$178,HLOOKUP(INDIRECT(ADDRESS(2,COLUMN())),OFFSET($BN$2,0,0,ROW()-1,60),ROW()-1,FALSE))</f>
        <v>-33.91022444</v>
      </c>
      <c r="AW21">
        <f ca="1">IF(AND(ISNUMBER($AW$178),$B$158=1),$AW$178,HLOOKUP(INDIRECT(ADDRESS(2,COLUMN())),OFFSET($BN$2,0,0,ROW()-1,60),ROW()-1,FALSE))</f>
        <v>-16.99611719</v>
      </c>
      <c r="AX21">
        <f ca="1">IF(AND(ISNUMBER($AX$178),$B$158=1),$AX$178,HLOOKUP(INDIRECT(ADDRESS(2,COLUMN())),OFFSET($BN$2,0,0,ROW()-1,60),ROW()-1,FALSE))</f>
        <v>-10.14348599</v>
      </c>
      <c r="AY21">
        <f ca="1">IF(AND(ISNUMBER($AY$178),$B$158=1),$AY$178,HLOOKUP(INDIRECT(ADDRESS(2,COLUMN())),OFFSET($BN$2,0,0,ROW()-1,60),ROW()-1,FALSE))</f>
        <v>-21.761048219999999</v>
      </c>
      <c r="AZ21">
        <f ca="1">IF(AND(ISNUMBER($AZ$178),$B$158=1),$AZ$178,HLOOKUP(INDIRECT(ADDRESS(2,COLUMN())),OFFSET($BN$2,0,0,ROW()-1,60),ROW()-1,FALSE))</f>
        <v>-10.055402279999999</v>
      </c>
      <c r="BA21">
        <f ca="1">IF(AND(ISNUMBER($BA$178),$B$158=1),$BA$178,HLOOKUP(INDIRECT(ADDRESS(2,COLUMN())),OFFSET($BN$2,0,0,ROW()-1,60),ROW()-1,FALSE))</f>
        <v>-28.83399623</v>
      </c>
      <c r="BB21" t="str">
        <f ca="1">IF(AND(ISNUMBER($BB$178),$B$158=1),$BB$178,HLOOKUP(INDIRECT(ADDRESS(2,COLUMN())),OFFSET($BN$2,0,0,ROW()-1,60),ROW()-1,FALSE))</f>
        <v/>
      </c>
      <c r="BC21" t="str">
        <f ca="1">IF(AND(ISNUMBER($BC$178),$B$158=1),$BC$178,HLOOKUP(INDIRECT(ADDRESS(2,COLUMN())),OFFSET($BN$2,0,0,ROW()-1,60),ROW()-1,FALSE))</f>
        <v/>
      </c>
      <c r="BD21" t="str">
        <f ca="1">IF(AND(ISNUMBER($BD$178),$B$158=1),$BD$178,HLOOKUP(INDIRECT(ADDRESS(2,COLUMN())),OFFSET($BN$2,0,0,ROW()-1,60),ROW()-1,FALSE))</f>
        <v/>
      </c>
      <c r="BE21" t="str">
        <f ca="1">IF(AND(ISNUMBER($BE$178),$B$158=1),$BE$178,HLOOKUP(INDIRECT(ADDRESS(2,COLUMN())),OFFSET($BN$2,0,0,ROW()-1,60),ROW()-1,FALSE))</f>
        <v/>
      </c>
      <c r="BF21" t="str">
        <f ca="1">IF(AND(ISNUMBER($BF$178),$B$158=1),$BF$178,HLOOKUP(INDIRECT(ADDRESS(2,COLUMN())),OFFSET($BN$2,0,0,ROW()-1,60),ROW()-1,FALSE))</f>
        <v/>
      </c>
      <c r="BG21" t="str">
        <f ca="1">IF(AND(ISNUMBER($BG$178),$B$158=1),$BG$178,HLOOKUP(INDIRECT(ADDRESS(2,COLUMN())),OFFSET($BN$2,0,0,ROW()-1,60),ROW()-1,FALSE))</f>
        <v/>
      </c>
      <c r="BH21" t="str">
        <f ca="1">IF(AND(ISNUMBER($BH$178),$B$158=1),$BH$178,HLOOKUP(INDIRECT(ADDRESS(2,COLUMN())),OFFSET($BN$2,0,0,ROW()-1,60),ROW()-1,FALSE))</f>
        <v/>
      </c>
      <c r="BI21" t="str">
        <f ca="1">IF(AND(ISNUMBER($BI$178),$B$158=1),$BI$178,HLOOKUP(INDIRECT(ADDRESS(2,COLUMN())),OFFSET($BN$2,0,0,ROW()-1,60),ROW()-1,FALSE))</f>
        <v/>
      </c>
      <c r="BJ21" t="str">
        <f ca="1">IF(AND(ISNUMBER($BJ$178),$B$158=1),$BJ$178,HLOOKUP(INDIRECT(ADDRESS(2,COLUMN())),OFFSET($BN$2,0,0,ROW()-1,60),ROW()-1,FALSE))</f>
        <v/>
      </c>
      <c r="BK21" t="str">
        <f ca="1">IF(AND(ISNUMBER($BK$178),$B$158=1),$BK$178,HLOOKUP(INDIRECT(ADDRESS(2,COLUMN())),OFFSET($BN$2,0,0,ROW()-1,60),ROW()-1,FALSE))</f>
        <v/>
      </c>
      <c r="BL21" t="str">
        <f ca="1">IF(AND(ISNUMBER($BL$178),$B$158=1),$BL$178,HLOOKUP(INDIRECT(ADDRESS(2,COLUMN())),OFFSET($BN$2,0,0,ROW()-1,60),ROW()-1,FALSE))</f>
        <v/>
      </c>
      <c r="BM21" t="str">
        <f ca="1">IF(AND(ISNUMBER($BM$178),$B$158=1),$BM$178,HLOOKUP(INDIRECT(ADDRESS(2,COLUMN())),OFFSET($BN$2,0,0,ROW()-1,60),ROW()-1,FALSE))</f>
        <v/>
      </c>
      <c r="BN21" t="str">
        <f>""</f>
        <v/>
      </c>
      <c r="BO21">
        <f>12.64491487</f>
        <v>12.644914869999999</v>
      </c>
      <c r="BP21">
        <f>91.12684474</f>
        <v>91.126844739999996</v>
      </c>
      <c r="BQ21">
        <f>21.44105894</f>
        <v>21.441058940000001</v>
      </c>
      <c r="BR21">
        <f>-8.171081298</f>
        <v>-8.1710812980000007</v>
      </c>
      <c r="BS21">
        <f>-4.296452659</f>
        <v>-4.2964526589999998</v>
      </c>
      <c r="BT21">
        <f>-43.54934987</f>
        <v>-43.54934987</v>
      </c>
      <c r="BU21">
        <f>-15.37790928</f>
        <v>-15.377909280000001</v>
      </c>
      <c r="BV21">
        <f>13.86901342</f>
        <v>13.86901342</v>
      </c>
      <c r="BW21">
        <f>14.18577307</f>
        <v>14.18577307</v>
      </c>
      <c r="BX21">
        <f>15.8478653</f>
        <v>15.8478653</v>
      </c>
      <c r="BY21">
        <f>21.86272616</f>
        <v>21.862726160000001</v>
      </c>
      <c r="BZ21">
        <f>-10.03406555</f>
        <v>-10.034065549999999</v>
      </c>
      <c r="CA21">
        <f>27.64520486</f>
        <v>27.64520486</v>
      </c>
      <c r="CB21">
        <f>26.57938803</f>
        <v>26.57938803</v>
      </c>
      <c r="CC21">
        <f>27.02216406</f>
        <v>27.022164060000001</v>
      </c>
      <c r="CD21">
        <f>21.36116101</f>
        <v>21.36116101</v>
      </c>
      <c r="CE21">
        <f>-16.31236851</f>
        <v>-16.312368509999999</v>
      </c>
      <c r="CF21">
        <f>-11.50180189</f>
        <v>-11.501801889999999</v>
      </c>
      <c r="CG21">
        <f>31.1953888</f>
        <v>31.1953888</v>
      </c>
      <c r="CH21">
        <f>10.41397765</f>
        <v>10.41397765</v>
      </c>
      <c r="CI21">
        <f>9.999309201</f>
        <v>9.9993092010000009</v>
      </c>
      <c r="CJ21">
        <f>3.767518261</f>
        <v>3.7675182610000002</v>
      </c>
      <c r="CK21">
        <f>2.746133535</f>
        <v>2.7461335349999998</v>
      </c>
      <c r="CL21">
        <f>15.85454811</f>
        <v>15.85454811</v>
      </c>
      <c r="CM21">
        <f>11.98700344</f>
        <v>11.987003440000001</v>
      </c>
      <c r="CN21">
        <f>21.79891027</f>
        <v>21.79891027</v>
      </c>
      <c r="CO21">
        <f>10.55045872</f>
        <v>10.55045872</v>
      </c>
      <c r="CP21">
        <f>8.719616162</f>
        <v>8.7196161619999994</v>
      </c>
      <c r="CQ21">
        <f>2.4692826</f>
        <v>2.4692826000000001</v>
      </c>
      <c r="CR21">
        <f>1.785095321</f>
        <v>1.785095321</v>
      </c>
      <c r="CS21">
        <f>1.164360445</f>
        <v>1.164360445</v>
      </c>
      <c r="CT21">
        <f>-1.572867067</f>
        <v>-1.572867067</v>
      </c>
      <c r="CU21">
        <f>-1.460709264</f>
        <v>-1.4607092639999999</v>
      </c>
      <c r="CV21">
        <f>1.593450128</f>
        <v>1.593450128</v>
      </c>
      <c r="CW21">
        <f>1.216960588</f>
        <v>1.2169605880000001</v>
      </c>
      <c r="CX21">
        <f>27.54878534</f>
        <v>27.548785339999998</v>
      </c>
      <c r="CY21">
        <f>-33.61507947</f>
        <v>-33.615079469999998</v>
      </c>
      <c r="CZ21">
        <f>-14.27816769</f>
        <v>-14.27816769</v>
      </c>
      <c r="DA21">
        <f>-17.00687504</f>
        <v>-17.006875040000001</v>
      </c>
      <c r="DB21">
        <f>-52.68847594</f>
        <v>-52.688475939999996</v>
      </c>
      <c r="DC21">
        <f>8.030362445</f>
        <v>8.0303624449999997</v>
      </c>
      <c r="DD21">
        <f>-33.91022444</f>
        <v>-33.91022444</v>
      </c>
      <c r="DE21">
        <f>-16.99611719</f>
        <v>-16.99611719</v>
      </c>
      <c r="DF21">
        <f>-10.14348599</f>
        <v>-10.14348599</v>
      </c>
      <c r="DG21">
        <f>-21.76104822</f>
        <v>-21.761048219999999</v>
      </c>
      <c r="DH21">
        <f>-10.05540228</f>
        <v>-10.055402279999999</v>
      </c>
      <c r="DI21">
        <f>-28.83399623</f>
        <v>-28.83399623</v>
      </c>
      <c r="DJ21" t="str">
        <f>""</f>
        <v/>
      </c>
      <c r="DK21" t="str">
        <f>""</f>
        <v/>
      </c>
      <c r="DL21" t="str">
        <f>""</f>
        <v/>
      </c>
      <c r="DM21" t="str">
        <f>""</f>
        <v/>
      </c>
      <c r="DN21" t="str">
        <f>""</f>
        <v/>
      </c>
      <c r="DO21" t="str">
        <f>""</f>
        <v/>
      </c>
      <c r="DP21" t="str">
        <f>""</f>
        <v/>
      </c>
      <c r="DQ21" t="str">
        <f>""</f>
        <v/>
      </c>
      <c r="DR21" t="str">
        <f>""</f>
        <v/>
      </c>
      <c r="DS21" t="str">
        <f>""</f>
        <v/>
      </c>
      <c r="DT21" t="str">
        <f>""</f>
        <v/>
      </c>
      <c r="DU21" t="str">
        <f>""</f>
        <v/>
      </c>
    </row>
    <row r="22" spans="1:125" x14ac:dyDescent="0.25">
      <c r="A22" t="str">
        <f>"            Luxury Division"</f>
        <v xml:space="preserve">            Luxury Division</v>
      </c>
      <c r="B22" t="str">
        <f t="shared" si="16"/>
        <v>KER FP Equity</v>
      </c>
      <c r="C22" t="str">
        <f>"BI047"</f>
        <v>BI047</v>
      </c>
      <c r="D22" t="str">
        <f>"BICS_SEGMENT_DATA"</f>
        <v>BICS_SEGMENT_DATA</v>
      </c>
      <c r="E22" t="str">
        <f t="shared" si="17"/>
        <v>Dynamic</v>
      </c>
      <c r="F22" t="str">
        <f ca="1">IF(AND(ISNUMBER($F$179),$B$158=1),$F$179,HLOOKUP(INDIRECT(ADDRESS(2,COLUMN())),OFFSET($BN$2,0,0,ROW()-1,60),ROW()-1,FALSE))</f>
        <v/>
      </c>
      <c r="G22">
        <f ca="1">IF(AND(ISNUMBER($G$179),$B$158=1),$G$179,HLOOKUP(INDIRECT(ADDRESS(2,COLUMN())),OFFSET($BN$2,0,0,ROW()-1,60),ROW()-1,FALSE))</f>
        <v>12.3</v>
      </c>
      <c r="H22">
        <f ca="1">IF(AND(ISNUMBER($H$179),$B$158=1),$H$179,HLOOKUP(INDIRECT(ADDRESS(2,COLUMN())),OFFSET($BN$2,0,0,ROW()-1,60),ROW()-1,FALSE))</f>
        <v>88.7</v>
      </c>
      <c r="I22">
        <f ca="1">IF(AND(ISNUMBER($I$179),$B$158=1),$I$179,HLOOKUP(INDIRECT(ADDRESS(2,COLUMN())),OFFSET($BN$2,0,0,ROW()-1,60),ROW()-1,FALSE))</f>
        <v>21.6</v>
      </c>
      <c r="J22">
        <f ca="1">IF(AND(ISNUMBER($J$179),$B$158=1),$J$179,HLOOKUP(INDIRECT(ADDRESS(2,COLUMN())),OFFSET($BN$2,0,0,ROW()-1,60),ROW()-1,FALSE))</f>
        <v>-8</v>
      </c>
      <c r="K22">
        <f ca="1">IF(AND(ISNUMBER($K$179),$B$158=1),$K$179,HLOOKUP(INDIRECT(ADDRESS(2,COLUMN())),OFFSET($BN$2,0,0,ROW()-1,60),ROW()-1,FALSE))</f>
        <v>-4.7</v>
      </c>
      <c r="L22">
        <f ca="1">IF(AND(ISNUMBER($L$179),$B$158=1),$L$179,HLOOKUP(INDIRECT(ADDRESS(2,COLUMN())),OFFSET($BN$2,0,0,ROW()-1,60),ROW()-1,FALSE))</f>
        <v>-43</v>
      </c>
      <c r="M22">
        <f ca="1">IF(AND(ISNUMBER($M$179),$B$158=1),$M$179,HLOOKUP(INDIRECT(ADDRESS(2,COLUMN())),OFFSET($BN$2,0,0,ROW()-1,60),ROW()-1,FALSE))</f>
        <v>-16</v>
      </c>
      <c r="N22">
        <f ca="1">IF(AND(ISNUMBER($N$179),$B$158=1),$N$179,HLOOKUP(INDIRECT(ADDRESS(2,COLUMN())),OFFSET($BN$2,0,0,ROW()-1,60),ROW()-1,FALSE))</f>
        <v>14</v>
      </c>
      <c r="O22">
        <f ca="1">IF(AND(ISNUMBER($O$179),$B$158=1),$O$179,HLOOKUP(INDIRECT(ADDRESS(2,COLUMN())),OFFSET($BN$2,0,0,ROW()-1,60),ROW()-1,FALSE))</f>
        <v>13.9</v>
      </c>
      <c r="P22">
        <f ca="1">IF(AND(ISNUMBER($P$179),$B$158=1),$P$179,HLOOKUP(INDIRECT(ADDRESS(2,COLUMN())),OFFSET($BN$2,0,0,ROW()-1,60),ROW()-1,FALSE))</f>
        <v>15.7</v>
      </c>
      <c r="Q22">
        <f ca="1">IF(AND(ISNUMBER($Q$179),$B$158=1),$Q$179,HLOOKUP(INDIRECT(ADDRESS(2,COLUMN())),OFFSET($BN$2,0,0,ROW()-1,60),ROW()-1,FALSE))</f>
        <v>21.7</v>
      </c>
      <c r="R22">
        <f ca="1">IF(AND(ISNUMBER($R$179),$B$158=1),$R$179,HLOOKUP(INDIRECT(ADDRESS(2,COLUMN())),OFFSET($BN$2,0,0,ROW()-1,60),ROW()-1,FALSE))</f>
        <v>23.5</v>
      </c>
      <c r="S22">
        <f ca="1">IF(AND(ISNUMBER($S$179),$B$158=1),$S$179,HLOOKUP(INDIRECT(ADDRESS(2,COLUMN())),OFFSET($BN$2,0,0,ROW()-1,60),ROW()-1,FALSE))</f>
        <v>27.2</v>
      </c>
      <c r="T22">
        <f ca="1">IF(AND(ISNUMBER($T$179),$B$158=1),$T$179,HLOOKUP(INDIRECT(ADDRESS(2,COLUMN())),OFFSET($BN$2,0,0,ROW()-1,60),ROW()-1,FALSE))</f>
        <v>31</v>
      </c>
      <c r="U22">
        <f ca="1">IF(AND(ISNUMBER($U$179),$B$158=1),$U$179,HLOOKUP(INDIRECT(ADDRESS(2,COLUMN())),OFFSET($BN$2,0,0,ROW()-1,60),ROW()-1,FALSE))</f>
        <v>17.8</v>
      </c>
      <c r="V22">
        <f ca="1">IF(AND(ISNUMBER($V$179),$B$158=1),$V$179,HLOOKUP(INDIRECT(ADDRESS(2,COLUMN())),OFFSET($BN$2,0,0,ROW()-1,60),ROW()-1,FALSE))</f>
        <v>24.6</v>
      </c>
      <c r="W22">
        <f ca="1">IF(AND(ISNUMBER($W$179),$B$158=1),$W$179,HLOOKUP(INDIRECT(ADDRESS(2,COLUMN())),OFFSET($BN$2,0,0,ROW()-1,60),ROW()-1,FALSE))</f>
        <v>26.6</v>
      </c>
      <c r="X22">
        <f ca="1">IF(AND(ISNUMBER($X$179),$B$158=1),$X$179,HLOOKUP(INDIRECT(ADDRESS(2,COLUMN())),OFFSET($BN$2,0,0,ROW()-1,60),ROW()-1,FALSE))</f>
        <v>26</v>
      </c>
      <c r="Y22">
        <f ca="1">IF(AND(ISNUMBER($Y$179),$B$158=1),$Y$179,HLOOKUP(INDIRECT(ADDRESS(2,COLUMN())),OFFSET($BN$2,0,0,ROW()-1,60),ROW()-1,FALSE))</f>
        <v>34</v>
      </c>
      <c r="Z22">
        <f ca="1">IF(AND(ISNUMBER($Z$179),$B$158=1),$Z$179,HLOOKUP(INDIRECT(ADDRESS(2,COLUMN())),OFFSET($BN$2,0,0,ROW()-1,60),ROW()-1,FALSE))</f>
        <v>11.8</v>
      </c>
      <c r="AA22">
        <f ca="1">IF(AND(ISNUMBER($AA$179),$B$158=1),$AA$179,HLOOKUP(INDIRECT(ADDRESS(2,COLUMN())),OFFSET($BN$2,0,0,ROW()-1,60),ROW()-1,FALSE))</f>
        <v>12</v>
      </c>
      <c r="AB22">
        <f ca="1">IF(AND(ISNUMBER($AB$179),$B$158=1),$AB$179,HLOOKUP(INDIRECT(ADDRESS(2,COLUMN())),OFFSET($BN$2,0,0,ROW()-1,60),ROW()-1,FALSE))</f>
        <v>3.3</v>
      </c>
      <c r="AC22">
        <f ca="1">IF(AND(ISNUMBER($AC$179),$B$158=1),$AC$179,HLOOKUP(INDIRECT(ADDRESS(2,COLUMN())),OFFSET($BN$2,0,0,ROW()-1,60),ROW()-1,FALSE))</f>
        <v>2.8</v>
      </c>
      <c r="AD22">
        <f ca="1">IF(AND(ISNUMBER($AD$179),$B$158=1),$AD$179,HLOOKUP(INDIRECT(ADDRESS(2,COLUMN())),OFFSET($BN$2,0,0,ROW()-1,60),ROW()-1,FALSE))</f>
        <v>16</v>
      </c>
      <c r="AE22">
        <f ca="1">IF(AND(ISNUMBER($AE$179),$B$158=1),$AE$179,HLOOKUP(INDIRECT(ADDRESS(2,COLUMN())),OFFSET($BN$2,0,0,ROW()-1,60),ROW()-1,FALSE))</f>
        <v>14</v>
      </c>
      <c r="AF22">
        <f ca="1">IF(AND(ISNUMBER($AF$179),$B$158=1),$AF$179,HLOOKUP(INDIRECT(ADDRESS(2,COLUMN())),OFFSET($BN$2,0,0,ROW()-1,60),ROW()-1,FALSE))</f>
        <v>24.6</v>
      </c>
      <c r="AG22">
        <f ca="1">IF(AND(ISNUMBER($AG$179),$B$158=1),$AG$179,HLOOKUP(INDIRECT(ADDRESS(2,COLUMN())),OFFSET($BN$2,0,0,ROW()-1,60),ROW()-1,FALSE))</f>
        <v>10.9</v>
      </c>
      <c r="AH22">
        <f ca="1">IF(AND(ISNUMBER($AH$179),$B$158=1),$AH$179,HLOOKUP(INDIRECT(ADDRESS(2,COLUMN())),OFFSET($BN$2,0,0,ROW()-1,60),ROW()-1,FALSE))</f>
        <v>9.1</v>
      </c>
      <c r="AI22">
        <f ca="1">IF(AND(ISNUMBER($AI$179),$B$158=1),$AI$179,HLOOKUP(INDIRECT(ADDRESS(2,COLUMN())),OFFSET($BN$2,0,0,ROW()-1,60),ROW()-1,FALSE))</f>
        <v>16.5</v>
      </c>
      <c r="AJ22">
        <f ca="1">IF(AND(ISNUMBER($AJ$179),$B$158=1),$AJ$179,HLOOKUP(INDIRECT(ADDRESS(2,COLUMN())),OFFSET($BN$2,0,0,ROW()-1,60),ROW()-1,FALSE))</f>
        <v>4.8</v>
      </c>
      <c r="AK22">
        <f ca="1">IF(AND(ISNUMBER($AK$179),$B$158=1),$AK$179,HLOOKUP(INDIRECT(ADDRESS(2,COLUMN())),OFFSET($BN$2,0,0,ROW()-1,60),ROW()-1,FALSE))</f>
        <v>5.0999999999999996</v>
      </c>
      <c r="AL22">
        <f ca="1">IF(AND(ISNUMBER($AL$179),$B$158=1),$AL$179,HLOOKUP(INDIRECT(ADDRESS(2,COLUMN())),OFFSET($BN$2,0,0,ROW()-1,60),ROW()-1,FALSE))</f>
        <v>4.7</v>
      </c>
      <c r="AM22">
        <f ca="1">IF(AND(ISNUMBER($AM$179),$B$158=1),$AM$179,HLOOKUP(INDIRECT(ADDRESS(2,COLUMN())),OFFSET($BN$2,0,0,ROW()-1,60),ROW()-1,FALSE))</f>
        <v>1.5</v>
      </c>
      <c r="AN22">
        <f ca="1">IF(AND(ISNUMBER($AN$179),$B$158=1),$AN$179,HLOOKUP(INDIRECT(ADDRESS(2,COLUMN())),OFFSET($BN$2,0,0,ROW()-1,60),ROW()-1,FALSE))</f>
        <v>6</v>
      </c>
      <c r="AO22">
        <f ca="1">IF(AND(ISNUMBER($AO$179),$B$158=1),$AO$179,HLOOKUP(INDIRECT(ADDRESS(2,COLUMN())),OFFSET($BN$2,0,0,ROW()-1,60),ROW()-1,FALSE))</f>
        <v>4.5</v>
      </c>
      <c r="AP22" t="str">
        <f ca="1">IF(AND(ISNUMBER($AP$179),$B$158=1),$AP$179,HLOOKUP(INDIRECT(ADDRESS(2,COLUMN())),OFFSET($BN$2,0,0,ROW()-1,60),ROW()-1,FALSE))</f>
        <v/>
      </c>
      <c r="AQ22" t="str">
        <f ca="1">IF(AND(ISNUMBER($AQ$179),$B$158=1),$AQ$179,HLOOKUP(INDIRECT(ADDRESS(2,COLUMN())),OFFSET($BN$2,0,0,ROW()-1,60),ROW()-1,FALSE))</f>
        <v/>
      </c>
      <c r="AR22" t="str">
        <f ca="1">IF(AND(ISNUMBER($AR$179),$B$158=1),$AR$179,HLOOKUP(INDIRECT(ADDRESS(2,COLUMN())),OFFSET($BN$2,0,0,ROW()-1,60),ROW()-1,FALSE))</f>
        <v/>
      </c>
      <c r="AS22" t="str">
        <f ca="1">IF(AND(ISNUMBER($AS$179),$B$158=1),$AS$179,HLOOKUP(INDIRECT(ADDRESS(2,COLUMN())),OFFSET($BN$2,0,0,ROW()-1,60),ROW()-1,FALSE))</f>
        <v/>
      </c>
      <c r="AT22" t="str">
        <f ca="1">IF(AND(ISNUMBER($AT$179),$B$158=1),$AT$179,HLOOKUP(INDIRECT(ADDRESS(2,COLUMN())),OFFSET($BN$2,0,0,ROW()-1,60),ROW()-1,FALSE))</f>
        <v/>
      </c>
      <c r="AU22" t="str">
        <f ca="1">IF(AND(ISNUMBER($AU$179),$B$158=1),$AU$179,HLOOKUP(INDIRECT(ADDRESS(2,COLUMN())),OFFSET($BN$2,0,0,ROW()-1,60),ROW()-1,FALSE))</f>
        <v/>
      </c>
      <c r="AV22" t="str">
        <f ca="1">IF(AND(ISNUMBER($AV$179),$B$158=1),$AV$179,HLOOKUP(INDIRECT(ADDRESS(2,COLUMN())),OFFSET($BN$2,0,0,ROW()-1,60),ROW()-1,FALSE))</f>
        <v/>
      </c>
      <c r="AW22" t="str">
        <f ca="1">IF(AND(ISNUMBER($AW$179),$B$158=1),$AW$179,HLOOKUP(INDIRECT(ADDRESS(2,COLUMN())),OFFSET($BN$2,0,0,ROW()-1,60),ROW()-1,FALSE))</f>
        <v/>
      </c>
      <c r="AX22" t="str">
        <f ca="1">IF(AND(ISNUMBER($AX$179),$B$158=1),$AX$179,HLOOKUP(INDIRECT(ADDRESS(2,COLUMN())),OFFSET($BN$2,0,0,ROW()-1,60),ROW()-1,FALSE))</f>
        <v/>
      </c>
      <c r="AY22" t="str">
        <f ca="1">IF(AND(ISNUMBER($AY$179),$B$158=1),$AY$179,HLOOKUP(INDIRECT(ADDRESS(2,COLUMN())),OFFSET($BN$2,0,0,ROW()-1,60),ROW()-1,FALSE))</f>
        <v/>
      </c>
      <c r="AZ22" t="str">
        <f ca="1">IF(AND(ISNUMBER($AZ$179),$B$158=1),$AZ$179,HLOOKUP(INDIRECT(ADDRESS(2,COLUMN())),OFFSET($BN$2,0,0,ROW()-1,60),ROW()-1,FALSE))</f>
        <v/>
      </c>
      <c r="BA22" t="str">
        <f ca="1">IF(AND(ISNUMBER($BA$179),$B$158=1),$BA$179,HLOOKUP(INDIRECT(ADDRESS(2,COLUMN())),OFFSET($BN$2,0,0,ROW()-1,60),ROW()-1,FALSE))</f>
        <v/>
      </c>
      <c r="BB22" t="str">
        <f ca="1">IF(AND(ISNUMBER($BB$179),$B$158=1),$BB$179,HLOOKUP(INDIRECT(ADDRESS(2,COLUMN())),OFFSET($BN$2,0,0,ROW()-1,60),ROW()-1,FALSE))</f>
        <v/>
      </c>
      <c r="BC22" t="str">
        <f ca="1">IF(AND(ISNUMBER($BC$179),$B$158=1),$BC$179,HLOOKUP(INDIRECT(ADDRESS(2,COLUMN())),OFFSET($BN$2,0,0,ROW()-1,60),ROW()-1,FALSE))</f>
        <v/>
      </c>
      <c r="BD22" t="str">
        <f ca="1">IF(AND(ISNUMBER($BD$179),$B$158=1),$BD$179,HLOOKUP(INDIRECT(ADDRESS(2,COLUMN())),OFFSET($BN$2,0,0,ROW()-1,60),ROW()-1,FALSE))</f>
        <v/>
      </c>
      <c r="BE22" t="str">
        <f ca="1">IF(AND(ISNUMBER($BE$179),$B$158=1),$BE$179,HLOOKUP(INDIRECT(ADDRESS(2,COLUMN())),OFFSET($BN$2,0,0,ROW()-1,60),ROW()-1,FALSE))</f>
        <v/>
      </c>
      <c r="BF22" t="str">
        <f ca="1">IF(AND(ISNUMBER($BF$179),$B$158=1),$BF$179,HLOOKUP(INDIRECT(ADDRESS(2,COLUMN())),OFFSET($BN$2,0,0,ROW()-1,60),ROW()-1,FALSE))</f>
        <v/>
      </c>
      <c r="BG22" t="str">
        <f ca="1">IF(AND(ISNUMBER($BG$179),$B$158=1),$BG$179,HLOOKUP(INDIRECT(ADDRESS(2,COLUMN())),OFFSET($BN$2,0,0,ROW()-1,60),ROW()-1,FALSE))</f>
        <v/>
      </c>
      <c r="BH22" t="str">
        <f ca="1">IF(AND(ISNUMBER($BH$179),$B$158=1),$BH$179,HLOOKUP(INDIRECT(ADDRESS(2,COLUMN())),OFFSET($BN$2,0,0,ROW()-1,60),ROW()-1,FALSE))</f>
        <v/>
      </c>
      <c r="BI22" t="str">
        <f ca="1">IF(AND(ISNUMBER($BI$179),$B$158=1),$BI$179,HLOOKUP(INDIRECT(ADDRESS(2,COLUMN())),OFFSET($BN$2,0,0,ROW()-1,60),ROW()-1,FALSE))</f>
        <v/>
      </c>
      <c r="BJ22" t="str">
        <f ca="1">IF(AND(ISNUMBER($BJ$179),$B$158=1),$BJ$179,HLOOKUP(INDIRECT(ADDRESS(2,COLUMN())),OFFSET($BN$2,0,0,ROW()-1,60),ROW()-1,FALSE))</f>
        <v/>
      </c>
      <c r="BK22" t="str">
        <f ca="1">IF(AND(ISNUMBER($BK$179),$B$158=1),$BK$179,HLOOKUP(INDIRECT(ADDRESS(2,COLUMN())),OFFSET($BN$2,0,0,ROW()-1,60),ROW()-1,FALSE))</f>
        <v/>
      </c>
      <c r="BL22" t="str">
        <f ca="1">IF(AND(ISNUMBER($BL$179),$B$158=1),$BL$179,HLOOKUP(INDIRECT(ADDRESS(2,COLUMN())),OFFSET($BN$2,0,0,ROW()-1,60),ROW()-1,FALSE))</f>
        <v/>
      </c>
      <c r="BM22" t="str">
        <f ca="1">IF(AND(ISNUMBER($BM$179),$B$158=1),$BM$179,HLOOKUP(INDIRECT(ADDRESS(2,COLUMN())),OFFSET($BN$2,0,0,ROW()-1,60),ROW()-1,FALSE))</f>
        <v/>
      </c>
      <c r="BN22" t="str">
        <f>""</f>
        <v/>
      </c>
      <c r="BO22">
        <f>12.3</f>
        <v>12.3</v>
      </c>
      <c r="BP22">
        <f>88.7</f>
        <v>88.7</v>
      </c>
      <c r="BQ22">
        <f>21.6</f>
        <v>21.6</v>
      </c>
      <c r="BR22">
        <f>-8</f>
        <v>-8</v>
      </c>
      <c r="BS22">
        <f>-4.7</f>
        <v>-4.7</v>
      </c>
      <c r="BT22">
        <f>-43</f>
        <v>-43</v>
      </c>
      <c r="BU22">
        <f>-16</f>
        <v>-16</v>
      </c>
      <c r="BV22">
        <f>14</f>
        <v>14</v>
      </c>
      <c r="BW22">
        <f>13.9</f>
        <v>13.9</v>
      </c>
      <c r="BX22">
        <f>15.7</f>
        <v>15.7</v>
      </c>
      <c r="BY22">
        <f>21.7</f>
        <v>21.7</v>
      </c>
      <c r="BZ22">
        <f>23.5</f>
        <v>23.5</v>
      </c>
      <c r="CA22">
        <f>27.2</f>
        <v>27.2</v>
      </c>
      <c r="CB22">
        <f>31</f>
        <v>31</v>
      </c>
      <c r="CC22">
        <f>17.8</f>
        <v>17.8</v>
      </c>
      <c r="CD22">
        <f>24.6</f>
        <v>24.6</v>
      </c>
      <c r="CE22">
        <f>26.6</f>
        <v>26.6</v>
      </c>
      <c r="CF22">
        <f>26</f>
        <v>26</v>
      </c>
      <c r="CG22">
        <f>34</f>
        <v>34</v>
      </c>
      <c r="CH22">
        <f>11.8</f>
        <v>11.8</v>
      </c>
      <c r="CI22">
        <f>12</f>
        <v>12</v>
      </c>
      <c r="CJ22">
        <f>3.3</f>
        <v>3.3</v>
      </c>
      <c r="CK22">
        <f>2.8</f>
        <v>2.8</v>
      </c>
      <c r="CL22">
        <f>16</f>
        <v>16</v>
      </c>
      <c r="CM22">
        <f>14</f>
        <v>14</v>
      </c>
      <c r="CN22">
        <f>24.6</f>
        <v>24.6</v>
      </c>
      <c r="CO22">
        <f>10.9</f>
        <v>10.9</v>
      </c>
      <c r="CP22">
        <f>9.1</f>
        <v>9.1</v>
      </c>
      <c r="CQ22">
        <f>16.5</f>
        <v>16.5</v>
      </c>
      <c r="CR22">
        <f>4.8</f>
        <v>4.8</v>
      </c>
      <c r="CS22">
        <f>5.1</f>
        <v>5.0999999999999996</v>
      </c>
      <c r="CT22">
        <f>4.7</f>
        <v>4.7</v>
      </c>
      <c r="CU22">
        <f>1.5</f>
        <v>1.5</v>
      </c>
      <c r="CV22">
        <f>6</f>
        <v>6</v>
      </c>
      <c r="CW22">
        <f>4.5</f>
        <v>4.5</v>
      </c>
      <c r="CX22" t="str">
        <f>""</f>
        <v/>
      </c>
      <c r="CY22" t="str">
        <f>""</f>
        <v/>
      </c>
      <c r="CZ22" t="str">
        <f>""</f>
        <v/>
      </c>
      <c r="DA22" t="str">
        <f>""</f>
        <v/>
      </c>
      <c r="DB22" t="str">
        <f>""</f>
        <v/>
      </c>
      <c r="DC22" t="str">
        <f>""</f>
        <v/>
      </c>
      <c r="DD22" t="str">
        <f>""</f>
        <v/>
      </c>
      <c r="DE22" t="str">
        <f>""</f>
        <v/>
      </c>
      <c r="DF22" t="str">
        <f>""</f>
        <v/>
      </c>
      <c r="DG22" t="str">
        <f>""</f>
        <v/>
      </c>
      <c r="DH22" t="str">
        <f>""</f>
        <v/>
      </c>
      <c r="DI22" t="str">
        <f>""</f>
        <v/>
      </c>
      <c r="DJ22" t="str">
        <f>""</f>
        <v/>
      </c>
      <c r="DK22" t="str">
        <f>""</f>
        <v/>
      </c>
      <c r="DL22" t="str">
        <f>""</f>
        <v/>
      </c>
      <c r="DM22" t="str">
        <f>""</f>
        <v/>
      </c>
      <c r="DN22" t="str">
        <f>""</f>
        <v/>
      </c>
      <c r="DO22" t="str">
        <f>""</f>
        <v/>
      </c>
      <c r="DP22" t="str">
        <f>""</f>
        <v/>
      </c>
      <c r="DQ22" t="str">
        <f>""</f>
        <v/>
      </c>
      <c r="DR22" t="str">
        <f>""</f>
        <v/>
      </c>
      <c r="DS22" t="str">
        <f>""</f>
        <v/>
      </c>
      <c r="DT22" t="str">
        <f>""</f>
        <v/>
      </c>
      <c r="DU22" t="str">
        <f>""</f>
        <v/>
      </c>
    </row>
    <row r="23" spans="1:125" x14ac:dyDescent="0.25">
      <c r="A23" t="str">
        <f>"                Retail"</f>
        <v xml:space="preserve">                Retail</v>
      </c>
      <c r="B23" t="str">
        <f t="shared" si="16"/>
        <v>KER FP Equity</v>
      </c>
      <c r="C23" t="str">
        <f>"BI047"</f>
        <v>BI047</v>
      </c>
      <c r="D23" t="str">
        <f>"BICS_SEGMENT_DATA"</f>
        <v>BICS_SEGMENT_DATA</v>
      </c>
      <c r="E23" t="str">
        <f t="shared" si="17"/>
        <v>Dynamic</v>
      </c>
      <c r="F23" t="str">
        <f ca="1">IF(AND(ISNUMBER($F$180),$B$158=1),$F$180,HLOOKUP(INDIRECT(ADDRESS(2,COLUMN())),OFFSET($BN$2,0,0,ROW()-1,60),ROW()-1,FALSE))</f>
        <v/>
      </c>
      <c r="G23">
        <f ca="1">IF(AND(ISNUMBER($G$180),$B$158=1),$G$180,HLOOKUP(INDIRECT(ADDRESS(2,COLUMN())),OFFSET($BN$2,0,0,ROW()-1,60),ROW()-1,FALSE))</f>
        <v>12</v>
      </c>
      <c r="H23">
        <f ca="1">IF(AND(ISNUMBER($H$180),$B$158=1),$H$180,HLOOKUP(INDIRECT(ADDRESS(2,COLUMN())),OFFSET($BN$2,0,0,ROW()-1,60),ROW()-1,FALSE))</f>
        <v>98</v>
      </c>
      <c r="I23">
        <f ca="1">IF(AND(ISNUMBER($I$180),$B$158=1),$I$180,HLOOKUP(INDIRECT(ADDRESS(2,COLUMN())),OFFSET($BN$2,0,0,ROW()-1,60),ROW()-1,FALSE))</f>
        <v>32</v>
      </c>
      <c r="J23">
        <f ca="1">IF(AND(ISNUMBER($J$180),$B$158=1),$J$180,HLOOKUP(INDIRECT(ADDRESS(2,COLUMN())),OFFSET($BN$2,0,0,ROW()-1,60),ROW()-1,FALSE))</f>
        <v>-3</v>
      </c>
      <c r="K23">
        <f ca="1">IF(AND(ISNUMBER($K$180),$B$158=1),$K$180,HLOOKUP(INDIRECT(ADDRESS(2,COLUMN())),OFFSET($BN$2,0,0,ROW()-1,60),ROW()-1,FALSE))</f>
        <v>0</v>
      </c>
      <c r="L23">
        <f ca="1">IF(AND(ISNUMBER($L$180),$B$158=1),$L$180,HLOOKUP(INDIRECT(ADDRESS(2,COLUMN())),OFFSET($BN$2,0,0,ROW()-1,60),ROW()-1,FALSE))</f>
        <v>-42</v>
      </c>
      <c r="M23">
        <f ca="1">IF(AND(ISNUMBER($M$180),$B$158=1),$M$180,HLOOKUP(INDIRECT(ADDRESS(2,COLUMN())),OFFSET($BN$2,0,0,ROW()-1,60),ROW()-1,FALSE))</f>
        <v>-19</v>
      </c>
      <c r="N23">
        <f ca="1">IF(AND(ISNUMBER($N$180),$B$158=1),$N$180,HLOOKUP(INDIRECT(ADDRESS(2,COLUMN())),OFFSET($BN$2,0,0,ROW()-1,60),ROW()-1,FALSE))</f>
        <v>12</v>
      </c>
      <c r="O23">
        <f ca="1">IF(AND(ISNUMBER($O$180),$B$158=1),$O$180,HLOOKUP(INDIRECT(ADDRESS(2,COLUMN())),OFFSET($BN$2,0,0,ROW()-1,60),ROW()-1,FALSE))</f>
        <v>12</v>
      </c>
      <c r="P23">
        <f ca="1">IF(AND(ISNUMBER($P$180),$B$158=1),$P$180,HLOOKUP(INDIRECT(ADDRESS(2,COLUMN())),OFFSET($BN$2,0,0,ROW()-1,60),ROW()-1,FALSE))</f>
        <v>12</v>
      </c>
      <c r="Q23">
        <f ca="1">IF(AND(ISNUMBER($Q$180),$B$158=1),$Q$180,HLOOKUP(INDIRECT(ADDRESS(2,COLUMN())),OFFSET($BN$2,0,0,ROW()-1,60),ROW()-1,FALSE))</f>
        <v>19</v>
      </c>
      <c r="R23">
        <f ca="1">IF(AND(ISNUMBER($R$180),$B$158=1),$R$180,HLOOKUP(INDIRECT(ADDRESS(2,COLUMN())),OFFSET($BN$2,0,0,ROW()-1,60),ROW()-1,FALSE))</f>
        <v>25</v>
      </c>
      <c r="S23">
        <f ca="1">IF(AND(ISNUMBER($S$180),$B$158=1),$S$180,HLOOKUP(INDIRECT(ADDRESS(2,COLUMN())),OFFSET($BN$2,0,0,ROW()-1,60),ROW()-1,FALSE))</f>
        <v>28</v>
      </c>
      <c r="T23">
        <f ca="1">IF(AND(ISNUMBER($T$180),$B$158=1),$T$180,HLOOKUP(INDIRECT(ADDRESS(2,COLUMN())),OFFSET($BN$2,0,0,ROW()-1,60),ROW()-1,FALSE))</f>
        <v>34</v>
      </c>
      <c r="U23">
        <f ca="1">IF(AND(ISNUMBER($U$180),$B$158=1),$U$180,HLOOKUP(INDIRECT(ADDRESS(2,COLUMN())),OFFSET($BN$2,0,0,ROW()-1,60),ROW()-1,FALSE))</f>
        <v>40</v>
      </c>
      <c r="V23">
        <f ca="1">IF(AND(ISNUMBER($V$180),$B$158=1),$V$180,HLOOKUP(INDIRECT(ADDRESS(2,COLUMN())),OFFSET($BN$2,0,0,ROW()-1,60),ROW()-1,FALSE))</f>
        <v>36</v>
      </c>
      <c r="W23">
        <f ca="1">IF(AND(ISNUMBER($W$180),$B$158=1),$W$180,HLOOKUP(INDIRECT(ADDRESS(2,COLUMN())),OFFSET($BN$2,0,0,ROW()-1,60),ROW()-1,FALSE))</f>
        <v>37</v>
      </c>
      <c r="X23">
        <f ca="1">IF(AND(ISNUMBER($X$180),$B$158=1),$X$180,HLOOKUP(INDIRECT(ADDRESS(2,COLUMN())),OFFSET($BN$2,0,0,ROW()-1,60),ROW()-1,FALSE))</f>
        <v>32</v>
      </c>
      <c r="Y23">
        <f ca="1">IF(AND(ISNUMBER($Y$180),$B$158=1),$Y$180,HLOOKUP(INDIRECT(ADDRESS(2,COLUMN())),OFFSET($BN$2,0,0,ROW()-1,60),ROW()-1,FALSE))</f>
        <v>37</v>
      </c>
      <c r="Z23">
        <f ca="1">IF(AND(ISNUMBER($Z$180),$B$158=1),$Z$180,HLOOKUP(INDIRECT(ADDRESS(2,COLUMN())),OFFSET($BN$2,0,0,ROW()-1,60),ROW()-1,FALSE))</f>
        <v>18</v>
      </c>
      <c r="AA23">
        <f ca="1">IF(AND(ISNUMBER($AA$180),$B$158=1),$AA$180,HLOOKUP(INDIRECT(ADDRESS(2,COLUMN())),OFFSET($BN$2,0,0,ROW()-1,60),ROW()-1,FALSE))</f>
        <v>14</v>
      </c>
      <c r="AB23">
        <f ca="1">IF(AND(ISNUMBER($AB$180),$B$158=1),$AB$180,HLOOKUP(INDIRECT(ADDRESS(2,COLUMN())),OFFSET($BN$2,0,0,ROW()-1,60),ROW()-1,FALSE))</f>
        <v>5</v>
      </c>
      <c r="AC23">
        <f ca="1">IF(AND(ISNUMBER($AC$180),$B$158=1),$AC$180,HLOOKUP(INDIRECT(ADDRESS(2,COLUMN())),OFFSET($BN$2,0,0,ROW()-1,60),ROW()-1,FALSE))</f>
        <v>3</v>
      </c>
      <c r="AD23">
        <f ca="1">IF(AND(ISNUMBER($AD$180),$B$158=1),$AD$180,HLOOKUP(INDIRECT(ADDRESS(2,COLUMN())),OFFSET($BN$2,0,0,ROW()-1,60),ROW()-1,FALSE))</f>
        <v>6</v>
      </c>
      <c r="AE23">
        <f ca="1">IF(AND(ISNUMBER($AE$180),$B$158=1),$AE$180,HLOOKUP(INDIRECT(ADDRESS(2,COLUMN())),OFFSET($BN$2,0,0,ROW()-1,60),ROW()-1,FALSE))</f>
        <v>1</v>
      </c>
      <c r="AF23">
        <f ca="1">IF(AND(ISNUMBER($AF$180),$B$158=1),$AF$180,HLOOKUP(INDIRECT(ADDRESS(2,COLUMN())),OFFSET($BN$2,0,0,ROW()-1,60),ROW()-1,FALSE))</f>
        <v>10</v>
      </c>
      <c r="AG23">
        <f ca="1">IF(AND(ISNUMBER($AG$180),$B$158=1),$AG$180,HLOOKUP(INDIRECT(ADDRESS(2,COLUMN())),OFFSET($BN$2,0,0,ROW()-1,60),ROW()-1,FALSE))</f>
        <v>-4</v>
      </c>
      <c r="AH23" t="str">
        <f ca="1">IF(AND(ISNUMBER($AH$180),$B$158=1),$AH$180,HLOOKUP(INDIRECT(ADDRESS(2,COLUMN())),OFFSET($BN$2,0,0,ROW()-1,60),ROW()-1,FALSE))</f>
        <v/>
      </c>
      <c r="AI23" t="str">
        <f ca="1">IF(AND(ISNUMBER($AI$180),$B$158=1),$AI$180,HLOOKUP(INDIRECT(ADDRESS(2,COLUMN())),OFFSET($BN$2,0,0,ROW()-1,60),ROW()-1,FALSE))</f>
        <v/>
      </c>
      <c r="AJ23" t="str">
        <f ca="1">IF(AND(ISNUMBER($AJ$180),$B$158=1),$AJ$180,HLOOKUP(INDIRECT(ADDRESS(2,COLUMN())),OFFSET($BN$2,0,0,ROW()-1,60),ROW()-1,FALSE))</f>
        <v/>
      </c>
      <c r="AK23" t="str">
        <f ca="1">IF(AND(ISNUMBER($AK$180),$B$158=1),$AK$180,HLOOKUP(INDIRECT(ADDRESS(2,COLUMN())),OFFSET($BN$2,0,0,ROW()-1,60),ROW()-1,FALSE))</f>
        <v/>
      </c>
      <c r="AL23" t="str">
        <f ca="1">IF(AND(ISNUMBER($AL$180),$B$158=1),$AL$180,HLOOKUP(INDIRECT(ADDRESS(2,COLUMN())),OFFSET($BN$2,0,0,ROW()-1,60),ROW()-1,FALSE))</f>
        <v/>
      </c>
      <c r="AM23" t="str">
        <f ca="1">IF(AND(ISNUMBER($AM$180),$B$158=1),$AM$180,HLOOKUP(INDIRECT(ADDRESS(2,COLUMN())),OFFSET($BN$2,0,0,ROW()-1,60),ROW()-1,FALSE))</f>
        <v/>
      </c>
      <c r="AN23" t="str">
        <f ca="1">IF(AND(ISNUMBER($AN$180),$B$158=1),$AN$180,HLOOKUP(INDIRECT(ADDRESS(2,COLUMN())),OFFSET($BN$2,0,0,ROW()-1,60),ROW()-1,FALSE))</f>
        <v/>
      </c>
      <c r="AO23" t="str">
        <f ca="1">IF(AND(ISNUMBER($AO$180),$B$158=1),$AO$180,HLOOKUP(INDIRECT(ADDRESS(2,COLUMN())),OFFSET($BN$2,0,0,ROW()-1,60),ROW()-1,FALSE))</f>
        <v/>
      </c>
      <c r="AP23" t="str">
        <f ca="1">IF(AND(ISNUMBER($AP$180),$B$158=1),$AP$180,HLOOKUP(INDIRECT(ADDRESS(2,COLUMN())),OFFSET($BN$2,0,0,ROW()-1,60),ROW()-1,FALSE))</f>
        <v/>
      </c>
      <c r="AQ23" t="str">
        <f ca="1">IF(AND(ISNUMBER($AQ$180),$B$158=1),$AQ$180,HLOOKUP(INDIRECT(ADDRESS(2,COLUMN())),OFFSET($BN$2,0,0,ROW()-1,60),ROW()-1,FALSE))</f>
        <v/>
      </c>
      <c r="AR23" t="str">
        <f ca="1">IF(AND(ISNUMBER($AR$180),$B$158=1),$AR$180,HLOOKUP(INDIRECT(ADDRESS(2,COLUMN())),OFFSET($BN$2,0,0,ROW()-1,60),ROW()-1,FALSE))</f>
        <v/>
      </c>
      <c r="AS23" t="str">
        <f ca="1">IF(AND(ISNUMBER($AS$180),$B$158=1),$AS$180,HLOOKUP(INDIRECT(ADDRESS(2,COLUMN())),OFFSET($BN$2,0,0,ROW()-1,60),ROW()-1,FALSE))</f>
        <v/>
      </c>
      <c r="AT23" t="str">
        <f ca="1">IF(AND(ISNUMBER($AT$180),$B$158=1),$AT$180,HLOOKUP(INDIRECT(ADDRESS(2,COLUMN())),OFFSET($BN$2,0,0,ROW()-1,60),ROW()-1,FALSE))</f>
        <v/>
      </c>
      <c r="AU23" t="str">
        <f ca="1">IF(AND(ISNUMBER($AU$180),$B$158=1),$AU$180,HLOOKUP(INDIRECT(ADDRESS(2,COLUMN())),OFFSET($BN$2,0,0,ROW()-1,60),ROW()-1,FALSE))</f>
        <v/>
      </c>
      <c r="AV23" t="str">
        <f ca="1">IF(AND(ISNUMBER($AV$180),$B$158=1),$AV$180,HLOOKUP(INDIRECT(ADDRESS(2,COLUMN())),OFFSET($BN$2,0,0,ROW()-1,60),ROW()-1,FALSE))</f>
        <v/>
      </c>
      <c r="AW23" t="str">
        <f ca="1">IF(AND(ISNUMBER($AW$180),$B$158=1),$AW$180,HLOOKUP(INDIRECT(ADDRESS(2,COLUMN())),OFFSET($BN$2,0,0,ROW()-1,60),ROW()-1,FALSE))</f>
        <v/>
      </c>
      <c r="AX23" t="str">
        <f ca="1">IF(AND(ISNUMBER($AX$180),$B$158=1),$AX$180,HLOOKUP(INDIRECT(ADDRESS(2,COLUMN())),OFFSET($BN$2,0,0,ROW()-1,60),ROW()-1,FALSE))</f>
        <v/>
      </c>
      <c r="AY23" t="str">
        <f ca="1">IF(AND(ISNUMBER($AY$180),$B$158=1),$AY$180,HLOOKUP(INDIRECT(ADDRESS(2,COLUMN())),OFFSET($BN$2,0,0,ROW()-1,60),ROW()-1,FALSE))</f>
        <v/>
      </c>
      <c r="AZ23" t="str">
        <f ca="1">IF(AND(ISNUMBER($AZ$180),$B$158=1),$AZ$180,HLOOKUP(INDIRECT(ADDRESS(2,COLUMN())),OFFSET($BN$2,0,0,ROW()-1,60),ROW()-1,FALSE))</f>
        <v/>
      </c>
      <c r="BA23" t="str">
        <f ca="1">IF(AND(ISNUMBER($BA$180),$B$158=1),$BA$180,HLOOKUP(INDIRECT(ADDRESS(2,COLUMN())),OFFSET($BN$2,0,0,ROW()-1,60),ROW()-1,FALSE))</f>
        <v/>
      </c>
      <c r="BB23" t="str">
        <f ca="1">IF(AND(ISNUMBER($BB$180),$B$158=1),$BB$180,HLOOKUP(INDIRECT(ADDRESS(2,COLUMN())),OFFSET($BN$2,0,0,ROW()-1,60),ROW()-1,FALSE))</f>
        <v/>
      </c>
      <c r="BC23" t="str">
        <f ca="1">IF(AND(ISNUMBER($BC$180),$B$158=1),$BC$180,HLOOKUP(INDIRECT(ADDRESS(2,COLUMN())),OFFSET($BN$2,0,0,ROW()-1,60),ROW()-1,FALSE))</f>
        <v/>
      </c>
      <c r="BD23" t="str">
        <f ca="1">IF(AND(ISNUMBER($BD$180),$B$158=1),$BD$180,HLOOKUP(INDIRECT(ADDRESS(2,COLUMN())),OFFSET($BN$2,0,0,ROW()-1,60),ROW()-1,FALSE))</f>
        <v/>
      </c>
      <c r="BE23" t="str">
        <f ca="1">IF(AND(ISNUMBER($BE$180),$B$158=1),$BE$180,HLOOKUP(INDIRECT(ADDRESS(2,COLUMN())),OFFSET($BN$2,0,0,ROW()-1,60),ROW()-1,FALSE))</f>
        <v/>
      </c>
      <c r="BF23" t="str">
        <f ca="1">IF(AND(ISNUMBER($BF$180),$B$158=1),$BF$180,HLOOKUP(INDIRECT(ADDRESS(2,COLUMN())),OFFSET($BN$2,0,0,ROW()-1,60),ROW()-1,FALSE))</f>
        <v/>
      </c>
      <c r="BG23" t="str">
        <f ca="1">IF(AND(ISNUMBER($BG$180),$B$158=1),$BG$180,HLOOKUP(INDIRECT(ADDRESS(2,COLUMN())),OFFSET($BN$2,0,0,ROW()-1,60),ROW()-1,FALSE))</f>
        <v/>
      </c>
      <c r="BH23" t="str">
        <f ca="1">IF(AND(ISNUMBER($BH$180),$B$158=1),$BH$180,HLOOKUP(INDIRECT(ADDRESS(2,COLUMN())),OFFSET($BN$2,0,0,ROW()-1,60),ROW()-1,FALSE))</f>
        <v/>
      </c>
      <c r="BI23" t="str">
        <f ca="1">IF(AND(ISNUMBER($BI$180),$B$158=1),$BI$180,HLOOKUP(INDIRECT(ADDRESS(2,COLUMN())),OFFSET($BN$2,0,0,ROW()-1,60),ROW()-1,FALSE))</f>
        <v/>
      </c>
      <c r="BJ23" t="str">
        <f ca="1">IF(AND(ISNUMBER($BJ$180),$B$158=1),$BJ$180,HLOOKUP(INDIRECT(ADDRESS(2,COLUMN())),OFFSET($BN$2,0,0,ROW()-1,60),ROW()-1,FALSE))</f>
        <v/>
      </c>
      <c r="BK23" t="str">
        <f ca="1">IF(AND(ISNUMBER($BK$180),$B$158=1),$BK$180,HLOOKUP(INDIRECT(ADDRESS(2,COLUMN())),OFFSET($BN$2,0,0,ROW()-1,60),ROW()-1,FALSE))</f>
        <v/>
      </c>
      <c r="BL23" t="str">
        <f ca="1">IF(AND(ISNUMBER($BL$180),$B$158=1),$BL$180,HLOOKUP(INDIRECT(ADDRESS(2,COLUMN())),OFFSET($BN$2,0,0,ROW()-1,60),ROW()-1,FALSE))</f>
        <v/>
      </c>
      <c r="BM23" t="str">
        <f ca="1">IF(AND(ISNUMBER($BM$180),$B$158=1),$BM$180,HLOOKUP(INDIRECT(ADDRESS(2,COLUMN())),OFFSET($BN$2,0,0,ROW()-1,60),ROW()-1,FALSE))</f>
        <v/>
      </c>
      <c r="BN23" t="str">
        <f>""</f>
        <v/>
      </c>
      <c r="BO23">
        <f>12</f>
        <v>12</v>
      </c>
      <c r="BP23">
        <f>98</f>
        <v>98</v>
      </c>
      <c r="BQ23">
        <f>32</f>
        <v>32</v>
      </c>
      <c r="BR23">
        <f>-3</f>
        <v>-3</v>
      </c>
      <c r="BS23">
        <f>0</f>
        <v>0</v>
      </c>
      <c r="BT23">
        <f>-42</f>
        <v>-42</v>
      </c>
      <c r="BU23">
        <f>-19</f>
        <v>-19</v>
      </c>
      <c r="BV23">
        <f>12</f>
        <v>12</v>
      </c>
      <c r="BW23">
        <f>12</f>
        <v>12</v>
      </c>
      <c r="BX23">
        <f>12</f>
        <v>12</v>
      </c>
      <c r="BY23">
        <f>19</f>
        <v>19</v>
      </c>
      <c r="BZ23">
        <f>25</f>
        <v>25</v>
      </c>
      <c r="CA23">
        <f>28</f>
        <v>28</v>
      </c>
      <c r="CB23">
        <f>34</f>
        <v>34</v>
      </c>
      <c r="CC23">
        <f>40</f>
        <v>40</v>
      </c>
      <c r="CD23">
        <f>36</f>
        <v>36</v>
      </c>
      <c r="CE23">
        <f>37</f>
        <v>37</v>
      </c>
      <c r="CF23">
        <f>32</f>
        <v>32</v>
      </c>
      <c r="CG23">
        <f>37</f>
        <v>37</v>
      </c>
      <c r="CH23">
        <f>18</f>
        <v>18</v>
      </c>
      <c r="CI23">
        <f>14</f>
        <v>14</v>
      </c>
      <c r="CJ23">
        <f>5</f>
        <v>5</v>
      </c>
      <c r="CK23">
        <f>3</f>
        <v>3</v>
      </c>
      <c r="CL23">
        <f>6</f>
        <v>6</v>
      </c>
      <c r="CM23">
        <f>1</f>
        <v>1</v>
      </c>
      <c r="CN23">
        <f>10</f>
        <v>10</v>
      </c>
      <c r="CO23">
        <f>-4</f>
        <v>-4</v>
      </c>
      <c r="CP23" t="str">
        <f>""</f>
        <v/>
      </c>
      <c r="CQ23" t="str">
        <f>""</f>
        <v/>
      </c>
      <c r="CR23" t="str">
        <f>""</f>
        <v/>
      </c>
      <c r="CS23" t="str">
        <f>""</f>
        <v/>
      </c>
      <c r="CT23" t="str">
        <f>""</f>
        <v/>
      </c>
      <c r="CU23" t="str">
        <f>""</f>
        <v/>
      </c>
      <c r="CV23" t="str">
        <f>""</f>
        <v/>
      </c>
      <c r="CW23" t="str">
        <f>""</f>
        <v/>
      </c>
      <c r="CX23" t="str">
        <f>""</f>
        <v/>
      </c>
      <c r="CY23" t="str">
        <f>""</f>
        <v/>
      </c>
      <c r="CZ23" t="str">
        <f>""</f>
        <v/>
      </c>
      <c r="DA23" t="str">
        <f>""</f>
        <v/>
      </c>
      <c r="DB23" t="str">
        <f>""</f>
        <v/>
      </c>
      <c r="DC23" t="str">
        <f>""</f>
        <v/>
      </c>
      <c r="DD23" t="str">
        <f>""</f>
        <v/>
      </c>
      <c r="DE23" t="str">
        <f>""</f>
        <v/>
      </c>
      <c r="DF23" t="str">
        <f>""</f>
        <v/>
      </c>
      <c r="DG23" t="str">
        <f>""</f>
        <v/>
      </c>
      <c r="DH23" t="str">
        <f>""</f>
        <v/>
      </c>
      <c r="DI23" t="str">
        <f>""</f>
        <v/>
      </c>
      <c r="DJ23" t="str">
        <f>""</f>
        <v/>
      </c>
      <c r="DK23" t="str">
        <f>""</f>
        <v/>
      </c>
      <c r="DL23" t="str">
        <f>""</f>
        <v/>
      </c>
      <c r="DM23" t="str">
        <f>""</f>
        <v/>
      </c>
      <c r="DN23" t="str">
        <f>""</f>
        <v/>
      </c>
      <c r="DO23" t="str">
        <f>""</f>
        <v/>
      </c>
      <c r="DP23" t="str">
        <f>""</f>
        <v/>
      </c>
      <c r="DQ23" t="str">
        <f>""</f>
        <v/>
      </c>
      <c r="DR23" t="str">
        <f>""</f>
        <v/>
      </c>
      <c r="DS23" t="str">
        <f>""</f>
        <v/>
      </c>
      <c r="DT23" t="str">
        <f>""</f>
        <v/>
      </c>
      <c r="DU23" t="str">
        <f>""</f>
        <v/>
      </c>
    </row>
    <row r="24" spans="1:125" x14ac:dyDescent="0.25">
      <c r="A24" t="str">
        <f>"                Wholesale"</f>
        <v xml:space="preserve">                Wholesale</v>
      </c>
      <c r="B24" t="str">
        <f t="shared" si="16"/>
        <v>KER FP Equity</v>
      </c>
      <c r="C24" t="str">
        <f>"BI047"</f>
        <v>BI047</v>
      </c>
      <c r="D24" t="str">
        <f>"BICS_SEGMENT_DATA"</f>
        <v>BICS_SEGMENT_DATA</v>
      </c>
      <c r="E24" t="str">
        <f t="shared" si="17"/>
        <v>Dynamic</v>
      </c>
      <c r="F24" t="str">
        <f ca="1">IF(AND(ISNUMBER($F$181),$B$158=1),$F$181,HLOOKUP(INDIRECT(ADDRESS(2,COLUMN())),OFFSET($BN$2,0,0,ROW()-1,60),ROW()-1,FALSE))</f>
        <v/>
      </c>
      <c r="G24">
        <f ca="1">IF(AND(ISNUMBER($G$181),$B$158=1),$G$181,HLOOKUP(INDIRECT(ADDRESS(2,COLUMN())),OFFSET($BN$2,0,0,ROW()-1,60),ROW()-1,FALSE))</f>
        <v>10</v>
      </c>
      <c r="H24">
        <f ca="1">IF(AND(ISNUMBER($H$181),$B$158=1),$H$181,HLOOKUP(INDIRECT(ADDRESS(2,COLUMN())),OFFSET($BN$2,0,0,ROW()-1,60),ROW()-1,FALSE))</f>
        <v>67</v>
      </c>
      <c r="I24">
        <f ca="1">IF(AND(ISNUMBER($I$181),$B$158=1),$I$181,HLOOKUP(INDIRECT(ADDRESS(2,COLUMN())),OFFSET($BN$2,0,0,ROW()-1,60),ROW()-1,FALSE))</f>
        <v>9</v>
      </c>
      <c r="J24">
        <f ca="1">IF(AND(ISNUMBER($J$181),$B$158=1),$J$181,HLOOKUP(INDIRECT(ADDRESS(2,COLUMN())),OFFSET($BN$2,0,0,ROW()-1,60),ROW()-1,FALSE))</f>
        <v>-12</v>
      </c>
      <c r="K24">
        <f ca="1">IF(AND(ISNUMBER($K$181),$B$158=1),$K$181,HLOOKUP(INDIRECT(ADDRESS(2,COLUMN())),OFFSET($BN$2,0,0,ROW()-1,60),ROW()-1,FALSE))</f>
        <v>-5</v>
      </c>
      <c r="L24">
        <f ca="1">IF(AND(ISNUMBER($L$181),$B$158=1),$L$181,HLOOKUP(INDIRECT(ADDRESS(2,COLUMN())),OFFSET($BN$2,0,0,ROW()-1,60),ROW()-1,FALSE))</f>
        <v>-48</v>
      </c>
      <c r="M24">
        <f ca="1">IF(AND(ISNUMBER($M$181),$B$158=1),$M$181,HLOOKUP(INDIRECT(ADDRESS(2,COLUMN())),OFFSET($BN$2,0,0,ROW()-1,60),ROW()-1,FALSE))</f>
        <v>-7</v>
      </c>
      <c r="N24" t="str">
        <f ca="1">IF(AND(ISNUMBER($N$181),$B$158=1),$N$181,HLOOKUP(INDIRECT(ADDRESS(2,COLUMN())),OFFSET($BN$2,0,0,ROW()-1,60),ROW()-1,FALSE))</f>
        <v/>
      </c>
      <c r="O24">
        <f ca="1">IF(AND(ISNUMBER($O$181),$B$158=1),$O$181,HLOOKUP(INDIRECT(ADDRESS(2,COLUMN())),OFFSET($BN$2,0,0,ROW()-1,60),ROW()-1,FALSE))</f>
        <v>9</v>
      </c>
      <c r="P24">
        <f ca="1">IF(AND(ISNUMBER($P$181),$B$158=1),$P$181,HLOOKUP(INDIRECT(ADDRESS(2,COLUMN())),OFFSET($BN$2,0,0,ROW()-1,60),ROW()-1,FALSE))</f>
        <v>15</v>
      </c>
      <c r="Q24">
        <f ca="1">IF(AND(ISNUMBER($Q$181),$B$158=1),$Q$181,HLOOKUP(INDIRECT(ADDRESS(2,COLUMN())),OFFSET($BN$2,0,0,ROW()-1,60),ROW()-1,FALSE))</f>
        <v>12</v>
      </c>
      <c r="R24" t="str">
        <f ca="1">IF(AND(ISNUMBER($R$181),$B$158=1),$R$181,HLOOKUP(INDIRECT(ADDRESS(2,COLUMN())),OFFSET($BN$2,0,0,ROW()-1,60),ROW()-1,FALSE))</f>
        <v/>
      </c>
      <c r="S24">
        <f ca="1">IF(AND(ISNUMBER($S$181),$B$158=1),$S$181,HLOOKUP(INDIRECT(ADDRESS(2,COLUMN())),OFFSET($BN$2,0,0,ROW()-1,60),ROW()-1,FALSE))</f>
        <v>27</v>
      </c>
      <c r="T24">
        <f ca="1">IF(AND(ISNUMBER($T$181),$B$158=1),$T$181,HLOOKUP(INDIRECT(ADDRESS(2,COLUMN())),OFFSET($BN$2,0,0,ROW()-1,60),ROW()-1,FALSE))</f>
        <v>24</v>
      </c>
      <c r="U24">
        <f ca="1">IF(AND(ISNUMBER($U$181),$B$158=1),$U$181,HLOOKUP(INDIRECT(ADDRESS(2,COLUMN())),OFFSET($BN$2,0,0,ROW()-1,60),ROW()-1,FALSE))</f>
        <v>30</v>
      </c>
      <c r="V24" t="str">
        <f ca="1">IF(AND(ISNUMBER($V$181),$B$158=1),$V$181,HLOOKUP(INDIRECT(ADDRESS(2,COLUMN())),OFFSET($BN$2,0,0,ROW()-1,60),ROW()-1,FALSE))</f>
        <v/>
      </c>
      <c r="W24">
        <f ca="1">IF(AND(ISNUMBER($W$181),$B$158=1),$W$181,HLOOKUP(INDIRECT(ADDRESS(2,COLUMN())),OFFSET($BN$2,0,0,ROW()-1,60),ROW()-1,FALSE))</f>
        <v>22</v>
      </c>
      <c r="X24">
        <f ca="1">IF(AND(ISNUMBER($X$181),$B$158=1),$X$181,HLOOKUP(INDIRECT(ADDRESS(2,COLUMN())),OFFSET($BN$2,0,0,ROW()-1,60),ROW()-1,FALSE))</f>
        <v>10</v>
      </c>
      <c r="Y24">
        <f ca="1">IF(AND(ISNUMBER($Y$181),$B$158=1),$Y$181,HLOOKUP(INDIRECT(ADDRESS(2,COLUMN())),OFFSET($BN$2,0,0,ROW()-1,60),ROW()-1,FALSE))</f>
        <v>20</v>
      </c>
      <c r="Z24" t="str">
        <f ca="1">IF(AND(ISNUMBER($Z$181),$B$158=1),$Z$181,HLOOKUP(INDIRECT(ADDRESS(2,COLUMN())),OFFSET($BN$2,0,0,ROW()-1,60),ROW()-1,FALSE))</f>
        <v/>
      </c>
      <c r="AA24">
        <f ca="1">IF(AND(ISNUMBER($AA$181),$B$158=1),$AA$181,HLOOKUP(INDIRECT(ADDRESS(2,COLUMN())),OFFSET($BN$2,0,0,ROW()-1,60),ROW()-1,FALSE))</f>
        <v>5</v>
      </c>
      <c r="AB24">
        <f ca="1">IF(AND(ISNUMBER($AB$181),$B$158=1),$AB$181,HLOOKUP(INDIRECT(ADDRESS(2,COLUMN())),OFFSET($BN$2,0,0,ROW()-1,60),ROW()-1,FALSE))</f>
        <v>7</v>
      </c>
      <c r="AC24">
        <f ca="1">IF(AND(ISNUMBER($AC$181),$B$158=1),$AC$181,HLOOKUP(INDIRECT(ADDRESS(2,COLUMN())),OFFSET($BN$2,0,0,ROW()-1,60),ROW()-1,FALSE))</f>
        <v>3</v>
      </c>
      <c r="AD24" t="str">
        <f ca="1">IF(AND(ISNUMBER($AD$181),$B$158=1),$AD$181,HLOOKUP(INDIRECT(ADDRESS(2,COLUMN())),OFFSET($BN$2,0,0,ROW()-1,60),ROW()-1,FALSE))</f>
        <v/>
      </c>
      <c r="AE24">
        <f ca="1">IF(AND(ISNUMBER($AE$181),$B$158=1),$AE$181,HLOOKUP(INDIRECT(ADDRESS(2,COLUMN())),OFFSET($BN$2,0,0,ROW()-1,60),ROW()-1,FALSE))</f>
        <v>-3</v>
      </c>
      <c r="AF24" t="str">
        <f ca="1">IF(AND(ISNUMBER($AF$181),$B$158=1),$AF$181,HLOOKUP(INDIRECT(ADDRESS(2,COLUMN())),OFFSET($BN$2,0,0,ROW()-1,60),ROW()-1,FALSE))</f>
        <v/>
      </c>
      <c r="AG24">
        <f ca="1">IF(AND(ISNUMBER($AG$181),$B$158=1),$AG$181,HLOOKUP(INDIRECT(ADDRESS(2,COLUMN())),OFFSET($BN$2,0,0,ROW()-1,60),ROW()-1,FALSE))</f>
        <v>-11</v>
      </c>
      <c r="AH24" t="str">
        <f ca="1">IF(AND(ISNUMBER($AH$181),$B$158=1),$AH$181,HLOOKUP(INDIRECT(ADDRESS(2,COLUMN())),OFFSET($BN$2,0,0,ROW()-1,60),ROW()-1,FALSE))</f>
        <v/>
      </c>
      <c r="AI24" t="str">
        <f ca="1">IF(AND(ISNUMBER($AI$181),$B$158=1),$AI$181,HLOOKUP(INDIRECT(ADDRESS(2,COLUMN())),OFFSET($BN$2,0,0,ROW()-1,60),ROW()-1,FALSE))</f>
        <v/>
      </c>
      <c r="AJ24" t="str">
        <f ca="1">IF(AND(ISNUMBER($AJ$181),$B$158=1),$AJ$181,HLOOKUP(INDIRECT(ADDRESS(2,COLUMN())),OFFSET($BN$2,0,0,ROW()-1,60),ROW()-1,FALSE))</f>
        <v/>
      </c>
      <c r="AK24">
        <f ca="1">IF(AND(ISNUMBER($AK$181),$B$158=1),$AK$181,HLOOKUP(INDIRECT(ADDRESS(2,COLUMN())),OFFSET($BN$2,0,0,ROW()-1,60),ROW()-1,FALSE))</f>
        <v>-8</v>
      </c>
      <c r="AL24" t="str">
        <f ca="1">IF(AND(ISNUMBER($AL$181),$B$158=1),$AL$181,HLOOKUP(INDIRECT(ADDRESS(2,COLUMN())),OFFSET($BN$2,0,0,ROW()-1,60),ROW()-1,FALSE))</f>
        <v/>
      </c>
      <c r="AM24" t="str">
        <f ca="1">IF(AND(ISNUMBER($AM$181),$B$158=1),$AM$181,HLOOKUP(INDIRECT(ADDRESS(2,COLUMN())),OFFSET($BN$2,0,0,ROW()-1,60),ROW()-1,FALSE))</f>
        <v/>
      </c>
      <c r="AN24" t="str">
        <f ca="1">IF(AND(ISNUMBER($AN$181),$B$158=1),$AN$181,HLOOKUP(INDIRECT(ADDRESS(2,COLUMN())),OFFSET($BN$2,0,0,ROW()-1,60),ROW()-1,FALSE))</f>
        <v/>
      </c>
      <c r="AO24" t="str">
        <f ca="1">IF(AND(ISNUMBER($AO$181),$B$158=1),$AO$181,HLOOKUP(INDIRECT(ADDRESS(2,COLUMN())),OFFSET($BN$2,0,0,ROW()-1,60),ROW()-1,FALSE))</f>
        <v/>
      </c>
      <c r="AP24" t="str">
        <f ca="1">IF(AND(ISNUMBER($AP$181),$B$158=1),$AP$181,HLOOKUP(INDIRECT(ADDRESS(2,COLUMN())),OFFSET($BN$2,0,0,ROW()-1,60),ROW()-1,FALSE))</f>
        <v/>
      </c>
      <c r="AQ24" t="str">
        <f ca="1">IF(AND(ISNUMBER($AQ$181),$B$158=1),$AQ$181,HLOOKUP(INDIRECT(ADDRESS(2,COLUMN())),OFFSET($BN$2,0,0,ROW()-1,60),ROW()-1,FALSE))</f>
        <v/>
      </c>
      <c r="AR24" t="str">
        <f ca="1">IF(AND(ISNUMBER($AR$181),$B$158=1),$AR$181,HLOOKUP(INDIRECT(ADDRESS(2,COLUMN())),OFFSET($BN$2,0,0,ROW()-1,60),ROW()-1,FALSE))</f>
        <v/>
      </c>
      <c r="AS24" t="str">
        <f ca="1">IF(AND(ISNUMBER($AS$181),$B$158=1),$AS$181,HLOOKUP(INDIRECT(ADDRESS(2,COLUMN())),OFFSET($BN$2,0,0,ROW()-1,60),ROW()-1,FALSE))</f>
        <v/>
      </c>
      <c r="AT24" t="str">
        <f ca="1">IF(AND(ISNUMBER($AT$181),$B$158=1),$AT$181,HLOOKUP(INDIRECT(ADDRESS(2,COLUMN())),OFFSET($BN$2,0,0,ROW()-1,60),ROW()-1,FALSE))</f>
        <v/>
      </c>
      <c r="AU24" t="str">
        <f ca="1">IF(AND(ISNUMBER($AU$181),$B$158=1),$AU$181,HLOOKUP(INDIRECT(ADDRESS(2,COLUMN())),OFFSET($BN$2,0,0,ROW()-1,60),ROW()-1,FALSE))</f>
        <v/>
      </c>
      <c r="AV24" t="str">
        <f ca="1">IF(AND(ISNUMBER($AV$181),$B$158=1),$AV$181,HLOOKUP(INDIRECT(ADDRESS(2,COLUMN())),OFFSET($BN$2,0,0,ROW()-1,60),ROW()-1,FALSE))</f>
        <v/>
      </c>
      <c r="AW24" t="str">
        <f ca="1">IF(AND(ISNUMBER($AW$181),$B$158=1),$AW$181,HLOOKUP(INDIRECT(ADDRESS(2,COLUMN())),OFFSET($BN$2,0,0,ROW()-1,60),ROW()-1,FALSE))</f>
        <v/>
      </c>
      <c r="AX24" t="str">
        <f ca="1">IF(AND(ISNUMBER($AX$181),$B$158=1),$AX$181,HLOOKUP(INDIRECT(ADDRESS(2,COLUMN())),OFFSET($BN$2,0,0,ROW()-1,60),ROW()-1,FALSE))</f>
        <v/>
      </c>
      <c r="AY24" t="str">
        <f ca="1">IF(AND(ISNUMBER($AY$181),$B$158=1),$AY$181,HLOOKUP(INDIRECT(ADDRESS(2,COLUMN())),OFFSET($BN$2,0,0,ROW()-1,60),ROW()-1,FALSE))</f>
        <v/>
      </c>
      <c r="AZ24" t="str">
        <f ca="1">IF(AND(ISNUMBER($AZ$181),$B$158=1),$AZ$181,HLOOKUP(INDIRECT(ADDRESS(2,COLUMN())),OFFSET($BN$2,0,0,ROW()-1,60),ROW()-1,FALSE))</f>
        <v/>
      </c>
      <c r="BA24" t="str">
        <f ca="1">IF(AND(ISNUMBER($BA$181),$B$158=1),$BA$181,HLOOKUP(INDIRECT(ADDRESS(2,COLUMN())),OFFSET($BN$2,0,0,ROW()-1,60),ROW()-1,FALSE))</f>
        <v/>
      </c>
      <c r="BB24" t="str">
        <f ca="1">IF(AND(ISNUMBER($BB$181),$B$158=1),$BB$181,HLOOKUP(INDIRECT(ADDRESS(2,COLUMN())),OFFSET($BN$2,0,0,ROW()-1,60),ROW()-1,FALSE))</f>
        <v/>
      </c>
      <c r="BC24" t="str">
        <f ca="1">IF(AND(ISNUMBER($BC$181),$B$158=1),$BC$181,HLOOKUP(INDIRECT(ADDRESS(2,COLUMN())),OFFSET($BN$2,0,0,ROW()-1,60),ROW()-1,FALSE))</f>
        <v/>
      </c>
      <c r="BD24" t="str">
        <f ca="1">IF(AND(ISNUMBER($BD$181),$B$158=1),$BD$181,HLOOKUP(INDIRECT(ADDRESS(2,COLUMN())),OFFSET($BN$2,0,0,ROW()-1,60),ROW()-1,FALSE))</f>
        <v/>
      </c>
      <c r="BE24" t="str">
        <f ca="1">IF(AND(ISNUMBER($BE$181),$B$158=1),$BE$181,HLOOKUP(INDIRECT(ADDRESS(2,COLUMN())),OFFSET($BN$2,0,0,ROW()-1,60),ROW()-1,FALSE))</f>
        <v/>
      </c>
      <c r="BF24" t="str">
        <f ca="1">IF(AND(ISNUMBER($BF$181),$B$158=1),$BF$181,HLOOKUP(INDIRECT(ADDRESS(2,COLUMN())),OFFSET($BN$2,0,0,ROW()-1,60),ROW()-1,FALSE))</f>
        <v/>
      </c>
      <c r="BG24" t="str">
        <f ca="1">IF(AND(ISNUMBER($BG$181),$B$158=1),$BG$181,HLOOKUP(INDIRECT(ADDRESS(2,COLUMN())),OFFSET($BN$2,0,0,ROW()-1,60),ROW()-1,FALSE))</f>
        <v/>
      </c>
      <c r="BH24" t="str">
        <f ca="1">IF(AND(ISNUMBER($BH$181),$B$158=1),$BH$181,HLOOKUP(INDIRECT(ADDRESS(2,COLUMN())),OFFSET($BN$2,0,0,ROW()-1,60),ROW()-1,FALSE))</f>
        <v/>
      </c>
      <c r="BI24" t="str">
        <f ca="1">IF(AND(ISNUMBER($BI$181),$B$158=1),$BI$181,HLOOKUP(INDIRECT(ADDRESS(2,COLUMN())),OFFSET($BN$2,0,0,ROW()-1,60),ROW()-1,FALSE))</f>
        <v/>
      </c>
      <c r="BJ24" t="str">
        <f ca="1">IF(AND(ISNUMBER($BJ$181),$B$158=1),$BJ$181,HLOOKUP(INDIRECT(ADDRESS(2,COLUMN())),OFFSET($BN$2,0,0,ROW()-1,60),ROW()-1,FALSE))</f>
        <v/>
      </c>
      <c r="BK24" t="str">
        <f ca="1">IF(AND(ISNUMBER($BK$181),$B$158=1),$BK$181,HLOOKUP(INDIRECT(ADDRESS(2,COLUMN())),OFFSET($BN$2,0,0,ROW()-1,60),ROW()-1,FALSE))</f>
        <v/>
      </c>
      <c r="BL24" t="str">
        <f ca="1">IF(AND(ISNUMBER($BL$181),$B$158=1),$BL$181,HLOOKUP(INDIRECT(ADDRESS(2,COLUMN())),OFFSET($BN$2,0,0,ROW()-1,60),ROW()-1,FALSE))</f>
        <v/>
      </c>
      <c r="BM24" t="str">
        <f ca="1">IF(AND(ISNUMBER($BM$181),$B$158=1),$BM$181,HLOOKUP(INDIRECT(ADDRESS(2,COLUMN())),OFFSET($BN$2,0,0,ROW()-1,60),ROW()-1,FALSE))</f>
        <v/>
      </c>
      <c r="BN24" t="str">
        <f>""</f>
        <v/>
      </c>
      <c r="BO24">
        <f>10</f>
        <v>10</v>
      </c>
      <c r="BP24">
        <f>67</f>
        <v>67</v>
      </c>
      <c r="BQ24">
        <f>9</f>
        <v>9</v>
      </c>
      <c r="BR24">
        <f>-12</f>
        <v>-12</v>
      </c>
      <c r="BS24">
        <f>-5</f>
        <v>-5</v>
      </c>
      <c r="BT24">
        <f>-48</f>
        <v>-48</v>
      </c>
      <c r="BU24">
        <f>-7</f>
        <v>-7</v>
      </c>
      <c r="BV24" t="str">
        <f>""</f>
        <v/>
      </c>
      <c r="BW24">
        <f>9</f>
        <v>9</v>
      </c>
      <c r="BX24">
        <f>15</f>
        <v>15</v>
      </c>
      <c r="BY24">
        <f>12</f>
        <v>12</v>
      </c>
      <c r="BZ24" t="str">
        <f>""</f>
        <v/>
      </c>
      <c r="CA24">
        <f>27</f>
        <v>27</v>
      </c>
      <c r="CB24">
        <f>24</f>
        <v>24</v>
      </c>
      <c r="CC24">
        <f>30</f>
        <v>30</v>
      </c>
      <c r="CD24" t="str">
        <f>""</f>
        <v/>
      </c>
      <c r="CE24">
        <f>22</f>
        <v>22</v>
      </c>
      <c r="CF24">
        <f>10</f>
        <v>10</v>
      </c>
      <c r="CG24">
        <f>20</f>
        <v>20</v>
      </c>
      <c r="CH24" t="str">
        <f>""</f>
        <v/>
      </c>
      <c r="CI24">
        <f>5</f>
        <v>5</v>
      </c>
      <c r="CJ24">
        <f>7</f>
        <v>7</v>
      </c>
      <c r="CK24">
        <f>3</f>
        <v>3</v>
      </c>
      <c r="CL24" t="str">
        <f>""</f>
        <v/>
      </c>
      <c r="CM24">
        <f>-3</f>
        <v>-3</v>
      </c>
      <c r="CN24" t="str">
        <f>""</f>
        <v/>
      </c>
      <c r="CO24">
        <f>-11</f>
        <v>-11</v>
      </c>
      <c r="CP24" t="str">
        <f>""</f>
        <v/>
      </c>
      <c r="CQ24" t="str">
        <f>""</f>
        <v/>
      </c>
      <c r="CR24" t="str">
        <f>""</f>
        <v/>
      </c>
      <c r="CS24">
        <f>-8</f>
        <v>-8</v>
      </c>
      <c r="CT24" t="str">
        <f>""</f>
        <v/>
      </c>
      <c r="CU24" t="str">
        <f>""</f>
        <v/>
      </c>
      <c r="CV24" t="str">
        <f>""</f>
        <v/>
      </c>
      <c r="CW24" t="str">
        <f>""</f>
        <v/>
      </c>
      <c r="CX24" t="str">
        <f>""</f>
        <v/>
      </c>
      <c r="CY24" t="str">
        <f>""</f>
        <v/>
      </c>
      <c r="CZ24" t="str">
        <f>""</f>
        <v/>
      </c>
      <c r="DA24" t="str">
        <f>""</f>
        <v/>
      </c>
      <c r="DB24" t="str">
        <f>""</f>
        <v/>
      </c>
      <c r="DC24" t="str">
        <f>""</f>
        <v/>
      </c>
      <c r="DD24" t="str">
        <f>""</f>
        <v/>
      </c>
      <c r="DE24" t="str">
        <f>""</f>
        <v/>
      </c>
      <c r="DF24" t="str">
        <f>""</f>
        <v/>
      </c>
      <c r="DG24" t="str">
        <f>""</f>
        <v/>
      </c>
      <c r="DH24" t="str">
        <f>""</f>
        <v/>
      </c>
      <c r="DI24" t="str">
        <f>""</f>
        <v/>
      </c>
      <c r="DJ24" t="str">
        <f>""</f>
        <v/>
      </c>
      <c r="DK24" t="str">
        <f>""</f>
        <v/>
      </c>
      <c r="DL24" t="str">
        <f>""</f>
        <v/>
      </c>
      <c r="DM24" t="str">
        <f>""</f>
        <v/>
      </c>
      <c r="DN24" t="str">
        <f>""</f>
        <v/>
      </c>
      <c r="DO24" t="str">
        <f>""</f>
        <v/>
      </c>
      <c r="DP24" t="str">
        <f>""</f>
        <v/>
      </c>
      <c r="DQ24" t="str">
        <f>""</f>
        <v/>
      </c>
      <c r="DR24" t="str">
        <f>""</f>
        <v/>
      </c>
      <c r="DS24" t="str">
        <f>""</f>
        <v/>
      </c>
      <c r="DT24" t="str">
        <f>""</f>
        <v/>
      </c>
      <c r="DU24" t="str">
        <f>""</f>
        <v/>
      </c>
    </row>
    <row r="25" spans="1:125" x14ac:dyDescent="0.25">
      <c r="A25" t="str">
        <f>"                Royalties and Others"</f>
        <v xml:space="preserve">                Royalties and Others</v>
      </c>
      <c r="B25" t="str">
        <f t="shared" si="16"/>
        <v>KER FP Equity</v>
      </c>
      <c r="C25" t="str">
        <f>"BI047"</f>
        <v>BI047</v>
      </c>
      <c r="D25" t="str">
        <f>"BICS_SEGMENT_DATA"</f>
        <v>BICS_SEGMENT_DATA</v>
      </c>
      <c r="E25" t="str">
        <f t="shared" si="17"/>
        <v>Dynamic</v>
      </c>
      <c r="F25" t="str">
        <f ca="1">IF(AND(ISNUMBER($F$182),$B$158=1),$F$182,HLOOKUP(INDIRECT(ADDRESS(2,COLUMN())),OFFSET($BN$2,0,0,ROW()-1,60),ROW()-1,FALSE))</f>
        <v/>
      </c>
      <c r="G25">
        <f ca="1">IF(AND(ISNUMBER($G$182),$B$158=1),$G$182,HLOOKUP(INDIRECT(ADDRESS(2,COLUMN())),OFFSET($BN$2,0,0,ROW()-1,60),ROW()-1,FALSE))</f>
        <v>37</v>
      </c>
      <c r="H25">
        <f ca="1">IF(AND(ISNUMBER($H$182),$B$158=1),$H$182,HLOOKUP(INDIRECT(ADDRESS(2,COLUMN())),OFFSET($BN$2,0,0,ROW()-1,60),ROW()-1,FALSE))</f>
        <v>121</v>
      </c>
      <c r="I25">
        <f ca="1">IF(AND(ISNUMBER($I$182),$B$158=1),$I$182,HLOOKUP(INDIRECT(ADDRESS(2,COLUMN())),OFFSET($BN$2,0,0,ROW()-1,60),ROW()-1,FALSE))</f>
        <v>5</v>
      </c>
      <c r="J25" t="str">
        <f ca="1">IF(AND(ISNUMBER($J$182),$B$158=1),$J$182,HLOOKUP(INDIRECT(ADDRESS(2,COLUMN())),OFFSET($BN$2,0,0,ROW()-1,60),ROW()-1,FALSE))</f>
        <v/>
      </c>
      <c r="K25">
        <f ca="1">IF(AND(ISNUMBER($K$182),$B$158=1),$K$182,HLOOKUP(INDIRECT(ADDRESS(2,COLUMN())),OFFSET($BN$2,0,0,ROW()-1,60),ROW()-1,FALSE))</f>
        <v>-27</v>
      </c>
      <c r="L25">
        <f ca="1">IF(AND(ISNUMBER($L$182),$B$158=1),$L$182,HLOOKUP(INDIRECT(ADDRESS(2,COLUMN())),OFFSET($BN$2,0,0,ROW()-1,60),ROW()-1,FALSE))</f>
        <v>-56</v>
      </c>
      <c r="M25">
        <f ca="1">IF(AND(ISNUMBER($M$182),$B$158=1),$M$182,HLOOKUP(INDIRECT(ADDRESS(2,COLUMN())),OFFSET($BN$2,0,0,ROW()-1,60),ROW()-1,FALSE))</f>
        <v>-23</v>
      </c>
      <c r="N25" t="str">
        <f ca="1">IF(AND(ISNUMBER($N$182),$B$158=1),$N$182,HLOOKUP(INDIRECT(ADDRESS(2,COLUMN())),OFFSET($BN$2,0,0,ROW()-1,60),ROW()-1,FALSE))</f>
        <v/>
      </c>
      <c r="O25">
        <f ca="1">IF(AND(ISNUMBER($O$182),$B$158=1),$O$182,HLOOKUP(INDIRECT(ADDRESS(2,COLUMN())),OFFSET($BN$2,0,0,ROW()-1,60),ROW()-1,FALSE))</f>
        <v>17</v>
      </c>
      <c r="P25">
        <f ca="1">IF(AND(ISNUMBER($P$182),$B$158=1),$P$182,HLOOKUP(INDIRECT(ADDRESS(2,COLUMN())),OFFSET($BN$2,0,0,ROW()-1,60),ROW()-1,FALSE))</f>
        <v>16</v>
      </c>
      <c r="Q25">
        <f ca="1">IF(AND(ISNUMBER($Q$182),$B$158=1),$Q$182,HLOOKUP(INDIRECT(ADDRESS(2,COLUMN())),OFFSET($BN$2,0,0,ROW()-1,60),ROW()-1,FALSE))</f>
        <v>29</v>
      </c>
      <c r="R25" t="str">
        <f ca="1">IF(AND(ISNUMBER($R$182),$B$158=1),$R$182,HLOOKUP(INDIRECT(ADDRESS(2,COLUMN())),OFFSET($BN$2,0,0,ROW()-1,60),ROW()-1,FALSE))</f>
        <v/>
      </c>
      <c r="S25">
        <f ca="1">IF(AND(ISNUMBER($S$182),$B$158=1),$S$182,HLOOKUP(INDIRECT(ADDRESS(2,COLUMN())),OFFSET($BN$2,0,0,ROW()-1,60),ROW()-1,FALSE))</f>
        <v>11</v>
      </c>
      <c r="T25">
        <f ca="1">IF(AND(ISNUMBER($T$182),$B$158=1),$T$182,HLOOKUP(INDIRECT(ADDRESS(2,COLUMN())),OFFSET($BN$2,0,0,ROW()-1,60),ROW()-1,FALSE))</f>
        <v>9</v>
      </c>
      <c r="U25">
        <f ca="1">IF(AND(ISNUMBER($U$182),$B$158=1),$U$182,HLOOKUP(INDIRECT(ADDRESS(2,COLUMN())),OFFSET($BN$2,0,0,ROW()-1,60),ROW()-1,FALSE))</f>
        <v>2</v>
      </c>
      <c r="V25" t="str">
        <f ca="1">IF(AND(ISNUMBER($V$182),$B$158=1),$V$182,HLOOKUP(INDIRECT(ADDRESS(2,COLUMN())),OFFSET($BN$2,0,0,ROW()-1,60),ROW()-1,FALSE))</f>
        <v/>
      </c>
      <c r="W25">
        <f ca="1">IF(AND(ISNUMBER($W$182),$B$158=1),$W$182,HLOOKUP(INDIRECT(ADDRESS(2,COLUMN())),OFFSET($BN$2,0,0,ROW()-1,60),ROW()-1,FALSE))</f>
        <v>13</v>
      </c>
      <c r="X25">
        <f ca="1">IF(AND(ISNUMBER($X$182),$B$158=1),$X$182,HLOOKUP(INDIRECT(ADDRESS(2,COLUMN())),OFFSET($BN$2,0,0,ROW()-1,60),ROW()-1,FALSE))</f>
        <v>5</v>
      </c>
      <c r="Y25">
        <f ca="1">IF(AND(ISNUMBER($Y$182),$B$158=1),$Y$182,HLOOKUP(INDIRECT(ADDRESS(2,COLUMN())),OFFSET($BN$2,0,0,ROW()-1,60),ROW()-1,FALSE))</f>
        <v>9</v>
      </c>
      <c r="Z25" t="str">
        <f ca="1">IF(AND(ISNUMBER($Z$182),$B$158=1),$Z$182,HLOOKUP(INDIRECT(ADDRESS(2,COLUMN())),OFFSET($BN$2,0,0,ROW()-1,60),ROW()-1,FALSE))</f>
        <v/>
      </c>
      <c r="AA25">
        <f ca="1">IF(AND(ISNUMBER($AA$182),$B$158=1),$AA$182,HLOOKUP(INDIRECT(ADDRESS(2,COLUMN())),OFFSET($BN$2,0,0,ROW()-1,60),ROW()-1,FALSE))</f>
        <v>-2</v>
      </c>
      <c r="AB25" t="str">
        <f ca="1">IF(AND(ISNUMBER($AB$182),$B$158=1),$AB$182,HLOOKUP(INDIRECT(ADDRESS(2,COLUMN())),OFFSET($BN$2,0,0,ROW()-1,60),ROW()-1,FALSE))</f>
        <v/>
      </c>
      <c r="AC25">
        <f ca="1">IF(AND(ISNUMBER($AC$182),$B$158=1),$AC$182,HLOOKUP(INDIRECT(ADDRESS(2,COLUMN())),OFFSET($BN$2,0,0,ROW()-1,60),ROW()-1,FALSE))</f>
        <v>-16</v>
      </c>
      <c r="AD25" t="str">
        <f ca="1">IF(AND(ISNUMBER($AD$182),$B$158=1),$AD$182,HLOOKUP(INDIRECT(ADDRESS(2,COLUMN())),OFFSET($BN$2,0,0,ROW()-1,60),ROW()-1,FALSE))</f>
        <v/>
      </c>
      <c r="AE25">
        <f ca="1">IF(AND(ISNUMBER($AE$182),$B$158=1),$AE$182,HLOOKUP(INDIRECT(ADDRESS(2,COLUMN())),OFFSET($BN$2,0,0,ROW()-1,60),ROW()-1,FALSE))</f>
        <v>7</v>
      </c>
      <c r="AF25" t="str">
        <f ca="1">IF(AND(ISNUMBER($AF$182),$B$158=1),$AF$182,HLOOKUP(INDIRECT(ADDRESS(2,COLUMN())),OFFSET($BN$2,0,0,ROW()-1,60),ROW()-1,FALSE))</f>
        <v/>
      </c>
      <c r="AG25">
        <f ca="1">IF(AND(ISNUMBER($AG$182),$B$158=1),$AG$182,HLOOKUP(INDIRECT(ADDRESS(2,COLUMN())),OFFSET($BN$2,0,0,ROW()-1,60),ROW()-1,FALSE))</f>
        <v>-4</v>
      </c>
      <c r="AH25" t="str">
        <f ca="1">IF(AND(ISNUMBER($AH$182),$B$158=1),$AH$182,HLOOKUP(INDIRECT(ADDRESS(2,COLUMN())),OFFSET($BN$2,0,0,ROW()-1,60),ROW()-1,FALSE))</f>
        <v/>
      </c>
      <c r="AI25" t="str">
        <f ca="1">IF(AND(ISNUMBER($AI$182),$B$158=1),$AI$182,HLOOKUP(INDIRECT(ADDRESS(2,COLUMN())),OFFSET($BN$2,0,0,ROW()-1,60),ROW()-1,FALSE))</f>
        <v/>
      </c>
      <c r="AJ25" t="str">
        <f ca="1">IF(AND(ISNUMBER($AJ$182),$B$158=1),$AJ$182,HLOOKUP(INDIRECT(ADDRESS(2,COLUMN())),OFFSET($BN$2,0,0,ROW()-1,60),ROW()-1,FALSE))</f>
        <v/>
      </c>
      <c r="AK25" t="str">
        <f ca="1">IF(AND(ISNUMBER($AK$182),$B$158=1),$AK$182,HLOOKUP(INDIRECT(ADDRESS(2,COLUMN())),OFFSET($BN$2,0,0,ROW()-1,60),ROW()-1,FALSE))</f>
        <v/>
      </c>
      <c r="AL25" t="str">
        <f ca="1">IF(AND(ISNUMBER($AL$182),$B$158=1),$AL$182,HLOOKUP(INDIRECT(ADDRESS(2,COLUMN())),OFFSET($BN$2,0,0,ROW()-1,60),ROW()-1,FALSE))</f>
        <v/>
      </c>
      <c r="AM25" t="str">
        <f ca="1">IF(AND(ISNUMBER($AM$182),$B$158=1),$AM$182,HLOOKUP(INDIRECT(ADDRESS(2,COLUMN())),OFFSET($BN$2,0,0,ROW()-1,60),ROW()-1,FALSE))</f>
        <v/>
      </c>
      <c r="AN25" t="str">
        <f ca="1">IF(AND(ISNUMBER($AN$182),$B$158=1),$AN$182,HLOOKUP(INDIRECT(ADDRESS(2,COLUMN())),OFFSET($BN$2,0,0,ROW()-1,60),ROW()-1,FALSE))</f>
        <v/>
      </c>
      <c r="AO25" t="str">
        <f ca="1">IF(AND(ISNUMBER($AO$182),$B$158=1),$AO$182,HLOOKUP(INDIRECT(ADDRESS(2,COLUMN())),OFFSET($BN$2,0,0,ROW()-1,60),ROW()-1,FALSE))</f>
        <v/>
      </c>
      <c r="AP25" t="str">
        <f ca="1">IF(AND(ISNUMBER($AP$182),$B$158=1),$AP$182,HLOOKUP(INDIRECT(ADDRESS(2,COLUMN())),OFFSET($BN$2,0,0,ROW()-1,60),ROW()-1,FALSE))</f>
        <v/>
      </c>
      <c r="AQ25" t="str">
        <f ca="1">IF(AND(ISNUMBER($AQ$182),$B$158=1),$AQ$182,HLOOKUP(INDIRECT(ADDRESS(2,COLUMN())),OFFSET($BN$2,0,0,ROW()-1,60),ROW()-1,FALSE))</f>
        <v/>
      </c>
      <c r="AR25" t="str">
        <f ca="1">IF(AND(ISNUMBER($AR$182),$B$158=1),$AR$182,HLOOKUP(INDIRECT(ADDRESS(2,COLUMN())),OFFSET($BN$2,0,0,ROW()-1,60),ROW()-1,FALSE))</f>
        <v/>
      </c>
      <c r="AS25" t="str">
        <f ca="1">IF(AND(ISNUMBER($AS$182),$B$158=1),$AS$182,HLOOKUP(INDIRECT(ADDRESS(2,COLUMN())),OFFSET($BN$2,0,0,ROW()-1,60),ROW()-1,FALSE))</f>
        <v/>
      </c>
      <c r="AT25" t="str">
        <f ca="1">IF(AND(ISNUMBER($AT$182),$B$158=1),$AT$182,HLOOKUP(INDIRECT(ADDRESS(2,COLUMN())),OFFSET($BN$2,0,0,ROW()-1,60),ROW()-1,FALSE))</f>
        <v/>
      </c>
      <c r="AU25" t="str">
        <f ca="1">IF(AND(ISNUMBER($AU$182),$B$158=1),$AU$182,HLOOKUP(INDIRECT(ADDRESS(2,COLUMN())),OFFSET($BN$2,0,0,ROW()-1,60),ROW()-1,FALSE))</f>
        <v/>
      </c>
      <c r="AV25" t="str">
        <f ca="1">IF(AND(ISNUMBER($AV$182),$B$158=1),$AV$182,HLOOKUP(INDIRECT(ADDRESS(2,COLUMN())),OFFSET($BN$2,0,0,ROW()-1,60),ROW()-1,FALSE))</f>
        <v/>
      </c>
      <c r="AW25" t="str">
        <f ca="1">IF(AND(ISNUMBER($AW$182),$B$158=1),$AW$182,HLOOKUP(INDIRECT(ADDRESS(2,COLUMN())),OFFSET($BN$2,0,0,ROW()-1,60),ROW()-1,FALSE))</f>
        <v/>
      </c>
      <c r="AX25" t="str">
        <f ca="1">IF(AND(ISNUMBER($AX$182),$B$158=1),$AX$182,HLOOKUP(INDIRECT(ADDRESS(2,COLUMN())),OFFSET($BN$2,0,0,ROW()-1,60),ROW()-1,FALSE))</f>
        <v/>
      </c>
      <c r="AY25" t="str">
        <f ca="1">IF(AND(ISNUMBER($AY$182),$B$158=1),$AY$182,HLOOKUP(INDIRECT(ADDRESS(2,COLUMN())),OFFSET($BN$2,0,0,ROW()-1,60),ROW()-1,FALSE))</f>
        <v/>
      </c>
      <c r="AZ25" t="str">
        <f ca="1">IF(AND(ISNUMBER($AZ$182),$B$158=1),$AZ$182,HLOOKUP(INDIRECT(ADDRESS(2,COLUMN())),OFFSET($BN$2,0,0,ROW()-1,60),ROW()-1,FALSE))</f>
        <v/>
      </c>
      <c r="BA25" t="str">
        <f ca="1">IF(AND(ISNUMBER($BA$182),$B$158=1),$BA$182,HLOOKUP(INDIRECT(ADDRESS(2,COLUMN())),OFFSET($BN$2,0,0,ROW()-1,60),ROW()-1,FALSE))</f>
        <v/>
      </c>
      <c r="BB25" t="str">
        <f ca="1">IF(AND(ISNUMBER($BB$182),$B$158=1),$BB$182,HLOOKUP(INDIRECT(ADDRESS(2,COLUMN())),OFFSET($BN$2,0,0,ROW()-1,60),ROW()-1,FALSE))</f>
        <v/>
      </c>
      <c r="BC25" t="str">
        <f ca="1">IF(AND(ISNUMBER($BC$182),$B$158=1),$BC$182,HLOOKUP(INDIRECT(ADDRESS(2,COLUMN())),OFFSET($BN$2,0,0,ROW()-1,60),ROW()-1,FALSE))</f>
        <v/>
      </c>
      <c r="BD25" t="str">
        <f ca="1">IF(AND(ISNUMBER($BD$182),$B$158=1),$BD$182,HLOOKUP(INDIRECT(ADDRESS(2,COLUMN())),OFFSET($BN$2,0,0,ROW()-1,60),ROW()-1,FALSE))</f>
        <v/>
      </c>
      <c r="BE25" t="str">
        <f ca="1">IF(AND(ISNUMBER($BE$182),$B$158=1),$BE$182,HLOOKUP(INDIRECT(ADDRESS(2,COLUMN())),OFFSET($BN$2,0,0,ROW()-1,60),ROW()-1,FALSE))</f>
        <v/>
      </c>
      <c r="BF25" t="str">
        <f ca="1">IF(AND(ISNUMBER($BF$182),$B$158=1),$BF$182,HLOOKUP(INDIRECT(ADDRESS(2,COLUMN())),OFFSET($BN$2,0,0,ROW()-1,60),ROW()-1,FALSE))</f>
        <v/>
      </c>
      <c r="BG25" t="str">
        <f ca="1">IF(AND(ISNUMBER($BG$182),$B$158=1),$BG$182,HLOOKUP(INDIRECT(ADDRESS(2,COLUMN())),OFFSET($BN$2,0,0,ROW()-1,60),ROW()-1,FALSE))</f>
        <v/>
      </c>
      <c r="BH25" t="str">
        <f ca="1">IF(AND(ISNUMBER($BH$182),$B$158=1),$BH$182,HLOOKUP(INDIRECT(ADDRESS(2,COLUMN())),OFFSET($BN$2,0,0,ROW()-1,60),ROW()-1,FALSE))</f>
        <v/>
      </c>
      <c r="BI25" t="str">
        <f ca="1">IF(AND(ISNUMBER($BI$182),$B$158=1),$BI$182,HLOOKUP(INDIRECT(ADDRESS(2,COLUMN())),OFFSET($BN$2,0,0,ROW()-1,60),ROW()-1,FALSE))</f>
        <v/>
      </c>
      <c r="BJ25" t="str">
        <f ca="1">IF(AND(ISNUMBER($BJ$182),$B$158=1),$BJ$182,HLOOKUP(INDIRECT(ADDRESS(2,COLUMN())),OFFSET($BN$2,0,0,ROW()-1,60),ROW()-1,FALSE))</f>
        <v/>
      </c>
      <c r="BK25" t="str">
        <f ca="1">IF(AND(ISNUMBER($BK$182),$B$158=1),$BK$182,HLOOKUP(INDIRECT(ADDRESS(2,COLUMN())),OFFSET($BN$2,0,0,ROW()-1,60),ROW()-1,FALSE))</f>
        <v/>
      </c>
      <c r="BL25" t="str">
        <f ca="1">IF(AND(ISNUMBER($BL$182),$B$158=1),$BL$182,HLOOKUP(INDIRECT(ADDRESS(2,COLUMN())),OFFSET($BN$2,0,0,ROW()-1,60),ROW()-1,FALSE))</f>
        <v/>
      </c>
      <c r="BM25" t="str">
        <f ca="1">IF(AND(ISNUMBER($BM$182),$B$158=1),$BM$182,HLOOKUP(INDIRECT(ADDRESS(2,COLUMN())),OFFSET($BN$2,0,0,ROW()-1,60),ROW()-1,FALSE))</f>
        <v/>
      </c>
      <c r="BN25" t="str">
        <f>""</f>
        <v/>
      </c>
      <c r="BO25">
        <f>37</f>
        <v>37</v>
      </c>
      <c r="BP25">
        <f>121</f>
        <v>121</v>
      </c>
      <c r="BQ25">
        <f>5</f>
        <v>5</v>
      </c>
      <c r="BR25" t="str">
        <f>""</f>
        <v/>
      </c>
      <c r="BS25">
        <f>-27</f>
        <v>-27</v>
      </c>
      <c r="BT25">
        <f>-56</f>
        <v>-56</v>
      </c>
      <c r="BU25">
        <f>-23</f>
        <v>-23</v>
      </c>
      <c r="BV25" t="str">
        <f>""</f>
        <v/>
      </c>
      <c r="BW25">
        <f>17</f>
        <v>17</v>
      </c>
      <c r="BX25">
        <f>16</f>
        <v>16</v>
      </c>
      <c r="BY25">
        <f>29</f>
        <v>29</v>
      </c>
      <c r="BZ25" t="str">
        <f>""</f>
        <v/>
      </c>
      <c r="CA25">
        <f>11</f>
        <v>11</v>
      </c>
      <c r="CB25">
        <f>9</f>
        <v>9</v>
      </c>
      <c r="CC25">
        <f>2</f>
        <v>2</v>
      </c>
      <c r="CD25" t="str">
        <f>""</f>
        <v/>
      </c>
      <c r="CE25">
        <f>13</f>
        <v>13</v>
      </c>
      <c r="CF25">
        <f>5</f>
        <v>5</v>
      </c>
      <c r="CG25">
        <f>9</f>
        <v>9</v>
      </c>
      <c r="CH25" t="str">
        <f>""</f>
        <v/>
      </c>
      <c r="CI25">
        <f>-2</f>
        <v>-2</v>
      </c>
      <c r="CJ25" t="str">
        <f>""</f>
        <v/>
      </c>
      <c r="CK25">
        <f>-16</f>
        <v>-16</v>
      </c>
      <c r="CL25" t="str">
        <f>""</f>
        <v/>
      </c>
      <c r="CM25">
        <f>7</f>
        <v>7</v>
      </c>
      <c r="CN25" t="str">
        <f>""</f>
        <v/>
      </c>
      <c r="CO25">
        <f>-4</f>
        <v>-4</v>
      </c>
      <c r="CP25" t="str">
        <f>""</f>
        <v/>
      </c>
      <c r="CQ25" t="str">
        <f>""</f>
        <v/>
      </c>
      <c r="CR25" t="str">
        <f>""</f>
        <v/>
      </c>
      <c r="CS25" t="str">
        <f>""</f>
        <v/>
      </c>
      <c r="CT25" t="str">
        <f>""</f>
        <v/>
      </c>
      <c r="CU25" t="str">
        <f>""</f>
        <v/>
      </c>
      <c r="CV25" t="str">
        <f>""</f>
        <v/>
      </c>
      <c r="CW25" t="str">
        <f>""</f>
        <v/>
      </c>
      <c r="CX25" t="str">
        <f>""</f>
        <v/>
      </c>
      <c r="CY25" t="str">
        <f>""</f>
        <v/>
      </c>
      <c r="CZ25" t="str">
        <f>""</f>
        <v/>
      </c>
      <c r="DA25" t="str">
        <f>""</f>
        <v/>
      </c>
      <c r="DB25" t="str">
        <f>""</f>
        <v/>
      </c>
      <c r="DC25" t="str">
        <f>""</f>
        <v/>
      </c>
      <c r="DD25" t="str">
        <f>""</f>
        <v/>
      </c>
      <c r="DE25" t="str">
        <f>""</f>
        <v/>
      </c>
      <c r="DF25" t="str">
        <f>""</f>
        <v/>
      </c>
      <c r="DG25" t="str">
        <f>""</f>
        <v/>
      </c>
      <c r="DH25" t="str">
        <f>""</f>
        <v/>
      </c>
      <c r="DI25" t="str">
        <f>""</f>
        <v/>
      </c>
      <c r="DJ25" t="str">
        <f>""</f>
        <v/>
      </c>
      <c r="DK25" t="str">
        <f>""</f>
        <v/>
      </c>
      <c r="DL25" t="str">
        <f>""</f>
        <v/>
      </c>
      <c r="DM25" t="str">
        <f>""</f>
        <v/>
      </c>
      <c r="DN25" t="str">
        <f>""</f>
        <v/>
      </c>
      <c r="DO25" t="str">
        <f>""</f>
        <v/>
      </c>
      <c r="DP25" t="str">
        <f>""</f>
        <v/>
      </c>
      <c r="DQ25" t="str">
        <f>""</f>
        <v/>
      </c>
      <c r="DR25" t="str">
        <f>""</f>
        <v/>
      </c>
      <c r="DS25" t="str">
        <f>""</f>
        <v/>
      </c>
      <c r="DT25" t="str">
        <f>""</f>
        <v/>
      </c>
      <c r="DU25" t="str">
        <f>""</f>
        <v/>
      </c>
    </row>
    <row r="26" spans="1:125" x14ac:dyDescent="0.25">
      <c r="A26" t="str">
        <f>"                FX"</f>
        <v xml:space="preserve">                FX</v>
      </c>
      <c r="B26" t="str">
        <f t="shared" si="16"/>
        <v>KER FP Equity</v>
      </c>
      <c r="C26" t="str">
        <f>"BI047"</f>
        <v>BI047</v>
      </c>
      <c r="D26" t="str">
        <f>"BICS_SEGMENT_DATA"</f>
        <v>BICS_SEGMENT_DATA</v>
      </c>
      <c r="E26" t="str">
        <f t="shared" si="17"/>
        <v>Dynamic</v>
      </c>
      <c r="F26" t="str">
        <f ca="1">IF(AND(ISNUMBER($F$183),$B$158=1),$F$183,HLOOKUP(INDIRECT(ADDRESS(2,COLUMN())),OFFSET($BN$2,0,0,ROW()-1,60),ROW()-1,FALSE))</f>
        <v/>
      </c>
      <c r="G26" t="str">
        <f ca="1">IF(AND(ISNUMBER($G$183),$B$158=1),$G$183,HLOOKUP(INDIRECT(ADDRESS(2,COLUMN())),OFFSET($BN$2,0,0,ROW()-1,60),ROW()-1,FALSE))</f>
        <v/>
      </c>
      <c r="H26" t="str">
        <f ca="1">IF(AND(ISNUMBER($H$183),$B$158=1),$H$183,HLOOKUP(INDIRECT(ADDRESS(2,COLUMN())),OFFSET($BN$2,0,0,ROW()-1,60),ROW()-1,FALSE))</f>
        <v/>
      </c>
      <c r="I26" t="str">
        <f ca="1">IF(AND(ISNUMBER($I$183),$B$158=1),$I$183,HLOOKUP(INDIRECT(ADDRESS(2,COLUMN())),OFFSET($BN$2,0,0,ROW()-1,60),ROW()-1,FALSE))</f>
        <v/>
      </c>
      <c r="J26" t="str">
        <f ca="1">IF(AND(ISNUMBER($J$183),$B$158=1),$J$183,HLOOKUP(INDIRECT(ADDRESS(2,COLUMN())),OFFSET($BN$2,0,0,ROW()-1,60),ROW()-1,FALSE))</f>
        <v/>
      </c>
      <c r="K26" t="str">
        <f ca="1">IF(AND(ISNUMBER($K$183),$B$158=1),$K$183,HLOOKUP(INDIRECT(ADDRESS(2,COLUMN())),OFFSET($BN$2,0,0,ROW()-1,60),ROW()-1,FALSE))</f>
        <v/>
      </c>
      <c r="L26" t="str">
        <f ca="1">IF(AND(ISNUMBER($L$183),$B$158=1),$L$183,HLOOKUP(INDIRECT(ADDRESS(2,COLUMN())),OFFSET($BN$2,0,0,ROW()-1,60),ROW()-1,FALSE))</f>
        <v/>
      </c>
      <c r="M26">
        <f ca="1">IF(AND(ISNUMBER($M$183),$B$158=1),$M$183,HLOOKUP(INDIRECT(ADDRESS(2,COLUMN())),OFFSET($BN$2,0,0,ROW()-1,60),ROW()-1,FALSE))</f>
        <v>1</v>
      </c>
      <c r="N26" t="str">
        <f ca="1">IF(AND(ISNUMBER($N$183),$B$158=1),$N$183,HLOOKUP(INDIRECT(ADDRESS(2,COLUMN())),OFFSET($BN$2,0,0,ROW()-1,60),ROW()-1,FALSE))</f>
        <v/>
      </c>
      <c r="O26">
        <f ca="1">IF(AND(ISNUMBER($O$183),$B$158=1),$O$183,HLOOKUP(INDIRECT(ADDRESS(2,COLUMN())),OFFSET($BN$2,0,0,ROW()-1,60),ROW()-1,FALSE))</f>
        <v>2</v>
      </c>
      <c r="P26" t="str">
        <f ca="1">IF(AND(ISNUMBER($P$183),$B$158=1),$P$183,HLOOKUP(INDIRECT(ADDRESS(2,COLUMN())),OFFSET($BN$2,0,0,ROW()-1,60),ROW()-1,FALSE))</f>
        <v/>
      </c>
      <c r="Q26">
        <f ca="1">IF(AND(ISNUMBER($Q$183),$B$158=1),$Q$183,HLOOKUP(INDIRECT(ADDRESS(2,COLUMN())),OFFSET($BN$2,0,0,ROW()-1,60),ROW()-1,FALSE))</f>
        <v>4</v>
      </c>
      <c r="R26" t="str">
        <f ca="1">IF(AND(ISNUMBER($R$183),$B$158=1),$R$183,HLOOKUP(INDIRECT(ADDRESS(2,COLUMN())),OFFSET($BN$2,0,0,ROW()-1,60),ROW()-1,FALSE))</f>
        <v/>
      </c>
      <c r="S26">
        <f ca="1">IF(AND(ISNUMBER($S$183),$B$158=1),$S$183,HLOOKUP(INDIRECT(ADDRESS(2,COLUMN())),OFFSET($BN$2,0,0,ROW()-1,60),ROW()-1,FALSE))</f>
        <v>0</v>
      </c>
      <c r="T26" t="str">
        <f ca="1">IF(AND(ISNUMBER($T$183),$B$158=1),$T$183,HLOOKUP(INDIRECT(ADDRESS(2,COLUMN())),OFFSET($BN$2,0,0,ROW()-1,60),ROW()-1,FALSE))</f>
        <v/>
      </c>
      <c r="U26">
        <f ca="1">IF(AND(ISNUMBER($U$183),$B$158=1),$U$183,HLOOKUP(INDIRECT(ADDRESS(2,COLUMN())),OFFSET($BN$2,0,0,ROW()-1,60),ROW()-1,FALSE))</f>
        <v>-7</v>
      </c>
      <c r="V26" t="str">
        <f ca="1">IF(AND(ISNUMBER($V$183),$B$158=1),$V$183,HLOOKUP(INDIRECT(ADDRESS(2,COLUMN())),OFFSET($BN$2,0,0,ROW()-1,60),ROW()-1,FALSE))</f>
        <v/>
      </c>
      <c r="W26">
        <f ca="1">IF(AND(ISNUMBER($W$183),$B$158=1),$W$183,HLOOKUP(INDIRECT(ADDRESS(2,COLUMN())),OFFSET($BN$2,0,0,ROW()-1,60),ROW()-1,FALSE))</f>
        <v>-4</v>
      </c>
      <c r="X26">
        <f ca="1">IF(AND(ISNUMBER($X$183),$B$158=1),$X$183,HLOOKUP(INDIRECT(ADDRESS(2,COLUMN())),OFFSET($BN$2,0,0,ROW()-1,60),ROW()-1,FALSE))</f>
        <v>1</v>
      </c>
      <c r="Y26">
        <f ca="1">IF(AND(ISNUMBER($Y$183),$B$158=1),$Y$183,HLOOKUP(INDIRECT(ADDRESS(2,COLUMN())),OFFSET($BN$2,0,0,ROW()-1,60),ROW()-1,FALSE))</f>
        <v>2</v>
      </c>
      <c r="Z26" t="str">
        <f ca="1">IF(AND(ISNUMBER($Z$183),$B$158=1),$Z$183,HLOOKUP(INDIRECT(ADDRESS(2,COLUMN())),OFFSET($BN$2,0,0,ROW()-1,60),ROW()-1,FALSE))</f>
        <v/>
      </c>
      <c r="AA26">
        <f ca="1">IF(AND(ISNUMBER($AA$183),$B$158=1),$AA$183,HLOOKUP(INDIRECT(ADDRESS(2,COLUMN())),OFFSET($BN$2,0,0,ROW()-1,60),ROW()-1,FALSE))</f>
        <v>1</v>
      </c>
      <c r="AB26" t="str">
        <f ca="1">IF(AND(ISNUMBER($AB$183),$B$158=1),$AB$183,HLOOKUP(INDIRECT(ADDRESS(2,COLUMN())),OFFSET($BN$2,0,0,ROW()-1,60),ROW()-1,FALSE))</f>
        <v/>
      </c>
      <c r="AC26">
        <f ca="1">IF(AND(ISNUMBER($AC$183),$B$158=1),$AC$183,HLOOKUP(INDIRECT(ADDRESS(2,COLUMN())),OFFSET($BN$2,0,0,ROW()-1,60),ROW()-1,FALSE))</f>
        <v>0</v>
      </c>
      <c r="AD26" t="str">
        <f ca="1">IF(AND(ISNUMBER($AD$183),$B$158=1),$AD$183,HLOOKUP(INDIRECT(ADDRESS(2,COLUMN())),OFFSET($BN$2,0,0,ROW()-1,60),ROW()-1,FALSE))</f>
        <v/>
      </c>
      <c r="AE26">
        <f ca="1">IF(AND(ISNUMBER($AE$183),$B$158=1),$AE$183,HLOOKUP(INDIRECT(ADDRESS(2,COLUMN())),OFFSET($BN$2,0,0,ROW()-1,60),ROW()-1,FALSE))</f>
        <v>8</v>
      </c>
      <c r="AF26" t="str">
        <f ca="1">IF(AND(ISNUMBER($AF$183),$B$158=1),$AF$183,HLOOKUP(INDIRECT(ADDRESS(2,COLUMN())),OFFSET($BN$2,0,0,ROW()-1,60),ROW()-1,FALSE))</f>
        <v/>
      </c>
      <c r="AG26">
        <f ca="1">IF(AND(ISNUMBER($AG$183),$B$158=1),$AG$183,HLOOKUP(INDIRECT(ADDRESS(2,COLUMN())),OFFSET($BN$2,0,0,ROW()-1,60),ROW()-1,FALSE))</f>
        <v>11</v>
      </c>
      <c r="AH26" t="str">
        <f ca="1">IF(AND(ISNUMBER($AH$183),$B$158=1),$AH$183,HLOOKUP(INDIRECT(ADDRESS(2,COLUMN())),OFFSET($BN$2,0,0,ROW()-1,60),ROW()-1,FALSE))</f>
        <v/>
      </c>
      <c r="AI26" t="str">
        <f ca="1">IF(AND(ISNUMBER($AI$183),$B$158=1),$AI$183,HLOOKUP(INDIRECT(ADDRESS(2,COLUMN())),OFFSET($BN$2,0,0,ROW()-1,60),ROW()-1,FALSE))</f>
        <v/>
      </c>
      <c r="AJ26" t="str">
        <f ca="1">IF(AND(ISNUMBER($AJ$183),$B$158=1),$AJ$183,HLOOKUP(INDIRECT(ADDRESS(2,COLUMN())),OFFSET($BN$2,0,0,ROW()-1,60),ROW()-1,FALSE))</f>
        <v/>
      </c>
      <c r="AK26" t="str">
        <f ca="1">IF(AND(ISNUMBER($AK$183),$B$158=1),$AK$183,HLOOKUP(INDIRECT(ADDRESS(2,COLUMN())),OFFSET($BN$2,0,0,ROW()-1,60),ROW()-1,FALSE))</f>
        <v/>
      </c>
      <c r="AL26" t="str">
        <f ca="1">IF(AND(ISNUMBER($AL$183),$B$158=1),$AL$183,HLOOKUP(INDIRECT(ADDRESS(2,COLUMN())),OFFSET($BN$2,0,0,ROW()-1,60),ROW()-1,FALSE))</f>
        <v/>
      </c>
      <c r="AM26" t="str">
        <f ca="1">IF(AND(ISNUMBER($AM$183),$B$158=1),$AM$183,HLOOKUP(INDIRECT(ADDRESS(2,COLUMN())),OFFSET($BN$2,0,0,ROW()-1,60),ROW()-1,FALSE))</f>
        <v/>
      </c>
      <c r="AN26" t="str">
        <f ca="1">IF(AND(ISNUMBER($AN$183),$B$158=1),$AN$183,HLOOKUP(INDIRECT(ADDRESS(2,COLUMN())),OFFSET($BN$2,0,0,ROW()-1,60),ROW()-1,FALSE))</f>
        <v/>
      </c>
      <c r="AO26" t="str">
        <f ca="1">IF(AND(ISNUMBER($AO$183),$B$158=1),$AO$183,HLOOKUP(INDIRECT(ADDRESS(2,COLUMN())),OFFSET($BN$2,0,0,ROW()-1,60),ROW()-1,FALSE))</f>
        <v/>
      </c>
      <c r="AP26" t="str">
        <f ca="1">IF(AND(ISNUMBER($AP$183),$B$158=1),$AP$183,HLOOKUP(INDIRECT(ADDRESS(2,COLUMN())),OFFSET($BN$2,0,0,ROW()-1,60),ROW()-1,FALSE))</f>
        <v/>
      </c>
      <c r="AQ26" t="str">
        <f ca="1">IF(AND(ISNUMBER($AQ$183),$B$158=1),$AQ$183,HLOOKUP(INDIRECT(ADDRESS(2,COLUMN())),OFFSET($BN$2,0,0,ROW()-1,60),ROW()-1,FALSE))</f>
        <v/>
      </c>
      <c r="AR26" t="str">
        <f ca="1">IF(AND(ISNUMBER($AR$183),$B$158=1),$AR$183,HLOOKUP(INDIRECT(ADDRESS(2,COLUMN())),OFFSET($BN$2,0,0,ROW()-1,60),ROW()-1,FALSE))</f>
        <v/>
      </c>
      <c r="AS26" t="str">
        <f ca="1">IF(AND(ISNUMBER($AS$183),$B$158=1),$AS$183,HLOOKUP(INDIRECT(ADDRESS(2,COLUMN())),OFFSET($BN$2,0,0,ROW()-1,60),ROW()-1,FALSE))</f>
        <v/>
      </c>
      <c r="AT26" t="str">
        <f ca="1">IF(AND(ISNUMBER($AT$183),$B$158=1),$AT$183,HLOOKUP(INDIRECT(ADDRESS(2,COLUMN())),OFFSET($BN$2,0,0,ROW()-1,60),ROW()-1,FALSE))</f>
        <v/>
      </c>
      <c r="AU26" t="str">
        <f ca="1">IF(AND(ISNUMBER($AU$183),$B$158=1),$AU$183,HLOOKUP(INDIRECT(ADDRESS(2,COLUMN())),OFFSET($BN$2,0,0,ROW()-1,60),ROW()-1,FALSE))</f>
        <v/>
      </c>
      <c r="AV26" t="str">
        <f ca="1">IF(AND(ISNUMBER($AV$183),$B$158=1),$AV$183,HLOOKUP(INDIRECT(ADDRESS(2,COLUMN())),OFFSET($BN$2,0,0,ROW()-1,60),ROW()-1,FALSE))</f>
        <v/>
      </c>
      <c r="AW26" t="str">
        <f ca="1">IF(AND(ISNUMBER($AW$183),$B$158=1),$AW$183,HLOOKUP(INDIRECT(ADDRESS(2,COLUMN())),OFFSET($BN$2,0,0,ROW()-1,60),ROW()-1,FALSE))</f>
        <v/>
      </c>
      <c r="AX26" t="str">
        <f ca="1">IF(AND(ISNUMBER($AX$183),$B$158=1),$AX$183,HLOOKUP(INDIRECT(ADDRESS(2,COLUMN())),OFFSET($BN$2,0,0,ROW()-1,60),ROW()-1,FALSE))</f>
        <v/>
      </c>
      <c r="AY26" t="str">
        <f ca="1">IF(AND(ISNUMBER($AY$183),$B$158=1),$AY$183,HLOOKUP(INDIRECT(ADDRESS(2,COLUMN())),OFFSET($BN$2,0,0,ROW()-1,60),ROW()-1,FALSE))</f>
        <v/>
      </c>
      <c r="AZ26" t="str">
        <f ca="1">IF(AND(ISNUMBER($AZ$183),$B$158=1),$AZ$183,HLOOKUP(INDIRECT(ADDRESS(2,COLUMN())),OFFSET($BN$2,0,0,ROW()-1,60),ROW()-1,FALSE))</f>
        <v/>
      </c>
      <c r="BA26" t="str">
        <f ca="1">IF(AND(ISNUMBER($BA$183),$B$158=1),$BA$183,HLOOKUP(INDIRECT(ADDRESS(2,COLUMN())),OFFSET($BN$2,0,0,ROW()-1,60),ROW()-1,FALSE))</f>
        <v/>
      </c>
      <c r="BB26" t="str">
        <f ca="1">IF(AND(ISNUMBER($BB$183),$B$158=1),$BB$183,HLOOKUP(INDIRECT(ADDRESS(2,COLUMN())),OFFSET($BN$2,0,0,ROW()-1,60),ROW()-1,FALSE))</f>
        <v/>
      </c>
      <c r="BC26" t="str">
        <f ca="1">IF(AND(ISNUMBER($BC$183),$B$158=1),$BC$183,HLOOKUP(INDIRECT(ADDRESS(2,COLUMN())),OFFSET($BN$2,0,0,ROW()-1,60),ROW()-1,FALSE))</f>
        <v/>
      </c>
      <c r="BD26" t="str">
        <f ca="1">IF(AND(ISNUMBER($BD$183),$B$158=1),$BD$183,HLOOKUP(INDIRECT(ADDRESS(2,COLUMN())),OFFSET($BN$2,0,0,ROW()-1,60),ROW()-1,FALSE))</f>
        <v/>
      </c>
      <c r="BE26" t="str">
        <f ca="1">IF(AND(ISNUMBER($BE$183),$B$158=1),$BE$183,HLOOKUP(INDIRECT(ADDRESS(2,COLUMN())),OFFSET($BN$2,0,0,ROW()-1,60),ROW()-1,FALSE))</f>
        <v/>
      </c>
      <c r="BF26" t="str">
        <f ca="1">IF(AND(ISNUMBER($BF$183),$B$158=1),$BF$183,HLOOKUP(INDIRECT(ADDRESS(2,COLUMN())),OFFSET($BN$2,0,0,ROW()-1,60),ROW()-1,FALSE))</f>
        <v/>
      </c>
      <c r="BG26" t="str">
        <f ca="1">IF(AND(ISNUMBER($BG$183),$B$158=1),$BG$183,HLOOKUP(INDIRECT(ADDRESS(2,COLUMN())),OFFSET($BN$2,0,0,ROW()-1,60),ROW()-1,FALSE))</f>
        <v/>
      </c>
      <c r="BH26" t="str">
        <f ca="1">IF(AND(ISNUMBER($BH$183),$B$158=1),$BH$183,HLOOKUP(INDIRECT(ADDRESS(2,COLUMN())),OFFSET($BN$2,0,0,ROW()-1,60),ROW()-1,FALSE))</f>
        <v/>
      </c>
      <c r="BI26" t="str">
        <f ca="1">IF(AND(ISNUMBER($BI$183),$B$158=1),$BI$183,HLOOKUP(INDIRECT(ADDRESS(2,COLUMN())),OFFSET($BN$2,0,0,ROW()-1,60),ROW()-1,FALSE))</f>
        <v/>
      </c>
      <c r="BJ26" t="str">
        <f ca="1">IF(AND(ISNUMBER($BJ$183),$B$158=1),$BJ$183,HLOOKUP(INDIRECT(ADDRESS(2,COLUMN())),OFFSET($BN$2,0,0,ROW()-1,60),ROW()-1,FALSE))</f>
        <v/>
      </c>
      <c r="BK26" t="str">
        <f ca="1">IF(AND(ISNUMBER($BK$183),$B$158=1),$BK$183,HLOOKUP(INDIRECT(ADDRESS(2,COLUMN())),OFFSET($BN$2,0,0,ROW()-1,60),ROW()-1,FALSE))</f>
        <v/>
      </c>
      <c r="BL26" t="str">
        <f ca="1">IF(AND(ISNUMBER($BL$183),$B$158=1),$BL$183,HLOOKUP(INDIRECT(ADDRESS(2,COLUMN())),OFFSET($BN$2,0,0,ROW()-1,60),ROW()-1,FALSE))</f>
        <v/>
      </c>
      <c r="BM26" t="str">
        <f ca="1">IF(AND(ISNUMBER($BM$183),$B$158=1),$BM$183,HLOOKUP(INDIRECT(ADDRESS(2,COLUMN())),OFFSET($BN$2,0,0,ROW()-1,60),ROW()-1,FALSE))</f>
        <v/>
      </c>
      <c r="BN26" t="str">
        <f>""</f>
        <v/>
      </c>
      <c r="BO26" t="str">
        <f>""</f>
        <v/>
      </c>
      <c r="BP26" t="str">
        <f>""</f>
        <v/>
      </c>
      <c r="BQ26" t="str">
        <f>""</f>
        <v/>
      </c>
      <c r="BR26" t="str">
        <f>""</f>
        <v/>
      </c>
      <c r="BS26" t="str">
        <f>""</f>
        <v/>
      </c>
      <c r="BT26" t="str">
        <f>""</f>
        <v/>
      </c>
      <c r="BU26">
        <f>1</f>
        <v>1</v>
      </c>
      <c r="BV26" t="str">
        <f>""</f>
        <v/>
      </c>
      <c r="BW26">
        <f>2</f>
        <v>2</v>
      </c>
      <c r="BX26" t="str">
        <f>""</f>
        <v/>
      </c>
      <c r="BY26">
        <f>4</f>
        <v>4</v>
      </c>
      <c r="BZ26" t="str">
        <f>""</f>
        <v/>
      </c>
      <c r="CA26">
        <f>0</f>
        <v>0</v>
      </c>
      <c r="CB26" t="str">
        <f>""</f>
        <v/>
      </c>
      <c r="CC26">
        <f>-7</f>
        <v>-7</v>
      </c>
      <c r="CD26" t="str">
        <f>""</f>
        <v/>
      </c>
      <c r="CE26">
        <f>-4</f>
        <v>-4</v>
      </c>
      <c r="CF26">
        <f>1</f>
        <v>1</v>
      </c>
      <c r="CG26">
        <f>2</f>
        <v>2</v>
      </c>
      <c r="CH26" t="str">
        <f>""</f>
        <v/>
      </c>
      <c r="CI26">
        <f>1</f>
        <v>1</v>
      </c>
      <c r="CJ26" t="str">
        <f>""</f>
        <v/>
      </c>
      <c r="CK26">
        <f>0</f>
        <v>0</v>
      </c>
      <c r="CL26" t="str">
        <f>""</f>
        <v/>
      </c>
      <c r="CM26">
        <f>8</f>
        <v>8</v>
      </c>
      <c r="CN26" t="str">
        <f>""</f>
        <v/>
      </c>
      <c r="CO26">
        <f>11</f>
        <v>11</v>
      </c>
      <c r="CP26" t="str">
        <f>""</f>
        <v/>
      </c>
      <c r="CQ26" t="str">
        <f>""</f>
        <v/>
      </c>
      <c r="CR26" t="str">
        <f>""</f>
        <v/>
      </c>
      <c r="CS26" t="str">
        <f>""</f>
        <v/>
      </c>
      <c r="CT26" t="str">
        <f>""</f>
        <v/>
      </c>
      <c r="CU26" t="str">
        <f>""</f>
        <v/>
      </c>
      <c r="CV26" t="str">
        <f>""</f>
        <v/>
      </c>
      <c r="CW26" t="str">
        <f>""</f>
        <v/>
      </c>
      <c r="CX26" t="str">
        <f>""</f>
        <v/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 x14ac:dyDescent="0.25">
      <c r="A27" t="str">
        <f>"            Brand Breakdown"</f>
        <v xml:space="preserve">            Brand Breakdown</v>
      </c>
      <c r="B27" t="str">
        <f>""</f>
        <v/>
      </c>
      <c r="E27" t="str">
        <f>"Static"</f>
        <v>Static</v>
      </c>
      <c r="F27" t="str">
        <f t="shared" ref="F27:AK27" ca="1" si="18">HLOOKUP(INDIRECT(ADDRESS(2,COLUMN())),OFFSET($BN$2,0,0,ROW()-1,60),ROW()-1,FALSE)</f>
        <v/>
      </c>
      <c r="G27" t="str">
        <f t="shared" ca="1" si="18"/>
        <v/>
      </c>
      <c r="H27" t="str">
        <f t="shared" ca="1" si="18"/>
        <v/>
      </c>
      <c r="I27" t="str">
        <f t="shared" ca="1" si="18"/>
        <v/>
      </c>
      <c r="J27" t="str">
        <f t="shared" ca="1" si="18"/>
        <v/>
      </c>
      <c r="K27" t="str">
        <f t="shared" ca="1" si="18"/>
        <v/>
      </c>
      <c r="L27" t="str">
        <f t="shared" ca="1" si="18"/>
        <v/>
      </c>
      <c r="M27" t="str">
        <f t="shared" ca="1" si="18"/>
        <v/>
      </c>
      <c r="N27" t="str">
        <f t="shared" ca="1" si="18"/>
        <v/>
      </c>
      <c r="O27" t="str">
        <f t="shared" ca="1" si="18"/>
        <v/>
      </c>
      <c r="P27" t="str">
        <f t="shared" ca="1" si="18"/>
        <v/>
      </c>
      <c r="Q27" t="str">
        <f t="shared" ca="1" si="18"/>
        <v/>
      </c>
      <c r="R27" t="str">
        <f t="shared" ca="1" si="18"/>
        <v/>
      </c>
      <c r="S27" t="str">
        <f t="shared" ca="1" si="18"/>
        <v/>
      </c>
      <c r="T27" t="str">
        <f t="shared" ca="1" si="18"/>
        <v/>
      </c>
      <c r="U27" t="str">
        <f t="shared" ca="1" si="18"/>
        <v/>
      </c>
      <c r="V27" t="str">
        <f t="shared" ca="1" si="18"/>
        <v/>
      </c>
      <c r="W27" t="str">
        <f t="shared" ca="1" si="18"/>
        <v/>
      </c>
      <c r="X27" t="str">
        <f t="shared" ca="1" si="18"/>
        <v/>
      </c>
      <c r="Y27" t="str">
        <f t="shared" ca="1" si="18"/>
        <v/>
      </c>
      <c r="Z27" t="str">
        <f t="shared" ca="1" si="18"/>
        <v/>
      </c>
      <c r="AA27" t="str">
        <f t="shared" ca="1" si="18"/>
        <v/>
      </c>
      <c r="AB27" t="str">
        <f t="shared" ca="1" si="18"/>
        <v/>
      </c>
      <c r="AC27" t="str">
        <f t="shared" ca="1" si="18"/>
        <v/>
      </c>
      <c r="AD27" t="str">
        <f t="shared" ca="1" si="18"/>
        <v/>
      </c>
      <c r="AE27" t="str">
        <f t="shared" ca="1" si="18"/>
        <v/>
      </c>
      <c r="AF27" t="str">
        <f t="shared" ca="1" si="18"/>
        <v/>
      </c>
      <c r="AG27" t="str">
        <f t="shared" ca="1" si="18"/>
        <v/>
      </c>
      <c r="AH27" t="str">
        <f t="shared" ca="1" si="18"/>
        <v/>
      </c>
      <c r="AI27" t="str">
        <f t="shared" ca="1" si="18"/>
        <v/>
      </c>
      <c r="AJ27" t="str">
        <f t="shared" ca="1" si="18"/>
        <v/>
      </c>
      <c r="AK27" t="str">
        <f t="shared" ca="1" si="18"/>
        <v/>
      </c>
      <c r="AL27" t="str">
        <f t="shared" ref="AL27:BM27" ca="1" si="19">HLOOKUP(INDIRECT(ADDRESS(2,COLUMN())),OFFSET($BN$2,0,0,ROW()-1,60),ROW()-1,FALSE)</f>
        <v/>
      </c>
      <c r="AM27" t="str">
        <f t="shared" ca="1" si="19"/>
        <v/>
      </c>
      <c r="AN27" t="str">
        <f t="shared" ca="1" si="19"/>
        <v/>
      </c>
      <c r="AO27" t="str">
        <f t="shared" ca="1" si="19"/>
        <v/>
      </c>
      <c r="AP27" t="str">
        <f t="shared" ca="1" si="19"/>
        <v/>
      </c>
      <c r="AQ27" t="str">
        <f t="shared" ca="1" si="19"/>
        <v/>
      </c>
      <c r="AR27" t="str">
        <f t="shared" ca="1" si="19"/>
        <v/>
      </c>
      <c r="AS27" t="str">
        <f t="shared" ca="1" si="19"/>
        <v/>
      </c>
      <c r="AT27" t="str">
        <f t="shared" ca="1" si="19"/>
        <v/>
      </c>
      <c r="AU27" t="str">
        <f t="shared" ca="1" si="19"/>
        <v/>
      </c>
      <c r="AV27" t="str">
        <f t="shared" ca="1" si="19"/>
        <v/>
      </c>
      <c r="AW27" t="str">
        <f t="shared" ca="1" si="19"/>
        <v/>
      </c>
      <c r="AX27" t="str">
        <f t="shared" ca="1" si="19"/>
        <v/>
      </c>
      <c r="AY27" t="str">
        <f t="shared" ca="1" si="19"/>
        <v/>
      </c>
      <c r="AZ27" t="str">
        <f t="shared" ca="1" si="19"/>
        <v/>
      </c>
      <c r="BA27" t="str">
        <f t="shared" ca="1" si="19"/>
        <v/>
      </c>
      <c r="BB27" t="str">
        <f t="shared" ca="1" si="19"/>
        <v/>
      </c>
      <c r="BC27" t="str">
        <f t="shared" ca="1" si="19"/>
        <v/>
      </c>
      <c r="BD27" t="str">
        <f t="shared" ca="1" si="19"/>
        <v/>
      </c>
      <c r="BE27" t="str">
        <f t="shared" ca="1" si="19"/>
        <v/>
      </c>
      <c r="BF27" t="str">
        <f t="shared" ca="1" si="19"/>
        <v/>
      </c>
      <c r="BG27" t="str">
        <f t="shared" ca="1" si="19"/>
        <v/>
      </c>
      <c r="BH27" t="str">
        <f t="shared" ca="1" si="19"/>
        <v/>
      </c>
      <c r="BI27" t="str">
        <f t="shared" ca="1" si="19"/>
        <v/>
      </c>
      <c r="BJ27" t="str">
        <f t="shared" ca="1" si="19"/>
        <v/>
      </c>
      <c r="BK27" t="str">
        <f t="shared" ca="1" si="19"/>
        <v/>
      </c>
      <c r="BL27" t="str">
        <f t="shared" ca="1" si="19"/>
        <v/>
      </c>
      <c r="BM27" t="str">
        <f t="shared" ca="1" si="19"/>
        <v/>
      </c>
      <c r="BN27" t="str">
        <f>""</f>
        <v/>
      </c>
      <c r="BO27" t="str">
        <f>""</f>
        <v/>
      </c>
      <c r="BP27" t="str">
        <f>""</f>
        <v/>
      </c>
      <c r="BQ27" t="str">
        <f>""</f>
        <v/>
      </c>
      <c r="BR27" t="str">
        <f>""</f>
        <v/>
      </c>
      <c r="BS27" t="str">
        <f>""</f>
        <v/>
      </c>
      <c r="BT27" t="str">
        <f>""</f>
        <v/>
      </c>
      <c r="BU27" t="str">
        <f>""</f>
        <v/>
      </c>
      <c r="BV27" t="str">
        <f>""</f>
        <v/>
      </c>
      <c r="BW27" t="str">
        <f>""</f>
        <v/>
      </c>
      <c r="BX27" t="str">
        <f>""</f>
        <v/>
      </c>
      <c r="BY27" t="str">
        <f>""</f>
        <v/>
      </c>
      <c r="BZ27" t="str">
        <f>""</f>
        <v/>
      </c>
      <c r="CA27" t="str">
        <f>""</f>
        <v/>
      </c>
      <c r="CB27" t="str">
        <f>""</f>
        <v/>
      </c>
      <c r="CC27" t="str">
        <f>""</f>
        <v/>
      </c>
      <c r="CD27" t="str">
        <f>""</f>
        <v/>
      </c>
      <c r="CE27" t="str">
        <f>""</f>
        <v/>
      </c>
      <c r="CF27" t="str">
        <f>""</f>
        <v/>
      </c>
      <c r="CG27" t="str">
        <f>""</f>
        <v/>
      </c>
      <c r="CH27" t="str">
        <f>""</f>
        <v/>
      </c>
      <c r="CI27" t="str">
        <f>""</f>
        <v/>
      </c>
      <c r="CJ27" t="str">
        <f>""</f>
        <v/>
      </c>
      <c r="CK27" t="str">
        <f>""</f>
        <v/>
      </c>
      <c r="CL27" t="str">
        <f>""</f>
        <v/>
      </c>
      <c r="CM27" t="str">
        <f>""</f>
        <v/>
      </c>
      <c r="CN27" t="str">
        <f>""</f>
        <v/>
      </c>
      <c r="CO27" t="str">
        <f>""</f>
        <v/>
      </c>
      <c r="CP27" t="str">
        <f>""</f>
        <v/>
      </c>
      <c r="CQ27" t="str">
        <f>""</f>
        <v/>
      </c>
      <c r="CR27" t="str">
        <f>""</f>
        <v/>
      </c>
      <c r="CS27" t="str">
        <f>""</f>
        <v/>
      </c>
      <c r="CT27" t="str">
        <f>""</f>
        <v/>
      </c>
      <c r="CU27" t="str">
        <f>""</f>
        <v/>
      </c>
      <c r="CV27" t="str">
        <f>""</f>
        <v/>
      </c>
      <c r="CW27" t="str">
        <f>""</f>
        <v/>
      </c>
      <c r="CX27" t="str">
        <f>""</f>
        <v/>
      </c>
      <c r="CY27" t="str">
        <f>""</f>
        <v/>
      </c>
      <c r="CZ27" t="str">
        <f>""</f>
        <v/>
      </c>
      <c r="DA27" t="str">
        <f>""</f>
        <v/>
      </c>
      <c r="DB27" t="str">
        <f>""</f>
        <v/>
      </c>
      <c r="DC27" t="str">
        <f>""</f>
        <v/>
      </c>
      <c r="DD27" t="str">
        <f>""</f>
        <v/>
      </c>
      <c r="DE27" t="str">
        <f>""</f>
        <v/>
      </c>
      <c r="DF27" t="str">
        <f>""</f>
        <v/>
      </c>
      <c r="DG27" t="str">
        <f>""</f>
        <v/>
      </c>
      <c r="DH27" t="str">
        <f>""</f>
        <v/>
      </c>
      <c r="DI27" t="str">
        <f>""</f>
        <v/>
      </c>
      <c r="DJ27" t="str">
        <f>""</f>
        <v/>
      </c>
      <c r="DK27" t="str">
        <f>""</f>
        <v/>
      </c>
      <c r="DL27" t="str">
        <f>""</f>
        <v/>
      </c>
      <c r="DM27" t="str">
        <f>""</f>
        <v/>
      </c>
      <c r="DN27" t="str">
        <f>""</f>
        <v/>
      </c>
      <c r="DO27" t="str">
        <f>""</f>
        <v/>
      </c>
      <c r="DP27" t="str">
        <f>""</f>
        <v/>
      </c>
      <c r="DQ27" t="str">
        <f>""</f>
        <v/>
      </c>
      <c r="DR27" t="str">
        <f>""</f>
        <v/>
      </c>
      <c r="DS27" t="str">
        <f>""</f>
        <v/>
      </c>
      <c r="DT27" t="str">
        <f>""</f>
        <v/>
      </c>
      <c r="DU27" t="str">
        <f>""</f>
        <v/>
      </c>
    </row>
    <row r="28" spans="1:125" x14ac:dyDescent="0.25">
      <c r="A28" t="str">
        <f>"                Gucci"</f>
        <v xml:space="preserve">                Gucci</v>
      </c>
      <c r="B28" t="str">
        <f t="shared" ref="B28:B58" si="20">"KER FP Equity"</f>
        <v>KER FP Equity</v>
      </c>
      <c r="C28" t="str">
        <f t="shared" ref="C28:C58" si="21">"BI047"</f>
        <v>BI047</v>
      </c>
      <c r="D28" t="str">
        <f t="shared" ref="D28:D58" si="22">"BICS_SEGMENT_DATA"</f>
        <v>BICS_SEGMENT_DATA</v>
      </c>
      <c r="E28" t="str">
        <f t="shared" ref="E28:E58" si="23">"Dynamic"</f>
        <v>Dynamic</v>
      </c>
      <c r="F28" t="str">
        <f ca="1">IF(AND(ISNUMBER($F$184),$B$158=1),$F$184,HLOOKUP(INDIRECT(ADDRESS(2,COLUMN())),OFFSET($BN$2,0,0,ROW()-1,60),ROW()-1,FALSE))</f>
        <v/>
      </c>
      <c r="G28">
        <f ca="1">IF(AND(ISNUMBER($G$184),$B$158=1),$G$184,HLOOKUP(INDIRECT(ADDRESS(2,COLUMN())),OFFSET($BN$2,0,0,ROW()-1,60),ROW()-1,FALSE))</f>
        <v>4.5</v>
      </c>
      <c r="H28">
        <f ca="1">IF(AND(ISNUMBER($H$184),$B$158=1),$H$184,HLOOKUP(INDIRECT(ADDRESS(2,COLUMN())),OFFSET($BN$2,0,0,ROW()-1,60),ROW()-1,FALSE))</f>
        <v>82.3</v>
      </c>
      <c r="I28">
        <f ca="1">IF(AND(ISNUMBER($I$184),$B$158=1),$I$184,HLOOKUP(INDIRECT(ADDRESS(2,COLUMN())),OFFSET($BN$2,0,0,ROW()-1,60),ROW()-1,FALSE))</f>
        <v>20.2</v>
      </c>
      <c r="J28">
        <f ca="1">IF(AND(ISNUMBER($J$184),$B$158=1),$J$184,HLOOKUP(INDIRECT(ADDRESS(2,COLUMN())),OFFSET($BN$2,0,0,ROW()-1,60),ROW()-1,FALSE))</f>
        <v>-13.5</v>
      </c>
      <c r="K28">
        <f ca="1">IF(AND(ISNUMBER($K$184),$B$158=1),$K$184,HLOOKUP(INDIRECT(ADDRESS(2,COLUMN())),OFFSET($BN$2,0,0,ROW()-1,60),ROW()-1,FALSE))</f>
        <v>-12.1</v>
      </c>
      <c r="L28">
        <f ca="1">IF(AND(ISNUMBER($L$184),$B$158=1),$L$184,HLOOKUP(INDIRECT(ADDRESS(2,COLUMN())),OFFSET($BN$2,0,0,ROW()-1,60),ROW()-1,FALSE))</f>
        <v>-45</v>
      </c>
      <c r="M28">
        <f ca="1">IF(AND(ISNUMBER($M$184),$B$158=1),$M$184,HLOOKUP(INDIRECT(ADDRESS(2,COLUMN())),OFFSET($BN$2,0,0,ROW()-1,60),ROW()-1,FALSE))</f>
        <v>-22.4</v>
      </c>
      <c r="N28">
        <f ca="1">IF(AND(ISNUMBER($N$184),$B$158=1),$N$184,HLOOKUP(INDIRECT(ADDRESS(2,COLUMN())),OFFSET($BN$2,0,0,ROW()-1,60),ROW()-1,FALSE))</f>
        <v>12.9</v>
      </c>
      <c r="O28">
        <f ca="1">IF(AND(ISNUMBER($O$184),$B$158=1),$O$184,HLOOKUP(INDIRECT(ADDRESS(2,COLUMN())),OFFSET($BN$2,0,0,ROW()-1,60),ROW()-1,FALSE))</f>
        <v>13.3</v>
      </c>
      <c r="P28">
        <f ca="1">IF(AND(ISNUMBER($P$184),$B$158=1),$P$184,HLOOKUP(INDIRECT(ADDRESS(2,COLUMN())),OFFSET($BN$2,0,0,ROW()-1,60),ROW()-1,FALSE))</f>
        <v>15.4</v>
      </c>
      <c r="Q28">
        <f ca="1">IF(AND(ISNUMBER($Q$184),$B$158=1),$Q$184,HLOOKUP(INDIRECT(ADDRESS(2,COLUMN())),OFFSET($BN$2,0,0,ROW()-1,60),ROW()-1,FALSE))</f>
        <v>24.6</v>
      </c>
      <c r="R28">
        <f ca="1">IF(AND(ISNUMBER($R$184),$B$158=1),$R$184,HLOOKUP(INDIRECT(ADDRESS(2,COLUMN())),OFFSET($BN$2,0,0,ROW()-1,60),ROW()-1,FALSE))</f>
        <v>28</v>
      </c>
      <c r="S28">
        <f ca="1">IF(AND(ISNUMBER($S$184),$B$158=1),$S$184,HLOOKUP(INDIRECT(ADDRESS(2,COLUMN())),OFFSET($BN$2,0,0,ROW()-1,60),ROW()-1,FALSE))</f>
        <v>34.9</v>
      </c>
      <c r="T28">
        <f ca="1">IF(AND(ISNUMBER($T$184),$B$158=1),$T$184,HLOOKUP(INDIRECT(ADDRESS(2,COLUMN())),OFFSET($BN$2,0,0,ROW()-1,60),ROW()-1,FALSE))</f>
        <v>34.299999999999997</v>
      </c>
      <c r="U28">
        <f ca="1">IF(AND(ISNUMBER($U$184),$B$158=1),$U$184,HLOOKUP(INDIRECT(ADDRESS(2,COLUMN())),OFFSET($BN$2,0,0,ROW()-1,60),ROW()-1,FALSE))</f>
        <v>19.7</v>
      </c>
      <c r="V28">
        <f ca="1">IF(AND(ISNUMBER($V$184),$B$158=1),$V$184,HLOOKUP(INDIRECT(ADDRESS(2,COLUMN())),OFFSET($BN$2,0,0,ROW()-1,60),ROW()-1,FALSE))</f>
        <v>35.9</v>
      </c>
      <c r="W28">
        <f ca="1">IF(AND(ISNUMBER($W$184),$B$158=1),$W$184,HLOOKUP(INDIRECT(ADDRESS(2,COLUMN())),OFFSET($BN$2,0,0,ROW()-1,60),ROW()-1,FALSE))</f>
        <v>42.8</v>
      </c>
      <c r="X28">
        <f ca="1">IF(AND(ISNUMBER($X$184),$B$158=1),$X$184,HLOOKUP(INDIRECT(ADDRESS(2,COLUMN())),OFFSET($BN$2,0,0,ROW()-1,60),ROW()-1,FALSE))</f>
        <v>40.4</v>
      </c>
      <c r="Y28">
        <f ca="1">IF(AND(ISNUMBER($Y$184),$B$158=1),$Y$184,HLOOKUP(INDIRECT(ADDRESS(2,COLUMN())),OFFSET($BN$2,0,0,ROW()-1,60),ROW()-1,FALSE))</f>
        <v>51.4</v>
      </c>
      <c r="Z28">
        <f ca="1">IF(AND(ISNUMBER($Z$184),$B$158=1),$Z$184,HLOOKUP(INDIRECT(ADDRESS(2,COLUMN())),OFFSET($BN$2,0,0,ROW()-1,60),ROW()-1,FALSE))</f>
        <v>22.1</v>
      </c>
      <c r="AA28">
        <f ca="1">IF(AND(ISNUMBER($AA$184),$B$158=1),$AA$184,HLOOKUP(INDIRECT(ADDRESS(2,COLUMN())),OFFSET($BN$2,0,0,ROW()-1,60),ROW()-1,FALSE))</f>
        <v>17.8</v>
      </c>
      <c r="AB28">
        <f ca="1">IF(AND(ISNUMBER($AB$184),$B$158=1),$AB$184,HLOOKUP(INDIRECT(ADDRESS(2,COLUMN())),OFFSET($BN$2,0,0,ROW()-1,60),ROW()-1,FALSE))</f>
        <v>4.8</v>
      </c>
      <c r="AC28">
        <f ca="1">IF(AND(ISNUMBER($AC$184),$B$158=1),$AC$184,HLOOKUP(INDIRECT(ADDRESS(2,COLUMN())),OFFSET($BN$2,0,0,ROW()-1,60),ROW()-1,FALSE))</f>
        <v>2.9</v>
      </c>
      <c r="AD28">
        <f ca="1">IF(AND(ISNUMBER($AD$184),$B$158=1),$AD$184,HLOOKUP(INDIRECT(ADDRESS(2,COLUMN())),OFFSET($BN$2,0,0,ROW()-1,60),ROW()-1,FALSE))</f>
        <v>13.4</v>
      </c>
      <c r="AE28">
        <f ca="1">IF(AND(ISNUMBER($AE$184),$B$158=1),$AE$184,HLOOKUP(INDIRECT(ADDRESS(2,COLUMN())),OFFSET($BN$2,0,0,ROW()-1,60),ROW()-1,FALSE))</f>
        <v>8.6</v>
      </c>
      <c r="AF28">
        <f ca="1">IF(AND(ISNUMBER($AF$184),$B$158=1),$AF$184,HLOOKUP(INDIRECT(ADDRESS(2,COLUMN())),OFFSET($BN$2,0,0,ROW()-1,60),ROW()-1,FALSE))</f>
        <v>19.899999999999999</v>
      </c>
      <c r="AG28">
        <f ca="1">IF(AND(ISNUMBER($AG$184),$B$158=1),$AG$184,HLOOKUP(INDIRECT(ADDRESS(2,COLUMN())),OFFSET($BN$2,0,0,ROW()-1,60),ROW()-1,FALSE))</f>
        <v>3.7</v>
      </c>
      <c r="AH28">
        <f ca="1">IF(AND(ISNUMBER($AH$184),$B$158=1),$AH$184,HLOOKUP(INDIRECT(ADDRESS(2,COLUMN())),OFFSET($BN$2,0,0,ROW()-1,60),ROW()-1,FALSE))</f>
        <v>3</v>
      </c>
      <c r="AI28">
        <f ca="1">IF(AND(ISNUMBER($AI$184),$B$158=1),$AI$184,HLOOKUP(INDIRECT(ADDRESS(2,COLUMN())),OFFSET($BN$2,0,0,ROW()-1,60),ROW()-1,FALSE))</f>
        <v>10.7</v>
      </c>
      <c r="AJ28">
        <f ca="1">IF(AND(ISNUMBER($AJ$184),$B$158=1),$AJ$184,HLOOKUP(INDIRECT(ADDRESS(2,COLUMN())),OFFSET($BN$2,0,0,ROW()-1,60),ROW()-1,FALSE))</f>
        <v>-5.7</v>
      </c>
      <c r="AK28">
        <f ca="1">IF(AND(ISNUMBER($AK$184),$B$158=1),$AK$184,HLOOKUP(INDIRECT(ADDRESS(2,COLUMN())),OFFSET($BN$2,0,0,ROW()-1,60),ROW()-1,FALSE))</f>
        <v>-3.2</v>
      </c>
      <c r="AL28">
        <f ca="1">IF(AND(ISNUMBER($AL$184),$B$158=1),$AL$184,HLOOKUP(INDIRECT(ADDRESS(2,COLUMN())),OFFSET($BN$2,0,0,ROW()-1,60),ROW()-1,FALSE))</f>
        <v>-5.5</v>
      </c>
      <c r="AM28">
        <f ca="1">IF(AND(ISNUMBER($AM$184),$B$158=1),$AM$184,HLOOKUP(INDIRECT(ADDRESS(2,COLUMN())),OFFSET($BN$2,0,0,ROW()-1,60),ROW()-1,FALSE))</f>
        <v>-5.4</v>
      </c>
      <c r="AN28">
        <f ca="1">IF(AND(ISNUMBER($AN$184),$B$158=1),$AN$184,HLOOKUP(INDIRECT(ADDRESS(2,COLUMN())),OFFSET($BN$2,0,0,ROW()-1,60),ROW()-1,FALSE))</f>
        <v>1</v>
      </c>
      <c r="AO28">
        <f ca="1">IF(AND(ISNUMBER($AO$184),$B$158=1),$AO$184,HLOOKUP(INDIRECT(ADDRESS(2,COLUMN())),OFFSET($BN$2,0,0,ROW()-1,60),ROW()-1,FALSE))</f>
        <v>2.1</v>
      </c>
      <c r="AP28" t="str">
        <f ca="1">IF(AND(ISNUMBER($AP$184),$B$158=1),$AP$184,HLOOKUP(INDIRECT(ADDRESS(2,COLUMN())),OFFSET($BN$2,0,0,ROW()-1,60),ROW()-1,FALSE))</f>
        <v/>
      </c>
      <c r="AQ28" t="str">
        <f ca="1">IF(AND(ISNUMBER($AQ$184),$B$158=1),$AQ$184,HLOOKUP(INDIRECT(ADDRESS(2,COLUMN())),OFFSET($BN$2,0,0,ROW()-1,60),ROW()-1,FALSE))</f>
        <v/>
      </c>
      <c r="AR28" t="str">
        <f ca="1">IF(AND(ISNUMBER($AR$184),$B$158=1),$AR$184,HLOOKUP(INDIRECT(ADDRESS(2,COLUMN())),OFFSET($BN$2,0,0,ROW()-1,60),ROW()-1,FALSE))</f>
        <v/>
      </c>
      <c r="AS28" t="str">
        <f ca="1">IF(AND(ISNUMBER($AS$184),$B$158=1),$AS$184,HLOOKUP(INDIRECT(ADDRESS(2,COLUMN())),OFFSET($BN$2,0,0,ROW()-1,60),ROW()-1,FALSE))</f>
        <v/>
      </c>
      <c r="AT28" t="str">
        <f ca="1">IF(AND(ISNUMBER($AT$184),$B$158=1),$AT$184,HLOOKUP(INDIRECT(ADDRESS(2,COLUMN())),OFFSET($BN$2,0,0,ROW()-1,60),ROW()-1,FALSE))</f>
        <v/>
      </c>
      <c r="AU28" t="str">
        <f ca="1">IF(AND(ISNUMBER($AU$184),$B$158=1),$AU$184,HLOOKUP(INDIRECT(ADDRESS(2,COLUMN())),OFFSET($BN$2,0,0,ROW()-1,60),ROW()-1,FALSE))</f>
        <v/>
      </c>
      <c r="AV28" t="str">
        <f ca="1">IF(AND(ISNUMBER($AV$184),$B$158=1),$AV$184,HLOOKUP(INDIRECT(ADDRESS(2,COLUMN())),OFFSET($BN$2,0,0,ROW()-1,60),ROW()-1,FALSE))</f>
        <v/>
      </c>
      <c r="AW28" t="str">
        <f ca="1">IF(AND(ISNUMBER($AW$184),$B$158=1),$AW$184,HLOOKUP(INDIRECT(ADDRESS(2,COLUMN())),OFFSET($BN$2,0,0,ROW()-1,60),ROW()-1,FALSE))</f>
        <v/>
      </c>
      <c r="AX28" t="str">
        <f ca="1">IF(AND(ISNUMBER($AX$184),$B$158=1),$AX$184,HLOOKUP(INDIRECT(ADDRESS(2,COLUMN())),OFFSET($BN$2,0,0,ROW()-1,60),ROW()-1,FALSE))</f>
        <v/>
      </c>
      <c r="AY28" t="str">
        <f ca="1">IF(AND(ISNUMBER($AY$184),$B$158=1),$AY$184,HLOOKUP(INDIRECT(ADDRESS(2,COLUMN())),OFFSET($BN$2,0,0,ROW()-1,60),ROW()-1,FALSE))</f>
        <v/>
      </c>
      <c r="AZ28" t="str">
        <f ca="1">IF(AND(ISNUMBER($AZ$184),$B$158=1),$AZ$184,HLOOKUP(INDIRECT(ADDRESS(2,COLUMN())),OFFSET($BN$2,0,0,ROW()-1,60),ROW()-1,FALSE))</f>
        <v/>
      </c>
      <c r="BA28" t="str">
        <f ca="1">IF(AND(ISNUMBER($BA$184),$B$158=1),$BA$184,HLOOKUP(INDIRECT(ADDRESS(2,COLUMN())),OFFSET($BN$2,0,0,ROW()-1,60),ROW()-1,FALSE))</f>
        <v/>
      </c>
      <c r="BB28" t="str">
        <f ca="1">IF(AND(ISNUMBER($BB$184),$B$158=1),$BB$184,HLOOKUP(INDIRECT(ADDRESS(2,COLUMN())),OFFSET($BN$2,0,0,ROW()-1,60),ROW()-1,FALSE))</f>
        <v/>
      </c>
      <c r="BC28" t="str">
        <f ca="1">IF(AND(ISNUMBER($BC$184),$B$158=1),$BC$184,HLOOKUP(INDIRECT(ADDRESS(2,COLUMN())),OFFSET($BN$2,0,0,ROW()-1,60),ROW()-1,FALSE))</f>
        <v/>
      </c>
      <c r="BD28" t="str">
        <f ca="1">IF(AND(ISNUMBER($BD$184),$B$158=1),$BD$184,HLOOKUP(INDIRECT(ADDRESS(2,COLUMN())),OFFSET($BN$2,0,0,ROW()-1,60),ROW()-1,FALSE))</f>
        <v/>
      </c>
      <c r="BE28" t="str">
        <f ca="1">IF(AND(ISNUMBER($BE$184),$B$158=1),$BE$184,HLOOKUP(INDIRECT(ADDRESS(2,COLUMN())),OFFSET($BN$2,0,0,ROW()-1,60),ROW()-1,FALSE))</f>
        <v/>
      </c>
      <c r="BF28" t="str">
        <f ca="1">IF(AND(ISNUMBER($BF$184),$B$158=1),$BF$184,HLOOKUP(INDIRECT(ADDRESS(2,COLUMN())),OFFSET($BN$2,0,0,ROW()-1,60),ROW()-1,FALSE))</f>
        <v/>
      </c>
      <c r="BG28" t="str">
        <f ca="1">IF(AND(ISNUMBER($BG$184),$B$158=1),$BG$184,HLOOKUP(INDIRECT(ADDRESS(2,COLUMN())),OFFSET($BN$2,0,0,ROW()-1,60),ROW()-1,FALSE))</f>
        <v/>
      </c>
      <c r="BH28" t="str">
        <f ca="1">IF(AND(ISNUMBER($BH$184),$B$158=1),$BH$184,HLOOKUP(INDIRECT(ADDRESS(2,COLUMN())),OFFSET($BN$2,0,0,ROW()-1,60),ROW()-1,FALSE))</f>
        <v/>
      </c>
      <c r="BI28" t="str">
        <f ca="1">IF(AND(ISNUMBER($BI$184),$B$158=1),$BI$184,HLOOKUP(INDIRECT(ADDRESS(2,COLUMN())),OFFSET($BN$2,0,0,ROW()-1,60),ROW()-1,FALSE))</f>
        <v/>
      </c>
      <c r="BJ28" t="str">
        <f ca="1">IF(AND(ISNUMBER($BJ$184),$B$158=1),$BJ$184,HLOOKUP(INDIRECT(ADDRESS(2,COLUMN())),OFFSET($BN$2,0,0,ROW()-1,60),ROW()-1,FALSE))</f>
        <v/>
      </c>
      <c r="BK28" t="str">
        <f ca="1">IF(AND(ISNUMBER($BK$184),$B$158=1),$BK$184,HLOOKUP(INDIRECT(ADDRESS(2,COLUMN())),OFFSET($BN$2,0,0,ROW()-1,60),ROW()-1,FALSE))</f>
        <v/>
      </c>
      <c r="BL28" t="str">
        <f ca="1">IF(AND(ISNUMBER($BL$184),$B$158=1),$BL$184,HLOOKUP(INDIRECT(ADDRESS(2,COLUMN())),OFFSET($BN$2,0,0,ROW()-1,60),ROW()-1,FALSE))</f>
        <v/>
      </c>
      <c r="BM28" t="str">
        <f ca="1">IF(AND(ISNUMBER($BM$184),$B$158=1),$BM$184,HLOOKUP(INDIRECT(ADDRESS(2,COLUMN())),OFFSET($BN$2,0,0,ROW()-1,60),ROW()-1,FALSE))</f>
        <v/>
      </c>
      <c r="BN28" t="str">
        <f>""</f>
        <v/>
      </c>
      <c r="BO28">
        <f>4.5</f>
        <v>4.5</v>
      </c>
      <c r="BP28">
        <f>82.3</f>
        <v>82.3</v>
      </c>
      <c r="BQ28">
        <f>20.2</f>
        <v>20.2</v>
      </c>
      <c r="BR28">
        <f>-13.5</f>
        <v>-13.5</v>
      </c>
      <c r="BS28">
        <f>-12.1</f>
        <v>-12.1</v>
      </c>
      <c r="BT28">
        <f>-45</f>
        <v>-45</v>
      </c>
      <c r="BU28">
        <f>-22.4</f>
        <v>-22.4</v>
      </c>
      <c r="BV28">
        <f>12.9</f>
        <v>12.9</v>
      </c>
      <c r="BW28">
        <f>13.3</f>
        <v>13.3</v>
      </c>
      <c r="BX28">
        <f>15.4</f>
        <v>15.4</v>
      </c>
      <c r="BY28">
        <f>24.6</f>
        <v>24.6</v>
      </c>
      <c r="BZ28">
        <f>28</f>
        <v>28</v>
      </c>
      <c r="CA28">
        <f>34.9</f>
        <v>34.9</v>
      </c>
      <c r="CB28">
        <f>34.3</f>
        <v>34.299999999999997</v>
      </c>
      <c r="CC28">
        <f>19.7</f>
        <v>19.7</v>
      </c>
      <c r="CD28">
        <f>35.9</f>
        <v>35.9</v>
      </c>
      <c r="CE28">
        <f>42.8</f>
        <v>42.8</v>
      </c>
      <c r="CF28">
        <f>40.4</f>
        <v>40.4</v>
      </c>
      <c r="CG28">
        <f>51.4</f>
        <v>51.4</v>
      </c>
      <c r="CH28">
        <f>22.1</f>
        <v>22.1</v>
      </c>
      <c r="CI28">
        <f>17.8</f>
        <v>17.8</v>
      </c>
      <c r="CJ28">
        <f>4.8</f>
        <v>4.8</v>
      </c>
      <c r="CK28">
        <f>2.9</f>
        <v>2.9</v>
      </c>
      <c r="CL28">
        <f>13.4</f>
        <v>13.4</v>
      </c>
      <c r="CM28">
        <f>8.6</f>
        <v>8.6</v>
      </c>
      <c r="CN28">
        <f>19.9</f>
        <v>19.899999999999999</v>
      </c>
      <c r="CO28">
        <f>3.7</f>
        <v>3.7</v>
      </c>
      <c r="CP28">
        <f>3</f>
        <v>3</v>
      </c>
      <c r="CQ28">
        <f>10.7</f>
        <v>10.7</v>
      </c>
      <c r="CR28">
        <f>-5.7</f>
        <v>-5.7</v>
      </c>
      <c r="CS28">
        <f>-3.2</f>
        <v>-3.2</v>
      </c>
      <c r="CT28">
        <f>-5.5</f>
        <v>-5.5</v>
      </c>
      <c r="CU28">
        <f>-5.4</f>
        <v>-5.4</v>
      </c>
      <c r="CV28">
        <f>1</f>
        <v>1</v>
      </c>
      <c r="CW28">
        <f>2.1</f>
        <v>2.1</v>
      </c>
      <c r="CX28" t="str">
        <f>""</f>
        <v/>
      </c>
      <c r="CY28" t="str">
        <f>""</f>
        <v/>
      </c>
      <c r="CZ28" t="str">
        <f>""</f>
        <v/>
      </c>
      <c r="DA28" t="str">
        <f>""</f>
        <v/>
      </c>
      <c r="DB28" t="str">
        <f>""</f>
        <v/>
      </c>
      <c r="DC28" t="str">
        <f>""</f>
        <v/>
      </c>
      <c r="DD28" t="str">
        <f>""</f>
        <v/>
      </c>
      <c r="DE28" t="str">
        <f>""</f>
        <v/>
      </c>
      <c r="DF28" t="str">
        <f>""</f>
        <v/>
      </c>
      <c r="DG28" t="str">
        <f>""</f>
        <v/>
      </c>
      <c r="DH28" t="str">
        <f>""</f>
        <v/>
      </c>
      <c r="DI28" t="str">
        <f>""</f>
        <v/>
      </c>
      <c r="DJ28" t="str">
        <f>""</f>
        <v/>
      </c>
      <c r="DK28" t="str">
        <f>""</f>
        <v/>
      </c>
      <c r="DL28" t="str">
        <f>""</f>
        <v/>
      </c>
      <c r="DM28" t="str">
        <f>""</f>
        <v/>
      </c>
      <c r="DN28" t="str">
        <f>""</f>
        <v/>
      </c>
      <c r="DO28" t="str">
        <f>""</f>
        <v/>
      </c>
      <c r="DP28" t="str">
        <f>""</f>
        <v/>
      </c>
      <c r="DQ28" t="str">
        <f>""</f>
        <v/>
      </c>
      <c r="DR28" t="str">
        <f>""</f>
        <v/>
      </c>
      <c r="DS28" t="str">
        <f>""</f>
        <v/>
      </c>
      <c r="DT28" t="str">
        <f>""</f>
        <v/>
      </c>
      <c r="DU28" t="str">
        <f>""</f>
        <v/>
      </c>
    </row>
    <row r="29" spans="1:125" x14ac:dyDescent="0.25">
      <c r="A29" t="str">
        <f>"                    Retail"</f>
        <v xml:space="preserve">                    Retail</v>
      </c>
      <c r="B29" t="str">
        <f t="shared" si="20"/>
        <v>KER FP Equity</v>
      </c>
      <c r="C29" t="str">
        <f t="shared" si="21"/>
        <v>BI047</v>
      </c>
      <c r="D29" t="str">
        <f t="shared" si="22"/>
        <v>BICS_SEGMENT_DATA</v>
      </c>
      <c r="E29" t="str">
        <f t="shared" si="23"/>
        <v>Dynamic</v>
      </c>
      <c r="F29" t="str">
        <f ca="1">IF(AND(ISNUMBER($F$185),$B$158=1),$F$185,HLOOKUP(INDIRECT(ADDRESS(2,COLUMN())),OFFSET($BN$2,0,0,ROW()-1,60),ROW()-1,FALSE))</f>
        <v/>
      </c>
      <c r="G29">
        <f ca="1">IF(AND(ISNUMBER($G$185),$B$158=1),$G$185,HLOOKUP(INDIRECT(ADDRESS(2,COLUMN())),OFFSET($BN$2,0,0,ROW()-1,60),ROW()-1,FALSE))</f>
        <v>7</v>
      </c>
      <c r="H29">
        <f ca="1">IF(AND(ISNUMBER($H$185),$B$158=1),$H$185,HLOOKUP(INDIRECT(ADDRESS(2,COLUMN())),OFFSET($BN$2,0,0,ROW()-1,60),ROW()-1,FALSE))</f>
        <v>93</v>
      </c>
      <c r="I29">
        <f ca="1">IF(AND(ISNUMBER($I$185),$B$158=1),$I$185,HLOOKUP(INDIRECT(ADDRESS(2,COLUMN())),OFFSET($BN$2,0,0,ROW()-1,60),ROW()-1,FALSE))</f>
        <v>34</v>
      </c>
      <c r="J29">
        <f ca="1">IF(AND(ISNUMBER($J$185),$B$158=1),$J$185,HLOOKUP(INDIRECT(ADDRESS(2,COLUMN())),OFFSET($BN$2,0,0,ROW()-1,60),ROW()-1,FALSE))</f>
        <v>-7</v>
      </c>
      <c r="K29">
        <f ca="1">IF(AND(ISNUMBER($K$185),$B$158=1),$K$185,HLOOKUP(INDIRECT(ADDRESS(2,COLUMN())),OFFSET($BN$2,0,0,ROW()-1,60),ROW()-1,FALSE))</f>
        <v>-4</v>
      </c>
      <c r="L29">
        <f ca="1">IF(AND(ISNUMBER($L$185),$B$158=1),$L$185,HLOOKUP(INDIRECT(ADDRESS(2,COLUMN())),OFFSET($BN$2,0,0,ROW()-1,60),ROW()-1,FALSE))</f>
        <v>-43</v>
      </c>
      <c r="M29">
        <f ca="1">IF(AND(ISNUMBER($M$185),$B$158=1),$M$185,HLOOKUP(INDIRECT(ADDRESS(2,COLUMN())),OFFSET($BN$2,0,0,ROW()-1,60),ROW()-1,FALSE))</f>
        <v>-24</v>
      </c>
      <c r="N29">
        <f ca="1">IF(AND(ISNUMBER($N$185),$B$158=1),$N$185,HLOOKUP(INDIRECT(ADDRESS(2,COLUMN())),OFFSET($BN$2,0,0,ROW()-1,60),ROW()-1,FALSE))</f>
        <v>10</v>
      </c>
      <c r="O29">
        <f ca="1">IF(AND(ISNUMBER($O$185),$B$158=1),$O$185,HLOOKUP(INDIRECT(ADDRESS(2,COLUMN())),OFFSET($BN$2,0,0,ROW()-1,60),ROW()-1,FALSE))</f>
        <v>11</v>
      </c>
      <c r="P29">
        <f ca="1">IF(AND(ISNUMBER($P$185),$B$158=1),$P$185,HLOOKUP(INDIRECT(ADDRESS(2,COLUMN())),OFFSET($BN$2,0,0,ROW()-1,60),ROW()-1,FALSE))</f>
        <v>12</v>
      </c>
      <c r="Q29">
        <f ca="1">IF(AND(ISNUMBER($Q$185),$B$158=1),$Q$185,HLOOKUP(INDIRECT(ADDRESS(2,COLUMN())),OFFSET($BN$2,0,0,ROW()-1,60),ROW()-1,FALSE))</f>
        <v>20</v>
      </c>
      <c r="R29">
        <f ca="1">IF(AND(ISNUMBER($R$185),$B$158=1),$R$185,HLOOKUP(INDIRECT(ADDRESS(2,COLUMN())),OFFSET($BN$2,0,0,ROW()-1,60),ROW()-1,FALSE))</f>
        <v>29</v>
      </c>
      <c r="S29">
        <f ca="1">IF(AND(ISNUMBER($S$185),$B$158=1),$S$185,HLOOKUP(INDIRECT(ADDRESS(2,COLUMN())),OFFSET($BN$2,0,0,ROW()-1,60),ROW()-1,FALSE))</f>
        <v>35</v>
      </c>
      <c r="T29">
        <f ca="1">IF(AND(ISNUMBER($T$185),$B$158=1),$T$185,HLOOKUP(INDIRECT(ADDRESS(2,COLUMN())),OFFSET($BN$2,0,0,ROW()-1,60),ROW()-1,FALSE))</f>
        <v>43</v>
      </c>
      <c r="U29">
        <f ca="1">IF(AND(ISNUMBER($U$185),$B$158=1),$U$185,HLOOKUP(INDIRECT(ADDRESS(2,COLUMN())),OFFSET($BN$2,0,0,ROW()-1,60),ROW()-1,FALSE))</f>
        <v>50</v>
      </c>
      <c r="V29">
        <f ca="1">IF(AND(ISNUMBER($V$185),$B$158=1),$V$185,HLOOKUP(INDIRECT(ADDRESS(2,COLUMN())),OFFSET($BN$2,0,0,ROW()-1,60),ROW()-1,FALSE))</f>
        <v>45</v>
      </c>
      <c r="W29">
        <f ca="1">IF(AND(ISNUMBER($W$185),$B$158=1),$W$185,HLOOKUP(INDIRECT(ADDRESS(2,COLUMN())),OFFSET($BN$2,0,0,ROW()-1,60),ROW()-1,FALSE))</f>
        <v>51</v>
      </c>
      <c r="X29">
        <f ca="1">IF(AND(ISNUMBER($X$185),$B$158=1),$X$185,HLOOKUP(INDIRECT(ADDRESS(2,COLUMN())),OFFSET($BN$2,0,0,ROW()-1,60),ROW()-1,FALSE))</f>
        <v>42</v>
      </c>
      <c r="Y29">
        <f ca="1">IF(AND(ISNUMBER($Y$185),$B$158=1),$Y$185,HLOOKUP(INDIRECT(ADDRESS(2,COLUMN())),OFFSET($BN$2,0,0,ROW()-1,60),ROW()-1,FALSE))</f>
        <v>51</v>
      </c>
      <c r="Z29">
        <f ca="1">IF(AND(ISNUMBER($Z$185),$B$158=1),$Z$185,HLOOKUP(INDIRECT(ADDRESS(2,COLUMN())),OFFSET($BN$2,0,0,ROW()-1,60),ROW()-1,FALSE))</f>
        <v>28</v>
      </c>
      <c r="AA29">
        <f ca="1">IF(AND(ISNUMBER($AA$185),$B$158=1),$AA$185,HLOOKUP(INDIRECT(ADDRESS(2,COLUMN())),OFFSET($BN$2,0,0,ROW()-1,60),ROW()-1,FALSE))</f>
        <v>19</v>
      </c>
      <c r="AB29">
        <f ca="1">IF(AND(ISNUMBER($AB$185),$B$158=1),$AB$185,HLOOKUP(INDIRECT(ADDRESS(2,COLUMN())),OFFSET($BN$2,0,0,ROW()-1,60),ROW()-1,FALSE))</f>
        <v>7</v>
      </c>
      <c r="AC29">
        <f ca="1">IF(AND(ISNUMBER($AC$185),$B$158=1),$AC$185,HLOOKUP(INDIRECT(ADDRESS(2,COLUMN())),OFFSET($BN$2,0,0,ROW()-1,60),ROW()-1,FALSE))</f>
        <v>3</v>
      </c>
      <c r="AD29" t="str">
        <f ca="1">IF(AND(ISNUMBER($AD$185),$B$158=1),$AD$185,HLOOKUP(INDIRECT(ADDRESS(2,COLUMN())),OFFSET($BN$2,0,0,ROW()-1,60),ROW()-1,FALSE))</f>
        <v/>
      </c>
      <c r="AE29" t="str">
        <f ca="1">IF(AND(ISNUMBER($AE$185),$B$158=1),$AE$185,HLOOKUP(INDIRECT(ADDRESS(2,COLUMN())),OFFSET($BN$2,0,0,ROW()-1,60),ROW()-1,FALSE))</f>
        <v/>
      </c>
      <c r="AF29" t="str">
        <f ca="1">IF(AND(ISNUMBER($AF$185),$B$158=1),$AF$185,HLOOKUP(INDIRECT(ADDRESS(2,COLUMN())),OFFSET($BN$2,0,0,ROW()-1,60),ROW()-1,FALSE))</f>
        <v/>
      </c>
      <c r="AG29" t="str">
        <f ca="1">IF(AND(ISNUMBER($AG$185),$B$158=1),$AG$185,HLOOKUP(INDIRECT(ADDRESS(2,COLUMN())),OFFSET($BN$2,0,0,ROW()-1,60),ROW()-1,FALSE))</f>
        <v/>
      </c>
      <c r="AH29" t="str">
        <f ca="1">IF(AND(ISNUMBER($AH$185),$B$158=1),$AH$185,HLOOKUP(INDIRECT(ADDRESS(2,COLUMN())),OFFSET($BN$2,0,0,ROW()-1,60),ROW()-1,FALSE))</f>
        <v/>
      </c>
      <c r="AI29" t="str">
        <f ca="1">IF(AND(ISNUMBER($AI$185),$B$158=1),$AI$185,HLOOKUP(INDIRECT(ADDRESS(2,COLUMN())),OFFSET($BN$2,0,0,ROW()-1,60),ROW()-1,FALSE))</f>
        <v/>
      </c>
      <c r="AJ29" t="str">
        <f ca="1">IF(AND(ISNUMBER($AJ$185),$B$158=1),$AJ$185,HLOOKUP(INDIRECT(ADDRESS(2,COLUMN())),OFFSET($BN$2,0,0,ROW()-1,60),ROW()-1,FALSE))</f>
        <v/>
      </c>
      <c r="AK29">
        <f ca="1">IF(AND(ISNUMBER($AK$185),$B$158=1),$AK$185,HLOOKUP(INDIRECT(ADDRESS(2,COLUMN())),OFFSET($BN$2,0,0,ROW()-1,60),ROW()-1,FALSE))</f>
        <v>6</v>
      </c>
      <c r="AL29" t="str">
        <f ca="1">IF(AND(ISNUMBER($AL$185),$B$158=1),$AL$185,HLOOKUP(INDIRECT(ADDRESS(2,COLUMN())),OFFSET($BN$2,0,0,ROW()-1,60),ROW()-1,FALSE))</f>
        <v/>
      </c>
      <c r="AM29" t="str">
        <f ca="1">IF(AND(ISNUMBER($AM$185),$B$158=1),$AM$185,HLOOKUP(INDIRECT(ADDRESS(2,COLUMN())),OFFSET($BN$2,0,0,ROW()-1,60),ROW()-1,FALSE))</f>
        <v/>
      </c>
      <c r="AN29" t="str">
        <f ca="1">IF(AND(ISNUMBER($AN$185),$B$158=1),$AN$185,HLOOKUP(INDIRECT(ADDRESS(2,COLUMN())),OFFSET($BN$2,0,0,ROW()-1,60),ROW()-1,FALSE))</f>
        <v/>
      </c>
      <c r="AO29" t="str">
        <f ca="1">IF(AND(ISNUMBER($AO$185),$B$158=1),$AO$185,HLOOKUP(INDIRECT(ADDRESS(2,COLUMN())),OFFSET($BN$2,0,0,ROW()-1,60),ROW()-1,FALSE))</f>
        <v/>
      </c>
      <c r="AP29" t="str">
        <f ca="1">IF(AND(ISNUMBER($AP$185),$B$158=1),$AP$185,HLOOKUP(INDIRECT(ADDRESS(2,COLUMN())),OFFSET($BN$2,0,0,ROW()-1,60),ROW()-1,FALSE))</f>
        <v/>
      </c>
      <c r="AQ29" t="str">
        <f ca="1">IF(AND(ISNUMBER($AQ$185),$B$158=1),$AQ$185,HLOOKUP(INDIRECT(ADDRESS(2,COLUMN())),OFFSET($BN$2,0,0,ROW()-1,60),ROW()-1,FALSE))</f>
        <v/>
      </c>
      <c r="AR29" t="str">
        <f ca="1">IF(AND(ISNUMBER($AR$185),$B$158=1),$AR$185,HLOOKUP(INDIRECT(ADDRESS(2,COLUMN())),OFFSET($BN$2,0,0,ROW()-1,60),ROW()-1,FALSE))</f>
        <v/>
      </c>
      <c r="AS29" t="str">
        <f ca="1">IF(AND(ISNUMBER($AS$185),$B$158=1),$AS$185,HLOOKUP(INDIRECT(ADDRESS(2,COLUMN())),OFFSET($BN$2,0,0,ROW()-1,60),ROW()-1,FALSE))</f>
        <v/>
      </c>
      <c r="AT29" t="str">
        <f ca="1">IF(AND(ISNUMBER($AT$185),$B$158=1),$AT$185,HLOOKUP(INDIRECT(ADDRESS(2,COLUMN())),OFFSET($BN$2,0,0,ROW()-1,60),ROW()-1,FALSE))</f>
        <v/>
      </c>
      <c r="AU29" t="str">
        <f ca="1">IF(AND(ISNUMBER($AU$185),$B$158=1),$AU$185,HLOOKUP(INDIRECT(ADDRESS(2,COLUMN())),OFFSET($BN$2,0,0,ROW()-1,60),ROW()-1,FALSE))</f>
        <v/>
      </c>
      <c r="AV29" t="str">
        <f ca="1">IF(AND(ISNUMBER($AV$185),$B$158=1),$AV$185,HLOOKUP(INDIRECT(ADDRESS(2,COLUMN())),OFFSET($BN$2,0,0,ROW()-1,60),ROW()-1,FALSE))</f>
        <v/>
      </c>
      <c r="AW29" t="str">
        <f ca="1">IF(AND(ISNUMBER($AW$185),$B$158=1),$AW$185,HLOOKUP(INDIRECT(ADDRESS(2,COLUMN())),OFFSET($BN$2,0,0,ROW()-1,60),ROW()-1,FALSE))</f>
        <v/>
      </c>
      <c r="AX29" t="str">
        <f ca="1">IF(AND(ISNUMBER($AX$185),$B$158=1),$AX$185,HLOOKUP(INDIRECT(ADDRESS(2,COLUMN())),OFFSET($BN$2,0,0,ROW()-1,60),ROW()-1,FALSE))</f>
        <v/>
      </c>
      <c r="AY29" t="str">
        <f ca="1">IF(AND(ISNUMBER($AY$185),$B$158=1),$AY$185,HLOOKUP(INDIRECT(ADDRESS(2,COLUMN())),OFFSET($BN$2,0,0,ROW()-1,60),ROW()-1,FALSE))</f>
        <v/>
      </c>
      <c r="AZ29" t="str">
        <f ca="1">IF(AND(ISNUMBER($AZ$185),$B$158=1),$AZ$185,HLOOKUP(INDIRECT(ADDRESS(2,COLUMN())),OFFSET($BN$2,0,0,ROW()-1,60),ROW()-1,FALSE))</f>
        <v/>
      </c>
      <c r="BA29" t="str">
        <f ca="1">IF(AND(ISNUMBER($BA$185),$B$158=1),$BA$185,HLOOKUP(INDIRECT(ADDRESS(2,COLUMN())),OFFSET($BN$2,0,0,ROW()-1,60),ROW()-1,FALSE))</f>
        <v/>
      </c>
      <c r="BB29" t="str">
        <f ca="1">IF(AND(ISNUMBER($BB$185),$B$158=1),$BB$185,HLOOKUP(INDIRECT(ADDRESS(2,COLUMN())),OFFSET($BN$2,0,0,ROW()-1,60),ROW()-1,FALSE))</f>
        <v/>
      </c>
      <c r="BC29" t="str">
        <f ca="1">IF(AND(ISNUMBER($BC$185),$B$158=1),$BC$185,HLOOKUP(INDIRECT(ADDRESS(2,COLUMN())),OFFSET($BN$2,0,0,ROW()-1,60),ROW()-1,FALSE))</f>
        <v/>
      </c>
      <c r="BD29" t="str">
        <f ca="1">IF(AND(ISNUMBER($BD$185),$B$158=1),$BD$185,HLOOKUP(INDIRECT(ADDRESS(2,COLUMN())),OFFSET($BN$2,0,0,ROW()-1,60),ROW()-1,FALSE))</f>
        <v/>
      </c>
      <c r="BE29" t="str">
        <f ca="1">IF(AND(ISNUMBER($BE$185),$B$158=1),$BE$185,HLOOKUP(INDIRECT(ADDRESS(2,COLUMN())),OFFSET($BN$2,0,0,ROW()-1,60),ROW()-1,FALSE))</f>
        <v/>
      </c>
      <c r="BF29" t="str">
        <f ca="1">IF(AND(ISNUMBER($BF$185),$B$158=1),$BF$185,HLOOKUP(INDIRECT(ADDRESS(2,COLUMN())),OFFSET($BN$2,0,0,ROW()-1,60),ROW()-1,FALSE))</f>
        <v/>
      </c>
      <c r="BG29" t="str">
        <f ca="1">IF(AND(ISNUMBER($BG$185),$B$158=1),$BG$185,HLOOKUP(INDIRECT(ADDRESS(2,COLUMN())),OFFSET($BN$2,0,0,ROW()-1,60),ROW()-1,FALSE))</f>
        <v/>
      </c>
      <c r="BH29" t="str">
        <f ca="1">IF(AND(ISNUMBER($BH$185),$B$158=1),$BH$185,HLOOKUP(INDIRECT(ADDRESS(2,COLUMN())),OFFSET($BN$2,0,0,ROW()-1,60),ROW()-1,FALSE))</f>
        <v/>
      </c>
      <c r="BI29" t="str">
        <f ca="1">IF(AND(ISNUMBER($BI$185),$B$158=1),$BI$185,HLOOKUP(INDIRECT(ADDRESS(2,COLUMN())),OFFSET($BN$2,0,0,ROW()-1,60),ROW()-1,FALSE))</f>
        <v/>
      </c>
      <c r="BJ29" t="str">
        <f ca="1">IF(AND(ISNUMBER($BJ$185),$B$158=1),$BJ$185,HLOOKUP(INDIRECT(ADDRESS(2,COLUMN())),OFFSET($BN$2,0,0,ROW()-1,60),ROW()-1,FALSE))</f>
        <v/>
      </c>
      <c r="BK29" t="str">
        <f ca="1">IF(AND(ISNUMBER($BK$185),$B$158=1),$BK$185,HLOOKUP(INDIRECT(ADDRESS(2,COLUMN())),OFFSET($BN$2,0,0,ROW()-1,60),ROW()-1,FALSE))</f>
        <v/>
      </c>
      <c r="BL29" t="str">
        <f ca="1">IF(AND(ISNUMBER($BL$185),$B$158=1),$BL$185,HLOOKUP(INDIRECT(ADDRESS(2,COLUMN())),OFFSET($BN$2,0,0,ROW()-1,60),ROW()-1,FALSE))</f>
        <v/>
      </c>
      <c r="BM29" t="str">
        <f ca="1">IF(AND(ISNUMBER($BM$185),$B$158=1),$BM$185,HLOOKUP(INDIRECT(ADDRESS(2,COLUMN())),OFFSET($BN$2,0,0,ROW()-1,60),ROW()-1,FALSE))</f>
        <v/>
      </c>
      <c r="BN29" t="str">
        <f>""</f>
        <v/>
      </c>
      <c r="BO29">
        <f>7</f>
        <v>7</v>
      </c>
      <c r="BP29">
        <f>93</f>
        <v>93</v>
      </c>
      <c r="BQ29">
        <f>34</f>
        <v>34</v>
      </c>
      <c r="BR29">
        <f>-7</f>
        <v>-7</v>
      </c>
      <c r="BS29">
        <f>-4</f>
        <v>-4</v>
      </c>
      <c r="BT29">
        <f>-43</f>
        <v>-43</v>
      </c>
      <c r="BU29">
        <f>-24</f>
        <v>-24</v>
      </c>
      <c r="BV29">
        <f>10</f>
        <v>10</v>
      </c>
      <c r="BW29">
        <f>11</f>
        <v>11</v>
      </c>
      <c r="BX29">
        <f>12</f>
        <v>12</v>
      </c>
      <c r="BY29">
        <f>20</f>
        <v>20</v>
      </c>
      <c r="BZ29">
        <f>29</f>
        <v>29</v>
      </c>
      <c r="CA29">
        <f>35</f>
        <v>35</v>
      </c>
      <c r="CB29">
        <f>43</f>
        <v>43</v>
      </c>
      <c r="CC29">
        <f>50</f>
        <v>50</v>
      </c>
      <c r="CD29">
        <f>45</f>
        <v>45</v>
      </c>
      <c r="CE29">
        <f>51</f>
        <v>51</v>
      </c>
      <c r="CF29">
        <f>42</f>
        <v>42</v>
      </c>
      <c r="CG29">
        <f>51</f>
        <v>51</v>
      </c>
      <c r="CH29">
        <f>28</f>
        <v>28</v>
      </c>
      <c r="CI29">
        <f>19</f>
        <v>19</v>
      </c>
      <c r="CJ29">
        <f>7</f>
        <v>7</v>
      </c>
      <c r="CK29">
        <f>3</f>
        <v>3</v>
      </c>
      <c r="CL29" t="str">
        <f>""</f>
        <v/>
      </c>
      <c r="CM29" t="str">
        <f>""</f>
        <v/>
      </c>
      <c r="CN29" t="str">
        <f>""</f>
        <v/>
      </c>
      <c r="CO29" t="str">
        <f>""</f>
        <v/>
      </c>
      <c r="CP29" t="str">
        <f>""</f>
        <v/>
      </c>
      <c r="CQ29" t="str">
        <f>""</f>
        <v/>
      </c>
      <c r="CR29" t="str">
        <f>""</f>
        <v/>
      </c>
      <c r="CS29">
        <f>6</f>
        <v>6</v>
      </c>
      <c r="CT29" t="str">
        <f>""</f>
        <v/>
      </c>
      <c r="CU29" t="str">
        <f>""</f>
        <v/>
      </c>
      <c r="CV29" t="str">
        <f>""</f>
        <v/>
      </c>
      <c r="CW29" t="str">
        <f>""</f>
        <v/>
      </c>
      <c r="CX29" t="str">
        <f>""</f>
        <v/>
      </c>
      <c r="CY29" t="str">
        <f>""</f>
        <v/>
      </c>
      <c r="CZ29" t="str">
        <f>""</f>
        <v/>
      </c>
      <c r="DA29" t="str">
        <f>""</f>
        <v/>
      </c>
      <c r="DB29" t="str">
        <f>""</f>
        <v/>
      </c>
      <c r="DC29" t="str">
        <f>""</f>
        <v/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 t="str">
        <f>""</f>
        <v/>
      </c>
      <c r="DQ29" t="str">
        <f>""</f>
        <v/>
      </c>
      <c r="DR29" t="str">
        <f>""</f>
        <v/>
      </c>
      <c r="DS29" t="str">
        <f>""</f>
        <v/>
      </c>
      <c r="DT29" t="str">
        <f>""</f>
        <v/>
      </c>
      <c r="DU29" t="str">
        <f>""</f>
        <v/>
      </c>
    </row>
    <row r="30" spans="1:125" x14ac:dyDescent="0.25">
      <c r="A30" t="str">
        <f>"                        Western Europe"</f>
        <v xml:space="preserve">                        Western Europe</v>
      </c>
      <c r="B30" t="str">
        <f t="shared" si="20"/>
        <v>KER FP Equity</v>
      </c>
      <c r="C30" t="str">
        <f t="shared" si="21"/>
        <v>BI047</v>
      </c>
      <c r="D30" t="str">
        <f t="shared" si="22"/>
        <v>BICS_SEGMENT_DATA</v>
      </c>
      <c r="E30" t="str">
        <f t="shared" si="23"/>
        <v>Dynamic</v>
      </c>
      <c r="F30" t="str">
        <f ca="1">IF(AND(ISNUMBER($F$186),$B$158=1),$F$186,HLOOKUP(INDIRECT(ADDRESS(2,COLUMN())),OFFSET($BN$2,0,0,ROW()-1,60),ROW()-1,FALSE))</f>
        <v/>
      </c>
      <c r="G30">
        <f ca="1">IF(AND(ISNUMBER($G$186),$B$158=1),$G$186,HLOOKUP(INDIRECT(ADDRESS(2,COLUMN())),OFFSET($BN$2,0,0,ROW()-1,60),ROW()-1,FALSE))</f>
        <v>7</v>
      </c>
      <c r="H30">
        <f ca="1">IF(AND(ISNUMBER($H$186),$B$158=1),$H$186,HLOOKUP(INDIRECT(ADDRESS(2,COLUMN())),OFFSET($BN$2,0,0,ROW()-1,60),ROW()-1,FALSE))</f>
        <v>75</v>
      </c>
      <c r="I30">
        <f ca="1">IF(AND(ISNUMBER($I$186),$B$158=1),$I$186,HLOOKUP(INDIRECT(ADDRESS(2,COLUMN())),OFFSET($BN$2,0,0,ROW()-1,60),ROW()-1,FALSE))</f>
        <v>-36</v>
      </c>
      <c r="J30">
        <f ca="1">IF(AND(ISNUMBER($J$186),$B$158=1),$J$186,HLOOKUP(INDIRECT(ADDRESS(2,COLUMN())),OFFSET($BN$2,0,0,ROW()-1,60),ROW()-1,FALSE))</f>
        <v>-45</v>
      </c>
      <c r="K30">
        <f ca="1">IF(AND(ISNUMBER($K$186),$B$158=1),$K$186,HLOOKUP(INDIRECT(ADDRESS(2,COLUMN())),OFFSET($BN$2,0,0,ROW()-1,60),ROW()-1,FALSE))</f>
        <v>-47</v>
      </c>
      <c r="L30">
        <f ca="1">IF(AND(ISNUMBER($L$186),$B$158=1),$L$186,HLOOKUP(INDIRECT(ADDRESS(2,COLUMN())),OFFSET($BN$2,0,0,ROW()-1,60),ROW()-1,FALSE))</f>
        <v>-71</v>
      </c>
      <c r="M30">
        <f ca="1">IF(AND(ISNUMBER($M$186),$B$158=1),$M$186,HLOOKUP(INDIRECT(ADDRESS(2,COLUMN())),OFFSET($BN$2,0,0,ROW()-1,60),ROW()-1,FALSE))</f>
        <v>-20</v>
      </c>
      <c r="N30">
        <f ca="1">IF(AND(ISNUMBER($N$186),$B$158=1),$N$186,HLOOKUP(INDIRECT(ADDRESS(2,COLUMN())),OFFSET($BN$2,0,0,ROW()-1,60),ROW()-1,FALSE))</f>
        <v>14</v>
      </c>
      <c r="O30">
        <f ca="1">IF(AND(ISNUMBER($O$186),$B$158=1),$O$186,HLOOKUP(INDIRECT(ADDRESS(2,COLUMN())),OFFSET($BN$2,0,0,ROW()-1,60),ROW()-1,FALSE))</f>
        <v>12</v>
      </c>
      <c r="P30">
        <f ca="1">IF(AND(ISNUMBER($P$186),$B$158=1),$P$186,HLOOKUP(INDIRECT(ADDRESS(2,COLUMN())),OFFSET($BN$2,0,0,ROW()-1,60),ROW()-1,FALSE))</f>
        <v>13</v>
      </c>
      <c r="Q30">
        <f ca="1">IF(AND(ISNUMBER($Q$186),$B$158=1),$Q$186,HLOOKUP(INDIRECT(ADDRESS(2,COLUMN())),OFFSET($BN$2,0,0,ROW()-1,60),ROW()-1,FALSE))</f>
        <v>12</v>
      </c>
      <c r="R30">
        <f ca="1">IF(AND(ISNUMBER($R$186),$B$158=1),$R$186,HLOOKUP(INDIRECT(ADDRESS(2,COLUMN())),OFFSET($BN$2,0,0,ROW()-1,60),ROW()-1,FALSE))</f>
        <v>19</v>
      </c>
      <c r="S30">
        <f ca="1">IF(AND(ISNUMBER($S$186),$B$158=1),$S$186,HLOOKUP(INDIRECT(ADDRESS(2,COLUMN())),OFFSET($BN$2,0,0,ROW()-1,60),ROW()-1,FALSE))</f>
        <v>25</v>
      </c>
      <c r="T30">
        <f ca="1">IF(AND(ISNUMBER($T$186),$B$158=1),$T$186,HLOOKUP(INDIRECT(ADDRESS(2,COLUMN())),OFFSET($BN$2,0,0,ROW()-1,60),ROW()-1,FALSE))</f>
        <v>32</v>
      </c>
      <c r="U30">
        <f ca="1">IF(AND(ISNUMBER($U$186),$B$158=1),$U$186,HLOOKUP(INDIRECT(ADDRESS(2,COLUMN())),OFFSET($BN$2,0,0,ROW()-1,60),ROW()-1,FALSE))</f>
        <v>44</v>
      </c>
      <c r="V30">
        <f ca="1">IF(AND(ISNUMBER($V$186),$B$158=1),$V$186,HLOOKUP(INDIRECT(ADDRESS(2,COLUMN())),OFFSET($BN$2,0,0,ROW()-1,60),ROW()-1,FALSE))</f>
        <v>50</v>
      </c>
      <c r="W30">
        <f ca="1">IF(AND(ISNUMBER($W$186),$B$158=1),$W$186,HLOOKUP(INDIRECT(ADDRESS(2,COLUMN())),OFFSET($BN$2,0,0,ROW()-1,60),ROW()-1,FALSE))</f>
        <v>54</v>
      </c>
      <c r="X30">
        <f ca="1">IF(AND(ISNUMBER($X$186),$B$158=1),$X$186,HLOOKUP(INDIRECT(ADDRESS(2,COLUMN())),OFFSET($BN$2,0,0,ROW()-1,60),ROW()-1,FALSE))</f>
        <v>66</v>
      </c>
      <c r="Y30">
        <f ca="1">IF(AND(ISNUMBER($Y$186),$B$158=1),$Y$186,HLOOKUP(INDIRECT(ADDRESS(2,COLUMN())),OFFSET($BN$2,0,0,ROW()-1,60),ROW()-1,FALSE))</f>
        <v>66</v>
      </c>
      <c r="Z30">
        <f ca="1">IF(AND(ISNUMBER($Z$186),$B$158=1),$Z$186,HLOOKUP(INDIRECT(ADDRESS(2,COLUMN())),OFFSET($BN$2,0,0,ROW()-1,60),ROW()-1,FALSE))</f>
        <v>51</v>
      </c>
      <c r="AA30">
        <f ca="1">IF(AND(ISNUMBER($AA$186),$B$158=1),$AA$186,HLOOKUP(INDIRECT(ADDRESS(2,COLUMN())),OFFSET($BN$2,0,0,ROW()-1,60),ROW()-1,FALSE))</f>
        <v>22</v>
      </c>
      <c r="AB30">
        <f ca="1">IF(AND(ISNUMBER($AB$186),$B$158=1),$AB$186,HLOOKUP(INDIRECT(ADDRESS(2,COLUMN())),OFFSET($BN$2,0,0,ROW()-1,60),ROW()-1,FALSE))</f>
        <v>20</v>
      </c>
      <c r="AC30">
        <f ca="1">IF(AND(ISNUMBER($AC$186),$B$158=1),$AC$186,HLOOKUP(INDIRECT(ADDRESS(2,COLUMN())),OFFSET($BN$2,0,0,ROW()-1,60),ROW()-1,FALSE))</f>
        <v>20</v>
      </c>
      <c r="AD30" t="str">
        <f ca="1">IF(AND(ISNUMBER($AD$186),$B$158=1),$AD$186,HLOOKUP(INDIRECT(ADDRESS(2,COLUMN())),OFFSET($BN$2,0,0,ROW()-1,60),ROW()-1,FALSE))</f>
        <v/>
      </c>
      <c r="AE30">
        <f ca="1">IF(AND(ISNUMBER($AE$186),$B$158=1),$AE$186,HLOOKUP(INDIRECT(ADDRESS(2,COLUMN())),OFFSET($BN$2,0,0,ROW()-1,60),ROW()-1,FALSE))</f>
        <v>27</v>
      </c>
      <c r="AF30">
        <f ca="1">IF(AND(ISNUMBER($AF$186),$B$158=1),$AF$186,HLOOKUP(INDIRECT(ADDRESS(2,COLUMN())),OFFSET($BN$2,0,0,ROW()-1,60),ROW()-1,FALSE))</f>
        <v>20</v>
      </c>
      <c r="AG30">
        <f ca="1">IF(AND(ISNUMBER($AG$186),$B$158=1),$AG$186,HLOOKUP(INDIRECT(ADDRESS(2,COLUMN())),OFFSET($BN$2,0,0,ROW()-1,60),ROW()-1,FALSE))</f>
        <v>6</v>
      </c>
      <c r="AH30" t="str">
        <f ca="1">IF(AND(ISNUMBER($AH$186),$B$158=1),$AH$186,HLOOKUP(INDIRECT(ADDRESS(2,COLUMN())),OFFSET($BN$2,0,0,ROW()-1,60),ROW()-1,FALSE))</f>
        <v/>
      </c>
      <c r="AI30" t="str">
        <f ca="1">IF(AND(ISNUMBER($AI$186),$B$158=1),$AI$186,HLOOKUP(INDIRECT(ADDRESS(2,COLUMN())),OFFSET($BN$2,0,0,ROW()-1,60),ROW()-1,FALSE))</f>
        <v/>
      </c>
      <c r="AJ30" t="str">
        <f ca="1">IF(AND(ISNUMBER($AJ$186),$B$158=1),$AJ$186,HLOOKUP(INDIRECT(ADDRESS(2,COLUMN())),OFFSET($BN$2,0,0,ROW()-1,60),ROW()-1,FALSE))</f>
        <v/>
      </c>
      <c r="AK30">
        <f ca="1">IF(AND(ISNUMBER($AK$186),$B$158=1),$AK$186,HLOOKUP(INDIRECT(ADDRESS(2,COLUMN())),OFFSET($BN$2,0,0,ROW()-1,60),ROW()-1,FALSE))</f>
        <v>-2</v>
      </c>
      <c r="AL30" t="str">
        <f ca="1">IF(AND(ISNUMBER($AL$186),$B$158=1),$AL$186,HLOOKUP(INDIRECT(ADDRESS(2,COLUMN())),OFFSET($BN$2,0,0,ROW()-1,60),ROW()-1,FALSE))</f>
        <v/>
      </c>
      <c r="AM30" t="str">
        <f ca="1">IF(AND(ISNUMBER($AM$186),$B$158=1),$AM$186,HLOOKUP(INDIRECT(ADDRESS(2,COLUMN())),OFFSET($BN$2,0,0,ROW()-1,60),ROW()-1,FALSE))</f>
        <v/>
      </c>
      <c r="AN30" t="str">
        <f ca="1">IF(AND(ISNUMBER($AN$186),$B$158=1),$AN$186,HLOOKUP(INDIRECT(ADDRESS(2,COLUMN())),OFFSET($BN$2,0,0,ROW()-1,60),ROW()-1,FALSE))</f>
        <v/>
      </c>
      <c r="AO30">
        <f ca="1">IF(AND(ISNUMBER($AO$186),$B$158=1),$AO$186,HLOOKUP(INDIRECT(ADDRESS(2,COLUMN())),OFFSET($BN$2,0,0,ROW()-1,60),ROW()-1,FALSE))</f>
        <v>-1</v>
      </c>
      <c r="AP30" t="str">
        <f ca="1">IF(AND(ISNUMBER($AP$186),$B$158=1),$AP$186,HLOOKUP(INDIRECT(ADDRESS(2,COLUMN())),OFFSET($BN$2,0,0,ROW()-1,60),ROW()-1,FALSE))</f>
        <v/>
      </c>
      <c r="AQ30" t="str">
        <f ca="1">IF(AND(ISNUMBER($AQ$186),$B$158=1),$AQ$186,HLOOKUP(INDIRECT(ADDRESS(2,COLUMN())),OFFSET($BN$2,0,0,ROW()-1,60),ROW()-1,FALSE))</f>
        <v/>
      </c>
      <c r="AR30" t="str">
        <f ca="1">IF(AND(ISNUMBER($AR$186),$B$158=1),$AR$186,HLOOKUP(INDIRECT(ADDRESS(2,COLUMN())),OFFSET($BN$2,0,0,ROW()-1,60),ROW()-1,FALSE))</f>
        <v/>
      </c>
      <c r="AS30" t="str">
        <f ca="1">IF(AND(ISNUMBER($AS$186),$B$158=1),$AS$186,HLOOKUP(INDIRECT(ADDRESS(2,COLUMN())),OFFSET($BN$2,0,0,ROW()-1,60),ROW()-1,FALSE))</f>
        <v/>
      </c>
      <c r="AT30" t="str">
        <f ca="1">IF(AND(ISNUMBER($AT$186),$B$158=1),$AT$186,HLOOKUP(INDIRECT(ADDRESS(2,COLUMN())),OFFSET($BN$2,0,0,ROW()-1,60),ROW()-1,FALSE))</f>
        <v/>
      </c>
      <c r="AU30" t="str">
        <f ca="1">IF(AND(ISNUMBER($AU$186),$B$158=1),$AU$186,HLOOKUP(INDIRECT(ADDRESS(2,COLUMN())),OFFSET($BN$2,0,0,ROW()-1,60),ROW()-1,FALSE))</f>
        <v/>
      </c>
      <c r="AV30" t="str">
        <f ca="1">IF(AND(ISNUMBER($AV$186),$B$158=1),$AV$186,HLOOKUP(INDIRECT(ADDRESS(2,COLUMN())),OFFSET($BN$2,0,0,ROW()-1,60),ROW()-1,FALSE))</f>
        <v/>
      </c>
      <c r="AW30" t="str">
        <f ca="1">IF(AND(ISNUMBER($AW$186),$B$158=1),$AW$186,HLOOKUP(INDIRECT(ADDRESS(2,COLUMN())),OFFSET($BN$2,0,0,ROW()-1,60),ROW()-1,FALSE))</f>
        <v/>
      </c>
      <c r="AX30" t="str">
        <f ca="1">IF(AND(ISNUMBER($AX$186),$B$158=1),$AX$186,HLOOKUP(INDIRECT(ADDRESS(2,COLUMN())),OFFSET($BN$2,0,0,ROW()-1,60),ROW()-1,FALSE))</f>
        <v/>
      </c>
      <c r="AY30" t="str">
        <f ca="1">IF(AND(ISNUMBER($AY$186),$B$158=1),$AY$186,HLOOKUP(INDIRECT(ADDRESS(2,COLUMN())),OFFSET($BN$2,0,0,ROW()-1,60),ROW()-1,FALSE))</f>
        <v/>
      </c>
      <c r="AZ30" t="str">
        <f ca="1">IF(AND(ISNUMBER($AZ$186),$B$158=1),$AZ$186,HLOOKUP(INDIRECT(ADDRESS(2,COLUMN())),OFFSET($BN$2,0,0,ROW()-1,60),ROW()-1,FALSE))</f>
        <v/>
      </c>
      <c r="BA30" t="str">
        <f ca="1">IF(AND(ISNUMBER($BA$186),$B$158=1),$BA$186,HLOOKUP(INDIRECT(ADDRESS(2,COLUMN())),OFFSET($BN$2,0,0,ROW()-1,60),ROW()-1,FALSE))</f>
        <v/>
      </c>
      <c r="BB30" t="str">
        <f ca="1">IF(AND(ISNUMBER($BB$186),$B$158=1),$BB$186,HLOOKUP(INDIRECT(ADDRESS(2,COLUMN())),OFFSET($BN$2,0,0,ROW()-1,60),ROW()-1,FALSE))</f>
        <v/>
      </c>
      <c r="BC30" t="str">
        <f ca="1">IF(AND(ISNUMBER($BC$186),$B$158=1),$BC$186,HLOOKUP(INDIRECT(ADDRESS(2,COLUMN())),OFFSET($BN$2,0,0,ROW()-1,60),ROW()-1,FALSE))</f>
        <v/>
      </c>
      <c r="BD30" t="str">
        <f ca="1">IF(AND(ISNUMBER($BD$186),$B$158=1),$BD$186,HLOOKUP(INDIRECT(ADDRESS(2,COLUMN())),OFFSET($BN$2,0,0,ROW()-1,60),ROW()-1,FALSE))</f>
        <v/>
      </c>
      <c r="BE30" t="str">
        <f ca="1">IF(AND(ISNUMBER($BE$186),$B$158=1),$BE$186,HLOOKUP(INDIRECT(ADDRESS(2,COLUMN())),OFFSET($BN$2,0,0,ROW()-1,60),ROW()-1,FALSE))</f>
        <v/>
      </c>
      <c r="BF30" t="str">
        <f ca="1">IF(AND(ISNUMBER($BF$186),$B$158=1),$BF$186,HLOOKUP(INDIRECT(ADDRESS(2,COLUMN())),OFFSET($BN$2,0,0,ROW()-1,60),ROW()-1,FALSE))</f>
        <v/>
      </c>
      <c r="BG30" t="str">
        <f ca="1">IF(AND(ISNUMBER($BG$186),$B$158=1),$BG$186,HLOOKUP(INDIRECT(ADDRESS(2,COLUMN())),OFFSET($BN$2,0,0,ROW()-1,60),ROW()-1,FALSE))</f>
        <v/>
      </c>
      <c r="BH30" t="str">
        <f ca="1">IF(AND(ISNUMBER($BH$186),$B$158=1),$BH$186,HLOOKUP(INDIRECT(ADDRESS(2,COLUMN())),OFFSET($BN$2,0,0,ROW()-1,60),ROW()-1,FALSE))</f>
        <v/>
      </c>
      <c r="BI30" t="str">
        <f ca="1">IF(AND(ISNUMBER($BI$186),$B$158=1),$BI$186,HLOOKUP(INDIRECT(ADDRESS(2,COLUMN())),OFFSET($BN$2,0,0,ROW()-1,60),ROW()-1,FALSE))</f>
        <v/>
      </c>
      <c r="BJ30" t="str">
        <f ca="1">IF(AND(ISNUMBER($BJ$186),$B$158=1),$BJ$186,HLOOKUP(INDIRECT(ADDRESS(2,COLUMN())),OFFSET($BN$2,0,0,ROW()-1,60),ROW()-1,FALSE))</f>
        <v/>
      </c>
      <c r="BK30" t="str">
        <f ca="1">IF(AND(ISNUMBER($BK$186),$B$158=1),$BK$186,HLOOKUP(INDIRECT(ADDRESS(2,COLUMN())),OFFSET($BN$2,0,0,ROW()-1,60),ROW()-1,FALSE))</f>
        <v/>
      </c>
      <c r="BL30" t="str">
        <f ca="1">IF(AND(ISNUMBER($BL$186),$B$158=1),$BL$186,HLOOKUP(INDIRECT(ADDRESS(2,COLUMN())),OFFSET($BN$2,0,0,ROW()-1,60),ROW()-1,FALSE))</f>
        <v/>
      </c>
      <c r="BM30" t="str">
        <f ca="1">IF(AND(ISNUMBER($BM$186),$B$158=1),$BM$186,HLOOKUP(INDIRECT(ADDRESS(2,COLUMN())),OFFSET($BN$2,0,0,ROW()-1,60),ROW()-1,FALSE))</f>
        <v/>
      </c>
      <c r="BN30" t="str">
        <f>""</f>
        <v/>
      </c>
      <c r="BO30">
        <f>7</f>
        <v>7</v>
      </c>
      <c r="BP30">
        <f>75</f>
        <v>75</v>
      </c>
      <c r="BQ30">
        <f>-36</f>
        <v>-36</v>
      </c>
      <c r="BR30">
        <f>-45</f>
        <v>-45</v>
      </c>
      <c r="BS30">
        <f>-47</f>
        <v>-47</v>
      </c>
      <c r="BT30">
        <f>-71</f>
        <v>-71</v>
      </c>
      <c r="BU30">
        <f>-20</f>
        <v>-20</v>
      </c>
      <c r="BV30">
        <f>14</f>
        <v>14</v>
      </c>
      <c r="BW30">
        <f>12</f>
        <v>12</v>
      </c>
      <c r="BX30">
        <f>13</f>
        <v>13</v>
      </c>
      <c r="BY30">
        <f>12</f>
        <v>12</v>
      </c>
      <c r="BZ30">
        <f>19</f>
        <v>19</v>
      </c>
      <c r="CA30">
        <f>25</f>
        <v>25</v>
      </c>
      <c r="CB30">
        <f>32</f>
        <v>32</v>
      </c>
      <c r="CC30">
        <f>44</f>
        <v>44</v>
      </c>
      <c r="CD30">
        <f>50</f>
        <v>50</v>
      </c>
      <c r="CE30">
        <f>54</f>
        <v>54</v>
      </c>
      <c r="CF30">
        <f>66</f>
        <v>66</v>
      </c>
      <c r="CG30">
        <f>66</f>
        <v>66</v>
      </c>
      <c r="CH30">
        <f>51</f>
        <v>51</v>
      </c>
      <c r="CI30">
        <f>22</f>
        <v>22</v>
      </c>
      <c r="CJ30">
        <f>20</f>
        <v>20</v>
      </c>
      <c r="CK30">
        <f>20</f>
        <v>20</v>
      </c>
      <c r="CL30" t="str">
        <f>""</f>
        <v/>
      </c>
      <c r="CM30">
        <f>27</f>
        <v>27</v>
      </c>
      <c r="CN30">
        <f>20</f>
        <v>20</v>
      </c>
      <c r="CO30">
        <f>6</f>
        <v>6</v>
      </c>
      <c r="CP30" t="str">
        <f>""</f>
        <v/>
      </c>
      <c r="CQ30" t="str">
        <f>""</f>
        <v/>
      </c>
      <c r="CR30" t="str">
        <f>""</f>
        <v/>
      </c>
      <c r="CS30">
        <f>-2</f>
        <v>-2</v>
      </c>
      <c r="CT30" t="str">
        <f>""</f>
        <v/>
      </c>
      <c r="CU30" t="str">
        <f>""</f>
        <v/>
      </c>
      <c r="CV30" t="str">
        <f>""</f>
        <v/>
      </c>
      <c r="CW30">
        <f>-1</f>
        <v>-1</v>
      </c>
      <c r="CX30" t="str">
        <f>""</f>
        <v/>
      </c>
      <c r="CY30" t="str">
        <f>""</f>
        <v/>
      </c>
      <c r="CZ30" t="str">
        <f>""</f>
        <v/>
      </c>
      <c r="DA30" t="str">
        <f>""</f>
        <v/>
      </c>
      <c r="DB30" t="str">
        <f>""</f>
        <v/>
      </c>
      <c r="DC30" t="str">
        <f>""</f>
        <v/>
      </c>
      <c r="DD30" t="str">
        <f>""</f>
        <v/>
      </c>
      <c r="DE30" t="str">
        <f>""</f>
        <v/>
      </c>
      <c r="DF30" t="str">
        <f>""</f>
        <v/>
      </c>
      <c r="DG30" t="str">
        <f>""</f>
        <v/>
      </c>
      <c r="DH30" t="str">
        <f>""</f>
        <v/>
      </c>
      <c r="DI30" t="str">
        <f>""</f>
        <v/>
      </c>
      <c r="DJ30" t="str">
        <f>""</f>
        <v/>
      </c>
      <c r="DK30" t="str">
        <f>""</f>
        <v/>
      </c>
      <c r="DL30" t="str">
        <f>""</f>
        <v/>
      </c>
      <c r="DM30" t="str">
        <f>""</f>
        <v/>
      </c>
      <c r="DN30" t="str">
        <f>""</f>
        <v/>
      </c>
      <c r="DO30" t="str">
        <f>""</f>
        <v/>
      </c>
      <c r="DP30" t="str">
        <f>""</f>
        <v/>
      </c>
      <c r="DQ30" t="str">
        <f>""</f>
        <v/>
      </c>
      <c r="DR30" t="str">
        <f>""</f>
        <v/>
      </c>
      <c r="DS30" t="str">
        <f>""</f>
        <v/>
      </c>
      <c r="DT30" t="str">
        <f>""</f>
        <v/>
      </c>
      <c r="DU30" t="str">
        <f>""</f>
        <v/>
      </c>
    </row>
    <row r="31" spans="1:125" x14ac:dyDescent="0.25">
      <c r="A31" t="str">
        <f>"                        North America"</f>
        <v xml:space="preserve">                        North America</v>
      </c>
      <c r="B31" t="str">
        <f t="shared" si="20"/>
        <v>KER FP Equity</v>
      </c>
      <c r="C31" t="str">
        <f t="shared" si="21"/>
        <v>BI047</v>
      </c>
      <c r="D31" t="str">
        <f t="shared" si="22"/>
        <v>BICS_SEGMENT_DATA</v>
      </c>
      <c r="E31" t="str">
        <f t="shared" si="23"/>
        <v>Dynamic</v>
      </c>
      <c r="F31" t="str">
        <f ca="1">IF(AND(ISNUMBER($F$187),$B$158=1),$F$187,HLOOKUP(INDIRECT(ADDRESS(2,COLUMN())),OFFSET($BN$2,0,0,ROW()-1,60),ROW()-1,FALSE))</f>
        <v/>
      </c>
      <c r="G31">
        <f ca="1">IF(AND(ISNUMBER($G$187),$B$158=1),$G$187,HLOOKUP(INDIRECT(ADDRESS(2,COLUMN())),OFFSET($BN$2,0,0,ROW()-1,60),ROW()-1,FALSE))</f>
        <v>24</v>
      </c>
      <c r="H31">
        <f ca="1">IF(AND(ISNUMBER($H$187),$B$158=1),$H$187,HLOOKUP(INDIRECT(ADDRESS(2,COLUMN())),OFFSET($BN$2,0,0,ROW()-1,60),ROW()-1,FALSE))</f>
        <v>225</v>
      </c>
      <c r="I31">
        <f ca="1">IF(AND(ISNUMBER($I$187),$B$158=1),$I$187,HLOOKUP(INDIRECT(ADDRESS(2,COLUMN())),OFFSET($BN$2,0,0,ROW()-1,60),ROW()-1,FALSE))</f>
        <v>51</v>
      </c>
      <c r="J31">
        <f ca="1">IF(AND(ISNUMBER($J$187),$B$158=1),$J$187,HLOOKUP(INDIRECT(ADDRESS(2,COLUMN())),OFFSET($BN$2,0,0,ROW()-1,60),ROW()-1,FALSE))</f>
        <v>13</v>
      </c>
      <c r="K31">
        <f ca="1">IF(AND(ISNUMBER($K$187),$B$158=1),$K$187,HLOOKUP(INDIRECT(ADDRESS(2,COLUMN())),OFFSET($BN$2,0,0,ROW()-1,60),ROW()-1,FALSE))</f>
        <v>44</v>
      </c>
      <c r="L31">
        <f ca="1">IF(AND(ISNUMBER($L$187),$B$158=1),$L$187,HLOOKUP(INDIRECT(ADDRESS(2,COLUMN())),OFFSET($BN$2,0,0,ROW()-1,60),ROW()-1,FALSE))</f>
        <v>-43</v>
      </c>
      <c r="M31">
        <f ca="1">IF(AND(ISNUMBER($M$187),$B$158=1),$M$187,HLOOKUP(INDIRECT(ADDRESS(2,COLUMN())),OFFSET($BN$2,0,0,ROW()-1,60),ROW()-1,FALSE))</f>
        <v>-11</v>
      </c>
      <c r="N31">
        <f ca="1">IF(AND(ISNUMBER($N$187),$B$158=1),$N$187,HLOOKUP(INDIRECT(ADDRESS(2,COLUMN())),OFFSET($BN$2,0,0,ROW()-1,60),ROW()-1,FALSE))</f>
        <v>6</v>
      </c>
      <c r="O31">
        <f ca="1">IF(AND(ISNUMBER($O$187),$B$158=1),$O$187,HLOOKUP(INDIRECT(ADDRESS(2,COLUMN())),OFFSET($BN$2,0,0,ROW()-1,60),ROW()-1,FALSE))</f>
        <v>-2</v>
      </c>
      <c r="P31">
        <f ca="1">IF(AND(ISNUMBER($P$187),$B$158=1),$P$187,HLOOKUP(INDIRECT(ADDRESS(2,COLUMN())),OFFSET($BN$2,0,0,ROW()-1,60),ROW()-1,FALSE))</f>
        <v>-2</v>
      </c>
      <c r="Q31">
        <f ca="1">IF(AND(ISNUMBER($Q$187),$B$158=1),$Q$187,HLOOKUP(INDIRECT(ADDRESS(2,COLUMN())),OFFSET($BN$2,0,0,ROW()-1,60),ROW()-1,FALSE))</f>
        <v>5</v>
      </c>
      <c r="R31">
        <f ca="1">IF(AND(ISNUMBER($R$187),$B$158=1),$R$187,HLOOKUP(INDIRECT(ADDRESS(2,COLUMN())),OFFSET($BN$2,0,0,ROW()-1,60),ROW()-1,FALSE))</f>
        <v>29</v>
      </c>
      <c r="S31">
        <f ca="1">IF(AND(ISNUMBER($S$187),$B$158=1),$S$187,HLOOKUP(INDIRECT(ADDRESS(2,COLUMN())),OFFSET($BN$2,0,0,ROW()-1,60),ROW()-1,FALSE))</f>
        <v>41</v>
      </c>
      <c r="T31">
        <f ca="1">IF(AND(ISNUMBER($T$187),$B$158=1),$T$187,HLOOKUP(INDIRECT(ADDRESS(2,COLUMN())),OFFSET($BN$2,0,0,ROW()-1,60),ROW()-1,FALSE))</f>
        <v>52</v>
      </c>
      <c r="U31">
        <f ca="1">IF(AND(ISNUMBER($U$187),$B$158=1),$U$187,HLOOKUP(INDIRECT(ADDRESS(2,COLUMN())),OFFSET($BN$2,0,0,ROW()-1,60),ROW()-1,FALSE))</f>
        <v>64</v>
      </c>
      <c r="V31">
        <f ca="1">IF(AND(ISNUMBER($V$187),$B$158=1),$V$187,HLOOKUP(INDIRECT(ADDRESS(2,COLUMN())),OFFSET($BN$2,0,0,ROW()-1,60),ROW()-1,FALSE))</f>
        <v>51</v>
      </c>
      <c r="W31">
        <f ca="1">IF(AND(ISNUMBER($W$187),$B$158=1),$W$187,HLOOKUP(INDIRECT(ADDRESS(2,COLUMN())),OFFSET($BN$2,0,0,ROW()-1,60),ROW()-1,FALSE))</f>
        <v>49</v>
      </c>
      <c r="X31">
        <f ca="1">IF(AND(ISNUMBER($X$187),$B$158=1),$X$187,HLOOKUP(INDIRECT(ADDRESS(2,COLUMN())),OFFSET($BN$2,0,0,ROW()-1,60),ROW()-1,FALSE))</f>
        <v>30</v>
      </c>
      <c r="Y31">
        <f ca="1">IF(AND(ISNUMBER($Y$187),$B$158=1),$Y$187,HLOOKUP(INDIRECT(ADDRESS(2,COLUMN())),OFFSET($BN$2,0,0,ROW()-1,60),ROW()-1,FALSE))</f>
        <v>46</v>
      </c>
      <c r="Z31">
        <f ca="1">IF(AND(ISNUMBER($Z$187),$B$158=1),$Z$187,HLOOKUP(INDIRECT(ADDRESS(2,COLUMN())),OFFSET($BN$2,0,0,ROW()-1,60),ROW()-1,FALSE))</f>
        <v>18</v>
      </c>
      <c r="AA31">
        <f ca="1">IF(AND(ISNUMBER($AA$187),$B$158=1),$AA$187,HLOOKUP(INDIRECT(ADDRESS(2,COLUMN())),OFFSET($BN$2,0,0,ROW()-1,60),ROW()-1,FALSE))</f>
        <v>22</v>
      </c>
      <c r="AB31">
        <f ca="1">IF(AND(ISNUMBER($AB$187),$B$158=1),$AB$187,HLOOKUP(INDIRECT(ADDRESS(2,COLUMN())),OFFSET($BN$2,0,0,ROW()-1,60),ROW()-1,FALSE))</f>
        <v>0</v>
      </c>
      <c r="AC31">
        <f ca="1">IF(AND(ISNUMBER($AC$187),$B$158=1),$AC$187,HLOOKUP(INDIRECT(ADDRESS(2,COLUMN())),OFFSET($BN$2,0,0,ROW()-1,60),ROW()-1,FALSE))</f>
        <v>-5</v>
      </c>
      <c r="AD31" t="str">
        <f ca="1">IF(AND(ISNUMBER($AD$187),$B$158=1),$AD$187,HLOOKUP(INDIRECT(ADDRESS(2,COLUMN())),OFFSET($BN$2,0,0,ROW()-1,60),ROW()-1,FALSE))</f>
        <v/>
      </c>
      <c r="AE31">
        <f ca="1">IF(AND(ISNUMBER($AE$187),$B$158=1),$AE$187,HLOOKUP(INDIRECT(ADDRESS(2,COLUMN())),OFFSET($BN$2,0,0,ROW()-1,60),ROW()-1,FALSE))</f>
        <v>-8</v>
      </c>
      <c r="AF31">
        <f ca="1">IF(AND(ISNUMBER($AF$187),$B$158=1),$AF$187,HLOOKUP(INDIRECT(ADDRESS(2,COLUMN())),OFFSET($BN$2,0,0,ROW()-1,60),ROW()-1,FALSE))</f>
        <v>11</v>
      </c>
      <c r="AG31">
        <f ca="1">IF(AND(ISNUMBER($AG$187),$B$158=1),$AG$187,HLOOKUP(INDIRECT(ADDRESS(2,COLUMN())),OFFSET($BN$2,0,0,ROW()-1,60),ROW()-1,FALSE))</f>
        <v>0</v>
      </c>
      <c r="AH31" t="str">
        <f ca="1">IF(AND(ISNUMBER($AH$187),$B$158=1),$AH$187,HLOOKUP(INDIRECT(ADDRESS(2,COLUMN())),OFFSET($BN$2,0,0,ROW()-1,60),ROW()-1,FALSE))</f>
        <v/>
      </c>
      <c r="AI31" t="str">
        <f ca="1">IF(AND(ISNUMBER($AI$187),$B$158=1),$AI$187,HLOOKUP(INDIRECT(ADDRESS(2,COLUMN())),OFFSET($BN$2,0,0,ROW()-1,60),ROW()-1,FALSE))</f>
        <v/>
      </c>
      <c r="AJ31" t="str">
        <f ca="1">IF(AND(ISNUMBER($AJ$187),$B$158=1),$AJ$187,HLOOKUP(INDIRECT(ADDRESS(2,COLUMN())),OFFSET($BN$2,0,0,ROW()-1,60),ROW()-1,FALSE))</f>
        <v/>
      </c>
      <c r="AK31">
        <f ca="1">IF(AND(ISNUMBER($AK$187),$B$158=1),$AK$187,HLOOKUP(INDIRECT(ADDRESS(2,COLUMN())),OFFSET($BN$2,0,0,ROW()-1,60),ROW()-1,FALSE))</f>
        <v>3</v>
      </c>
      <c r="AL31" t="str">
        <f ca="1">IF(AND(ISNUMBER($AL$187),$B$158=1),$AL$187,HLOOKUP(INDIRECT(ADDRESS(2,COLUMN())),OFFSET($BN$2,0,0,ROW()-1,60),ROW()-1,FALSE))</f>
        <v/>
      </c>
      <c r="AM31" t="str">
        <f ca="1">IF(AND(ISNUMBER($AM$187),$B$158=1),$AM$187,HLOOKUP(INDIRECT(ADDRESS(2,COLUMN())),OFFSET($BN$2,0,0,ROW()-1,60),ROW()-1,FALSE))</f>
        <v/>
      </c>
      <c r="AN31" t="str">
        <f ca="1">IF(AND(ISNUMBER($AN$187),$B$158=1),$AN$187,HLOOKUP(INDIRECT(ADDRESS(2,COLUMN())),OFFSET($BN$2,0,0,ROW()-1,60),ROW()-1,FALSE))</f>
        <v/>
      </c>
      <c r="AO31">
        <f ca="1">IF(AND(ISNUMBER($AO$187),$B$158=1),$AO$187,HLOOKUP(INDIRECT(ADDRESS(2,COLUMN())),OFFSET($BN$2,0,0,ROW()-1,60),ROW()-1,FALSE))</f>
        <v>9</v>
      </c>
      <c r="AP31" t="str">
        <f ca="1">IF(AND(ISNUMBER($AP$187),$B$158=1),$AP$187,HLOOKUP(INDIRECT(ADDRESS(2,COLUMN())),OFFSET($BN$2,0,0,ROW()-1,60),ROW()-1,FALSE))</f>
        <v/>
      </c>
      <c r="AQ31" t="str">
        <f ca="1">IF(AND(ISNUMBER($AQ$187),$B$158=1),$AQ$187,HLOOKUP(INDIRECT(ADDRESS(2,COLUMN())),OFFSET($BN$2,0,0,ROW()-1,60),ROW()-1,FALSE))</f>
        <v/>
      </c>
      <c r="AR31" t="str">
        <f ca="1">IF(AND(ISNUMBER($AR$187),$B$158=1),$AR$187,HLOOKUP(INDIRECT(ADDRESS(2,COLUMN())),OFFSET($BN$2,0,0,ROW()-1,60),ROW()-1,FALSE))</f>
        <v/>
      </c>
      <c r="AS31" t="str">
        <f ca="1">IF(AND(ISNUMBER($AS$187),$B$158=1),$AS$187,HLOOKUP(INDIRECT(ADDRESS(2,COLUMN())),OFFSET($BN$2,0,0,ROW()-1,60),ROW()-1,FALSE))</f>
        <v/>
      </c>
      <c r="AT31" t="str">
        <f ca="1">IF(AND(ISNUMBER($AT$187),$B$158=1),$AT$187,HLOOKUP(INDIRECT(ADDRESS(2,COLUMN())),OFFSET($BN$2,0,0,ROW()-1,60),ROW()-1,FALSE))</f>
        <v/>
      </c>
      <c r="AU31" t="str">
        <f ca="1">IF(AND(ISNUMBER($AU$187),$B$158=1),$AU$187,HLOOKUP(INDIRECT(ADDRESS(2,COLUMN())),OFFSET($BN$2,0,0,ROW()-1,60),ROW()-1,FALSE))</f>
        <v/>
      </c>
      <c r="AV31" t="str">
        <f ca="1">IF(AND(ISNUMBER($AV$187),$B$158=1),$AV$187,HLOOKUP(INDIRECT(ADDRESS(2,COLUMN())),OFFSET($BN$2,0,0,ROW()-1,60),ROW()-1,FALSE))</f>
        <v/>
      </c>
      <c r="AW31" t="str">
        <f ca="1">IF(AND(ISNUMBER($AW$187),$B$158=1),$AW$187,HLOOKUP(INDIRECT(ADDRESS(2,COLUMN())),OFFSET($BN$2,0,0,ROW()-1,60),ROW()-1,FALSE))</f>
        <v/>
      </c>
      <c r="AX31" t="str">
        <f ca="1">IF(AND(ISNUMBER($AX$187),$B$158=1),$AX$187,HLOOKUP(INDIRECT(ADDRESS(2,COLUMN())),OFFSET($BN$2,0,0,ROW()-1,60),ROW()-1,FALSE))</f>
        <v/>
      </c>
      <c r="AY31" t="str">
        <f ca="1">IF(AND(ISNUMBER($AY$187),$B$158=1),$AY$187,HLOOKUP(INDIRECT(ADDRESS(2,COLUMN())),OFFSET($BN$2,0,0,ROW()-1,60),ROW()-1,FALSE))</f>
        <v/>
      </c>
      <c r="AZ31" t="str">
        <f ca="1">IF(AND(ISNUMBER($AZ$187),$B$158=1),$AZ$187,HLOOKUP(INDIRECT(ADDRESS(2,COLUMN())),OFFSET($BN$2,0,0,ROW()-1,60),ROW()-1,FALSE))</f>
        <v/>
      </c>
      <c r="BA31" t="str">
        <f ca="1">IF(AND(ISNUMBER($BA$187),$B$158=1),$BA$187,HLOOKUP(INDIRECT(ADDRESS(2,COLUMN())),OFFSET($BN$2,0,0,ROW()-1,60),ROW()-1,FALSE))</f>
        <v/>
      </c>
      <c r="BB31" t="str">
        <f ca="1">IF(AND(ISNUMBER($BB$187),$B$158=1),$BB$187,HLOOKUP(INDIRECT(ADDRESS(2,COLUMN())),OFFSET($BN$2,0,0,ROW()-1,60),ROW()-1,FALSE))</f>
        <v/>
      </c>
      <c r="BC31" t="str">
        <f ca="1">IF(AND(ISNUMBER($BC$187),$B$158=1),$BC$187,HLOOKUP(INDIRECT(ADDRESS(2,COLUMN())),OFFSET($BN$2,0,0,ROW()-1,60),ROW()-1,FALSE))</f>
        <v/>
      </c>
      <c r="BD31" t="str">
        <f ca="1">IF(AND(ISNUMBER($BD$187),$B$158=1),$BD$187,HLOOKUP(INDIRECT(ADDRESS(2,COLUMN())),OFFSET($BN$2,0,0,ROW()-1,60),ROW()-1,FALSE))</f>
        <v/>
      </c>
      <c r="BE31" t="str">
        <f ca="1">IF(AND(ISNUMBER($BE$187),$B$158=1),$BE$187,HLOOKUP(INDIRECT(ADDRESS(2,COLUMN())),OFFSET($BN$2,0,0,ROW()-1,60),ROW()-1,FALSE))</f>
        <v/>
      </c>
      <c r="BF31" t="str">
        <f ca="1">IF(AND(ISNUMBER($BF$187),$B$158=1),$BF$187,HLOOKUP(INDIRECT(ADDRESS(2,COLUMN())),OFFSET($BN$2,0,0,ROW()-1,60),ROW()-1,FALSE))</f>
        <v/>
      </c>
      <c r="BG31" t="str">
        <f ca="1">IF(AND(ISNUMBER($BG$187),$B$158=1),$BG$187,HLOOKUP(INDIRECT(ADDRESS(2,COLUMN())),OFFSET($BN$2,0,0,ROW()-1,60),ROW()-1,FALSE))</f>
        <v/>
      </c>
      <c r="BH31" t="str">
        <f ca="1">IF(AND(ISNUMBER($BH$187),$B$158=1),$BH$187,HLOOKUP(INDIRECT(ADDRESS(2,COLUMN())),OFFSET($BN$2,0,0,ROW()-1,60),ROW()-1,FALSE))</f>
        <v/>
      </c>
      <c r="BI31" t="str">
        <f ca="1">IF(AND(ISNUMBER($BI$187),$B$158=1),$BI$187,HLOOKUP(INDIRECT(ADDRESS(2,COLUMN())),OFFSET($BN$2,0,0,ROW()-1,60),ROW()-1,FALSE))</f>
        <v/>
      </c>
      <c r="BJ31" t="str">
        <f ca="1">IF(AND(ISNUMBER($BJ$187),$B$158=1),$BJ$187,HLOOKUP(INDIRECT(ADDRESS(2,COLUMN())),OFFSET($BN$2,0,0,ROW()-1,60),ROW()-1,FALSE))</f>
        <v/>
      </c>
      <c r="BK31" t="str">
        <f ca="1">IF(AND(ISNUMBER($BK$187),$B$158=1),$BK$187,HLOOKUP(INDIRECT(ADDRESS(2,COLUMN())),OFFSET($BN$2,0,0,ROW()-1,60),ROW()-1,FALSE))</f>
        <v/>
      </c>
      <c r="BL31" t="str">
        <f ca="1">IF(AND(ISNUMBER($BL$187),$B$158=1),$BL$187,HLOOKUP(INDIRECT(ADDRESS(2,COLUMN())),OFFSET($BN$2,0,0,ROW()-1,60),ROW()-1,FALSE))</f>
        <v/>
      </c>
      <c r="BM31" t="str">
        <f ca="1">IF(AND(ISNUMBER($BM$187),$B$158=1),$BM$187,HLOOKUP(INDIRECT(ADDRESS(2,COLUMN())),OFFSET($BN$2,0,0,ROW()-1,60),ROW()-1,FALSE))</f>
        <v/>
      </c>
      <c r="BN31" t="str">
        <f>""</f>
        <v/>
      </c>
      <c r="BO31">
        <f>24</f>
        <v>24</v>
      </c>
      <c r="BP31">
        <f>225</f>
        <v>225</v>
      </c>
      <c r="BQ31">
        <f>51</f>
        <v>51</v>
      </c>
      <c r="BR31">
        <f>13</f>
        <v>13</v>
      </c>
      <c r="BS31">
        <f>44</f>
        <v>44</v>
      </c>
      <c r="BT31">
        <f>-43</f>
        <v>-43</v>
      </c>
      <c r="BU31">
        <f>-11</f>
        <v>-11</v>
      </c>
      <c r="BV31">
        <f>6</f>
        <v>6</v>
      </c>
      <c r="BW31">
        <f>-2</f>
        <v>-2</v>
      </c>
      <c r="BX31">
        <f>-2</f>
        <v>-2</v>
      </c>
      <c r="BY31">
        <f>5</f>
        <v>5</v>
      </c>
      <c r="BZ31">
        <f>29</f>
        <v>29</v>
      </c>
      <c r="CA31">
        <f>41</f>
        <v>41</v>
      </c>
      <c r="CB31">
        <f>52</f>
        <v>52</v>
      </c>
      <c r="CC31">
        <f>64</f>
        <v>64</v>
      </c>
      <c r="CD31">
        <f>51</f>
        <v>51</v>
      </c>
      <c r="CE31">
        <f>49</f>
        <v>49</v>
      </c>
      <c r="CF31">
        <f>30</f>
        <v>30</v>
      </c>
      <c r="CG31">
        <f>46</f>
        <v>46</v>
      </c>
      <c r="CH31">
        <f>18</f>
        <v>18</v>
      </c>
      <c r="CI31">
        <f>22</f>
        <v>22</v>
      </c>
      <c r="CJ31">
        <f>0</f>
        <v>0</v>
      </c>
      <c r="CK31">
        <f>-5</f>
        <v>-5</v>
      </c>
      <c r="CL31" t="str">
        <f>""</f>
        <v/>
      </c>
      <c r="CM31">
        <f>-8</f>
        <v>-8</v>
      </c>
      <c r="CN31">
        <f>11</f>
        <v>11</v>
      </c>
      <c r="CO31">
        <f>0</f>
        <v>0</v>
      </c>
      <c r="CP31" t="str">
        <f>""</f>
        <v/>
      </c>
      <c r="CQ31" t="str">
        <f>""</f>
        <v/>
      </c>
      <c r="CR31" t="str">
        <f>""</f>
        <v/>
      </c>
      <c r="CS31">
        <f>3</f>
        <v>3</v>
      </c>
      <c r="CT31" t="str">
        <f>""</f>
        <v/>
      </c>
      <c r="CU31" t="str">
        <f>""</f>
        <v/>
      </c>
      <c r="CV31" t="str">
        <f>""</f>
        <v/>
      </c>
      <c r="CW31">
        <f>9</f>
        <v>9</v>
      </c>
      <c r="CX31" t="str">
        <f>""</f>
        <v/>
      </c>
      <c r="CY31" t="str">
        <f>""</f>
        <v/>
      </c>
      <c r="CZ31" t="str">
        <f>""</f>
        <v/>
      </c>
      <c r="DA31" t="str">
        <f>""</f>
        <v/>
      </c>
      <c r="DB31" t="str">
        <f>""</f>
        <v/>
      </c>
      <c r="DC31" t="str">
        <f>""</f>
        <v/>
      </c>
      <c r="DD31" t="str">
        <f>""</f>
        <v/>
      </c>
      <c r="DE31" t="str">
        <f>""</f>
        <v/>
      </c>
      <c r="DF31" t="str">
        <f>""</f>
        <v/>
      </c>
      <c r="DG31" t="str">
        <f>""</f>
        <v/>
      </c>
      <c r="DH31" t="str">
        <f>""</f>
        <v/>
      </c>
      <c r="DI31" t="str">
        <f>""</f>
        <v/>
      </c>
      <c r="DJ31" t="str">
        <f>""</f>
        <v/>
      </c>
      <c r="DK31" t="str">
        <f>""</f>
        <v/>
      </c>
      <c r="DL31" t="str">
        <f>""</f>
        <v/>
      </c>
      <c r="DM31" t="str">
        <f>""</f>
        <v/>
      </c>
      <c r="DN31" t="str">
        <f>""</f>
        <v/>
      </c>
      <c r="DO31" t="str">
        <f>""</f>
        <v/>
      </c>
      <c r="DP31" t="str">
        <f>""</f>
        <v/>
      </c>
      <c r="DQ31" t="str">
        <f>""</f>
        <v/>
      </c>
      <c r="DR31" t="str">
        <f>""</f>
        <v/>
      </c>
      <c r="DS31" t="str">
        <f>""</f>
        <v/>
      </c>
      <c r="DT31" t="str">
        <f>""</f>
        <v/>
      </c>
      <c r="DU31" t="str">
        <f>""</f>
        <v/>
      </c>
    </row>
    <row r="32" spans="1:125" x14ac:dyDescent="0.25">
      <c r="A32" t="str">
        <f>"                        Japan"</f>
        <v xml:space="preserve">                        Japan</v>
      </c>
      <c r="B32" t="str">
        <f t="shared" si="20"/>
        <v>KER FP Equity</v>
      </c>
      <c r="C32" t="str">
        <f t="shared" si="21"/>
        <v>BI047</v>
      </c>
      <c r="D32" t="str">
        <f t="shared" si="22"/>
        <v>BICS_SEGMENT_DATA</v>
      </c>
      <c r="E32" t="str">
        <f t="shared" si="23"/>
        <v>Dynamic</v>
      </c>
      <c r="F32" t="str">
        <f ca="1">IF(AND(ISNUMBER($F$188),$B$158=1),$F$188,HLOOKUP(INDIRECT(ADDRESS(2,COLUMN())),OFFSET($BN$2,0,0,ROW()-1,60),ROW()-1,FALSE))</f>
        <v/>
      </c>
      <c r="G32">
        <f ca="1">IF(AND(ISNUMBER($G$188),$B$158=1),$G$188,HLOOKUP(INDIRECT(ADDRESS(2,COLUMN())),OFFSET($BN$2,0,0,ROW()-1,60),ROW()-1,FALSE))</f>
        <v>-1</v>
      </c>
      <c r="H32">
        <f ca="1">IF(AND(ISNUMBER($H$188),$B$158=1),$H$188,HLOOKUP(INDIRECT(ADDRESS(2,COLUMN())),OFFSET($BN$2,0,0,ROW()-1,60),ROW()-1,FALSE))</f>
        <v>85</v>
      </c>
      <c r="I32">
        <f ca="1">IF(AND(ISNUMBER($I$188),$B$158=1),$I$188,HLOOKUP(INDIRECT(ADDRESS(2,COLUMN())),OFFSET($BN$2,0,0,ROW()-1,60),ROW()-1,FALSE))</f>
        <v>-9</v>
      </c>
      <c r="J32">
        <f ca="1">IF(AND(ISNUMBER($J$188),$B$158=1),$J$188,HLOOKUP(INDIRECT(ADDRESS(2,COLUMN())),OFFSET($BN$2,0,0,ROW()-1,60),ROW()-1,FALSE))</f>
        <v>-20</v>
      </c>
      <c r="K32">
        <f ca="1">IF(AND(ISNUMBER($K$188),$B$158=1),$K$188,HLOOKUP(INDIRECT(ADDRESS(2,COLUMN())),OFFSET($BN$2,0,0,ROW()-1,60),ROW()-1,FALSE))</f>
        <v>-26</v>
      </c>
      <c r="L32">
        <f ca="1">IF(AND(ISNUMBER($L$188),$B$158=1),$L$188,HLOOKUP(INDIRECT(ADDRESS(2,COLUMN())),OFFSET($BN$2,0,0,ROW()-1,60),ROW()-1,FALSE))</f>
        <v>-64</v>
      </c>
      <c r="M32">
        <f ca="1">IF(AND(ISNUMBER($M$188),$B$158=1),$M$188,HLOOKUP(INDIRECT(ADDRESS(2,COLUMN())),OFFSET($BN$2,0,0,ROW()-1,60),ROW()-1,FALSE))</f>
        <v>-19</v>
      </c>
      <c r="N32">
        <f ca="1">IF(AND(ISNUMBER($N$188),$B$158=1),$N$188,HLOOKUP(INDIRECT(ADDRESS(2,COLUMN())),OFFSET($BN$2,0,0,ROW()-1,60),ROW()-1,FALSE))</f>
        <v>-5</v>
      </c>
      <c r="O32">
        <f ca="1">IF(AND(ISNUMBER($O$188),$B$158=1),$O$188,HLOOKUP(INDIRECT(ADDRESS(2,COLUMN())),OFFSET($BN$2,0,0,ROW()-1,60),ROW()-1,FALSE))</f>
        <v>9</v>
      </c>
      <c r="P32">
        <f ca="1">IF(AND(ISNUMBER($P$188),$B$158=1),$P$188,HLOOKUP(INDIRECT(ADDRESS(2,COLUMN())),OFFSET($BN$2,0,0,ROW()-1,60),ROW()-1,FALSE))</f>
        <v>6</v>
      </c>
      <c r="Q32">
        <f ca="1">IF(AND(ISNUMBER($Q$188),$B$158=1),$Q$188,HLOOKUP(INDIRECT(ADDRESS(2,COLUMN())),OFFSET($BN$2,0,0,ROW()-1,60),ROW()-1,FALSE))</f>
        <v>16</v>
      </c>
      <c r="R32">
        <f ca="1">IF(AND(ISNUMBER($R$188),$B$158=1),$R$188,HLOOKUP(INDIRECT(ADDRESS(2,COLUMN())),OFFSET($BN$2,0,0,ROW()-1,60),ROW()-1,FALSE))</f>
        <v>26</v>
      </c>
      <c r="S32">
        <f ca="1">IF(AND(ISNUMBER($S$188),$B$158=1),$S$188,HLOOKUP(INDIRECT(ADDRESS(2,COLUMN())),OFFSET($BN$2,0,0,ROW()-1,60),ROW()-1,FALSE))</f>
        <v>33</v>
      </c>
      <c r="T32">
        <f ca="1">IF(AND(ISNUMBER($T$188),$B$158=1),$T$188,HLOOKUP(INDIRECT(ADDRESS(2,COLUMN())),OFFSET($BN$2,0,0,ROW()-1,60),ROW()-1,FALSE))</f>
        <v>46</v>
      </c>
      <c r="U32">
        <f ca="1">IF(AND(ISNUMBER($U$188),$B$158=1),$U$188,HLOOKUP(INDIRECT(ADDRESS(2,COLUMN())),OFFSET($BN$2,0,0,ROW()-1,60),ROW()-1,FALSE))</f>
        <v>43</v>
      </c>
      <c r="V32">
        <f ca="1">IF(AND(ISNUMBER($V$188),$B$158=1),$V$188,HLOOKUP(INDIRECT(ADDRESS(2,COLUMN())),OFFSET($BN$2,0,0,ROW()-1,60),ROW()-1,FALSE))</f>
        <v>29</v>
      </c>
      <c r="W32">
        <f ca="1">IF(AND(ISNUMBER($W$188),$B$158=1),$W$188,HLOOKUP(INDIRECT(ADDRESS(2,COLUMN())),OFFSET($BN$2,0,0,ROW()-1,60),ROW()-1,FALSE))</f>
        <v>24</v>
      </c>
      <c r="X32">
        <f ca="1">IF(AND(ISNUMBER($X$188),$B$158=1),$X$188,HLOOKUP(INDIRECT(ADDRESS(2,COLUMN())),OFFSET($BN$2,0,0,ROW()-1,60),ROW()-1,FALSE))</f>
        <v>22</v>
      </c>
      <c r="Y32">
        <f ca="1">IF(AND(ISNUMBER($Y$188),$B$158=1),$Y$188,HLOOKUP(INDIRECT(ADDRESS(2,COLUMN())),OFFSET($BN$2,0,0,ROW()-1,60),ROW()-1,FALSE))</f>
        <v>11</v>
      </c>
      <c r="Z32" t="str">
        <f ca="1">IF(AND(ISNUMBER($Z$188),$B$158=1),$Z$188,HLOOKUP(INDIRECT(ADDRESS(2,COLUMN())),OFFSET($BN$2,0,0,ROW()-1,60),ROW()-1,FALSE))</f>
        <v/>
      </c>
      <c r="AA32">
        <f ca="1">IF(AND(ISNUMBER($AA$188),$B$158=1),$AA$188,HLOOKUP(INDIRECT(ADDRESS(2,COLUMN())),OFFSET($BN$2,0,0,ROW()-1,60),ROW()-1,FALSE))</f>
        <v>-8</v>
      </c>
      <c r="AB32">
        <f ca="1">IF(AND(ISNUMBER($AB$188),$B$158=1),$AB$188,HLOOKUP(INDIRECT(ADDRESS(2,COLUMN())),OFFSET($BN$2,0,0,ROW()-1,60),ROW()-1,FALSE))</f>
        <v>5</v>
      </c>
      <c r="AC32">
        <f ca="1">IF(AND(ISNUMBER($AC$188),$B$158=1),$AC$188,HLOOKUP(INDIRECT(ADDRESS(2,COLUMN())),OFFSET($BN$2,0,0,ROW()-1,60),ROW()-1,FALSE))</f>
        <v>1</v>
      </c>
      <c r="AD32" t="str">
        <f ca="1">IF(AND(ISNUMBER($AD$188),$B$158=1),$AD$188,HLOOKUP(INDIRECT(ADDRESS(2,COLUMN())),OFFSET($BN$2,0,0,ROW()-1,60),ROW()-1,FALSE))</f>
        <v/>
      </c>
      <c r="AE32">
        <f ca="1">IF(AND(ISNUMBER($AE$188),$B$158=1),$AE$188,HLOOKUP(INDIRECT(ADDRESS(2,COLUMN())),OFFSET($BN$2,0,0,ROW()-1,60),ROW()-1,FALSE))</f>
        <v>24</v>
      </c>
      <c r="AF32">
        <f ca="1">IF(AND(ISNUMBER($AF$188),$B$158=1),$AF$188,HLOOKUP(INDIRECT(ADDRESS(2,COLUMN())),OFFSET($BN$2,0,0,ROW()-1,60),ROW()-1,FALSE))</f>
        <v>19</v>
      </c>
      <c r="AG32">
        <f ca="1">IF(AND(ISNUMBER($AG$188),$B$158=1),$AG$188,HLOOKUP(INDIRECT(ADDRESS(2,COLUMN())),OFFSET($BN$2,0,0,ROW()-1,60),ROW()-1,FALSE))</f>
        <v>-9</v>
      </c>
      <c r="AH32" t="str">
        <f ca="1">IF(AND(ISNUMBER($AH$188),$B$158=1),$AH$188,HLOOKUP(INDIRECT(ADDRESS(2,COLUMN())),OFFSET($BN$2,0,0,ROW()-1,60),ROW()-1,FALSE))</f>
        <v/>
      </c>
      <c r="AI32" t="str">
        <f ca="1">IF(AND(ISNUMBER($AI$188),$B$158=1),$AI$188,HLOOKUP(INDIRECT(ADDRESS(2,COLUMN())),OFFSET($BN$2,0,0,ROW()-1,60),ROW()-1,FALSE))</f>
        <v/>
      </c>
      <c r="AJ32" t="str">
        <f ca="1">IF(AND(ISNUMBER($AJ$188),$B$158=1),$AJ$188,HLOOKUP(INDIRECT(ADDRESS(2,COLUMN())),OFFSET($BN$2,0,0,ROW()-1,60),ROW()-1,FALSE))</f>
        <v/>
      </c>
      <c r="AK32">
        <f ca="1">IF(AND(ISNUMBER($AK$188),$B$158=1),$AK$188,HLOOKUP(INDIRECT(ADDRESS(2,COLUMN())),OFFSET($BN$2,0,0,ROW()-1,60),ROW()-1,FALSE))</f>
        <v>32</v>
      </c>
      <c r="AL32" t="str">
        <f ca="1">IF(AND(ISNUMBER($AL$188),$B$158=1),$AL$188,HLOOKUP(INDIRECT(ADDRESS(2,COLUMN())),OFFSET($BN$2,0,0,ROW()-1,60),ROW()-1,FALSE))</f>
        <v/>
      </c>
      <c r="AM32" t="str">
        <f ca="1">IF(AND(ISNUMBER($AM$188),$B$158=1),$AM$188,HLOOKUP(INDIRECT(ADDRESS(2,COLUMN())),OFFSET($BN$2,0,0,ROW()-1,60),ROW()-1,FALSE))</f>
        <v/>
      </c>
      <c r="AN32" t="str">
        <f ca="1">IF(AND(ISNUMBER($AN$188),$B$158=1),$AN$188,HLOOKUP(INDIRECT(ADDRESS(2,COLUMN())),OFFSET($BN$2,0,0,ROW()-1,60),ROW()-1,FALSE))</f>
        <v/>
      </c>
      <c r="AO32">
        <f ca="1">IF(AND(ISNUMBER($AO$188),$B$158=1),$AO$188,HLOOKUP(INDIRECT(ADDRESS(2,COLUMN())),OFFSET($BN$2,0,0,ROW()-1,60),ROW()-1,FALSE))</f>
        <v>5</v>
      </c>
      <c r="AP32" t="str">
        <f ca="1">IF(AND(ISNUMBER($AP$188),$B$158=1),$AP$188,HLOOKUP(INDIRECT(ADDRESS(2,COLUMN())),OFFSET($BN$2,0,0,ROW()-1,60),ROW()-1,FALSE))</f>
        <v/>
      </c>
      <c r="AQ32" t="str">
        <f ca="1">IF(AND(ISNUMBER($AQ$188),$B$158=1),$AQ$188,HLOOKUP(INDIRECT(ADDRESS(2,COLUMN())),OFFSET($BN$2,0,0,ROW()-1,60),ROW()-1,FALSE))</f>
        <v/>
      </c>
      <c r="AR32" t="str">
        <f ca="1">IF(AND(ISNUMBER($AR$188),$B$158=1),$AR$188,HLOOKUP(INDIRECT(ADDRESS(2,COLUMN())),OFFSET($BN$2,0,0,ROW()-1,60),ROW()-1,FALSE))</f>
        <v/>
      </c>
      <c r="AS32" t="str">
        <f ca="1">IF(AND(ISNUMBER($AS$188),$B$158=1),$AS$188,HLOOKUP(INDIRECT(ADDRESS(2,COLUMN())),OFFSET($BN$2,0,0,ROW()-1,60),ROW()-1,FALSE))</f>
        <v/>
      </c>
      <c r="AT32" t="str">
        <f ca="1">IF(AND(ISNUMBER($AT$188),$B$158=1),$AT$188,HLOOKUP(INDIRECT(ADDRESS(2,COLUMN())),OFFSET($BN$2,0,0,ROW()-1,60),ROW()-1,FALSE))</f>
        <v/>
      </c>
      <c r="AU32" t="str">
        <f ca="1">IF(AND(ISNUMBER($AU$188),$B$158=1),$AU$188,HLOOKUP(INDIRECT(ADDRESS(2,COLUMN())),OFFSET($BN$2,0,0,ROW()-1,60),ROW()-1,FALSE))</f>
        <v/>
      </c>
      <c r="AV32" t="str">
        <f ca="1">IF(AND(ISNUMBER($AV$188),$B$158=1),$AV$188,HLOOKUP(INDIRECT(ADDRESS(2,COLUMN())),OFFSET($BN$2,0,0,ROW()-1,60),ROW()-1,FALSE))</f>
        <v/>
      </c>
      <c r="AW32" t="str">
        <f ca="1">IF(AND(ISNUMBER($AW$188),$B$158=1),$AW$188,HLOOKUP(INDIRECT(ADDRESS(2,COLUMN())),OFFSET($BN$2,0,0,ROW()-1,60),ROW()-1,FALSE))</f>
        <v/>
      </c>
      <c r="AX32" t="str">
        <f ca="1">IF(AND(ISNUMBER($AX$188),$B$158=1),$AX$188,HLOOKUP(INDIRECT(ADDRESS(2,COLUMN())),OFFSET($BN$2,0,0,ROW()-1,60),ROW()-1,FALSE))</f>
        <v/>
      </c>
      <c r="AY32" t="str">
        <f ca="1">IF(AND(ISNUMBER($AY$188),$B$158=1),$AY$188,HLOOKUP(INDIRECT(ADDRESS(2,COLUMN())),OFFSET($BN$2,0,0,ROW()-1,60),ROW()-1,FALSE))</f>
        <v/>
      </c>
      <c r="AZ32" t="str">
        <f ca="1">IF(AND(ISNUMBER($AZ$188),$B$158=1),$AZ$188,HLOOKUP(INDIRECT(ADDRESS(2,COLUMN())),OFFSET($BN$2,0,0,ROW()-1,60),ROW()-1,FALSE))</f>
        <v/>
      </c>
      <c r="BA32" t="str">
        <f ca="1">IF(AND(ISNUMBER($BA$188),$B$158=1),$BA$188,HLOOKUP(INDIRECT(ADDRESS(2,COLUMN())),OFFSET($BN$2,0,0,ROW()-1,60),ROW()-1,FALSE))</f>
        <v/>
      </c>
      <c r="BB32" t="str">
        <f ca="1">IF(AND(ISNUMBER($BB$188),$B$158=1),$BB$188,HLOOKUP(INDIRECT(ADDRESS(2,COLUMN())),OFFSET($BN$2,0,0,ROW()-1,60),ROW()-1,FALSE))</f>
        <v/>
      </c>
      <c r="BC32" t="str">
        <f ca="1">IF(AND(ISNUMBER($BC$188),$B$158=1),$BC$188,HLOOKUP(INDIRECT(ADDRESS(2,COLUMN())),OFFSET($BN$2,0,0,ROW()-1,60),ROW()-1,FALSE))</f>
        <v/>
      </c>
      <c r="BD32" t="str">
        <f ca="1">IF(AND(ISNUMBER($BD$188),$B$158=1),$BD$188,HLOOKUP(INDIRECT(ADDRESS(2,COLUMN())),OFFSET($BN$2,0,0,ROW()-1,60),ROW()-1,FALSE))</f>
        <v/>
      </c>
      <c r="BE32" t="str">
        <f ca="1">IF(AND(ISNUMBER($BE$188),$B$158=1),$BE$188,HLOOKUP(INDIRECT(ADDRESS(2,COLUMN())),OFFSET($BN$2,0,0,ROW()-1,60),ROW()-1,FALSE))</f>
        <v/>
      </c>
      <c r="BF32" t="str">
        <f ca="1">IF(AND(ISNUMBER($BF$188),$B$158=1),$BF$188,HLOOKUP(INDIRECT(ADDRESS(2,COLUMN())),OFFSET($BN$2,0,0,ROW()-1,60),ROW()-1,FALSE))</f>
        <v/>
      </c>
      <c r="BG32" t="str">
        <f ca="1">IF(AND(ISNUMBER($BG$188),$B$158=1),$BG$188,HLOOKUP(INDIRECT(ADDRESS(2,COLUMN())),OFFSET($BN$2,0,0,ROW()-1,60),ROW()-1,FALSE))</f>
        <v/>
      </c>
      <c r="BH32" t="str">
        <f ca="1">IF(AND(ISNUMBER($BH$188),$B$158=1),$BH$188,HLOOKUP(INDIRECT(ADDRESS(2,COLUMN())),OFFSET($BN$2,0,0,ROW()-1,60),ROW()-1,FALSE))</f>
        <v/>
      </c>
      <c r="BI32" t="str">
        <f ca="1">IF(AND(ISNUMBER($BI$188),$B$158=1),$BI$188,HLOOKUP(INDIRECT(ADDRESS(2,COLUMN())),OFFSET($BN$2,0,0,ROW()-1,60),ROW()-1,FALSE))</f>
        <v/>
      </c>
      <c r="BJ32" t="str">
        <f ca="1">IF(AND(ISNUMBER($BJ$188),$B$158=1),$BJ$188,HLOOKUP(INDIRECT(ADDRESS(2,COLUMN())),OFFSET($BN$2,0,0,ROW()-1,60),ROW()-1,FALSE))</f>
        <v/>
      </c>
      <c r="BK32" t="str">
        <f ca="1">IF(AND(ISNUMBER($BK$188),$B$158=1),$BK$188,HLOOKUP(INDIRECT(ADDRESS(2,COLUMN())),OFFSET($BN$2,0,0,ROW()-1,60),ROW()-1,FALSE))</f>
        <v/>
      </c>
      <c r="BL32" t="str">
        <f ca="1">IF(AND(ISNUMBER($BL$188),$B$158=1),$BL$188,HLOOKUP(INDIRECT(ADDRESS(2,COLUMN())),OFFSET($BN$2,0,0,ROW()-1,60),ROW()-1,FALSE))</f>
        <v/>
      </c>
      <c r="BM32" t="str">
        <f ca="1">IF(AND(ISNUMBER($BM$188),$B$158=1),$BM$188,HLOOKUP(INDIRECT(ADDRESS(2,COLUMN())),OFFSET($BN$2,0,0,ROW()-1,60),ROW()-1,FALSE))</f>
        <v/>
      </c>
      <c r="BN32" t="str">
        <f>""</f>
        <v/>
      </c>
      <c r="BO32">
        <f>-1</f>
        <v>-1</v>
      </c>
      <c r="BP32">
        <f>85</f>
        <v>85</v>
      </c>
      <c r="BQ32">
        <f>-9</f>
        <v>-9</v>
      </c>
      <c r="BR32">
        <f>-20</f>
        <v>-20</v>
      </c>
      <c r="BS32">
        <f>-26</f>
        <v>-26</v>
      </c>
      <c r="BT32">
        <f>-64</f>
        <v>-64</v>
      </c>
      <c r="BU32">
        <f>-19</f>
        <v>-19</v>
      </c>
      <c r="BV32">
        <f>-5</f>
        <v>-5</v>
      </c>
      <c r="BW32">
        <f>9</f>
        <v>9</v>
      </c>
      <c r="BX32">
        <f>6</f>
        <v>6</v>
      </c>
      <c r="BY32">
        <f>16</f>
        <v>16</v>
      </c>
      <c r="BZ32">
        <f>26</f>
        <v>26</v>
      </c>
      <c r="CA32">
        <f>33</f>
        <v>33</v>
      </c>
      <c r="CB32">
        <f>46</f>
        <v>46</v>
      </c>
      <c r="CC32">
        <f>43</f>
        <v>43</v>
      </c>
      <c r="CD32">
        <f>29</f>
        <v>29</v>
      </c>
      <c r="CE32">
        <f>24</f>
        <v>24</v>
      </c>
      <c r="CF32">
        <f>22</f>
        <v>22</v>
      </c>
      <c r="CG32">
        <f>11</f>
        <v>11</v>
      </c>
      <c r="CH32" t="str">
        <f>""</f>
        <v/>
      </c>
      <c r="CI32">
        <f>-8</f>
        <v>-8</v>
      </c>
      <c r="CJ32">
        <f>5</f>
        <v>5</v>
      </c>
      <c r="CK32">
        <f>1</f>
        <v>1</v>
      </c>
      <c r="CL32" t="str">
        <f>""</f>
        <v/>
      </c>
      <c r="CM32">
        <f>24</f>
        <v>24</v>
      </c>
      <c r="CN32">
        <f>19</f>
        <v>19</v>
      </c>
      <c r="CO32">
        <f>-9</f>
        <v>-9</v>
      </c>
      <c r="CP32" t="str">
        <f>""</f>
        <v/>
      </c>
      <c r="CQ32" t="str">
        <f>""</f>
        <v/>
      </c>
      <c r="CR32" t="str">
        <f>""</f>
        <v/>
      </c>
      <c r="CS32">
        <f>32</f>
        <v>32</v>
      </c>
      <c r="CT32" t="str">
        <f>""</f>
        <v/>
      </c>
      <c r="CU32" t="str">
        <f>""</f>
        <v/>
      </c>
      <c r="CV32" t="str">
        <f>""</f>
        <v/>
      </c>
      <c r="CW32">
        <f>5</f>
        <v>5</v>
      </c>
      <c r="CX32" t="str">
        <f>""</f>
        <v/>
      </c>
      <c r="CY32" t="str">
        <f>""</f>
        <v/>
      </c>
      <c r="CZ32" t="str">
        <f>""</f>
        <v/>
      </c>
      <c r="DA32" t="str">
        <f>""</f>
        <v/>
      </c>
      <c r="DB32" t="str">
        <f>""</f>
        <v/>
      </c>
      <c r="DC32" t="str">
        <f>""</f>
        <v/>
      </c>
      <c r="DD32" t="str">
        <f>""</f>
        <v/>
      </c>
      <c r="DE32" t="str">
        <f>""</f>
        <v/>
      </c>
      <c r="DF32" t="str">
        <f>""</f>
        <v/>
      </c>
      <c r="DG32" t="str">
        <f>""</f>
        <v/>
      </c>
      <c r="DH32" t="str">
        <f>""</f>
        <v/>
      </c>
      <c r="DI32" t="str">
        <f>""</f>
        <v/>
      </c>
      <c r="DJ32" t="str">
        <f>""</f>
        <v/>
      </c>
      <c r="DK32" t="str">
        <f>""</f>
        <v/>
      </c>
      <c r="DL32" t="str">
        <f>""</f>
        <v/>
      </c>
      <c r="DM32" t="str">
        <f>""</f>
        <v/>
      </c>
      <c r="DN32" t="str">
        <f>""</f>
        <v/>
      </c>
      <c r="DO32" t="str">
        <f>""</f>
        <v/>
      </c>
      <c r="DP32" t="str">
        <f>""</f>
        <v/>
      </c>
      <c r="DQ32" t="str">
        <f>""</f>
        <v/>
      </c>
      <c r="DR32" t="str">
        <f>""</f>
        <v/>
      </c>
      <c r="DS32" t="str">
        <f>""</f>
        <v/>
      </c>
      <c r="DT32" t="str">
        <f>""</f>
        <v/>
      </c>
      <c r="DU32" t="str">
        <f>""</f>
        <v/>
      </c>
    </row>
    <row r="33" spans="1:125" x14ac:dyDescent="0.25">
      <c r="A33" t="str">
        <f>"                        Asia Pacific"</f>
        <v xml:space="preserve">                        Asia Pacific</v>
      </c>
      <c r="B33" t="str">
        <f t="shared" si="20"/>
        <v>KER FP Equity</v>
      </c>
      <c r="C33" t="str">
        <f t="shared" si="21"/>
        <v>BI047</v>
      </c>
      <c r="D33" t="str">
        <f t="shared" si="22"/>
        <v>BICS_SEGMENT_DATA</v>
      </c>
      <c r="E33" t="str">
        <f t="shared" si="23"/>
        <v>Dynamic</v>
      </c>
      <c r="F33" t="str">
        <f ca="1">IF(AND(ISNUMBER($F$189),$B$158=1),$F$189,HLOOKUP(INDIRECT(ADDRESS(2,COLUMN())),OFFSET($BN$2,0,0,ROW()-1,60),ROW()-1,FALSE))</f>
        <v/>
      </c>
      <c r="G33">
        <f ca="1">IF(AND(ISNUMBER($G$189),$B$158=1),$G$189,HLOOKUP(INDIRECT(ADDRESS(2,COLUMN())),OFFSET($BN$2,0,0,ROW()-1,60),ROW()-1,FALSE))</f>
        <v>-3</v>
      </c>
      <c r="H33">
        <f ca="1">IF(AND(ISNUMBER($H$189),$B$158=1),$H$189,HLOOKUP(INDIRECT(ADDRESS(2,COLUMN())),OFFSET($BN$2,0,0,ROW()-1,60),ROW()-1,FALSE))</f>
        <v>48</v>
      </c>
      <c r="I33">
        <f ca="1">IF(AND(ISNUMBER($I$189),$B$158=1),$I$189,HLOOKUP(INDIRECT(ADDRESS(2,COLUMN())),OFFSET($BN$2,0,0,ROW()-1,60),ROW()-1,FALSE))</f>
        <v>78</v>
      </c>
      <c r="J33">
        <f ca="1">IF(AND(ISNUMBER($J$189),$B$158=1),$J$189,HLOOKUP(INDIRECT(ADDRESS(2,COLUMN())),OFFSET($BN$2,0,0,ROW()-1,60),ROW()-1,FALSE))</f>
        <v>8</v>
      </c>
      <c r="K33">
        <f ca="1">IF(AND(ISNUMBER($K$189),$B$158=1),$K$189,HLOOKUP(INDIRECT(ADDRESS(2,COLUMN())),OFFSET($BN$2,0,0,ROW()-1,60),ROW()-1,FALSE))</f>
        <v>11</v>
      </c>
      <c r="L33">
        <f ca="1">IF(AND(ISNUMBER($L$189),$B$158=1),$L$189,HLOOKUP(INDIRECT(ADDRESS(2,COLUMN())),OFFSET($BN$2,0,0,ROW()-1,60),ROW()-1,FALSE))</f>
        <v>-16</v>
      </c>
      <c r="M33">
        <f ca="1">IF(AND(ISNUMBER($M$189),$B$158=1),$M$189,HLOOKUP(INDIRECT(ADDRESS(2,COLUMN())),OFFSET($BN$2,0,0,ROW()-1,60),ROW()-1,FALSE))</f>
        <v>-32</v>
      </c>
      <c r="N33">
        <f ca="1">IF(AND(ISNUMBER($N$189),$B$158=1),$N$189,HLOOKUP(INDIRECT(ADDRESS(2,COLUMN())),OFFSET($BN$2,0,0,ROW()-1,60),ROW()-1,FALSE))</f>
        <v>14</v>
      </c>
      <c r="O33">
        <f ca="1">IF(AND(ISNUMBER($O$189),$B$158=1),$O$189,HLOOKUP(INDIRECT(ADDRESS(2,COLUMN())),OFFSET($BN$2,0,0,ROW()-1,60),ROW()-1,FALSE))</f>
        <v>18</v>
      </c>
      <c r="P33">
        <f ca="1">IF(AND(ISNUMBER($P$189),$B$158=1),$P$189,HLOOKUP(INDIRECT(ADDRESS(2,COLUMN())),OFFSET($BN$2,0,0,ROW()-1,60),ROW()-1,FALSE))</f>
        <v>23</v>
      </c>
      <c r="Q33">
        <f ca="1">IF(AND(ISNUMBER($Q$189),$B$158=1),$Q$189,HLOOKUP(INDIRECT(ADDRESS(2,COLUMN())),OFFSET($BN$2,0,0,ROW()-1,60),ROW()-1,FALSE))</f>
        <v>35</v>
      </c>
      <c r="R33">
        <f ca="1">IF(AND(ISNUMBER($R$189),$B$158=1),$R$189,HLOOKUP(INDIRECT(ADDRESS(2,COLUMN())),OFFSET($BN$2,0,0,ROW()-1,60),ROW()-1,FALSE))</f>
        <v>42</v>
      </c>
      <c r="S33">
        <f ca="1">IF(AND(ISNUMBER($S$189),$B$158=1),$S$189,HLOOKUP(INDIRECT(ADDRESS(2,COLUMN())),OFFSET($BN$2,0,0,ROW()-1,60),ROW()-1,FALSE))</f>
        <v>42</v>
      </c>
      <c r="T33">
        <f ca="1">IF(AND(ISNUMBER($T$189),$B$158=1),$T$189,HLOOKUP(INDIRECT(ADDRESS(2,COLUMN())),OFFSET($BN$2,0,0,ROW()-1,60),ROW()-1,FALSE))</f>
        <v>47</v>
      </c>
      <c r="U33">
        <f ca="1">IF(AND(ISNUMBER($U$189),$B$158=1),$U$189,HLOOKUP(INDIRECT(ADDRESS(2,COLUMN())),OFFSET($BN$2,0,0,ROW()-1,60),ROW()-1,FALSE))</f>
        <v>49</v>
      </c>
      <c r="V33">
        <f ca="1">IF(AND(ISNUMBER($V$189),$B$158=1),$V$189,HLOOKUP(INDIRECT(ADDRESS(2,COLUMN())),OFFSET($BN$2,0,0,ROW()-1,60),ROW()-1,FALSE))</f>
        <v>40</v>
      </c>
      <c r="W33">
        <f ca="1">IF(AND(ISNUMBER($W$189),$B$158=1),$W$189,HLOOKUP(INDIRECT(ADDRESS(2,COLUMN())),OFFSET($BN$2,0,0,ROW()-1,60),ROW()-1,FALSE))</f>
        <v>55</v>
      </c>
      <c r="X33">
        <f ca="1">IF(AND(ISNUMBER($X$189),$B$158=1),$X$189,HLOOKUP(INDIRECT(ADDRESS(2,COLUMN())),OFFSET($BN$2,0,0,ROW()-1,60),ROW()-1,FALSE))</f>
        <v>40</v>
      </c>
      <c r="Y33">
        <f ca="1">IF(AND(ISNUMBER($Y$189),$B$158=1),$Y$189,HLOOKUP(INDIRECT(ADDRESS(2,COLUMN())),OFFSET($BN$2,0,0,ROW()-1,60),ROW()-1,FALSE))</f>
        <v>63</v>
      </c>
      <c r="Z33">
        <f ca="1">IF(AND(ISNUMBER($Z$189),$B$158=1),$Z$189,HLOOKUP(INDIRECT(ADDRESS(2,COLUMN())),OFFSET($BN$2,0,0,ROW()-1,60),ROW()-1,FALSE))</f>
        <v>32</v>
      </c>
      <c r="AA33">
        <f ca="1">IF(AND(ISNUMBER($AA$189),$B$158=1),$AA$189,HLOOKUP(INDIRECT(ADDRESS(2,COLUMN())),OFFSET($BN$2,0,0,ROW()-1,60),ROW()-1,FALSE))</f>
        <v>31</v>
      </c>
      <c r="AB33">
        <f ca="1">IF(AND(ISNUMBER($AB$189),$B$158=1),$AB$189,HLOOKUP(INDIRECT(ADDRESS(2,COLUMN())),OFFSET($BN$2,0,0,ROW()-1,60),ROW()-1,FALSE))</f>
        <v>3</v>
      </c>
      <c r="AC33">
        <f ca="1">IF(AND(ISNUMBER($AC$189),$B$158=1),$AC$189,HLOOKUP(INDIRECT(ADDRESS(2,COLUMN())),OFFSET($BN$2,0,0,ROW()-1,60),ROW()-1,FALSE))</f>
        <v>-2</v>
      </c>
      <c r="AD33" t="str">
        <f ca="1">IF(AND(ISNUMBER($AD$189),$B$158=1),$AD$189,HLOOKUP(INDIRECT(ADDRESS(2,COLUMN())),OFFSET($BN$2,0,0,ROW()-1,60),ROW()-1,FALSE))</f>
        <v/>
      </c>
      <c r="AE33">
        <f ca="1">IF(AND(ISNUMBER($AE$189),$B$158=1),$AE$189,HLOOKUP(INDIRECT(ADDRESS(2,COLUMN())),OFFSET($BN$2,0,0,ROW()-1,60),ROW()-1,FALSE))</f>
        <v>-17</v>
      </c>
      <c r="AF33">
        <f ca="1">IF(AND(ISNUMBER($AF$189),$B$158=1),$AF$189,HLOOKUP(INDIRECT(ADDRESS(2,COLUMN())),OFFSET($BN$2,0,0,ROW()-1,60),ROW()-1,FALSE))</f>
        <v>3</v>
      </c>
      <c r="AG33">
        <f ca="1">IF(AND(ISNUMBER($AG$189),$B$158=1),$AG$189,HLOOKUP(INDIRECT(ADDRESS(2,COLUMN())),OFFSET($BN$2,0,0,ROW()-1,60),ROW()-1,FALSE))</f>
        <v>-10</v>
      </c>
      <c r="AH33" t="str">
        <f ca="1">IF(AND(ISNUMBER($AH$189),$B$158=1),$AH$189,HLOOKUP(INDIRECT(ADDRESS(2,COLUMN())),OFFSET($BN$2,0,0,ROW()-1,60),ROW()-1,FALSE))</f>
        <v/>
      </c>
      <c r="AI33" t="str">
        <f ca="1">IF(AND(ISNUMBER($AI$189),$B$158=1),$AI$189,HLOOKUP(INDIRECT(ADDRESS(2,COLUMN())),OFFSET($BN$2,0,0,ROW()-1,60),ROW()-1,FALSE))</f>
        <v/>
      </c>
      <c r="AJ33" t="str">
        <f ca="1">IF(AND(ISNUMBER($AJ$189),$B$158=1),$AJ$189,HLOOKUP(INDIRECT(ADDRESS(2,COLUMN())),OFFSET($BN$2,0,0,ROW()-1,60),ROW()-1,FALSE))</f>
        <v/>
      </c>
      <c r="AK33">
        <f ca="1">IF(AND(ISNUMBER($AK$189),$B$158=1),$AK$189,HLOOKUP(INDIRECT(ADDRESS(2,COLUMN())),OFFSET($BN$2,0,0,ROW()-1,60),ROW()-1,FALSE))</f>
        <v>2</v>
      </c>
      <c r="AL33" t="str">
        <f ca="1">IF(AND(ISNUMBER($AL$189),$B$158=1),$AL$189,HLOOKUP(INDIRECT(ADDRESS(2,COLUMN())),OFFSET($BN$2,0,0,ROW()-1,60),ROW()-1,FALSE))</f>
        <v/>
      </c>
      <c r="AM33" t="str">
        <f ca="1">IF(AND(ISNUMBER($AM$189),$B$158=1),$AM$189,HLOOKUP(INDIRECT(ADDRESS(2,COLUMN())),OFFSET($BN$2,0,0,ROW()-1,60),ROW()-1,FALSE))</f>
        <v/>
      </c>
      <c r="AN33" t="str">
        <f ca="1">IF(AND(ISNUMBER($AN$189),$B$158=1),$AN$189,HLOOKUP(INDIRECT(ADDRESS(2,COLUMN())),OFFSET($BN$2,0,0,ROW()-1,60),ROW()-1,FALSE))</f>
        <v/>
      </c>
      <c r="AO33">
        <f ca="1">IF(AND(ISNUMBER($AO$189),$B$158=1),$AO$189,HLOOKUP(INDIRECT(ADDRESS(2,COLUMN())),OFFSET($BN$2,0,0,ROW()-1,60),ROW()-1,FALSE))</f>
        <v>3</v>
      </c>
      <c r="AP33" t="str">
        <f ca="1">IF(AND(ISNUMBER($AP$189),$B$158=1),$AP$189,HLOOKUP(INDIRECT(ADDRESS(2,COLUMN())),OFFSET($BN$2,0,0,ROW()-1,60),ROW()-1,FALSE))</f>
        <v/>
      </c>
      <c r="AQ33" t="str">
        <f ca="1">IF(AND(ISNUMBER($AQ$189),$B$158=1),$AQ$189,HLOOKUP(INDIRECT(ADDRESS(2,COLUMN())),OFFSET($BN$2,0,0,ROW()-1,60),ROW()-1,FALSE))</f>
        <v/>
      </c>
      <c r="AR33" t="str">
        <f ca="1">IF(AND(ISNUMBER($AR$189),$B$158=1),$AR$189,HLOOKUP(INDIRECT(ADDRESS(2,COLUMN())),OFFSET($BN$2,0,0,ROW()-1,60),ROW()-1,FALSE))</f>
        <v/>
      </c>
      <c r="AS33" t="str">
        <f ca="1">IF(AND(ISNUMBER($AS$189),$B$158=1),$AS$189,HLOOKUP(INDIRECT(ADDRESS(2,COLUMN())),OFFSET($BN$2,0,0,ROW()-1,60),ROW()-1,FALSE))</f>
        <v/>
      </c>
      <c r="AT33" t="str">
        <f ca="1">IF(AND(ISNUMBER($AT$189),$B$158=1),$AT$189,HLOOKUP(INDIRECT(ADDRESS(2,COLUMN())),OFFSET($BN$2,0,0,ROW()-1,60),ROW()-1,FALSE))</f>
        <v/>
      </c>
      <c r="AU33" t="str">
        <f ca="1">IF(AND(ISNUMBER($AU$189),$B$158=1),$AU$189,HLOOKUP(INDIRECT(ADDRESS(2,COLUMN())),OFFSET($BN$2,0,0,ROW()-1,60),ROW()-1,FALSE))</f>
        <v/>
      </c>
      <c r="AV33" t="str">
        <f ca="1">IF(AND(ISNUMBER($AV$189),$B$158=1),$AV$189,HLOOKUP(INDIRECT(ADDRESS(2,COLUMN())),OFFSET($BN$2,0,0,ROW()-1,60),ROW()-1,FALSE))</f>
        <v/>
      </c>
      <c r="AW33" t="str">
        <f ca="1">IF(AND(ISNUMBER($AW$189),$B$158=1),$AW$189,HLOOKUP(INDIRECT(ADDRESS(2,COLUMN())),OFFSET($BN$2,0,0,ROW()-1,60),ROW()-1,FALSE))</f>
        <v/>
      </c>
      <c r="AX33" t="str">
        <f ca="1">IF(AND(ISNUMBER($AX$189),$B$158=1),$AX$189,HLOOKUP(INDIRECT(ADDRESS(2,COLUMN())),OFFSET($BN$2,0,0,ROW()-1,60),ROW()-1,FALSE))</f>
        <v/>
      </c>
      <c r="AY33" t="str">
        <f ca="1">IF(AND(ISNUMBER($AY$189),$B$158=1),$AY$189,HLOOKUP(INDIRECT(ADDRESS(2,COLUMN())),OFFSET($BN$2,0,0,ROW()-1,60),ROW()-1,FALSE))</f>
        <v/>
      </c>
      <c r="AZ33" t="str">
        <f ca="1">IF(AND(ISNUMBER($AZ$189),$B$158=1),$AZ$189,HLOOKUP(INDIRECT(ADDRESS(2,COLUMN())),OFFSET($BN$2,0,0,ROW()-1,60),ROW()-1,FALSE))</f>
        <v/>
      </c>
      <c r="BA33" t="str">
        <f ca="1">IF(AND(ISNUMBER($BA$189),$B$158=1),$BA$189,HLOOKUP(INDIRECT(ADDRESS(2,COLUMN())),OFFSET($BN$2,0,0,ROW()-1,60),ROW()-1,FALSE))</f>
        <v/>
      </c>
      <c r="BB33" t="str">
        <f ca="1">IF(AND(ISNUMBER($BB$189),$B$158=1),$BB$189,HLOOKUP(INDIRECT(ADDRESS(2,COLUMN())),OFFSET($BN$2,0,0,ROW()-1,60),ROW()-1,FALSE))</f>
        <v/>
      </c>
      <c r="BC33" t="str">
        <f ca="1">IF(AND(ISNUMBER($BC$189),$B$158=1),$BC$189,HLOOKUP(INDIRECT(ADDRESS(2,COLUMN())),OFFSET($BN$2,0,0,ROW()-1,60),ROW()-1,FALSE))</f>
        <v/>
      </c>
      <c r="BD33" t="str">
        <f ca="1">IF(AND(ISNUMBER($BD$189),$B$158=1),$BD$189,HLOOKUP(INDIRECT(ADDRESS(2,COLUMN())),OFFSET($BN$2,0,0,ROW()-1,60),ROW()-1,FALSE))</f>
        <v/>
      </c>
      <c r="BE33" t="str">
        <f ca="1">IF(AND(ISNUMBER($BE$189),$B$158=1),$BE$189,HLOOKUP(INDIRECT(ADDRESS(2,COLUMN())),OFFSET($BN$2,0,0,ROW()-1,60),ROW()-1,FALSE))</f>
        <v/>
      </c>
      <c r="BF33" t="str">
        <f ca="1">IF(AND(ISNUMBER($BF$189),$B$158=1),$BF$189,HLOOKUP(INDIRECT(ADDRESS(2,COLUMN())),OFFSET($BN$2,0,0,ROW()-1,60),ROW()-1,FALSE))</f>
        <v/>
      </c>
      <c r="BG33" t="str">
        <f ca="1">IF(AND(ISNUMBER($BG$189),$B$158=1),$BG$189,HLOOKUP(INDIRECT(ADDRESS(2,COLUMN())),OFFSET($BN$2,0,0,ROW()-1,60),ROW()-1,FALSE))</f>
        <v/>
      </c>
      <c r="BH33" t="str">
        <f ca="1">IF(AND(ISNUMBER($BH$189),$B$158=1),$BH$189,HLOOKUP(INDIRECT(ADDRESS(2,COLUMN())),OFFSET($BN$2,0,0,ROW()-1,60),ROW()-1,FALSE))</f>
        <v/>
      </c>
      <c r="BI33" t="str">
        <f ca="1">IF(AND(ISNUMBER($BI$189),$B$158=1),$BI$189,HLOOKUP(INDIRECT(ADDRESS(2,COLUMN())),OFFSET($BN$2,0,0,ROW()-1,60),ROW()-1,FALSE))</f>
        <v/>
      </c>
      <c r="BJ33" t="str">
        <f ca="1">IF(AND(ISNUMBER($BJ$189),$B$158=1),$BJ$189,HLOOKUP(INDIRECT(ADDRESS(2,COLUMN())),OFFSET($BN$2,0,0,ROW()-1,60),ROW()-1,FALSE))</f>
        <v/>
      </c>
      <c r="BK33" t="str">
        <f ca="1">IF(AND(ISNUMBER($BK$189),$B$158=1),$BK$189,HLOOKUP(INDIRECT(ADDRESS(2,COLUMN())),OFFSET($BN$2,0,0,ROW()-1,60),ROW()-1,FALSE))</f>
        <v/>
      </c>
      <c r="BL33" t="str">
        <f ca="1">IF(AND(ISNUMBER($BL$189),$B$158=1),$BL$189,HLOOKUP(INDIRECT(ADDRESS(2,COLUMN())),OFFSET($BN$2,0,0,ROW()-1,60),ROW()-1,FALSE))</f>
        <v/>
      </c>
      <c r="BM33" t="str">
        <f ca="1">IF(AND(ISNUMBER($BM$189),$B$158=1),$BM$189,HLOOKUP(INDIRECT(ADDRESS(2,COLUMN())),OFFSET($BN$2,0,0,ROW()-1,60),ROW()-1,FALSE))</f>
        <v/>
      </c>
      <c r="BN33" t="str">
        <f>""</f>
        <v/>
      </c>
      <c r="BO33">
        <f>-3</f>
        <v>-3</v>
      </c>
      <c r="BP33">
        <f>48</f>
        <v>48</v>
      </c>
      <c r="BQ33">
        <f>78</f>
        <v>78</v>
      </c>
      <c r="BR33">
        <f>8</f>
        <v>8</v>
      </c>
      <c r="BS33">
        <f>11</f>
        <v>11</v>
      </c>
      <c r="BT33">
        <f>-16</f>
        <v>-16</v>
      </c>
      <c r="BU33">
        <f>-32</f>
        <v>-32</v>
      </c>
      <c r="BV33">
        <f>14</f>
        <v>14</v>
      </c>
      <c r="BW33">
        <f>18</f>
        <v>18</v>
      </c>
      <c r="BX33">
        <f>23</f>
        <v>23</v>
      </c>
      <c r="BY33">
        <f>35</f>
        <v>35</v>
      </c>
      <c r="BZ33">
        <f>42</f>
        <v>42</v>
      </c>
      <c r="CA33">
        <f>42</f>
        <v>42</v>
      </c>
      <c r="CB33">
        <f>47</f>
        <v>47</v>
      </c>
      <c r="CC33">
        <f>49</f>
        <v>49</v>
      </c>
      <c r="CD33">
        <f>40</f>
        <v>40</v>
      </c>
      <c r="CE33">
        <f>55</f>
        <v>55</v>
      </c>
      <c r="CF33">
        <f>40</f>
        <v>40</v>
      </c>
      <c r="CG33">
        <f>63</f>
        <v>63</v>
      </c>
      <c r="CH33">
        <f>32</f>
        <v>32</v>
      </c>
      <c r="CI33">
        <f>31</f>
        <v>31</v>
      </c>
      <c r="CJ33">
        <f>3</f>
        <v>3</v>
      </c>
      <c r="CK33">
        <f>-2</f>
        <v>-2</v>
      </c>
      <c r="CL33" t="str">
        <f>""</f>
        <v/>
      </c>
      <c r="CM33">
        <f>-17</f>
        <v>-17</v>
      </c>
      <c r="CN33">
        <f>3</f>
        <v>3</v>
      </c>
      <c r="CO33">
        <f>-10</f>
        <v>-10</v>
      </c>
      <c r="CP33" t="str">
        <f>""</f>
        <v/>
      </c>
      <c r="CQ33" t="str">
        <f>""</f>
        <v/>
      </c>
      <c r="CR33" t="str">
        <f>""</f>
        <v/>
      </c>
      <c r="CS33">
        <f>2</f>
        <v>2</v>
      </c>
      <c r="CT33" t="str">
        <f>""</f>
        <v/>
      </c>
      <c r="CU33" t="str">
        <f>""</f>
        <v/>
      </c>
      <c r="CV33" t="str">
        <f>""</f>
        <v/>
      </c>
      <c r="CW33">
        <f>3</f>
        <v>3</v>
      </c>
      <c r="CX33" t="str">
        <f>""</f>
        <v/>
      </c>
      <c r="CY33" t="str">
        <f>""</f>
        <v/>
      </c>
      <c r="CZ33" t="str">
        <f>""</f>
        <v/>
      </c>
      <c r="DA33" t="str">
        <f>""</f>
        <v/>
      </c>
      <c r="DB33" t="str">
        <f>""</f>
        <v/>
      </c>
      <c r="DC33" t="str">
        <f>""</f>
        <v/>
      </c>
      <c r="DD33" t="str">
        <f>""</f>
        <v/>
      </c>
      <c r="DE33" t="str">
        <f>""</f>
        <v/>
      </c>
      <c r="DF33" t="str">
        <f>""</f>
        <v/>
      </c>
      <c r="DG33" t="str">
        <f>""</f>
        <v/>
      </c>
      <c r="DH33" t="str">
        <f>""</f>
        <v/>
      </c>
      <c r="DI33" t="str">
        <f>""</f>
        <v/>
      </c>
      <c r="DJ33" t="str">
        <f>""</f>
        <v/>
      </c>
      <c r="DK33" t="str">
        <f>""</f>
        <v/>
      </c>
      <c r="DL33" t="str">
        <f>""</f>
        <v/>
      </c>
      <c r="DM33" t="str">
        <f>""</f>
        <v/>
      </c>
      <c r="DN33" t="str">
        <f>""</f>
        <v/>
      </c>
      <c r="DO33" t="str">
        <f>""</f>
        <v/>
      </c>
      <c r="DP33" t="str">
        <f>""</f>
        <v/>
      </c>
      <c r="DQ33" t="str">
        <f>""</f>
        <v/>
      </c>
      <c r="DR33" t="str">
        <f>""</f>
        <v/>
      </c>
      <c r="DS33" t="str">
        <f>""</f>
        <v/>
      </c>
      <c r="DT33" t="str">
        <f>""</f>
        <v/>
      </c>
      <c r="DU33" t="str">
        <f>""</f>
        <v/>
      </c>
    </row>
    <row r="34" spans="1:125" x14ac:dyDescent="0.25">
      <c r="A34" t="str">
        <f>"                        RoW"</f>
        <v xml:space="preserve">                        RoW</v>
      </c>
      <c r="B34" t="str">
        <f t="shared" si="20"/>
        <v>KER FP Equity</v>
      </c>
      <c r="C34" t="str">
        <f t="shared" si="21"/>
        <v>BI047</v>
      </c>
      <c r="D34" t="str">
        <f t="shared" si="22"/>
        <v>BICS_SEGMENT_DATA</v>
      </c>
      <c r="E34" t="str">
        <f t="shared" si="23"/>
        <v>Dynamic</v>
      </c>
      <c r="F34" t="str">
        <f ca="1">IF(AND(ISNUMBER($F$190),$B$158=1),$F$190,HLOOKUP(INDIRECT(ADDRESS(2,COLUMN())),OFFSET($BN$2,0,0,ROW()-1,60),ROW()-1,FALSE))</f>
        <v/>
      </c>
      <c r="G34">
        <f ca="1">IF(AND(ISNUMBER($G$190),$B$158=1),$G$190,HLOOKUP(INDIRECT(ADDRESS(2,COLUMN())),OFFSET($BN$2,0,0,ROW()-1,60),ROW()-1,FALSE))</f>
        <v>29</v>
      </c>
      <c r="H34">
        <f ca="1">IF(AND(ISNUMBER($H$190),$B$158=1),$H$190,HLOOKUP(INDIRECT(ADDRESS(2,COLUMN())),OFFSET($BN$2,0,0,ROW()-1,60),ROW()-1,FALSE))</f>
        <v>345</v>
      </c>
      <c r="I34">
        <f ca="1">IF(AND(ISNUMBER($I$190),$B$158=1),$I$190,HLOOKUP(INDIRECT(ADDRESS(2,COLUMN())),OFFSET($BN$2,0,0,ROW()-1,60),ROW()-1,FALSE))</f>
        <v>20</v>
      </c>
      <c r="J34">
        <f ca="1">IF(AND(ISNUMBER($J$190),$B$158=1),$J$190,HLOOKUP(INDIRECT(ADDRESS(2,COLUMN())),OFFSET($BN$2,0,0,ROW()-1,60),ROW()-1,FALSE))</f>
        <v>-2</v>
      </c>
      <c r="K34">
        <f ca="1">IF(AND(ISNUMBER($K$190),$B$158=1),$K$190,HLOOKUP(INDIRECT(ADDRESS(2,COLUMN())),OFFSET($BN$2,0,0,ROW()-1,60),ROW()-1,FALSE))</f>
        <v>-2</v>
      </c>
      <c r="L34">
        <f ca="1">IF(AND(ISNUMBER($L$190),$B$158=1),$L$190,HLOOKUP(INDIRECT(ADDRESS(2,COLUMN())),OFFSET($BN$2,0,0,ROW()-1,60),ROW()-1,FALSE))</f>
        <v>-76</v>
      </c>
      <c r="M34">
        <f ca="1">IF(AND(ISNUMBER($M$190),$B$158=1),$M$190,HLOOKUP(INDIRECT(ADDRESS(2,COLUMN())),OFFSET($BN$2,0,0,ROW()-1,60),ROW()-1,FALSE))</f>
        <v>-21</v>
      </c>
      <c r="N34">
        <f ca="1">IF(AND(ISNUMBER($N$190),$B$158=1),$N$190,HLOOKUP(INDIRECT(ADDRESS(2,COLUMN())),OFFSET($BN$2,0,0,ROW()-1,60),ROW()-1,FALSE))</f>
        <v>11</v>
      </c>
      <c r="O34">
        <f ca="1">IF(AND(ISNUMBER($O$190),$B$158=1),$O$190,HLOOKUP(INDIRECT(ADDRESS(2,COLUMN())),OFFSET($BN$2,0,0,ROW()-1,60),ROW()-1,FALSE))</f>
        <v>4</v>
      </c>
      <c r="P34">
        <f ca="1">IF(AND(ISNUMBER($P$190),$B$158=1),$P$190,HLOOKUP(INDIRECT(ADDRESS(2,COLUMN())),OFFSET($BN$2,0,0,ROW()-1,60),ROW()-1,FALSE))</f>
        <v>3</v>
      </c>
      <c r="Q34">
        <f ca="1">IF(AND(ISNUMBER($Q$190),$B$158=1),$Q$190,HLOOKUP(INDIRECT(ADDRESS(2,COLUMN())),OFFSET($BN$2,0,0,ROW()-1,60),ROW()-1,FALSE))</f>
        <v>10</v>
      </c>
      <c r="R34">
        <f ca="1">IF(AND(ISNUMBER($R$190),$B$158=1),$R$190,HLOOKUP(INDIRECT(ADDRESS(2,COLUMN())),OFFSET($BN$2,0,0,ROW()-1,60),ROW()-1,FALSE))</f>
        <v>6</v>
      </c>
      <c r="S34">
        <f ca="1">IF(AND(ISNUMBER($S$190),$B$158=1),$S$190,HLOOKUP(INDIRECT(ADDRESS(2,COLUMN())),OFFSET($BN$2,0,0,ROW()-1,60),ROW()-1,FALSE))</f>
        <v>27</v>
      </c>
      <c r="T34">
        <f ca="1">IF(AND(ISNUMBER($T$190),$B$158=1),$T$190,HLOOKUP(INDIRECT(ADDRESS(2,COLUMN())),OFFSET($BN$2,0,0,ROW()-1,60),ROW()-1,FALSE))</f>
        <v>41</v>
      </c>
      <c r="U34">
        <f ca="1">IF(AND(ISNUMBER($U$190),$B$158=1),$U$190,HLOOKUP(INDIRECT(ADDRESS(2,COLUMN())),OFFSET($BN$2,0,0,ROW()-1,60),ROW()-1,FALSE))</f>
        <v>59</v>
      </c>
      <c r="V34">
        <f ca="1">IF(AND(ISNUMBER($V$190),$B$158=1),$V$190,HLOOKUP(INDIRECT(ADDRESS(2,COLUMN())),OFFSET($BN$2,0,0,ROW()-1,60),ROW()-1,FALSE))</f>
        <v>69</v>
      </c>
      <c r="W34">
        <f ca="1">IF(AND(ISNUMBER($W$190),$B$158=1),$W$190,HLOOKUP(INDIRECT(ADDRESS(2,COLUMN())),OFFSET($BN$2,0,0,ROW()-1,60),ROW()-1,FALSE))</f>
        <v>65</v>
      </c>
      <c r="X34">
        <f ca="1">IF(AND(ISNUMBER($X$190),$B$158=1),$X$190,HLOOKUP(INDIRECT(ADDRESS(2,COLUMN())),OFFSET($BN$2,0,0,ROW()-1,60),ROW()-1,FALSE))</f>
        <v>38</v>
      </c>
      <c r="Y34">
        <f ca="1">IF(AND(ISNUMBER($Y$190),$B$158=1),$Y$190,HLOOKUP(INDIRECT(ADDRESS(2,COLUMN())),OFFSET($BN$2,0,0,ROW()-1,60),ROW()-1,FALSE))</f>
        <v>34</v>
      </c>
      <c r="Z34" t="str">
        <f ca="1">IF(AND(ISNUMBER($Z$190),$B$158=1),$Z$190,HLOOKUP(INDIRECT(ADDRESS(2,COLUMN())),OFFSET($BN$2,0,0,ROW()-1,60),ROW()-1,FALSE))</f>
        <v/>
      </c>
      <c r="AA34">
        <f ca="1">IF(AND(ISNUMBER($AA$190),$B$158=1),$AA$190,HLOOKUP(INDIRECT(ADDRESS(2,COLUMN())),OFFSET($BN$2,0,0,ROW()-1,60),ROW()-1,FALSE))</f>
        <v>9</v>
      </c>
      <c r="AB34">
        <f ca="1">IF(AND(ISNUMBER($AB$190),$B$158=1),$AB$190,HLOOKUP(INDIRECT(ADDRESS(2,COLUMN())),OFFSET($BN$2,0,0,ROW()-1,60),ROW()-1,FALSE))</f>
        <v>14</v>
      </c>
      <c r="AC34">
        <f ca="1">IF(AND(ISNUMBER($AC$190),$B$158=1),$AC$190,HLOOKUP(INDIRECT(ADDRESS(2,COLUMN())),OFFSET($BN$2,0,0,ROW()-1,60),ROW()-1,FALSE))</f>
        <v>6</v>
      </c>
      <c r="AD34" t="str">
        <f ca="1">IF(AND(ISNUMBER($AD$190),$B$158=1),$AD$190,HLOOKUP(INDIRECT(ADDRESS(2,COLUMN())),OFFSET($BN$2,0,0,ROW()-1,60),ROW()-1,FALSE))</f>
        <v/>
      </c>
      <c r="AE34">
        <f ca="1">IF(AND(ISNUMBER($AE$190),$B$158=1),$AE$190,HLOOKUP(INDIRECT(ADDRESS(2,COLUMN())),OFFSET($BN$2,0,0,ROW()-1,60),ROW()-1,FALSE))</f>
        <v>22</v>
      </c>
      <c r="AF34">
        <f ca="1">IF(AND(ISNUMBER($AF$190),$B$158=1),$AF$190,HLOOKUP(INDIRECT(ADDRESS(2,COLUMN())),OFFSET($BN$2,0,0,ROW()-1,60),ROW()-1,FALSE))</f>
        <v>20</v>
      </c>
      <c r="AG34">
        <f ca="1">IF(AND(ISNUMBER($AG$190),$B$158=1),$AG$190,HLOOKUP(INDIRECT(ADDRESS(2,COLUMN())),OFFSET($BN$2,0,0,ROW()-1,60),ROW()-1,FALSE))</f>
        <v>1</v>
      </c>
      <c r="AH34" t="str">
        <f ca="1">IF(AND(ISNUMBER($AH$190),$B$158=1),$AH$190,HLOOKUP(INDIRECT(ADDRESS(2,COLUMN())),OFFSET($BN$2,0,0,ROW()-1,60),ROW()-1,FALSE))</f>
        <v/>
      </c>
      <c r="AI34" t="str">
        <f ca="1">IF(AND(ISNUMBER($AI$190),$B$158=1),$AI$190,HLOOKUP(INDIRECT(ADDRESS(2,COLUMN())),OFFSET($BN$2,0,0,ROW()-1,60),ROW()-1,FALSE))</f>
        <v/>
      </c>
      <c r="AJ34" t="str">
        <f ca="1">IF(AND(ISNUMBER($AJ$190),$B$158=1),$AJ$190,HLOOKUP(INDIRECT(ADDRESS(2,COLUMN())),OFFSET($BN$2,0,0,ROW()-1,60),ROW()-1,FALSE))</f>
        <v/>
      </c>
      <c r="AK34">
        <f ca="1">IF(AND(ISNUMBER($AK$190),$B$158=1),$AK$190,HLOOKUP(INDIRECT(ADDRESS(2,COLUMN())),OFFSET($BN$2,0,0,ROW()-1,60),ROW()-1,FALSE))</f>
        <v>23</v>
      </c>
      <c r="AL34" t="str">
        <f ca="1">IF(AND(ISNUMBER($AL$190),$B$158=1),$AL$190,HLOOKUP(INDIRECT(ADDRESS(2,COLUMN())),OFFSET($BN$2,0,0,ROW()-1,60),ROW()-1,FALSE))</f>
        <v/>
      </c>
      <c r="AM34" t="str">
        <f ca="1">IF(AND(ISNUMBER($AM$190),$B$158=1),$AM$190,HLOOKUP(INDIRECT(ADDRESS(2,COLUMN())),OFFSET($BN$2,0,0,ROW()-1,60),ROW()-1,FALSE))</f>
        <v/>
      </c>
      <c r="AN34" t="str">
        <f ca="1">IF(AND(ISNUMBER($AN$190),$B$158=1),$AN$190,HLOOKUP(INDIRECT(ADDRESS(2,COLUMN())),OFFSET($BN$2,0,0,ROW()-1,60),ROW()-1,FALSE))</f>
        <v/>
      </c>
      <c r="AO34">
        <f ca="1">IF(AND(ISNUMBER($AO$190),$B$158=1),$AO$190,HLOOKUP(INDIRECT(ADDRESS(2,COLUMN())),OFFSET($BN$2,0,0,ROW()-1,60),ROW()-1,FALSE))</f>
        <v>17</v>
      </c>
      <c r="AP34" t="str">
        <f ca="1">IF(AND(ISNUMBER($AP$190),$B$158=1),$AP$190,HLOOKUP(INDIRECT(ADDRESS(2,COLUMN())),OFFSET($BN$2,0,0,ROW()-1,60),ROW()-1,FALSE))</f>
        <v/>
      </c>
      <c r="AQ34" t="str">
        <f ca="1">IF(AND(ISNUMBER($AQ$190),$B$158=1),$AQ$190,HLOOKUP(INDIRECT(ADDRESS(2,COLUMN())),OFFSET($BN$2,0,0,ROW()-1,60),ROW()-1,FALSE))</f>
        <v/>
      </c>
      <c r="AR34" t="str">
        <f ca="1">IF(AND(ISNUMBER($AR$190),$B$158=1),$AR$190,HLOOKUP(INDIRECT(ADDRESS(2,COLUMN())),OFFSET($BN$2,0,0,ROW()-1,60),ROW()-1,FALSE))</f>
        <v/>
      </c>
      <c r="AS34" t="str">
        <f ca="1">IF(AND(ISNUMBER($AS$190),$B$158=1),$AS$190,HLOOKUP(INDIRECT(ADDRESS(2,COLUMN())),OFFSET($BN$2,0,0,ROW()-1,60),ROW()-1,FALSE))</f>
        <v/>
      </c>
      <c r="AT34" t="str">
        <f ca="1">IF(AND(ISNUMBER($AT$190),$B$158=1),$AT$190,HLOOKUP(INDIRECT(ADDRESS(2,COLUMN())),OFFSET($BN$2,0,0,ROW()-1,60),ROW()-1,FALSE))</f>
        <v/>
      </c>
      <c r="AU34" t="str">
        <f ca="1">IF(AND(ISNUMBER($AU$190),$B$158=1),$AU$190,HLOOKUP(INDIRECT(ADDRESS(2,COLUMN())),OFFSET($BN$2,0,0,ROW()-1,60),ROW()-1,FALSE))</f>
        <v/>
      </c>
      <c r="AV34" t="str">
        <f ca="1">IF(AND(ISNUMBER($AV$190),$B$158=1),$AV$190,HLOOKUP(INDIRECT(ADDRESS(2,COLUMN())),OFFSET($BN$2,0,0,ROW()-1,60),ROW()-1,FALSE))</f>
        <v/>
      </c>
      <c r="AW34" t="str">
        <f ca="1">IF(AND(ISNUMBER($AW$190),$B$158=1),$AW$190,HLOOKUP(INDIRECT(ADDRESS(2,COLUMN())),OFFSET($BN$2,0,0,ROW()-1,60),ROW()-1,FALSE))</f>
        <v/>
      </c>
      <c r="AX34" t="str">
        <f ca="1">IF(AND(ISNUMBER($AX$190),$B$158=1),$AX$190,HLOOKUP(INDIRECT(ADDRESS(2,COLUMN())),OFFSET($BN$2,0,0,ROW()-1,60),ROW()-1,FALSE))</f>
        <v/>
      </c>
      <c r="AY34" t="str">
        <f ca="1">IF(AND(ISNUMBER($AY$190),$B$158=1),$AY$190,HLOOKUP(INDIRECT(ADDRESS(2,COLUMN())),OFFSET($BN$2,0,0,ROW()-1,60),ROW()-1,FALSE))</f>
        <v/>
      </c>
      <c r="AZ34" t="str">
        <f ca="1">IF(AND(ISNUMBER($AZ$190),$B$158=1),$AZ$190,HLOOKUP(INDIRECT(ADDRESS(2,COLUMN())),OFFSET($BN$2,0,0,ROW()-1,60),ROW()-1,FALSE))</f>
        <v/>
      </c>
      <c r="BA34" t="str">
        <f ca="1">IF(AND(ISNUMBER($BA$190),$B$158=1),$BA$190,HLOOKUP(INDIRECT(ADDRESS(2,COLUMN())),OFFSET($BN$2,0,0,ROW()-1,60),ROW()-1,FALSE))</f>
        <v/>
      </c>
      <c r="BB34" t="str">
        <f ca="1">IF(AND(ISNUMBER($BB$190),$B$158=1),$BB$190,HLOOKUP(INDIRECT(ADDRESS(2,COLUMN())),OFFSET($BN$2,0,0,ROW()-1,60),ROW()-1,FALSE))</f>
        <v/>
      </c>
      <c r="BC34" t="str">
        <f ca="1">IF(AND(ISNUMBER($BC$190),$B$158=1),$BC$190,HLOOKUP(INDIRECT(ADDRESS(2,COLUMN())),OFFSET($BN$2,0,0,ROW()-1,60),ROW()-1,FALSE))</f>
        <v/>
      </c>
      <c r="BD34" t="str">
        <f ca="1">IF(AND(ISNUMBER($BD$190),$B$158=1),$BD$190,HLOOKUP(INDIRECT(ADDRESS(2,COLUMN())),OFFSET($BN$2,0,0,ROW()-1,60),ROW()-1,FALSE))</f>
        <v/>
      </c>
      <c r="BE34" t="str">
        <f ca="1">IF(AND(ISNUMBER($BE$190),$B$158=1),$BE$190,HLOOKUP(INDIRECT(ADDRESS(2,COLUMN())),OFFSET($BN$2,0,0,ROW()-1,60),ROW()-1,FALSE))</f>
        <v/>
      </c>
      <c r="BF34" t="str">
        <f ca="1">IF(AND(ISNUMBER($BF$190),$B$158=1),$BF$190,HLOOKUP(INDIRECT(ADDRESS(2,COLUMN())),OFFSET($BN$2,0,0,ROW()-1,60),ROW()-1,FALSE))</f>
        <v/>
      </c>
      <c r="BG34" t="str">
        <f ca="1">IF(AND(ISNUMBER($BG$190),$B$158=1),$BG$190,HLOOKUP(INDIRECT(ADDRESS(2,COLUMN())),OFFSET($BN$2,0,0,ROW()-1,60),ROW()-1,FALSE))</f>
        <v/>
      </c>
      <c r="BH34" t="str">
        <f ca="1">IF(AND(ISNUMBER($BH$190),$B$158=1),$BH$190,HLOOKUP(INDIRECT(ADDRESS(2,COLUMN())),OFFSET($BN$2,0,0,ROW()-1,60),ROW()-1,FALSE))</f>
        <v/>
      </c>
      <c r="BI34" t="str">
        <f ca="1">IF(AND(ISNUMBER($BI$190),$B$158=1),$BI$190,HLOOKUP(INDIRECT(ADDRESS(2,COLUMN())),OFFSET($BN$2,0,0,ROW()-1,60),ROW()-1,FALSE))</f>
        <v/>
      </c>
      <c r="BJ34" t="str">
        <f ca="1">IF(AND(ISNUMBER($BJ$190),$B$158=1),$BJ$190,HLOOKUP(INDIRECT(ADDRESS(2,COLUMN())),OFFSET($BN$2,0,0,ROW()-1,60),ROW()-1,FALSE))</f>
        <v/>
      </c>
      <c r="BK34" t="str">
        <f ca="1">IF(AND(ISNUMBER($BK$190),$B$158=1),$BK$190,HLOOKUP(INDIRECT(ADDRESS(2,COLUMN())),OFFSET($BN$2,0,0,ROW()-1,60),ROW()-1,FALSE))</f>
        <v/>
      </c>
      <c r="BL34" t="str">
        <f ca="1">IF(AND(ISNUMBER($BL$190),$B$158=1),$BL$190,HLOOKUP(INDIRECT(ADDRESS(2,COLUMN())),OFFSET($BN$2,0,0,ROW()-1,60),ROW()-1,FALSE))</f>
        <v/>
      </c>
      <c r="BM34" t="str">
        <f ca="1">IF(AND(ISNUMBER($BM$190),$B$158=1),$BM$190,HLOOKUP(INDIRECT(ADDRESS(2,COLUMN())),OFFSET($BN$2,0,0,ROW()-1,60),ROW()-1,FALSE))</f>
        <v/>
      </c>
      <c r="BN34" t="str">
        <f>""</f>
        <v/>
      </c>
      <c r="BO34">
        <f>29</f>
        <v>29</v>
      </c>
      <c r="BP34">
        <f>345</f>
        <v>345</v>
      </c>
      <c r="BQ34">
        <f>20</f>
        <v>20</v>
      </c>
      <c r="BR34">
        <f>-2</f>
        <v>-2</v>
      </c>
      <c r="BS34">
        <f>-2</f>
        <v>-2</v>
      </c>
      <c r="BT34">
        <f>-76</f>
        <v>-76</v>
      </c>
      <c r="BU34">
        <f>-21</f>
        <v>-21</v>
      </c>
      <c r="BV34">
        <f>11</f>
        <v>11</v>
      </c>
      <c r="BW34">
        <f>4</f>
        <v>4</v>
      </c>
      <c r="BX34">
        <f>3</f>
        <v>3</v>
      </c>
      <c r="BY34">
        <f>10</f>
        <v>10</v>
      </c>
      <c r="BZ34">
        <f>6</f>
        <v>6</v>
      </c>
      <c r="CA34">
        <f>27</f>
        <v>27</v>
      </c>
      <c r="CB34">
        <f>41</f>
        <v>41</v>
      </c>
      <c r="CC34">
        <f>59</f>
        <v>59</v>
      </c>
      <c r="CD34">
        <f>69</f>
        <v>69</v>
      </c>
      <c r="CE34">
        <f>65</f>
        <v>65</v>
      </c>
      <c r="CF34">
        <f>38</f>
        <v>38</v>
      </c>
      <c r="CG34">
        <f>34</f>
        <v>34</v>
      </c>
      <c r="CH34" t="str">
        <f>""</f>
        <v/>
      </c>
      <c r="CI34">
        <f>9</f>
        <v>9</v>
      </c>
      <c r="CJ34">
        <f>14</f>
        <v>14</v>
      </c>
      <c r="CK34">
        <f>6</f>
        <v>6</v>
      </c>
      <c r="CL34" t="str">
        <f>""</f>
        <v/>
      </c>
      <c r="CM34">
        <f>22</f>
        <v>22</v>
      </c>
      <c r="CN34">
        <f>20</f>
        <v>20</v>
      </c>
      <c r="CO34">
        <f>1</f>
        <v>1</v>
      </c>
      <c r="CP34" t="str">
        <f>""</f>
        <v/>
      </c>
      <c r="CQ34" t="str">
        <f>""</f>
        <v/>
      </c>
      <c r="CR34" t="str">
        <f>""</f>
        <v/>
      </c>
      <c r="CS34">
        <f>23</f>
        <v>23</v>
      </c>
      <c r="CT34" t="str">
        <f>""</f>
        <v/>
      </c>
      <c r="CU34" t="str">
        <f>""</f>
        <v/>
      </c>
      <c r="CV34" t="str">
        <f>""</f>
        <v/>
      </c>
      <c r="CW34">
        <f>17</f>
        <v>17</v>
      </c>
      <c r="CX34" t="str">
        <f>""</f>
        <v/>
      </c>
      <c r="CY34" t="str">
        <f>""</f>
        <v/>
      </c>
      <c r="CZ34" t="str">
        <f>""</f>
        <v/>
      </c>
      <c r="DA34" t="str">
        <f>""</f>
        <v/>
      </c>
      <c r="DB34" t="str">
        <f>""</f>
        <v/>
      </c>
      <c r="DC34" t="str">
        <f>""</f>
        <v/>
      </c>
      <c r="DD34" t="str">
        <f>""</f>
        <v/>
      </c>
      <c r="DE34" t="str">
        <f>""</f>
        <v/>
      </c>
      <c r="DF34" t="str">
        <f>""</f>
        <v/>
      </c>
      <c r="DG34" t="str">
        <f>""</f>
        <v/>
      </c>
      <c r="DH34" t="str">
        <f>""</f>
        <v/>
      </c>
      <c r="DI34" t="str">
        <f>""</f>
        <v/>
      </c>
      <c r="DJ34" t="str">
        <f>""</f>
        <v/>
      </c>
      <c r="DK34" t="str">
        <f>""</f>
        <v/>
      </c>
      <c r="DL34" t="str">
        <f>""</f>
        <v/>
      </c>
      <c r="DM34" t="str">
        <f>""</f>
        <v/>
      </c>
      <c r="DN34" t="str">
        <f>""</f>
        <v/>
      </c>
      <c r="DO34" t="str">
        <f>""</f>
        <v/>
      </c>
      <c r="DP34" t="str">
        <f>""</f>
        <v/>
      </c>
      <c r="DQ34" t="str">
        <f>""</f>
        <v/>
      </c>
      <c r="DR34" t="str">
        <f>""</f>
        <v/>
      </c>
      <c r="DS34" t="str">
        <f>""</f>
        <v/>
      </c>
      <c r="DT34" t="str">
        <f>""</f>
        <v/>
      </c>
      <c r="DU34" t="str">
        <f>""</f>
        <v/>
      </c>
    </row>
    <row r="35" spans="1:125" x14ac:dyDescent="0.25">
      <c r="A35" t="str">
        <f>"                    Wholesale"</f>
        <v xml:space="preserve">                    Wholesale</v>
      </c>
      <c r="B35" t="str">
        <f t="shared" si="20"/>
        <v>KER FP Equity</v>
      </c>
      <c r="C35" t="str">
        <f t="shared" si="21"/>
        <v>BI047</v>
      </c>
      <c r="D35" t="str">
        <f t="shared" si="22"/>
        <v>BICS_SEGMENT_DATA</v>
      </c>
      <c r="E35" t="str">
        <f t="shared" si="23"/>
        <v>Dynamic</v>
      </c>
      <c r="F35" t="str">
        <f ca="1">IF(AND(ISNUMBER($F$191),$B$158=1),$F$191,HLOOKUP(INDIRECT(ADDRESS(2,COLUMN())),OFFSET($BN$2,0,0,ROW()-1,60),ROW()-1,FALSE))</f>
        <v/>
      </c>
      <c r="G35">
        <f ca="1">IF(AND(ISNUMBER($G$191),$B$158=1),$G$191,HLOOKUP(INDIRECT(ADDRESS(2,COLUMN())),OFFSET($BN$2,0,0,ROW()-1,60),ROW()-1,FALSE))</f>
        <v>-19</v>
      </c>
      <c r="H35">
        <f ca="1">IF(AND(ISNUMBER($H$191),$B$158=1),$H$191,HLOOKUP(INDIRECT(ADDRESS(2,COLUMN())),OFFSET($BN$2,0,0,ROW()-1,60),ROW()-1,FALSE))</f>
        <v>22</v>
      </c>
      <c r="I35">
        <f ca="1">IF(AND(ISNUMBER($I$191),$B$158=1),$I$191,HLOOKUP(INDIRECT(ADDRESS(2,COLUMN())),OFFSET($BN$2,0,0,ROW()-1,60),ROW()-1,FALSE))</f>
        <v>-26</v>
      </c>
      <c r="J35">
        <f ca="1">IF(AND(ISNUMBER($J$191),$B$158=1),$J$191,HLOOKUP(INDIRECT(ADDRESS(2,COLUMN())),OFFSET($BN$2,0,0,ROW()-1,60),ROW()-1,FALSE))</f>
        <v>-31</v>
      </c>
      <c r="K35">
        <f ca="1">IF(AND(ISNUMBER($K$191),$B$158=1),$K$191,HLOOKUP(INDIRECT(ADDRESS(2,COLUMN())),OFFSET($BN$2,0,0,ROW()-1,60),ROW()-1,FALSE))</f>
        <v>-32</v>
      </c>
      <c r="L35">
        <f ca="1">IF(AND(ISNUMBER($L$191),$B$158=1),$L$191,HLOOKUP(INDIRECT(ADDRESS(2,COLUMN())),OFFSET($BN$2,0,0,ROW()-1,60),ROW()-1,FALSE))</f>
        <v>-54</v>
      </c>
      <c r="M35">
        <f ca="1">IF(AND(ISNUMBER($M$191),$B$158=1),$M$191,HLOOKUP(INDIRECT(ADDRESS(2,COLUMN())),OFFSET($BN$2,0,0,ROW()-1,60),ROW()-1,FALSE))</f>
        <v>-20</v>
      </c>
      <c r="N35">
        <f ca="1">IF(AND(ISNUMBER($N$191),$B$158=1),$N$191,HLOOKUP(INDIRECT(ADDRESS(2,COLUMN())),OFFSET($BN$2,0,0,ROW()-1,60),ROW()-1,FALSE))</f>
        <v>14</v>
      </c>
      <c r="O35">
        <f ca="1">IF(AND(ISNUMBER($O$191),$B$158=1),$O$191,HLOOKUP(INDIRECT(ADDRESS(2,COLUMN())),OFFSET($BN$2,0,0,ROW()-1,60),ROW()-1,FALSE))</f>
        <v>10</v>
      </c>
      <c r="P35">
        <f ca="1">IF(AND(ISNUMBER($P$191),$B$158=1),$P$191,HLOOKUP(INDIRECT(ADDRESS(2,COLUMN())),OFFSET($BN$2,0,0,ROW()-1,60),ROW()-1,FALSE))</f>
        <v>15</v>
      </c>
      <c r="Q35">
        <f ca="1">IF(AND(ISNUMBER($Q$191),$B$158=1),$Q$191,HLOOKUP(INDIRECT(ADDRESS(2,COLUMN())),OFFSET($BN$2,0,0,ROW()-1,60),ROW()-1,FALSE))</f>
        <v>16</v>
      </c>
      <c r="R35">
        <f ca="1">IF(AND(ISNUMBER($R$191),$B$158=1),$R$191,HLOOKUP(INDIRECT(ADDRESS(2,COLUMN())),OFFSET($BN$2,0,0,ROW()-1,60),ROW()-1,FALSE))</f>
        <v>21</v>
      </c>
      <c r="S35">
        <f ca="1">IF(AND(ISNUMBER($S$191),$B$158=1),$S$191,HLOOKUP(INDIRECT(ADDRESS(2,COLUMN())),OFFSET($BN$2,0,0,ROW()-1,60),ROW()-1,FALSE))</f>
        <v>36</v>
      </c>
      <c r="T35">
        <f ca="1">IF(AND(ISNUMBER($T$191),$B$158=1),$T$191,HLOOKUP(INDIRECT(ADDRESS(2,COLUMN())),OFFSET($BN$2,0,0,ROW()-1,60),ROW()-1,FALSE))</f>
        <v>23</v>
      </c>
      <c r="U35">
        <f ca="1">IF(AND(ISNUMBER($U$191),$B$158=1),$U$191,HLOOKUP(INDIRECT(ADDRESS(2,COLUMN())),OFFSET($BN$2,0,0,ROW()-1,60),ROW()-1,FALSE))</f>
        <v>44</v>
      </c>
      <c r="V35">
        <f ca="1">IF(AND(ISNUMBER($V$191),$B$158=1),$V$191,HLOOKUP(INDIRECT(ADDRESS(2,COLUMN())),OFFSET($BN$2,0,0,ROW()-1,60),ROW()-1,FALSE))</f>
        <v>29</v>
      </c>
      <c r="W35">
        <f ca="1">IF(AND(ISNUMBER($W$191),$B$158=1),$W$191,HLOOKUP(INDIRECT(ADDRESS(2,COLUMN())),OFFSET($BN$2,0,0,ROW()-1,60),ROW()-1,FALSE))</f>
        <v>44</v>
      </c>
      <c r="X35">
        <f ca="1">IF(AND(ISNUMBER($X$191),$B$158=1),$X$191,HLOOKUP(INDIRECT(ADDRESS(2,COLUMN())),OFFSET($BN$2,0,0,ROW()-1,60),ROW()-1,FALSE))</f>
        <v>28</v>
      </c>
      <c r="Y35">
        <f ca="1">IF(AND(ISNUMBER($Y$191),$B$158=1),$Y$191,HLOOKUP(INDIRECT(ADDRESS(2,COLUMN())),OFFSET($BN$2,0,0,ROW()-1,60),ROW()-1,FALSE))</f>
        <v>37</v>
      </c>
      <c r="Z35" t="str">
        <f ca="1">IF(AND(ISNUMBER($Z$191),$B$158=1),$Z$191,HLOOKUP(INDIRECT(ADDRESS(2,COLUMN())),OFFSET($BN$2,0,0,ROW()-1,60),ROW()-1,FALSE))</f>
        <v/>
      </c>
      <c r="AA35">
        <f ca="1">IF(AND(ISNUMBER($AA$191),$B$158=1),$AA$191,HLOOKUP(INDIRECT(ADDRESS(2,COLUMN())),OFFSET($BN$2,0,0,ROW()-1,60),ROW()-1,FALSE))</f>
        <v>9</v>
      </c>
      <c r="AB35">
        <f ca="1">IF(AND(ISNUMBER($AB$191),$B$158=1),$AB$191,HLOOKUP(INDIRECT(ADDRESS(2,COLUMN())),OFFSET($BN$2,0,0,ROW()-1,60),ROW()-1,FALSE))</f>
        <v>15</v>
      </c>
      <c r="AC35">
        <f ca="1">IF(AND(ISNUMBER($AC$191),$B$158=1),$AC$191,HLOOKUP(INDIRECT(ADDRESS(2,COLUMN())),OFFSET($BN$2,0,0,ROW()-1,60),ROW()-1,FALSE))</f>
        <v>10</v>
      </c>
      <c r="AD35">
        <f ca="1">IF(AND(ISNUMBER($AD$191),$B$158=1),$AD$191,HLOOKUP(INDIRECT(ADDRESS(2,COLUMN())),OFFSET($BN$2,0,0,ROW()-1,60),ROW()-1,FALSE))</f>
        <v>4</v>
      </c>
      <c r="AE35">
        <f ca="1">IF(AND(ISNUMBER($AE$191),$B$158=1),$AE$191,HLOOKUP(INDIRECT(ADDRESS(2,COLUMN())),OFFSET($BN$2,0,0,ROW()-1,60),ROW()-1,FALSE))</f>
        <v>-6</v>
      </c>
      <c r="AF35">
        <f ca="1">IF(AND(ISNUMBER($AF$191),$B$158=1),$AF$191,HLOOKUP(INDIRECT(ADDRESS(2,COLUMN())),OFFSET($BN$2,0,0,ROW()-1,60),ROW()-1,FALSE))</f>
        <v>-19</v>
      </c>
      <c r="AG35">
        <f ca="1">IF(AND(ISNUMBER($AG$191),$B$158=1),$AG$191,HLOOKUP(INDIRECT(ADDRESS(2,COLUMN())),OFFSET($BN$2,0,0,ROW()-1,60),ROW()-1,FALSE))</f>
        <v>-23</v>
      </c>
      <c r="AH35" t="str">
        <f ca="1">IF(AND(ISNUMBER($AH$191),$B$158=1),$AH$191,HLOOKUP(INDIRECT(ADDRESS(2,COLUMN())),OFFSET($BN$2,0,0,ROW()-1,60),ROW()-1,FALSE))</f>
        <v/>
      </c>
      <c r="AI35" t="str">
        <f ca="1">IF(AND(ISNUMBER($AI$191),$B$158=1),$AI$191,HLOOKUP(INDIRECT(ADDRESS(2,COLUMN())),OFFSET($BN$2,0,0,ROW()-1,60),ROW()-1,FALSE))</f>
        <v/>
      </c>
      <c r="AJ35" t="str">
        <f ca="1">IF(AND(ISNUMBER($AJ$191),$B$158=1),$AJ$191,HLOOKUP(INDIRECT(ADDRESS(2,COLUMN())),OFFSET($BN$2,0,0,ROW()-1,60),ROW()-1,FALSE))</f>
        <v/>
      </c>
      <c r="AK35">
        <f ca="1">IF(AND(ISNUMBER($AK$191),$B$158=1),$AK$191,HLOOKUP(INDIRECT(ADDRESS(2,COLUMN())),OFFSET($BN$2,0,0,ROW()-1,60),ROW()-1,FALSE))</f>
        <v>-19</v>
      </c>
      <c r="AL35" t="str">
        <f ca="1">IF(AND(ISNUMBER($AL$191),$B$158=1),$AL$191,HLOOKUP(INDIRECT(ADDRESS(2,COLUMN())),OFFSET($BN$2,0,0,ROW()-1,60),ROW()-1,FALSE))</f>
        <v/>
      </c>
      <c r="AM35" t="str">
        <f ca="1">IF(AND(ISNUMBER($AM$191),$B$158=1),$AM$191,HLOOKUP(INDIRECT(ADDRESS(2,COLUMN())),OFFSET($BN$2,0,0,ROW()-1,60),ROW()-1,FALSE))</f>
        <v/>
      </c>
      <c r="AN35" t="str">
        <f ca="1">IF(AND(ISNUMBER($AN$191),$B$158=1),$AN$191,HLOOKUP(INDIRECT(ADDRESS(2,COLUMN())),OFFSET($BN$2,0,0,ROW()-1,60),ROW()-1,FALSE))</f>
        <v/>
      </c>
      <c r="AO35" t="str">
        <f ca="1">IF(AND(ISNUMBER($AO$191),$B$158=1),$AO$191,HLOOKUP(INDIRECT(ADDRESS(2,COLUMN())),OFFSET($BN$2,0,0,ROW()-1,60),ROW()-1,FALSE))</f>
        <v/>
      </c>
      <c r="AP35" t="str">
        <f ca="1">IF(AND(ISNUMBER($AP$191),$B$158=1),$AP$191,HLOOKUP(INDIRECT(ADDRESS(2,COLUMN())),OFFSET($BN$2,0,0,ROW()-1,60),ROW()-1,FALSE))</f>
        <v/>
      </c>
      <c r="AQ35" t="str">
        <f ca="1">IF(AND(ISNUMBER($AQ$191),$B$158=1),$AQ$191,HLOOKUP(INDIRECT(ADDRESS(2,COLUMN())),OFFSET($BN$2,0,0,ROW()-1,60),ROW()-1,FALSE))</f>
        <v/>
      </c>
      <c r="AR35" t="str">
        <f ca="1">IF(AND(ISNUMBER($AR$191),$B$158=1),$AR$191,HLOOKUP(INDIRECT(ADDRESS(2,COLUMN())),OFFSET($BN$2,0,0,ROW()-1,60),ROW()-1,FALSE))</f>
        <v/>
      </c>
      <c r="AS35" t="str">
        <f ca="1">IF(AND(ISNUMBER($AS$191),$B$158=1),$AS$191,HLOOKUP(INDIRECT(ADDRESS(2,COLUMN())),OFFSET($BN$2,0,0,ROW()-1,60),ROW()-1,FALSE))</f>
        <v/>
      </c>
      <c r="AT35" t="str">
        <f ca="1">IF(AND(ISNUMBER($AT$191),$B$158=1),$AT$191,HLOOKUP(INDIRECT(ADDRESS(2,COLUMN())),OFFSET($BN$2,0,0,ROW()-1,60),ROW()-1,FALSE))</f>
        <v/>
      </c>
      <c r="AU35" t="str">
        <f ca="1">IF(AND(ISNUMBER($AU$191),$B$158=1),$AU$191,HLOOKUP(INDIRECT(ADDRESS(2,COLUMN())),OFFSET($BN$2,0,0,ROW()-1,60),ROW()-1,FALSE))</f>
        <v/>
      </c>
      <c r="AV35" t="str">
        <f ca="1">IF(AND(ISNUMBER($AV$191),$B$158=1),$AV$191,HLOOKUP(INDIRECT(ADDRESS(2,COLUMN())),OFFSET($BN$2,0,0,ROW()-1,60),ROW()-1,FALSE))</f>
        <v/>
      </c>
      <c r="AW35" t="str">
        <f ca="1">IF(AND(ISNUMBER($AW$191),$B$158=1),$AW$191,HLOOKUP(INDIRECT(ADDRESS(2,COLUMN())),OFFSET($BN$2,0,0,ROW()-1,60),ROW()-1,FALSE))</f>
        <v/>
      </c>
      <c r="AX35" t="str">
        <f ca="1">IF(AND(ISNUMBER($AX$191),$B$158=1),$AX$191,HLOOKUP(INDIRECT(ADDRESS(2,COLUMN())),OFFSET($BN$2,0,0,ROW()-1,60),ROW()-1,FALSE))</f>
        <v/>
      </c>
      <c r="AY35" t="str">
        <f ca="1">IF(AND(ISNUMBER($AY$191),$B$158=1),$AY$191,HLOOKUP(INDIRECT(ADDRESS(2,COLUMN())),OFFSET($BN$2,0,0,ROW()-1,60),ROW()-1,FALSE))</f>
        <v/>
      </c>
      <c r="AZ35" t="str">
        <f ca="1">IF(AND(ISNUMBER($AZ$191),$B$158=1),$AZ$191,HLOOKUP(INDIRECT(ADDRESS(2,COLUMN())),OFFSET($BN$2,0,0,ROW()-1,60),ROW()-1,FALSE))</f>
        <v/>
      </c>
      <c r="BA35" t="str">
        <f ca="1">IF(AND(ISNUMBER($BA$191),$B$158=1),$BA$191,HLOOKUP(INDIRECT(ADDRESS(2,COLUMN())),OFFSET($BN$2,0,0,ROW()-1,60),ROW()-1,FALSE))</f>
        <v/>
      </c>
      <c r="BB35" t="str">
        <f ca="1">IF(AND(ISNUMBER($BB$191),$B$158=1),$BB$191,HLOOKUP(INDIRECT(ADDRESS(2,COLUMN())),OFFSET($BN$2,0,0,ROW()-1,60),ROW()-1,FALSE))</f>
        <v/>
      </c>
      <c r="BC35" t="str">
        <f ca="1">IF(AND(ISNUMBER($BC$191),$B$158=1),$BC$191,HLOOKUP(INDIRECT(ADDRESS(2,COLUMN())),OFFSET($BN$2,0,0,ROW()-1,60),ROW()-1,FALSE))</f>
        <v/>
      </c>
      <c r="BD35" t="str">
        <f ca="1">IF(AND(ISNUMBER($BD$191),$B$158=1),$BD$191,HLOOKUP(INDIRECT(ADDRESS(2,COLUMN())),OFFSET($BN$2,0,0,ROW()-1,60),ROW()-1,FALSE))</f>
        <v/>
      </c>
      <c r="BE35" t="str">
        <f ca="1">IF(AND(ISNUMBER($BE$191),$B$158=1),$BE$191,HLOOKUP(INDIRECT(ADDRESS(2,COLUMN())),OFFSET($BN$2,0,0,ROW()-1,60),ROW()-1,FALSE))</f>
        <v/>
      </c>
      <c r="BF35" t="str">
        <f ca="1">IF(AND(ISNUMBER($BF$191),$B$158=1),$BF$191,HLOOKUP(INDIRECT(ADDRESS(2,COLUMN())),OFFSET($BN$2,0,0,ROW()-1,60),ROW()-1,FALSE))</f>
        <v/>
      </c>
      <c r="BG35" t="str">
        <f ca="1">IF(AND(ISNUMBER($BG$191),$B$158=1),$BG$191,HLOOKUP(INDIRECT(ADDRESS(2,COLUMN())),OFFSET($BN$2,0,0,ROW()-1,60),ROW()-1,FALSE))</f>
        <v/>
      </c>
      <c r="BH35" t="str">
        <f ca="1">IF(AND(ISNUMBER($BH$191),$B$158=1),$BH$191,HLOOKUP(INDIRECT(ADDRESS(2,COLUMN())),OFFSET($BN$2,0,0,ROW()-1,60),ROW()-1,FALSE))</f>
        <v/>
      </c>
      <c r="BI35" t="str">
        <f ca="1">IF(AND(ISNUMBER($BI$191),$B$158=1),$BI$191,HLOOKUP(INDIRECT(ADDRESS(2,COLUMN())),OFFSET($BN$2,0,0,ROW()-1,60),ROW()-1,FALSE))</f>
        <v/>
      </c>
      <c r="BJ35" t="str">
        <f ca="1">IF(AND(ISNUMBER($BJ$191),$B$158=1),$BJ$191,HLOOKUP(INDIRECT(ADDRESS(2,COLUMN())),OFFSET($BN$2,0,0,ROW()-1,60),ROW()-1,FALSE))</f>
        <v/>
      </c>
      <c r="BK35" t="str">
        <f ca="1">IF(AND(ISNUMBER($BK$191),$B$158=1),$BK$191,HLOOKUP(INDIRECT(ADDRESS(2,COLUMN())),OFFSET($BN$2,0,0,ROW()-1,60),ROW()-1,FALSE))</f>
        <v/>
      </c>
      <c r="BL35" t="str">
        <f ca="1">IF(AND(ISNUMBER($BL$191),$B$158=1),$BL$191,HLOOKUP(INDIRECT(ADDRESS(2,COLUMN())),OFFSET($BN$2,0,0,ROW()-1,60),ROW()-1,FALSE))</f>
        <v/>
      </c>
      <c r="BM35" t="str">
        <f ca="1">IF(AND(ISNUMBER($BM$191),$B$158=1),$BM$191,HLOOKUP(INDIRECT(ADDRESS(2,COLUMN())),OFFSET($BN$2,0,0,ROW()-1,60),ROW()-1,FALSE))</f>
        <v/>
      </c>
      <c r="BN35" t="str">
        <f>""</f>
        <v/>
      </c>
      <c r="BO35">
        <f>-19</f>
        <v>-19</v>
      </c>
      <c r="BP35">
        <f>22</f>
        <v>22</v>
      </c>
      <c r="BQ35">
        <f>-26</f>
        <v>-26</v>
      </c>
      <c r="BR35">
        <f>-31</f>
        <v>-31</v>
      </c>
      <c r="BS35">
        <f>-32</f>
        <v>-32</v>
      </c>
      <c r="BT35">
        <f>-54</f>
        <v>-54</v>
      </c>
      <c r="BU35">
        <f>-20</f>
        <v>-20</v>
      </c>
      <c r="BV35">
        <f>14</f>
        <v>14</v>
      </c>
      <c r="BW35">
        <f>10</f>
        <v>10</v>
      </c>
      <c r="BX35">
        <f>15</f>
        <v>15</v>
      </c>
      <c r="BY35">
        <f>16</f>
        <v>16</v>
      </c>
      <c r="BZ35">
        <f>21</f>
        <v>21</v>
      </c>
      <c r="CA35">
        <f>36</f>
        <v>36</v>
      </c>
      <c r="CB35">
        <f>23</f>
        <v>23</v>
      </c>
      <c r="CC35">
        <f>44</f>
        <v>44</v>
      </c>
      <c r="CD35">
        <f>29</f>
        <v>29</v>
      </c>
      <c r="CE35">
        <f>44</f>
        <v>44</v>
      </c>
      <c r="CF35">
        <f>28</f>
        <v>28</v>
      </c>
      <c r="CG35">
        <f>37</f>
        <v>37</v>
      </c>
      <c r="CH35" t="str">
        <f>""</f>
        <v/>
      </c>
      <c r="CI35">
        <f>9</f>
        <v>9</v>
      </c>
      <c r="CJ35">
        <f>15</f>
        <v>15</v>
      </c>
      <c r="CK35">
        <f>10</f>
        <v>10</v>
      </c>
      <c r="CL35">
        <f>4</f>
        <v>4</v>
      </c>
      <c r="CM35">
        <f>-6</f>
        <v>-6</v>
      </c>
      <c r="CN35">
        <f>-19</f>
        <v>-19</v>
      </c>
      <c r="CO35">
        <f>-23</f>
        <v>-23</v>
      </c>
      <c r="CP35" t="str">
        <f>""</f>
        <v/>
      </c>
      <c r="CQ35" t="str">
        <f>""</f>
        <v/>
      </c>
      <c r="CR35" t="str">
        <f>""</f>
        <v/>
      </c>
      <c r="CS35">
        <f>-19</f>
        <v>-19</v>
      </c>
      <c r="CT35" t="str">
        <f>""</f>
        <v/>
      </c>
      <c r="CU35" t="str">
        <f>""</f>
        <v/>
      </c>
      <c r="CV35" t="str">
        <f>""</f>
        <v/>
      </c>
      <c r="CW35" t="str">
        <f>""</f>
        <v/>
      </c>
      <c r="CX35" t="str">
        <f>""</f>
        <v/>
      </c>
      <c r="CY35" t="str">
        <f>""</f>
        <v/>
      </c>
      <c r="CZ35" t="str">
        <f>""</f>
        <v/>
      </c>
      <c r="DA35" t="str">
        <f>""</f>
        <v/>
      </c>
      <c r="DB35" t="str">
        <f>""</f>
        <v/>
      </c>
      <c r="DC35" t="str">
        <f>""</f>
        <v/>
      </c>
      <c r="DD35" t="str">
        <f>""</f>
        <v/>
      </c>
      <c r="DE35" t="str">
        <f>""</f>
        <v/>
      </c>
      <c r="DF35" t="str">
        <f>""</f>
        <v/>
      </c>
      <c r="DG35" t="str">
        <f>""</f>
        <v/>
      </c>
      <c r="DH35" t="str">
        <f>""</f>
        <v/>
      </c>
      <c r="DI35" t="str">
        <f>""</f>
        <v/>
      </c>
      <c r="DJ35" t="str">
        <f>""</f>
        <v/>
      </c>
      <c r="DK35" t="str">
        <f>""</f>
        <v/>
      </c>
      <c r="DL35" t="str">
        <f>""</f>
        <v/>
      </c>
      <c r="DM35" t="str">
        <f>""</f>
        <v/>
      </c>
      <c r="DN35" t="str">
        <f>""</f>
        <v/>
      </c>
      <c r="DO35" t="str">
        <f>""</f>
        <v/>
      </c>
      <c r="DP35" t="str">
        <f>""</f>
        <v/>
      </c>
      <c r="DQ35" t="str">
        <f>""</f>
        <v/>
      </c>
      <c r="DR35" t="str">
        <f>""</f>
        <v/>
      </c>
      <c r="DS35" t="str">
        <f>""</f>
        <v/>
      </c>
      <c r="DT35" t="str">
        <f>""</f>
        <v/>
      </c>
      <c r="DU35" t="str">
        <f>""</f>
        <v/>
      </c>
    </row>
    <row r="36" spans="1:125" x14ac:dyDescent="0.25">
      <c r="A36" t="str">
        <f>"                    Royalties and Others"</f>
        <v xml:space="preserve">                    Royalties and Others</v>
      </c>
      <c r="B36" t="str">
        <f t="shared" si="20"/>
        <v>KER FP Equity</v>
      </c>
      <c r="C36" t="str">
        <f t="shared" si="21"/>
        <v>BI047</v>
      </c>
      <c r="D36" t="str">
        <f t="shared" si="22"/>
        <v>BICS_SEGMENT_DATA</v>
      </c>
      <c r="E36" t="str">
        <f t="shared" si="23"/>
        <v>Dynamic</v>
      </c>
      <c r="F36" t="str">
        <f ca="1">IF(AND(ISNUMBER($F$192),$B$158=1),$F$192,HLOOKUP(INDIRECT(ADDRESS(2,COLUMN())),OFFSET($BN$2,0,0,ROW()-1,60),ROW()-1,FALSE))</f>
        <v/>
      </c>
      <c r="G36">
        <f ca="1">IF(AND(ISNUMBER($G$192),$B$158=1),$G$192,HLOOKUP(INDIRECT(ADDRESS(2,COLUMN())),OFFSET($BN$2,0,0,ROW()-1,60),ROW()-1,FALSE))</f>
        <v>28</v>
      </c>
      <c r="H36">
        <f ca="1">IF(AND(ISNUMBER($H$192),$B$158=1),$H$192,HLOOKUP(INDIRECT(ADDRESS(2,COLUMN())),OFFSET($BN$2,0,0,ROW()-1,60),ROW()-1,FALSE))</f>
        <v>118</v>
      </c>
      <c r="I36">
        <f ca="1">IF(AND(ISNUMBER($I$192),$B$158=1),$I$192,HLOOKUP(INDIRECT(ADDRESS(2,COLUMN())),OFFSET($BN$2,0,0,ROW()-1,60),ROW()-1,FALSE))</f>
        <v>6</v>
      </c>
      <c r="J36">
        <f ca="1">IF(AND(ISNUMBER($J$192),$B$158=1),$J$192,HLOOKUP(INDIRECT(ADDRESS(2,COLUMN())),OFFSET($BN$2,0,0,ROW()-1,60),ROW()-1,FALSE))</f>
        <v>-3</v>
      </c>
      <c r="K36">
        <f ca="1">IF(AND(ISNUMBER($K$192),$B$158=1),$K$192,HLOOKUP(INDIRECT(ADDRESS(2,COLUMN())),OFFSET($BN$2,0,0,ROW()-1,60),ROW()-1,FALSE))</f>
        <v>-34</v>
      </c>
      <c r="L36">
        <f ca="1">IF(AND(ISNUMBER($L$192),$B$158=1),$L$192,HLOOKUP(INDIRECT(ADDRESS(2,COLUMN())),OFFSET($BN$2,0,0,ROW()-1,60),ROW()-1,FALSE))</f>
        <v>-61</v>
      </c>
      <c r="M36">
        <f ca="1">IF(AND(ISNUMBER($M$192),$B$158=1),$M$192,HLOOKUP(INDIRECT(ADDRESS(2,COLUMN())),OFFSET($BN$2,0,0,ROW()-1,60),ROW()-1,FALSE))</f>
        <v>-17</v>
      </c>
      <c r="N36">
        <f ca="1">IF(AND(ISNUMBER($N$192),$B$158=1),$N$192,HLOOKUP(INDIRECT(ADDRESS(2,COLUMN())),OFFSET($BN$2,0,0,ROW()-1,60),ROW()-1,FALSE))</f>
        <v>-14</v>
      </c>
      <c r="O36">
        <f ca="1">IF(AND(ISNUMBER($O$192),$B$158=1),$O$192,HLOOKUP(INDIRECT(ADDRESS(2,COLUMN())),OFFSET($BN$2,0,0,ROW()-1,60),ROW()-1,FALSE))</f>
        <v>31</v>
      </c>
      <c r="P36">
        <f ca="1">IF(AND(ISNUMBER($P$192),$B$158=1),$P$192,HLOOKUP(INDIRECT(ADDRESS(2,COLUMN())),OFFSET($BN$2,0,0,ROW()-1,60),ROW()-1,FALSE))</f>
        <v>16</v>
      </c>
      <c r="Q36">
        <f ca="1">IF(AND(ISNUMBER($Q$192),$B$158=1),$Q$192,HLOOKUP(INDIRECT(ADDRESS(2,COLUMN())),OFFSET($BN$2,0,0,ROW()-1,60),ROW()-1,FALSE))</f>
        <v>59</v>
      </c>
      <c r="R36">
        <f ca="1">IF(AND(ISNUMBER($R$192),$B$158=1),$R$192,HLOOKUP(INDIRECT(ADDRESS(2,COLUMN())),OFFSET($BN$2,0,0,ROW()-1,60),ROW()-1,FALSE))</f>
        <v>37</v>
      </c>
      <c r="S36">
        <f ca="1">IF(AND(ISNUMBER($S$192),$B$158=1),$S$192,HLOOKUP(INDIRECT(ADDRESS(2,COLUMN())),OFFSET($BN$2,0,0,ROW()-1,60),ROW()-1,FALSE))</f>
        <v>17</v>
      </c>
      <c r="T36">
        <f ca="1">IF(AND(ISNUMBER($T$192),$B$158=1),$T$192,HLOOKUP(INDIRECT(ADDRESS(2,COLUMN())),OFFSET($BN$2,0,0,ROW()-1,60),ROW()-1,FALSE))</f>
        <v>5</v>
      </c>
      <c r="U36">
        <f ca="1">IF(AND(ISNUMBER($U$192),$B$158=1),$U$192,HLOOKUP(INDIRECT(ADDRESS(2,COLUMN())),OFFSET($BN$2,0,0,ROW()-1,60),ROW()-1,FALSE))</f>
        <v>-4</v>
      </c>
      <c r="V36">
        <f ca="1">IF(AND(ISNUMBER($V$192),$B$158=1),$V$192,HLOOKUP(INDIRECT(ADDRESS(2,COLUMN())),OFFSET($BN$2,0,0,ROW()-1,60),ROW()-1,FALSE))</f>
        <v>22</v>
      </c>
      <c r="W36">
        <f ca="1">IF(AND(ISNUMBER($W$192),$B$158=1),$W$192,HLOOKUP(INDIRECT(ADDRESS(2,COLUMN())),OFFSET($BN$2,0,0,ROW()-1,60),ROW()-1,FALSE))</f>
        <v>28</v>
      </c>
      <c r="X36">
        <f ca="1">IF(AND(ISNUMBER($X$192),$B$158=1),$X$192,HLOOKUP(INDIRECT(ADDRESS(2,COLUMN())),OFFSET($BN$2,0,0,ROW()-1,60),ROW()-1,FALSE))</f>
        <v>13</v>
      </c>
      <c r="Y36">
        <f ca="1">IF(AND(ISNUMBER($Y$192),$B$158=1),$Y$192,HLOOKUP(INDIRECT(ADDRESS(2,COLUMN())),OFFSET($BN$2,0,0,ROW()-1,60),ROW()-1,FALSE))</f>
        <v>-1</v>
      </c>
      <c r="Z36" t="str">
        <f ca="1">IF(AND(ISNUMBER($Z$192),$B$158=1),$Z$192,HLOOKUP(INDIRECT(ADDRESS(2,COLUMN())),OFFSET($BN$2,0,0,ROW()-1,60),ROW()-1,FALSE))</f>
        <v/>
      </c>
      <c r="AA36">
        <f ca="1">IF(AND(ISNUMBER($AA$192),$B$158=1),$AA$192,HLOOKUP(INDIRECT(ADDRESS(2,COLUMN())),OFFSET($BN$2,0,0,ROW()-1,60),ROW()-1,FALSE))</f>
        <v>-19</v>
      </c>
      <c r="AB36">
        <f ca="1">IF(AND(ISNUMBER($AB$192),$B$158=1),$AB$192,HLOOKUP(INDIRECT(ADDRESS(2,COLUMN())),OFFSET($BN$2,0,0,ROW()-1,60),ROW()-1,FALSE))</f>
        <v>-8</v>
      </c>
      <c r="AC36">
        <f ca="1">IF(AND(ISNUMBER($AC$192),$B$158=1),$AC$192,HLOOKUP(INDIRECT(ADDRESS(2,COLUMN())),OFFSET($BN$2,0,0,ROW()-1,60),ROW()-1,FALSE))</f>
        <v>-31</v>
      </c>
      <c r="AD36" t="str">
        <f ca="1">IF(AND(ISNUMBER($AD$192),$B$158=1),$AD$192,HLOOKUP(INDIRECT(ADDRESS(2,COLUMN())),OFFSET($BN$2,0,0,ROW()-1,60),ROW()-1,FALSE))</f>
        <v/>
      </c>
      <c r="AE36">
        <f ca="1">IF(AND(ISNUMBER($AE$192),$B$158=1),$AE$192,HLOOKUP(INDIRECT(ADDRESS(2,COLUMN())),OFFSET($BN$2,0,0,ROW()-1,60),ROW()-1,FALSE))</f>
        <v>-7</v>
      </c>
      <c r="AF36">
        <f ca="1">IF(AND(ISNUMBER($AF$192),$B$158=1),$AF$192,HLOOKUP(INDIRECT(ADDRESS(2,COLUMN())),OFFSET($BN$2,0,0,ROW()-1,60),ROW()-1,FALSE))</f>
        <v>-11</v>
      </c>
      <c r="AG36">
        <f ca="1">IF(AND(ISNUMBER($AG$192),$B$158=1),$AG$192,HLOOKUP(INDIRECT(ADDRESS(2,COLUMN())),OFFSET($BN$2,0,0,ROW()-1,60),ROW()-1,FALSE))</f>
        <v>-14</v>
      </c>
      <c r="AH36" t="str">
        <f ca="1">IF(AND(ISNUMBER($AH$192),$B$158=1),$AH$192,HLOOKUP(INDIRECT(ADDRESS(2,COLUMN())),OFFSET($BN$2,0,0,ROW()-1,60),ROW()-1,FALSE))</f>
        <v/>
      </c>
      <c r="AI36" t="str">
        <f ca="1">IF(AND(ISNUMBER($AI$192),$B$158=1),$AI$192,HLOOKUP(INDIRECT(ADDRESS(2,COLUMN())),OFFSET($BN$2,0,0,ROW()-1,60),ROW()-1,FALSE))</f>
        <v/>
      </c>
      <c r="AJ36" t="str">
        <f ca="1">IF(AND(ISNUMBER($AJ$192),$B$158=1),$AJ$192,HLOOKUP(INDIRECT(ADDRESS(2,COLUMN())),OFFSET($BN$2,0,0,ROW()-1,60),ROW()-1,FALSE))</f>
        <v/>
      </c>
      <c r="AK36" t="str">
        <f ca="1">IF(AND(ISNUMBER($AK$192),$B$158=1),$AK$192,HLOOKUP(INDIRECT(ADDRESS(2,COLUMN())),OFFSET($BN$2,0,0,ROW()-1,60),ROW()-1,FALSE))</f>
        <v/>
      </c>
      <c r="AL36" t="str">
        <f ca="1">IF(AND(ISNUMBER($AL$192),$B$158=1),$AL$192,HLOOKUP(INDIRECT(ADDRESS(2,COLUMN())),OFFSET($BN$2,0,0,ROW()-1,60),ROW()-1,FALSE))</f>
        <v/>
      </c>
      <c r="AM36" t="str">
        <f ca="1">IF(AND(ISNUMBER($AM$192),$B$158=1),$AM$192,HLOOKUP(INDIRECT(ADDRESS(2,COLUMN())),OFFSET($BN$2,0,0,ROW()-1,60),ROW()-1,FALSE))</f>
        <v/>
      </c>
      <c r="AN36" t="str">
        <f ca="1">IF(AND(ISNUMBER($AN$192),$B$158=1),$AN$192,HLOOKUP(INDIRECT(ADDRESS(2,COLUMN())),OFFSET($BN$2,0,0,ROW()-1,60),ROW()-1,FALSE))</f>
        <v/>
      </c>
      <c r="AO36" t="str">
        <f ca="1">IF(AND(ISNUMBER($AO$192),$B$158=1),$AO$192,HLOOKUP(INDIRECT(ADDRESS(2,COLUMN())),OFFSET($BN$2,0,0,ROW()-1,60),ROW()-1,FALSE))</f>
        <v/>
      </c>
      <c r="AP36" t="str">
        <f ca="1">IF(AND(ISNUMBER($AP$192),$B$158=1),$AP$192,HLOOKUP(INDIRECT(ADDRESS(2,COLUMN())),OFFSET($BN$2,0,0,ROW()-1,60),ROW()-1,FALSE))</f>
        <v/>
      </c>
      <c r="AQ36" t="str">
        <f ca="1">IF(AND(ISNUMBER($AQ$192),$B$158=1),$AQ$192,HLOOKUP(INDIRECT(ADDRESS(2,COLUMN())),OFFSET($BN$2,0,0,ROW()-1,60),ROW()-1,FALSE))</f>
        <v/>
      </c>
      <c r="AR36" t="str">
        <f ca="1">IF(AND(ISNUMBER($AR$192),$B$158=1),$AR$192,HLOOKUP(INDIRECT(ADDRESS(2,COLUMN())),OFFSET($BN$2,0,0,ROW()-1,60),ROW()-1,FALSE))</f>
        <v/>
      </c>
      <c r="AS36" t="str">
        <f ca="1">IF(AND(ISNUMBER($AS$192),$B$158=1),$AS$192,HLOOKUP(INDIRECT(ADDRESS(2,COLUMN())),OFFSET($BN$2,0,0,ROW()-1,60),ROW()-1,FALSE))</f>
        <v/>
      </c>
      <c r="AT36" t="str">
        <f ca="1">IF(AND(ISNUMBER($AT$192),$B$158=1),$AT$192,HLOOKUP(INDIRECT(ADDRESS(2,COLUMN())),OFFSET($BN$2,0,0,ROW()-1,60),ROW()-1,FALSE))</f>
        <v/>
      </c>
      <c r="AU36" t="str">
        <f ca="1">IF(AND(ISNUMBER($AU$192),$B$158=1),$AU$192,HLOOKUP(INDIRECT(ADDRESS(2,COLUMN())),OFFSET($BN$2,0,0,ROW()-1,60),ROW()-1,FALSE))</f>
        <v/>
      </c>
      <c r="AV36" t="str">
        <f ca="1">IF(AND(ISNUMBER($AV$192),$B$158=1),$AV$192,HLOOKUP(INDIRECT(ADDRESS(2,COLUMN())),OFFSET($BN$2,0,0,ROW()-1,60),ROW()-1,FALSE))</f>
        <v/>
      </c>
      <c r="AW36" t="str">
        <f ca="1">IF(AND(ISNUMBER($AW$192),$B$158=1),$AW$192,HLOOKUP(INDIRECT(ADDRESS(2,COLUMN())),OFFSET($BN$2,0,0,ROW()-1,60),ROW()-1,FALSE))</f>
        <v/>
      </c>
      <c r="AX36" t="str">
        <f ca="1">IF(AND(ISNUMBER($AX$192),$B$158=1),$AX$192,HLOOKUP(INDIRECT(ADDRESS(2,COLUMN())),OFFSET($BN$2,0,0,ROW()-1,60),ROW()-1,FALSE))</f>
        <v/>
      </c>
      <c r="AY36" t="str">
        <f ca="1">IF(AND(ISNUMBER($AY$192),$B$158=1),$AY$192,HLOOKUP(INDIRECT(ADDRESS(2,COLUMN())),OFFSET($BN$2,0,0,ROW()-1,60),ROW()-1,FALSE))</f>
        <v/>
      </c>
      <c r="AZ36" t="str">
        <f ca="1">IF(AND(ISNUMBER($AZ$192),$B$158=1),$AZ$192,HLOOKUP(INDIRECT(ADDRESS(2,COLUMN())),OFFSET($BN$2,0,0,ROW()-1,60),ROW()-1,FALSE))</f>
        <v/>
      </c>
      <c r="BA36" t="str">
        <f ca="1">IF(AND(ISNUMBER($BA$192),$B$158=1),$BA$192,HLOOKUP(INDIRECT(ADDRESS(2,COLUMN())),OFFSET($BN$2,0,0,ROW()-1,60),ROW()-1,FALSE))</f>
        <v/>
      </c>
      <c r="BB36" t="str">
        <f ca="1">IF(AND(ISNUMBER($BB$192),$B$158=1),$BB$192,HLOOKUP(INDIRECT(ADDRESS(2,COLUMN())),OFFSET($BN$2,0,0,ROW()-1,60),ROW()-1,FALSE))</f>
        <v/>
      </c>
      <c r="BC36" t="str">
        <f ca="1">IF(AND(ISNUMBER($BC$192),$B$158=1),$BC$192,HLOOKUP(INDIRECT(ADDRESS(2,COLUMN())),OFFSET($BN$2,0,0,ROW()-1,60),ROW()-1,FALSE))</f>
        <v/>
      </c>
      <c r="BD36" t="str">
        <f ca="1">IF(AND(ISNUMBER($BD$192),$B$158=1),$BD$192,HLOOKUP(INDIRECT(ADDRESS(2,COLUMN())),OFFSET($BN$2,0,0,ROW()-1,60),ROW()-1,FALSE))</f>
        <v/>
      </c>
      <c r="BE36" t="str">
        <f ca="1">IF(AND(ISNUMBER($BE$192),$B$158=1),$BE$192,HLOOKUP(INDIRECT(ADDRESS(2,COLUMN())),OFFSET($BN$2,0,0,ROW()-1,60),ROW()-1,FALSE))</f>
        <v/>
      </c>
      <c r="BF36" t="str">
        <f ca="1">IF(AND(ISNUMBER($BF$192),$B$158=1),$BF$192,HLOOKUP(INDIRECT(ADDRESS(2,COLUMN())),OFFSET($BN$2,0,0,ROW()-1,60),ROW()-1,FALSE))</f>
        <v/>
      </c>
      <c r="BG36" t="str">
        <f ca="1">IF(AND(ISNUMBER($BG$192),$B$158=1),$BG$192,HLOOKUP(INDIRECT(ADDRESS(2,COLUMN())),OFFSET($BN$2,0,0,ROW()-1,60),ROW()-1,FALSE))</f>
        <v/>
      </c>
      <c r="BH36" t="str">
        <f ca="1">IF(AND(ISNUMBER($BH$192),$B$158=1),$BH$192,HLOOKUP(INDIRECT(ADDRESS(2,COLUMN())),OFFSET($BN$2,0,0,ROW()-1,60),ROW()-1,FALSE))</f>
        <v/>
      </c>
      <c r="BI36" t="str">
        <f ca="1">IF(AND(ISNUMBER($BI$192),$B$158=1),$BI$192,HLOOKUP(INDIRECT(ADDRESS(2,COLUMN())),OFFSET($BN$2,0,0,ROW()-1,60),ROW()-1,FALSE))</f>
        <v/>
      </c>
      <c r="BJ36" t="str">
        <f ca="1">IF(AND(ISNUMBER($BJ$192),$B$158=1),$BJ$192,HLOOKUP(INDIRECT(ADDRESS(2,COLUMN())),OFFSET($BN$2,0,0,ROW()-1,60),ROW()-1,FALSE))</f>
        <v/>
      </c>
      <c r="BK36" t="str">
        <f ca="1">IF(AND(ISNUMBER($BK$192),$B$158=1),$BK$192,HLOOKUP(INDIRECT(ADDRESS(2,COLUMN())),OFFSET($BN$2,0,0,ROW()-1,60),ROW()-1,FALSE))</f>
        <v/>
      </c>
      <c r="BL36" t="str">
        <f ca="1">IF(AND(ISNUMBER($BL$192),$B$158=1),$BL$192,HLOOKUP(INDIRECT(ADDRESS(2,COLUMN())),OFFSET($BN$2,0,0,ROW()-1,60),ROW()-1,FALSE))</f>
        <v/>
      </c>
      <c r="BM36" t="str">
        <f ca="1">IF(AND(ISNUMBER($BM$192),$B$158=1),$BM$192,HLOOKUP(INDIRECT(ADDRESS(2,COLUMN())),OFFSET($BN$2,0,0,ROW()-1,60),ROW()-1,FALSE))</f>
        <v/>
      </c>
      <c r="BN36" t="str">
        <f>""</f>
        <v/>
      </c>
      <c r="BO36">
        <f>28</f>
        <v>28</v>
      </c>
      <c r="BP36">
        <f>118</f>
        <v>118</v>
      </c>
      <c r="BQ36">
        <f>6</f>
        <v>6</v>
      </c>
      <c r="BR36">
        <f>-3</f>
        <v>-3</v>
      </c>
      <c r="BS36">
        <f>-34</f>
        <v>-34</v>
      </c>
      <c r="BT36">
        <f>-61</f>
        <v>-61</v>
      </c>
      <c r="BU36">
        <f>-17</f>
        <v>-17</v>
      </c>
      <c r="BV36">
        <f>-14</f>
        <v>-14</v>
      </c>
      <c r="BW36">
        <f>31</f>
        <v>31</v>
      </c>
      <c r="BX36">
        <f>16</f>
        <v>16</v>
      </c>
      <c r="BY36">
        <f>59</f>
        <v>59</v>
      </c>
      <c r="BZ36">
        <f>37</f>
        <v>37</v>
      </c>
      <c r="CA36">
        <f>17</f>
        <v>17</v>
      </c>
      <c r="CB36">
        <f>5</f>
        <v>5</v>
      </c>
      <c r="CC36">
        <f>-4</f>
        <v>-4</v>
      </c>
      <c r="CD36">
        <f>22</f>
        <v>22</v>
      </c>
      <c r="CE36">
        <f>28</f>
        <v>28</v>
      </c>
      <c r="CF36">
        <f>13</f>
        <v>13</v>
      </c>
      <c r="CG36">
        <f>-1</f>
        <v>-1</v>
      </c>
      <c r="CH36" t="str">
        <f>""</f>
        <v/>
      </c>
      <c r="CI36">
        <f>-19</f>
        <v>-19</v>
      </c>
      <c r="CJ36">
        <f>-8</f>
        <v>-8</v>
      </c>
      <c r="CK36">
        <f>-31</f>
        <v>-31</v>
      </c>
      <c r="CL36" t="str">
        <f>""</f>
        <v/>
      </c>
      <c r="CM36">
        <f>-7</f>
        <v>-7</v>
      </c>
      <c r="CN36">
        <f>-11</f>
        <v>-11</v>
      </c>
      <c r="CO36">
        <f>-14</f>
        <v>-14</v>
      </c>
      <c r="CP36" t="str">
        <f>""</f>
        <v/>
      </c>
      <c r="CQ36" t="str">
        <f>""</f>
        <v/>
      </c>
      <c r="CR36" t="str">
        <f>""</f>
        <v/>
      </c>
      <c r="CS36" t="str">
        <f>""</f>
        <v/>
      </c>
      <c r="CT36" t="str">
        <f>""</f>
        <v/>
      </c>
      <c r="CU36" t="str">
        <f>""</f>
        <v/>
      </c>
      <c r="CV36" t="str">
        <f>""</f>
        <v/>
      </c>
      <c r="CW36" t="str">
        <f>""</f>
        <v/>
      </c>
      <c r="CX36" t="str">
        <f>""</f>
        <v/>
      </c>
      <c r="CY36" t="str">
        <f>""</f>
        <v/>
      </c>
      <c r="CZ36" t="str">
        <f>""</f>
        <v/>
      </c>
      <c r="DA36" t="str">
        <f>""</f>
        <v/>
      </c>
      <c r="DB36" t="str">
        <f>""</f>
        <v/>
      </c>
      <c r="DC36" t="str">
        <f>""</f>
        <v/>
      </c>
      <c r="DD36" t="str">
        <f>""</f>
        <v/>
      </c>
      <c r="DE36" t="str">
        <f>""</f>
        <v/>
      </c>
      <c r="DF36" t="str">
        <f>""</f>
        <v/>
      </c>
      <c r="DG36" t="str">
        <f>""</f>
        <v/>
      </c>
      <c r="DH36" t="str">
        <f>""</f>
        <v/>
      </c>
      <c r="DI36" t="str">
        <f>""</f>
        <v/>
      </c>
      <c r="DJ36" t="str">
        <f>""</f>
        <v/>
      </c>
      <c r="DK36" t="str">
        <f>""</f>
        <v/>
      </c>
      <c r="DL36" t="str">
        <f>""</f>
        <v/>
      </c>
      <c r="DM36" t="str">
        <f>""</f>
        <v/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  <c r="DT36" t="str">
        <f>""</f>
        <v/>
      </c>
      <c r="DU36" t="str">
        <f>""</f>
        <v/>
      </c>
    </row>
    <row r="37" spans="1:125" x14ac:dyDescent="0.25">
      <c r="A37" t="str">
        <f>"                Saint Laurent"</f>
        <v xml:space="preserve">                Saint Laurent</v>
      </c>
      <c r="B37" t="str">
        <f t="shared" si="20"/>
        <v>KER FP Equity</v>
      </c>
      <c r="C37" t="str">
        <f t="shared" si="21"/>
        <v>BI047</v>
      </c>
      <c r="D37" t="str">
        <f t="shared" si="22"/>
        <v>BICS_SEGMENT_DATA</v>
      </c>
      <c r="E37" t="str">
        <f t="shared" si="23"/>
        <v>Dynamic</v>
      </c>
      <c r="F37" t="str">
        <f ca="1">IF(AND(ISNUMBER($F$193),$B$158=1),$F$193,HLOOKUP(INDIRECT(ADDRESS(2,COLUMN())),OFFSET($BN$2,0,0,ROW()-1,60),ROW()-1,FALSE))</f>
        <v/>
      </c>
      <c r="G37">
        <f ca="1">IF(AND(ISNUMBER($G$193),$B$158=1),$G$193,HLOOKUP(INDIRECT(ADDRESS(2,COLUMN())),OFFSET($BN$2,0,0,ROW()-1,60),ROW()-1,FALSE))</f>
        <v>27.8</v>
      </c>
      <c r="H37">
        <f ca="1">IF(AND(ISNUMBER($H$193),$B$158=1),$H$193,HLOOKUP(INDIRECT(ADDRESS(2,COLUMN())),OFFSET($BN$2,0,0,ROW()-1,60),ROW()-1,FALSE))</f>
        <v>114.5</v>
      </c>
      <c r="I37">
        <f ca="1">IF(AND(ISNUMBER($I$193),$B$158=1),$I$193,HLOOKUP(INDIRECT(ADDRESS(2,COLUMN())),OFFSET($BN$2,0,0,ROW()-1,60),ROW()-1,FALSE))</f>
        <v>18.899999999999999</v>
      </c>
      <c r="J37">
        <f ca="1">IF(AND(ISNUMBER($J$193),$B$158=1),$J$193,HLOOKUP(INDIRECT(ADDRESS(2,COLUMN())),OFFSET($BN$2,0,0,ROW()-1,60),ROW()-1,FALSE))</f>
        <v>-3</v>
      </c>
      <c r="K37">
        <f ca="1">IF(AND(ISNUMBER($K$193),$B$158=1),$K$193,HLOOKUP(INDIRECT(ADDRESS(2,COLUMN())),OFFSET($BN$2,0,0,ROW()-1,60),ROW()-1,FALSE))</f>
        <v>0.8</v>
      </c>
      <c r="L37">
        <f ca="1">IF(AND(ISNUMBER($L$193),$B$158=1),$L$193,HLOOKUP(INDIRECT(ADDRESS(2,COLUMN())),OFFSET($BN$2,0,0,ROW()-1,60),ROW()-1,FALSE))</f>
        <v>-48.2</v>
      </c>
      <c r="M37">
        <f ca="1">IF(AND(ISNUMBER($M$193),$B$158=1),$M$193,HLOOKUP(INDIRECT(ADDRESS(2,COLUMN())),OFFSET($BN$2,0,0,ROW()-1,60),ROW()-1,FALSE))</f>
        <v>-12.6</v>
      </c>
      <c r="N37">
        <f ca="1">IF(AND(ISNUMBER($N$193),$B$158=1),$N$193,HLOOKUP(INDIRECT(ADDRESS(2,COLUMN())),OFFSET($BN$2,0,0,ROW()-1,60),ROW()-1,FALSE))</f>
        <v>16.600000000000001</v>
      </c>
      <c r="O37">
        <f ca="1">IF(AND(ISNUMBER($O$193),$B$158=1),$O$193,HLOOKUP(INDIRECT(ADDRESS(2,COLUMN())),OFFSET($BN$2,0,0,ROW()-1,60),ROW()-1,FALSE))</f>
        <v>13.3</v>
      </c>
      <c r="P37">
        <f ca="1">IF(AND(ISNUMBER($P$193),$B$158=1),$P$193,HLOOKUP(INDIRECT(ADDRESS(2,COLUMN())),OFFSET($BN$2,0,0,ROW()-1,60),ROW()-1,FALSE))</f>
        <v>18.899999999999999</v>
      </c>
      <c r="Q37">
        <f ca="1">IF(AND(ISNUMBER($Q$193),$B$158=1),$Q$193,HLOOKUP(INDIRECT(ADDRESS(2,COLUMN())),OFFSET($BN$2,0,0,ROW()-1,60),ROW()-1,FALSE))</f>
        <v>21.9</v>
      </c>
      <c r="R37">
        <f ca="1">IF(AND(ISNUMBER($R$193),$B$158=1),$R$193,HLOOKUP(INDIRECT(ADDRESS(2,COLUMN())),OFFSET($BN$2,0,0,ROW()-1,60),ROW()-1,FALSE))</f>
        <v>20</v>
      </c>
      <c r="S37">
        <f ca="1">IF(AND(ISNUMBER($S$193),$B$158=1),$S$193,HLOOKUP(INDIRECT(ADDRESS(2,COLUMN())),OFFSET($BN$2,0,0,ROW()-1,60),ROW()-1,FALSE))</f>
        <v>16.5</v>
      </c>
      <c r="T37">
        <f ca="1">IF(AND(ISNUMBER($T$193),$B$158=1),$T$193,HLOOKUP(INDIRECT(ADDRESS(2,COLUMN())),OFFSET($BN$2,0,0,ROW()-1,60),ROW()-1,FALSE))</f>
        <v>15.5</v>
      </c>
      <c r="U37">
        <f ca="1">IF(AND(ISNUMBER($U$193),$B$158=1),$U$193,HLOOKUP(INDIRECT(ADDRESS(2,COLUMN())),OFFSET($BN$2,0,0,ROW()-1,60),ROW()-1,FALSE))</f>
        <v>12</v>
      </c>
      <c r="V37">
        <f ca="1">IF(AND(ISNUMBER($V$193),$B$158=1),$V$193,HLOOKUP(INDIRECT(ADDRESS(2,COLUMN())),OFFSET($BN$2,0,0,ROW()-1,60),ROW()-1,FALSE))</f>
        <v>17.5</v>
      </c>
      <c r="W37">
        <f ca="1">IF(AND(ISNUMBER($W$193),$B$158=1),$W$193,HLOOKUP(INDIRECT(ADDRESS(2,COLUMN())),OFFSET($BN$2,0,0,ROW()-1,60),ROW()-1,FALSE))</f>
        <v>17.7</v>
      </c>
      <c r="X37">
        <f ca="1">IF(AND(ISNUMBER($X$193),$B$158=1),$X$193,HLOOKUP(INDIRECT(ADDRESS(2,COLUMN())),OFFSET($BN$2,0,0,ROW()-1,60),ROW()-1,FALSE))</f>
        <v>24.3</v>
      </c>
      <c r="Y37">
        <f ca="1">IF(AND(ISNUMBER($Y$193),$B$158=1),$Y$193,HLOOKUP(INDIRECT(ADDRESS(2,COLUMN())),OFFSET($BN$2,0,0,ROW()-1,60),ROW()-1,FALSE))</f>
        <v>35.4</v>
      </c>
      <c r="Z37">
        <f ca="1">IF(AND(ISNUMBER($Z$193),$B$158=1),$Z$193,HLOOKUP(INDIRECT(ADDRESS(2,COLUMN())),OFFSET($BN$2,0,0,ROW()-1,60),ROW()-1,FALSE))</f>
        <v>20.6</v>
      </c>
      <c r="AA37">
        <f ca="1">IF(AND(ISNUMBER($AA$193),$B$158=1),$AA$193,HLOOKUP(INDIRECT(ADDRESS(2,COLUMN())),OFFSET($BN$2,0,0,ROW()-1,60),ROW()-1,FALSE))</f>
        <v>34</v>
      </c>
      <c r="AB37">
        <f ca="1">IF(AND(ISNUMBER($AB$193),$B$158=1),$AB$193,HLOOKUP(INDIRECT(ADDRESS(2,COLUMN())),OFFSET($BN$2,0,0,ROW()-1,60),ROW()-1,FALSE))</f>
        <v>20.3</v>
      </c>
      <c r="AC37">
        <f ca="1">IF(AND(ISNUMBER($AC$193),$B$158=1),$AC$193,HLOOKUP(INDIRECT(ADDRESS(2,COLUMN())),OFFSET($BN$2,0,0,ROW()-1,60),ROW()-1,FALSE))</f>
        <v>27.3</v>
      </c>
      <c r="AD37" t="str">
        <f ca="1">IF(AND(ISNUMBER($AD$193),$B$158=1),$AD$193,HLOOKUP(INDIRECT(ADDRESS(2,COLUMN())),OFFSET($BN$2,0,0,ROW()-1,60),ROW()-1,FALSE))</f>
        <v/>
      </c>
      <c r="AE37">
        <f ca="1">IF(AND(ISNUMBER($AE$193),$B$158=1),$AE$193,HLOOKUP(INDIRECT(ADDRESS(2,COLUMN())),OFFSET($BN$2,0,0,ROW()-1,60),ROW()-1,FALSE))</f>
        <v>36.9</v>
      </c>
      <c r="AF37">
        <f ca="1">IF(AND(ISNUMBER($AF$193),$B$158=1),$AF$193,HLOOKUP(INDIRECT(ADDRESS(2,COLUMN())),OFFSET($BN$2,0,0,ROW()-1,60),ROW()-1,FALSE))</f>
        <v>42.5</v>
      </c>
      <c r="AG37">
        <f ca="1">IF(AND(ISNUMBER($AG$193),$B$158=1),$AG$193,HLOOKUP(INDIRECT(ADDRESS(2,COLUMN())),OFFSET($BN$2,0,0,ROW()-1,60),ROW()-1,FALSE))</f>
        <v>33.799999999999997</v>
      </c>
      <c r="AH37">
        <f ca="1">IF(AND(ISNUMBER($AH$193),$B$158=1),$AH$193,HLOOKUP(INDIRECT(ADDRESS(2,COLUMN())),OFFSET($BN$2,0,0,ROW()-1,60),ROW()-1,FALSE))</f>
        <v>28.7</v>
      </c>
      <c r="AI37">
        <f ca="1">IF(AND(ISNUMBER($AI$193),$B$158=1),$AI$193,HLOOKUP(INDIRECT(ADDRESS(2,COLUMN())),OFFSET($BN$2,0,0,ROW()-1,60),ROW()-1,FALSE))</f>
        <v>37.700000000000003</v>
      </c>
      <c r="AJ37">
        <f ca="1">IF(AND(ISNUMBER($AJ$193),$B$158=1),$AJ$193,HLOOKUP(INDIRECT(ADDRESS(2,COLUMN())),OFFSET($BN$2,0,0,ROW()-1,60),ROW()-1,FALSE))</f>
        <v>26.9</v>
      </c>
      <c r="AK37" t="str">
        <f ca="1">IF(AND(ISNUMBER($AK$193),$B$158=1),$AK$193,HLOOKUP(INDIRECT(ADDRESS(2,COLUMN())),OFFSET($BN$2,0,0,ROW()-1,60),ROW()-1,FALSE))</f>
        <v/>
      </c>
      <c r="AL37">
        <f ca="1">IF(AND(ISNUMBER($AL$193),$B$158=1),$AL$193,HLOOKUP(INDIRECT(ADDRESS(2,COLUMN())),OFFSET($BN$2,0,0,ROW()-1,60),ROW()-1,FALSE))</f>
        <v>36</v>
      </c>
      <c r="AM37">
        <f ca="1">IF(AND(ISNUMBER($AM$193),$B$158=1),$AM$193,HLOOKUP(INDIRECT(ADDRESS(2,COLUMN())),OFFSET($BN$2,0,0,ROW()-1,60),ROW()-1,FALSE))</f>
        <v>7.2</v>
      </c>
      <c r="AN37">
        <f ca="1">IF(AND(ISNUMBER($AN$193),$B$158=1),$AN$193,HLOOKUP(INDIRECT(ADDRESS(2,COLUMN())),OFFSET($BN$2,0,0,ROW()-1,60),ROW()-1,FALSE))</f>
        <v>11.7</v>
      </c>
      <c r="AO37" t="str">
        <f ca="1">IF(AND(ISNUMBER($AO$193),$B$158=1),$AO$193,HLOOKUP(INDIRECT(ADDRESS(2,COLUMN())),OFFSET($BN$2,0,0,ROW()-1,60),ROW()-1,FALSE))</f>
        <v/>
      </c>
      <c r="AP37" t="str">
        <f ca="1">IF(AND(ISNUMBER($AP$193),$B$158=1),$AP$193,HLOOKUP(INDIRECT(ADDRESS(2,COLUMN())),OFFSET($BN$2,0,0,ROW()-1,60),ROW()-1,FALSE))</f>
        <v/>
      </c>
      <c r="AQ37" t="str">
        <f ca="1">IF(AND(ISNUMBER($AQ$193),$B$158=1),$AQ$193,HLOOKUP(INDIRECT(ADDRESS(2,COLUMN())),OFFSET($BN$2,0,0,ROW()-1,60),ROW()-1,FALSE))</f>
        <v/>
      </c>
      <c r="AR37" t="str">
        <f ca="1">IF(AND(ISNUMBER($AR$193),$B$158=1),$AR$193,HLOOKUP(INDIRECT(ADDRESS(2,COLUMN())),OFFSET($BN$2,0,0,ROW()-1,60),ROW()-1,FALSE))</f>
        <v/>
      </c>
      <c r="AS37" t="str">
        <f ca="1">IF(AND(ISNUMBER($AS$193),$B$158=1),$AS$193,HLOOKUP(INDIRECT(ADDRESS(2,COLUMN())),OFFSET($BN$2,0,0,ROW()-1,60),ROW()-1,FALSE))</f>
        <v/>
      </c>
      <c r="AT37" t="str">
        <f ca="1">IF(AND(ISNUMBER($AT$193),$B$158=1),$AT$193,HLOOKUP(INDIRECT(ADDRESS(2,COLUMN())),OFFSET($BN$2,0,0,ROW()-1,60),ROW()-1,FALSE))</f>
        <v/>
      </c>
      <c r="AU37" t="str">
        <f ca="1">IF(AND(ISNUMBER($AU$193),$B$158=1),$AU$193,HLOOKUP(INDIRECT(ADDRESS(2,COLUMN())),OFFSET($BN$2,0,0,ROW()-1,60),ROW()-1,FALSE))</f>
        <v/>
      </c>
      <c r="AV37" t="str">
        <f ca="1">IF(AND(ISNUMBER($AV$193),$B$158=1),$AV$193,HLOOKUP(INDIRECT(ADDRESS(2,COLUMN())),OFFSET($BN$2,0,0,ROW()-1,60),ROW()-1,FALSE))</f>
        <v/>
      </c>
      <c r="AW37" t="str">
        <f ca="1">IF(AND(ISNUMBER($AW$193),$B$158=1),$AW$193,HLOOKUP(INDIRECT(ADDRESS(2,COLUMN())),OFFSET($BN$2,0,0,ROW()-1,60),ROW()-1,FALSE))</f>
        <v/>
      </c>
      <c r="AX37" t="str">
        <f ca="1">IF(AND(ISNUMBER($AX$193),$B$158=1),$AX$193,HLOOKUP(INDIRECT(ADDRESS(2,COLUMN())),OFFSET($BN$2,0,0,ROW()-1,60),ROW()-1,FALSE))</f>
        <v/>
      </c>
      <c r="AY37" t="str">
        <f ca="1">IF(AND(ISNUMBER($AY$193),$B$158=1),$AY$193,HLOOKUP(INDIRECT(ADDRESS(2,COLUMN())),OFFSET($BN$2,0,0,ROW()-1,60),ROW()-1,FALSE))</f>
        <v/>
      </c>
      <c r="AZ37" t="str">
        <f ca="1">IF(AND(ISNUMBER($AZ$193),$B$158=1),$AZ$193,HLOOKUP(INDIRECT(ADDRESS(2,COLUMN())),OFFSET($BN$2,0,0,ROW()-1,60),ROW()-1,FALSE))</f>
        <v/>
      </c>
      <c r="BA37" t="str">
        <f ca="1">IF(AND(ISNUMBER($BA$193),$B$158=1),$BA$193,HLOOKUP(INDIRECT(ADDRESS(2,COLUMN())),OFFSET($BN$2,0,0,ROW()-1,60),ROW()-1,FALSE))</f>
        <v/>
      </c>
      <c r="BB37" t="str">
        <f ca="1">IF(AND(ISNUMBER($BB$193),$B$158=1),$BB$193,HLOOKUP(INDIRECT(ADDRESS(2,COLUMN())),OFFSET($BN$2,0,0,ROW()-1,60),ROW()-1,FALSE))</f>
        <v/>
      </c>
      <c r="BC37" t="str">
        <f ca="1">IF(AND(ISNUMBER($BC$193),$B$158=1),$BC$193,HLOOKUP(INDIRECT(ADDRESS(2,COLUMN())),OFFSET($BN$2,0,0,ROW()-1,60),ROW()-1,FALSE))</f>
        <v/>
      </c>
      <c r="BD37" t="str">
        <f ca="1">IF(AND(ISNUMBER($BD$193),$B$158=1),$BD$193,HLOOKUP(INDIRECT(ADDRESS(2,COLUMN())),OFFSET($BN$2,0,0,ROW()-1,60),ROW()-1,FALSE))</f>
        <v/>
      </c>
      <c r="BE37" t="str">
        <f ca="1">IF(AND(ISNUMBER($BE$193),$B$158=1),$BE$193,HLOOKUP(INDIRECT(ADDRESS(2,COLUMN())),OFFSET($BN$2,0,0,ROW()-1,60),ROW()-1,FALSE))</f>
        <v/>
      </c>
      <c r="BF37" t="str">
        <f ca="1">IF(AND(ISNUMBER($BF$193),$B$158=1),$BF$193,HLOOKUP(INDIRECT(ADDRESS(2,COLUMN())),OFFSET($BN$2,0,0,ROW()-1,60),ROW()-1,FALSE))</f>
        <v/>
      </c>
      <c r="BG37" t="str">
        <f ca="1">IF(AND(ISNUMBER($BG$193),$B$158=1),$BG$193,HLOOKUP(INDIRECT(ADDRESS(2,COLUMN())),OFFSET($BN$2,0,0,ROW()-1,60),ROW()-1,FALSE))</f>
        <v/>
      </c>
      <c r="BH37" t="str">
        <f ca="1">IF(AND(ISNUMBER($BH$193),$B$158=1),$BH$193,HLOOKUP(INDIRECT(ADDRESS(2,COLUMN())),OFFSET($BN$2,0,0,ROW()-1,60),ROW()-1,FALSE))</f>
        <v/>
      </c>
      <c r="BI37" t="str">
        <f ca="1">IF(AND(ISNUMBER($BI$193),$B$158=1),$BI$193,HLOOKUP(INDIRECT(ADDRESS(2,COLUMN())),OFFSET($BN$2,0,0,ROW()-1,60),ROW()-1,FALSE))</f>
        <v/>
      </c>
      <c r="BJ37" t="str">
        <f ca="1">IF(AND(ISNUMBER($BJ$193),$B$158=1),$BJ$193,HLOOKUP(INDIRECT(ADDRESS(2,COLUMN())),OFFSET($BN$2,0,0,ROW()-1,60),ROW()-1,FALSE))</f>
        <v/>
      </c>
      <c r="BK37" t="str">
        <f ca="1">IF(AND(ISNUMBER($BK$193),$B$158=1),$BK$193,HLOOKUP(INDIRECT(ADDRESS(2,COLUMN())),OFFSET($BN$2,0,0,ROW()-1,60),ROW()-1,FALSE))</f>
        <v/>
      </c>
      <c r="BL37" t="str">
        <f ca="1">IF(AND(ISNUMBER($BL$193),$B$158=1),$BL$193,HLOOKUP(INDIRECT(ADDRESS(2,COLUMN())),OFFSET($BN$2,0,0,ROW()-1,60),ROW()-1,FALSE))</f>
        <v/>
      </c>
      <c r="BM37" t="str">
        <f ca="1">IF(AND(ISNUMBER($BM$193),$B$158=1),$BM$193,HLOOKUP(INDIRECT(ADDRESS(2,COLUMN())),OFFSET($BN$2,0,0,ROW()-1,60),ROW()-1,FALSE))</f>
        <v/>
      </c>
      <c r="BN37" t="str">
        <f>""</f>
        <v/>
      </c>
      <c r="BO37">
        <f>27.8</f>
        <v>27.8</v>
      </c>
      <c r="BP37">
        <f>114.5</f>
        <v>114.5</v>
      </c>
      <c r="BQ37">
        <f>18.9</f>
        <v>18.899999999999999</v>
      </c>
      <c r="BR37">
        <f>-3</f>
        <v>-3</v>
      </c>
      <c r="BS37">
        <f>0.8</f>
        <v>0.8</v>
      </c>
      <c r="BT37">
        <f>-48.2</f>
        <v>-48.2</v>
      </c>
      <c r="BU37">
        <f>-12.6</f>
        <v>-12.6</v>
      </c>
      <c r="BV37">
        <f>16.6</f>
        <v>16.600000000000001</v>
      </c>
      <c r="BW37">
        <f>13.3</f>
        <v>13.3</v>
      </c>
      <c r="BX37">
        <f>18.9</f>
        <v>18.899999999999999</v>
      </c>
      <c r="BY37">
        <f>21.9</f>
        <v>21.9</v>
      </c>
      <c r="BZ37">
        <f>20</f>
        <v>20</v>
      </c>
      <c r="CA37">
        <f>16.5</f>
        <v>16.5</v>
      </c>
      <c r="CB37">
        <f>15.5</f>
        <v>15.5</v>
      </c>
      <c r="CC37">
        <f>12</f>
        <v>12</v>
      </c>
      <c r="CD37">
        <f>17.5</f>
        <v>17.5</v>
      </c>
      <c r="CE37">
        <f>17.7</f>
        <v>17.7</v>
      </c>
      <c r="CF37">
        <f>24.3</f>
        <v>24.3</v>
      </c>
      <c r="CG37">
        <f>35.4</f>
        <v>35.4</v>
      </c>
      <c r="CH37">
        <f>20.6</f>
        <v>20.6</v>
      </c>
      <c r="CI37">
        <f>34</f>
        <v>34</v>
      </c>
      <c r="CJ37">
        <f>20.3</f>
        <v>20.3</v>
      </c>
      <c r="CK37">
        <f>27.3</f>
        <v>27.3</v>
      </c>
      <c r="CL37" t="str">
        <f>""</f>
        <v/>
      </c>
      <c r="CM37">
        <f>36.9</f>
        <v>36.9</v>
      </c>
      <c r="CN37">
        <f>42.5</f>
        <v>42.5</v>
      </c>
      <c r="CO37">
        <f>33.8</f>
        <v>33.799999999999997</v>
      </c>
      <c r="CP37">
        <f>28.7</f>
        <v>28.7</v>
      </c>
      <c r="CQ37">
        <f>37.7</f>
        <v>37.700000000000003</v>
      </c>
      <c r="CR37">
        <f>26.9</f>
        <v>26.9</v>
      </c>
      <c r="CS37" t="str">
        <f>""</f>
        <v/>
      </c>
      <c r="CT37">
        <f>36</f>
        <v>36</v>
      </c>
      <c r="CU37">
        <f>7.2</f>
        <v>7.2</v>
      </c>
      <c r="CV37">
        <f>11.7</f>
        <v>11.7</v>
      </c>
      <c r="CW37" t="str">
        <f>""</f>
        <v/>
      </c>
      <c r="CX37" t="str">
        <f>""</f>
        <v/>
      </c>
      <c r="CY37" t="str">
        <f>""</f>
        <v/>
      </c>
      <c r="CZ37" t="str">
        <f>""</f>
        <v/>
      </c>
      <c r="DA37" t="str">
        <f>""</f>
        <v/>
      </c>
      <c r="DB37" t="str">
        <f>""</f>
        <v/>
      </c>
      <c r="DC37" t="str">
        <f>""</f>
        <v/>
      </c>
      <c r="DD37" t="str">
        <f>""</f>
        <v/>
      </c>
      <c r="DE37" t="str">
        <f>""</f>
        <v/>
      </c>
      <c r="DF37" t="str">
        <f>""</f>
        <v/>
      </c>
      <c r="DG37" t="str">
        <f>""</f>
        <v/>
      </c>
      <c r="DH37" t="str">
        <f>""</f>
        <v/>
      </c>
      <c r="DI37" t="str">
        <f>""</f>
        <v/>
      </c>
      <c r="DJ37" t="str">
        <f>""</f>
        <v/>
      </c>
      <c r="DK37" t="str">
        <f>""</f>
        <v/>
      </c>
      <c r="DL37" t="str">
        <f>""</f>
        <v/>
      </c>
      <c r="DM37" t="str">
        <f>""</f>
        <v/>
      </c>
      <c r="DN37" t="str">
        <f>""</f>
        <v/>
      </c>
      <c r="DO37" t="str">
        <f>""</f>
        <v/>
      </c>
      <c r="DP37" t="str">
        <f>""</f>
        <v/>
      </c>
      <c r="DQ37" t="str">
        <f>""</f>
        <v/>
      </c>
      <c r="DR37" t="str">
        <f>""</f>
        <v/>
      </c>
      <c r="DS37" t="str">
        <f>""</f>
        <v/>
      </c>
      <c r="DT37" t="str">
        <f>""</f>
        <v/>
      </c>
      <c r="DU37" t="str">
        <f>""</f>
        <v/>
      </c>
    </row>
    <row r="38" spans="1:125" x14ac:dyDescent="0.25">
      <c r="A38" t="str">
        <f>"                    Retail"</f>
        <v xml:space="preserve">                    Retail</v>
      </c>
      <c r="B38" t="str">
        <f t="shared" si="20"/>
        <v>KER FP Equity</v>
      </c>
      <c r="C38" t="str">
        <f t="shared" si="21"/>
        <v>BI047</v>
      </c>
      <c r="D38" t="str">
        <f t="shared" si="22"/>
        <v>BICS_SEGMENT_DATA</v>
      </c>
      <c r="E38" t="str">
        <f t="shared" si="23"/>
        <v>Dynamic</v>
      </c>
      <c r="F38" t="str">
        <f ca="1">IF(AND(ISNUMBER($F$194),$B$158=1),$F$194,HLOOKUP(INDIRECT(ADDRESS(2,COLUMN())),OFFSET($BN$2,0,0,ROW()-1,60),ROW()-1,FALSE))</f>
        <v/>
      </c>
      <c r="G38">
        <f ca="1">IF(AND(ISNUMBER($G$194),$B$158=1),$G$194,HLOOKUP(INDIRECT(ADDRESS(2,COLUMN())),OFFSET($BN$2,0,0,ROW()-1,60),ROW()-1,FALSE))</f>
        <v>31</v>
      </c>
      <c r="H38">
        <f ca="1">IF(AND(ISNUMBER($H$194),$B$158=1),$H$194,HLOOKUP(INDIRECT(ADDRESS(2,COLUMN())),OFFSET($BN$2,0,0,ROW()-1,60),ROW()-1,FALSE))</f>
        <v>140</v>
      </c>
      <c r="I38">
        <f ca="1">IF(AND(ISNUMBER($I$194),$B$158=1),$I$194,HLOOKUP(INDIRECT(ADDRESS(2,COLUMN())),OFFSET($BN$2,0,0,ROW()-1,60),ROW()-1,FALSE))</f>
        <v>31</v>
      </c>
      <c r="J38">
        <f ca="1">IF(AND(ISNUMBER($J$194),$B$158=1),$J$194,HLOOKUP(INDIRECT(ADDRESS(2,COLUMN())),OFFSET($BN$2,0,0,ROW()-1,60),ROW()-1,FALSE))</f>
        <v>5</v>
      </c>
      <c r="K38">
        <f ca="1">IF(AND(ISNUMBER($K$194),$B$158=1),$K$194,HLOOKUP(INDIRECT(ADDRESS(2,COLUMN())),OFFSET($BN$2,0,0,ROW()-1,60),ROW()-1,FALSE))</f>
        <v>6</v>
      </c>
      <c r="L38">
        <f ca="1">IF(AND(ISNUMBER($L$194),$B$158=1),$L$194,HLOOKUP(INDIRECT(ADDRESS(2,COLUMN())),OFFSET($BN$2,0,0,ROW()-1,60),ROW()-1,FALSE))</f>
        <v>-48</v>
      </c>
      <c r="M38">
        <f ca="1">IF(AND(ISNUMBER($M$194),$B$158=1),$M$194,HLOOKUP(INDIRECT(ADDRESS(2,COLUMN())),OFFSET($BN$2,0,0,ROW()-1,60),ROW()-1,FALSE))</f>
        <v>-18</v>
      </c>
      <c r="N38">
        <f ca="1">IF(AND(ISNUMBER($N$194),$B$158=1),$N$194,HLOOKUP(INDIRECT(ADDRESS(2,COLUMN())),OFFSET($BN$2,0,0,ROW()-1,60),ROW()-1,FALSE))</f>
        <v>16</v>
      </c>
      <c r="O38">
        <f ca="1">IF(AND(ISNUMBER($O$194),$B$158=1),$O$194,HLOOKUP(INDIRECT(ADDRESS(2,COLUMN())),OFFSET($BN$2,0,0,ROW()-1,60),ROW()-1,FALSE))</f>
        <v>11</v>
      </c>
      <c r="P38">
        <f ca="1">IF(AND(ISNUMBER($P$194),$B$158=1),$P$194,HLOOKUP(INDIRECT(ADDRESS(2,COLUMN())),OFFSET($BN$2,0,0,ROW()-1,60),ROW()-1,FALSE))</f>
        <v>17</v>
      </c>
      <c r="Q38">
        <f ca="1">IF(AND(ISNUMBER($Q$194),$B$158=1),$Q$194,HLOOKUP(INDIRECT(ADDRESS(2,COLUMN())),OFFSET($BN$2,0,0,ROW()-1,60),ROW()-1,FALSE))</f>
        <v>22</v>
      </c>
      <c r="R38">
        <f ca="1">IF(AND(ISNUMBER($R$194),$B$158=1),$R$194,HLOOKUP(INDIRECT(ADDRESS(2,COLUMN())),OFFSET($BN$2,0,0,ROW()-1,60),ROW()-1,FALSE))</f>
        <v>21</v>
      </c>
      <c r="S38">
        <f ca="1">IF(AND(ISNUMBER($S$194),$B$158=1),$S$194,HLOOKUP(INDIRECT(ADDRESS(2,COLUMN())),OFFSET($BN$2,0,0,ROW()-1,60),ROW()-1,FALSE))</f>
        <v>18</v>
      </c>
      <c r="T38">
        <f ca="1">IF(AND(ISNUMBER($T$194),$B$158=1),$T$194,HLOOKUP(INDIRECT(ADDRESS(2,COLUMN())),OFFSET($BN$2,0,0,ROW()-1,60),ROW()-1,FALSE))</f>
        <v>19</v>
      </c>
      <c r="U38">
        <f ca="1">IF(AND(ISNUMBER($U$194),$B$158=1),$U$194,HLOOKUP(INDIRECT(ADDRESS(2,COLUMN())),OFFSET($BN$2,0,0,ROW()-1,60),ROW()-1,FALSE))</f>
        <v>15</v>
      </c>
      <c r="V38">
        <f ca="1">IF(AND(ISNUMBER($V$194),$B$158=1),$V$194,HLOOKUP(INDIRECT(ADDRESS(2,COLUMN())),OFFSET($BN$2,0,0,ROW()-1,60),ROW()-1,FALSE))</f>
        <v>27</v>
      </c>
      <c r="W38">
        <f ca="1">IF(AND(ISNUMBER($W$194),$B$158=1),$W$194,HLOOKUP(INDIRECT(ADDRESS(2,COLUMN())),OFFSET($BN$2,0,0,ROW()-1,60),ROW()-1,FALSE))</f>
        <v>21</v>
      </c>
      <c r="X38">
        <f ca="1">IF(AND(ISNUMBER($X$194),$B$158=1),$X$194,HLOOKUP(INDIRECT(ADDRESS(2,COLUMN())),OFFSET($BN$2,0,0,ROW()-1,60),ROW()-1,FALSE))</f>
        <v>30</v>
      </c>
      <c r="Y38">
        <f ca="1">IF(AND(ISNUMBER($Y$194),$B$158=1),$Y$194,HLOOKUP(INDIRECT(ADDRESS(2,COLUMN())),OFFSET($BN$2,0,0,ROW()-1,60),ROW()-1,FALSE))</f>
        <v>31</v>
      </c>
      <c r="Z38" t="str">
        <f ca="1">IF(AND(ISNUMBER($Z$194),$B$158=1),$Z$194,HLOOKUP(INDIRECT(ADDRESS(2,COLUMN())),OFFSET($BN$2,0,0,ROW()-1,60),ROW()-1,FALSE))</f>
        <v/>
      </c>
      <c r="AA38">
        <f ca="1">IF(AND(ISNUMBER($AA$194),$B$158=1),$AA$194,HLOOKUP(INDIRECT(ADDRESS(2,COLUMN())),OFFSET($BN$2,0,0,ROW()-1,60),ROW()-1,FALSE))</f>
        <v>34</v>
      </c>
      <c r="AB38">
        <f ca="1">IF(AND(ISNUMBER($AB$194),$B$158=1),$AB$194,HLOOKUP(INDIRECT(ADDRESS(2,COLUMN())),OFFSET($BN$2,0,0,ROW()-1,60),ROW()-1,FALSE))</f>
        <v>31</v>
      </c>
      <c r="AC38">
        <f ca="1">IF(AND(ISNUMBER($AC$194),$B$158=1),$AC$194,HLOOKUP(INDIRECT(ADDRESS(2,COLUMN())),OFFSET($BN$2,0,0,ROW()-1,60),ROW()-1,FALSE))</f>
        <v>31</v>
      </c>
      <c r="AD38">
        <f ca="1">IF(AND(ISNUMBER($AD$194),$B$158=1),$AD$194,HLOOKUP(INDIRECT(ADDRESS(2,COLUMN())),OFFSET($BN$2,0,0,ROW()-1,60),ROW()-1,FALSE))</f>
        <v>30</v>
      </c>
      <c r="AE38">
        <f ca="1">IF(AND(ISNUMBER($AE$194),$B$158=1),$AE$194,HLOOKUP(INDIRECT(ADDRESS(2,COLUMN())),OFFSET($BN$2,0,0,ROW()-1,60),ROW()-1,FALSE))</f>
        <v>32</v>
      </c>
      <c r="AF38">
        <f ca="1">IF(AND(ISNUMBER($AF$194),$B$158=1),$AF$194,HLOOKUP(INDIRECT(ADDRESS(2,COLUMN())),OFFSET($BN$2,0,0,ROW()-1,60),ROW()-1,FALSE))</f>
        <v>29</v>
      </c>
      <c r="AG38">
        <f ca="1">IF(AND(ISNUMBER($AG$194),$B$158=1),$AG$194,HLOOKUP(INDIRECT(ADDRESS(2,COLUMN())),OFFSET($BN$2,0,0,ROW()-1,60),ROW()-1,FALSE))</f>
        <v>22</v>
      </c>
      <c r="AH38" t="str">
        <f ca="1">IF(AND(ISNUMBER($AH$194),$B$158=1),$AH$194,HLOOKUP(INDIRECT(ADDRESS(2,COLUMN())),OFFSET($BN$2,0,0,ROW()-1,60),ROW()-1,FALSE))</f>
        <v/>
      </c>
      <c r="AI38" t="str">
        <f ca="1">IF(AND(ISNUMBER($AI$194),$B$158=1),$AI$194,HLOOKUP(INDIRECT(ADDRESS(2,COLUMN())),OFFSET($BN$2,0,0,ROW()-1,60),ROW()-1,FALSE))</f>
        <v/>
      </c>
      <c r="AJ38" t="str">
        <f ca="1">IF(AND(ISNUMBER($AJ$194),$B$158=1),$AJ$194,HLOOKUP(INDIRECT(ADDRESS(2,COLUMN())),OFFSET($BN$2,0,0,ROW()-1,60),ROW()-1,FALSE))</f>
        <v/>
      </c>
      <c r="AK38">
        <f ca="1">IF(AND(ISNUMBER($AK$194),$B$158=1),$AK$194,HLOOKUP(INDIRECT(ADDRESS(2,COLUMN())),OFFSET($BN$2,0,0,ROW()-1,60),ROW()-1,FALSE))</f>
        <v>72</v>
      </c>
      <c r="AL38" t="str">
        <f ca="1">IF(AND(ISNUMBER($AL$194),$B$158=1),$AL$194,HLOOKUP(INDIRECT(ADDRESS(2,COLUMN())),OFFSET($BN$2,0,0,ROW()-1,60),ROW()-1,FALSE))</f>
        <v/>
      </c>
      <c r="AM38" t="str">
        <f ca="1">IF(AND(ISNUMBER($AM$194),$B$158=1),$AM$194,HLOOKUP(INDIRECT(ADDRESS(2,COLUMN())),OFFSET($BN$2,0,0,ROW()-1,60),ROW()-1,FALSE))</f>
        <v/>
      </c>
      <c r="AN38" t="str">
        <f ca="1">IF(AND(ISNUMBER($AN$194),$B$158=1),$AN$194,HLOOKUP(INDIRECT(ADDRESS(2,COLUMN())),OFFSET($BN$2,0,0,ROW()-1,60),ROW()-1,FALSE))</f>
        <v/>
      </c>
      <c r="AO38" t="str">
        <f ca="1">IF(AND(ISNUMBER($AO$194),$B$158=1),$AO$194,HLOOKUP(INDIRECT(ADDRESS(2,COLUMN())),OFFSET($BN$2,0,0,ROW()-1,60),ROW()-1,FALSE))</f>
        <v/>
      </c>
      <c r="AP38" t="str">
        <f ca="1">IF(AND(ISNUMBER($AP$194),$B$158=1),$AP$194,HLOOKUP(INDIRECT(ADDRESS(2,COLUMN())),OFFSET($BN$2,0,0,ROW()-1,60),ROW()-1,FALSE))</f>
        <v/>
      </c>
      <c r="AQ38" t="str">
        <f ca="1">IF(AND(ISNUMBER($AQ$194),$B$158=1),$AQ$194,HLOOKUP(INDIRECT(ADDRESS(2,COLUMN())),OFFSET($BN$2,0,0,ROW()-1,60),ROW()-1,FALSE))</f>
        <v/>
      </c>
      <c r="AR38" t="str">
        <f ca="1">IF(AND(ISNUMBER($AR$194),$B$158=1),$AR$194,HLOOKUP(INDIRECT(ADDRESS(2,COLUMN())),OFFSET($BN$2,0,0,ROW()-1,60),ROW()-1,FALSE))</f>
        <v/>
      </c>
      <c r="AS38" t="str">
        <f ca="1">IF(AND(ISNUMBER($AS$194),$B$158=1),$AS$194,HLOOKUP(INDIRECT(ADDRESS(2,COLUMN())),OFFSET($BN$2,0,0,ROW()-1,60),ROW()-1,FALSE))</f>
        <v/>
      </c>
      <c r="AT38" t="str">
        <f ca="1">IF(AND(ISNUMBER($AT$194),$B$158=1),$AT$194,HLOOKUP(INDIRECT(ADDRESS(2,COLUMN())),OFFSET($BN$2,0,0,ROW()-1,60),ROW()-1,FALSE))</f>
        <v/>
      </c>
      <c r="AU38" t="str">
        <f ca="1">IF(AND(ISNUMBER($AU$194),$B$158=1),$AU$194,HLOOKUP(INDIRECT(ADDRESS(2,COLUMN())),OFFSET($BN$2,0,0,ROW()-1,60),ROW()-1,FALSE))</f>
        <v/>
      </c>
      <c r="AV38" t="str">
        <f ca="1">IF(AND(ISNUMBER($AV$194),$B$158=1),$AV$194,HLOOKUP(INDIRECT(ADDRESS(2,COLUMN())),OFFSET($BN$2,0,0,ROW()-1,60),ROW()-1,FALSE))</f>
        <v/>
      </c>
      <c r="AW38" t="str">
        <f ca="1">IF(AND(ISNUMBER($AW$194),$B$158=1),$AW$194,HLOOKUP(INDIRECT(ADDRESS(2,COLUMN())),OFFSET($BN$2,0,0,ROW()-1,60),ROW()-1,FALSE))</f>
        <v/>
      </c>
      <c r="AX38" t="str">
        <f ca="1">IF(AND(ISNUMBER($AX$194),$B$158=1),$AX$194,HLOOKUP(INDIRECT(ADDRESS(2,COLUMN())),OFFSET($BN$2,0,0,ROW()-1,60),ROW()-1,FALSE))</f>
        <v/>
      </c>
      <c r="AY38" t="str">
        <f ca="1">IF(AND(ISNUMBER($AY$194),$B$158=1),$AY$194,HLOOKUP(INDIRECT(ADDRESS(2,COLUMN())),OFFSET($BN$2,0,0,ROW()-1,60),ROW()-1,FALSE))</f>
        <v/>
      </c>
      <c r="AZ38" t="str">
        <f ca="1">IF(AND(ISNUMBER($AZ$194),$B$158=1),$AZ$194,HLOOKUP(INDIRECT(ADDRESS(2,COLUMN())),OFFSET($BN$2,0,0,ROW()-1,60),ROW()-1,FALSE))</f>
        <v/>
      </c>
      <c r="BA38" t="str">
        <f ca="1">IF(AND(ISNUMBER($BA$194),$B$158=1),$BA$194,HLOOKUP(INDIRECT(ADDRESS(2,COLUMN())),OFFSET($BN$2,0,0,ROW()-1,60),ROW()-1,FALSE))</f>
        <v/>
      </c>
      <c r="BB38" t="str">
        <f ca="1">IF(AND(ISNUMBER($BB$194),$B$158=1),$BB$194,HLOOKUP(INDIRECT(ADDRESS(2,COLUMN())),OFFSET($BN$2,0,0,ROW()-1,60),ROW()-1,FALSE))</f>
        <v/>
      </c>
      <c r="BC38" t="str">
        <f ca="1">IF(AND(ISNUMBER($BC$194),$B$158=1),$BC$194,HLOOKUP(INDIRECT(ADDRESS(2,COLUMN())),OFFSET($BN$2,0,0,ROW()-1,60),ROW()-1,FALSE))</f>
        <v/>
      </c>
      <c r="BD38" t="str">
        <f ca="1">IF(AND(ISNUMBER($BD$194),$B$158=1),$BD$194,HLOOKUP(INDIRECT(ADDRESS(2,COLUMN())),OFFSET($BN$2,0,0,ROW()-1,60),ROW()-1,FALSE))</f>
        <v/>
      </c>
      <c r="BE38" t="str">
        <f ca="1">IF(AND(ISNUMBER($BE$194),$B$158=1),$BE$194,HLOOKUP(INDIRECT(ADDRESS(2,COLUMN())),OFFSET($BN$2,0,0,ROW()-1,60),ROW()-1,FALSE))</f>
        <v/>
      </c>
      <c r="BF38" t="str">
        <f ca="1">IF(AND(ISNUMBER($BF$194),$B$158=1),$BF$194,HLOOKUP(INDIRECT(ADDRESS(2,COLUMN())),OFFSET($BN$2,0,0,ROW()-1,60),ROW()-1,FALSE))</f>
        <v/>
      </c>
      <c r="BG38" t="str">
        <f ca="1">IF(AND(ISNUMBER($BG$194),$B$158=1),$BG$194,HLOOKUP(INDIRECT(ADDRESS(2,COLUMN())),OFFSET($BN$2,0,0,ROW()-1,60),ROW()-1,FALSE))</f>
        <v/>
      </c>
      <c r="BH38" t="str">
        <f ca="1">IF(AND(ISNUMBER($BH$194),$B$158=1),$BH$194,HLOOKUP(INDIRECT(ADDRESS(2,COLUMN())),OFFSET($BN$2,0,0,ROW()-1,60),ROW()-1,FALSE))</f>
        <v/>
      </c>
      <c r="BI38" t="str">
        <f ca="1">IF(AND(ISNUMBER($BI$194),$B$158=1),$BI$194,HLOOKUP(INDIRECT(ADDRESS(2,COLUMN())),OFFSET($BN$2,0,0,ROW()-1,60),ROW()-1,FALSE))</f>
        <v/>
      </c>
      <c r="BJ38" t="str">
        <f ca="1">IF(AND(ISNUMBER($BJ$194),$B$158=1),$BJ$194,HLOOKUP(INDIRECT(ADDRESS(2,COLUMN())),OFFSET($BN$2,0,0,ROW()-1,60),ROW()-1,FALSE))</f>
        <v/>
      </c>
      <c r="BK38" t="str">
        <f ca="1">IF(AND(ISNUMBER($BK$194),$B$158=1),$BK$194,HLOOKUP(INDIRECT(ADDRESS(2,COLUMN())),OFFSET($BN$2,0,0,ROW()-1,60),ROW()-1,FALSE))</f>
        <v/>
      </c>
      <c r="BL38" t="str">
        <f ca="1">IF(AND(ISNUMBER($BL$194),$B$158=1),$BL$194,HLOOKUP(INDIRECT(ADDRESS(2,COLUMN())),OFFSET($BN$2,0,0,ROW()-1,60),ROW()-1,FALSE))</f>
        <v/>
      </c>
      <c r="BM38" t="str">
        <f ca="1">IF(AND(ISNUMBER($BM$194),$B$158=1),$BM$194,HLOOKUP(INDIRECT(ADDRESS(2,COLUMN())),OFFSET($BN$2,0,0,ROW()-1,60),ROW()-1,FALSE))</f>
        <v/>
      </c>
      <c r="BN38" t="str">
        <f>""</f>
        <v/>
      </c>
      <c r="BO38">
        <f>31</f>
        <v>31</v>
      </c>
      <c r="BP38">
        <f>140</f>
        <v>140</v>
      </c>
      <c r="BQ38">
        <f>31</f>
        <v>31</v>
      </c>
      <c r="BR38">
        <f>5</f>
        <v>5</v>
      </c>
      <c r="BS38">
        <f>6</f>
        <v>6</v>
      </c>
      <c r="BT38">
        <f>-48</f>
        <v>-48</v>
      </c>
      <c r="BU38">
        <f>-18</f>
        <v>-18</v>
      </c>
      <c r="BV38">
        <f>16</f>
        <v>16</v>
      </c>
      <c r="BW38">
        <f>11</f>
        <v>11</v>
      </c>
      <c r="BX38">
        <f>17</f>
        <v>17</v>
      </c>
      <c r="BY38">
        <f>22</f>
        <v>22</v>
      </c>
      <c r="BZ38">
        <f>21</f>
        <v>21</v>
      </c>
      <c r="CA38">
        <f>18</f>
        <v>18</v>
      </c>
      <c r="CB38">
        <f>19</f>
        <v>19</v>
      </c>
      <c r="CC38">
        <f>15</f>
        <v>15</v>
      </c>
      <c r="CD38">
        <f>27</f>
        <v>27</v>
      </c>
      <c r="CE38">
        <f>21</f>
        <v>21</v>
      </c>
      <c r="CF38">
        <f>30</f>
        <v>30</v>
      </c>
      <c r="CG38">
        <f>31</f>
        <v>31</v>
      </c>
      <c r="CH38" t="str">
        <f>""</f>
        <v/>
      </c>
      <c r="CI38">
        <f>34</f>
        <v>34</v>
      </c>
      <c r="CJ38">
        <f>31</f>
        <v>31</v>
      </c>
      <c r="CK38">
        <f>31</f>
        <v>31</v>
      </c>
      <c r="CL38">
        <f>30</f>
        <v>30</v>
      </c>
      <c r="CM38">
        <f>32</f>
        <v>32</v>
      </c>
      <c r="CN38">
        <f>29</f>
        <v>29</v>
      </c>
      <c r="CO38">
        <f>22</f>
        <v>22</v>
      </c>
      <c r="CP38" t="str">
        <f>""</f>
        <v/>
      </c>
      <c r="CQ38" t="str">
        <f>""</f>
        <v/>
      </c>
      <c r="CR38" t="str">
        <f>""</f>
        <v/>
      </c>
      <c r="CS38">
        <f>72</f>
        <v>72</v>
      </c>
      <c r="CT38" t="str">
        <f>""</f>
        <v/>
      </c>
      <c r="CU38" t="str">
        <f>""</f>
        <v/>
      </c>
      <c r="CV38" t="str">
        <f>""</f>
        <v/>
      </c>
      <c r="CW38" t="str">
        <f>""</f>
        <v/>
      </c>
      <c r="CX38" t="str">
        <f>""</f>
        <v/>
      </c>
      <c r="CY38" t="str">
        <f>""</f>
        <v/>
      </c>
      <c r="CZ38" t="str">
        <f>""</f>
        <v/>
      </c>
      <c r="DA38" t="str">
        <f>""</f>
        <v/>
      </c>
      <c r="DB38" t="str">
        <f>""</f>
        <v/>
      </c>
      <c r="DC38" t="str">
        <f>""</f>
        <v/>
      </c>
      <c r="DD38" t="str">
        <f>""</f>
        <v/>
      </c>
      <c r="DE38" t="str">
        <f>""</f>
        <v/>
      </c>
      <c r="DF38" t="str">
        <f>""</f>
        <v/>
      </c>
      <c r="DG38" t="str">
        <f>""</f>
        <v/>
      </c>
      <c r="DH38" t="str">
        <f>""</f>
        <v/>
      </c>
      <c r="DI38" t="str">
        <f>""</f>
        <v/>
      </c>
      <c r="DJ38" t="str">
        <f>""</f>
        <v/>
      </c>
      <c r="DK38" t="str">
        <f>""</f>
        <v/>
      </c>
      <c r="DL38" t="str">
        <f>""</f>
        <v/>
      </c>
      <c r="DM38" t="str">
        <f>""</f>
        <v/>
      </c>
      <c r="DN38" t="str">
        <f>""</f>
        <v/>
      </c>
      <c r="DO38" t="str">
        <f>""</f>
        <v/>
      </c>
      <c r="DP38" t="str">
        <f>""</f>
        <v/>
      </c>
      <c r="DQ38" t="str">
        <f>""</f>
        <v/>
      </c>
      <c r="DR38" t="str">
        <f>""</f>
        <v/>
      </c>
      <c r="DS38" t="str">
        <f>""</f>
        <v/>
      </c>
      <c r="DT38" t="str">
        <f>""</f>
        <v/>
      </c>
      <c r="DU38" t="str">
        <f>""</f>
        <v/>
      </c>
    </row>
    <row r="39" spans="1:125" x14ac:dyDescent="0.25">
      <c r="A39" t="str">
        <f>"                        Western Europe"</f>
        <v xml:space="preserve">                        Western Europe</v>
      </c>
      <c r="B39" t="str">
        <f t="shared" si="20"/>
        <v>KER FP Equity</v>
      </c>
      <c r="C39" t="str">
        <f t="shared" si="21"/>
        <v>BI047</v>
      </c>
      <c r="D39" t="str">
        <f t="shared" si="22"/>
        <v>BICS_SEGMENT_DATA</v>
      </c>
      <c r="E39" t="str">
        <f t="shared" si="23"/>
        <v>Dynamic</v>
      </c>
      <c r="F39" t="str">
        <f ca="1">IF(AND(ISNUMBER($F$195),$B$158=1),$F$195,HLOOKUP(INDIRECT(ADDRESS(2,COLUMN())),OFFSET($BN$2,0,0,ROW()-1,60),ROW()-1,FALSE))</f>
        <v/>
      </c>
      <c r="G39">
        <f ca="1">IF(AND(ISNUMBER($G$195),$B$158=1),$G$195,HLOOKUP(INDIRECT(ADDRESS(2,COLUMN())),OFFSET($BN$2,0,0,ROW()-1,60),ROW()-1,FALSE))</f>
        <v>35</v>
      </c>
      <c r="H39">
        <f ca="1">IF(AND(ISNUMBER($H$195),$B$158=1),$H$195,HLOOKUP(INDIRECT(ADDRESS(2,COLUMN())),OFFSET($BN$2,0,0,ROW()-1,60),ROW()-1,FALSE))</f>
        <v>97</v>
      </c>
      <c r="I39">
        <f ca="1">IF(AND(ISNUMBER($I$195),$B$158=1),$I$195,HLOOKUP(INDIRECT(ADDRESS(2,COLUMN())),OFFSET($BN$2,0,0,ROW()-1,60),ROW()-1,FALSE))</f>
        <v>-27</v>
      </c>
      <c r="J39">
        <f ca="1">IF(AND(ISNUMBER($J$195),$B$158=1),$J$195,HLOOKUP(INDIRECT(ADDRESS(2,COLUMN())),OFFSET($BN$2,0,0,ROW()-1,60),ROW()-1,FALSE))</f>
        <v>-31</v>
      </c>
      <c r="K39">
        <f ca="1">IF(AND(ISNUMBER($K$195),$B$158=1),$K$195,HLOOKUP(INDIRECT(ADDRESS(2,COLUMN())),OFFSET($BN$2,0,0,ROW()-1,60),ROW()-1,FALSE))</f>
        <v>-30</v>
      </c>
      <c r="L39">
        <f ca="1">IF(AND(ISNUMBER($L$195),$B$158=1),$L$195,HLOOKUP(INDIRECT(ADDRESS(2,COLUMN())),OFFSET($BN$2,0,0,ROW()-1,60),ROW()-1,FALSE))</f>
        <v>-62</v>
      </c>
      <c r="M39">
        <f ca="1">IF(AND(ISNUMBER($M$195),$B$158=1),$M$195,HLOOKUP(INDIRECT(ADDRESS(2,COLUMN())),OFFSET($BN$2,0,0,ROW()-1,60),ROW()-1,FALSE))</f>
        <v>-11</v>
      </c>
      <c r="N39">
        <f ca="1">IF(AND(ISNUMBER($N$195),$B$158=1),$N$195,HLOOKUP(INDIRECT(ADDRESS(2,COLUMN())),OFFSET($BN$2,0,0,ROW()-1,60),ROW()-1,FALSE))</f>
        <v>14</v>
      </c>
      <c r="O39">
        <f ca="1">IF(AND(ISNUMBER($O$195),$B$158=1),$O$195,HLOOKUP(INDIRECT(ADDRESS(2,COLUMN())),OFFSET($BN$2,0,0,ROW()-1,60),ROW()-1,FALSE))</f>
        <v>9</v>
      </c>
      <c r="P39">
        <f ca="1">IF(AND(ISNUMBER($P$195),$B$158=1),$P$195,HLOOKUP(INDIRECT(ADDRESS(2,COLUMN())),OFFSET($BN$2,0,0,ROW()-1,60),ROW()-1,FALSE))</f>
        <v>15</v>
      </c>
      <c r="Q39">
        <f ca="1">IF(AND(ISNUMBER($Q$195),$B$158=1),$Q$195,HLOOKUP(INDIRECT(ADDRESS(2,COLUMN())),OFFSET($BN$2,0,0,ROW()-1,60),ROW()-1,FALSE))</f>
        <v>25</v>
      </c>
      <c r="R39">
        <f ca="1">IF(AND(ISNUMBER($R$195),$B$158=1),$R$195,HLOOKUP(INDIRECT(ADDRESS(2,COLUMN())),OFFSET($BN$2,0,0,ROW()-1,60),ROW()-1,FALSE))</f>
        <v>20</v>
      </c>
      <c r="S39">
        <f ca="1">IF(AND(ISNUMBER($S$195),$B$158=1),$S$195,HLOOKUP(INDIRECT(ADDRESS(2,COLUMN())),OFFSET($BN$2,0,0,ROW()-1,60),ROW()-1,FALSE))</f>
        <v>13</v>
      </c>
      <c r="T39">
        <f ca="1">IF(AND(ISNUMBER($T$195),$B$158=1),$T$195,HLOOKUP(INDIRECT(ADDRESS(2,COLUMN())),OFFSET($BN$2,0,0,ROW()-1,60),ROW()-1,FALSE))</f>
        <v>9</v>
      </c>
      <c r="U39">
        <f ca="1">IF(AND(ISNUMBER($U$195),$B$158=1),$U$195,HLOOKUP(INDIRECT(ADDRESS(2,COLUMN())),OFFSET($BN$2,0,0,ROW()-1,60),ROW()-1,FALSE))</f>
        <v>-1</v>
      </c>
      <c r="V39">
        <f ca="1">IF(AND(ISNUMBER($V$195),$B$158=1),$V$195,HLOOKUP(INDIRECT(ADDRESS(2,COLUMN())),OFFSET($BN$2,0,0,ROW()-1,60),ROW()-1,FALSE))</f>
        <v>18</v>
      </c>
      <c r="W39">
        <f ca="1">IF(AND(ISNUMBER($W$195),$B$158=1),$W$195,HLOOKUP(INDIRECT(ADDRESS(2,COLUMN())),OFFSET($BN$2,0,0,ROW()-1,60),ROW()-1,FALSE))</f>
        <v>19</v>
      </c>
      <c r="X39">
        <f ca="1">IF(AND(ISNUMBER($X$195),$B$158=1),$X$195,HLOOKUP(INDIRECT(ADDRESS(2,COLUMN())),OFFSET($BN$2,0,0,ROW()-1,60),ROW()-1,FALSE))</f>
        <v>33</v>
      </c>
      <c r="Y39">
        <f ca="1">IF(AND(ISNUMBER($Y$195),$B$158=1),$Y$195,HLOOKUP(INDIRECT(ADDRESS(2,COLUMN())),OFFSET($BN$2,0,0,ROW()-1,60),ROW()-1,FALSE))</f>
        <v>46</v>
      </c>
      <c r="Z39">
        <f ca="1">IF(AND(ISNUMBER($Z$195),$B$158=1),$Z$195,HLOOKUP(INDIRECT(ADDRESS(2,COLUMN())),OFFSET($BN$2,0,0,ROW()-1,60),ROW()-1,FALSE))</f>
        <v>43</v>
      </c>
      <c r="AA39">
        <f ca="1">IF(AND(ISNUMBER($AA$195),$B$158=1),$AA$195,HLOOKUP(INDIRECT(ADDRESS(2,COLUMN())),OFFSET($BN$2,0,0,ROW()-1,60),ROW()-1,FALSE))</f>
        <v>33</v>
      </c>
      <c r="AB39">
        <f ca="1">IF(AND(ISNUMBER($AB$195),$B$158=1),$AB$195,HLOOKUP(INDIRECT(ADDRESS(2,COLUMN())),OFFSET($BN$2,0,0,ROW()-1,60),ROW()-1,FALSE))</f>
        <v>21</v>
      </c>
      <c r="AC39">
        <f ca="1">IF(AND(ISNUMBER($AC$195),$B$158=1),$AC$195,HLOOKUP(INDIRECT(ADDRESS(2,COLUMN())),OFFSET($BN$2,0,0,ROW()-1,60),ROW()-1,FALSE))</f>
        <v>31</v>
      </c>
      <c r="AD39" t="str">
        <f ca="1">IF(AND(ISNUMBER($AD$195),$B$158=1),$AD$195,HLOOKUP(INDIRECT(ADDRESS(2,COLUMN())),OFFSET($BN$2,0,0,ROW()-1,60),ROW()-1,FALSE))</f>
        <v/>
      </c>
      <c r="AE39">
        <f ca="1">IF(AND(ISNUMBER($AE$195),$B$158=1),$AE$195,HLOOKUP(INDIRECT(ADDRESS(2,COLUMN())),OFFSET($BN$2,0,0,ROW()-1,60),ROW()-1,FALSE))</f>
        <v>40</v>
      </c>
      <c r="AF39">
        <f ca="1">IF(AND(ISNUMBER($AF$195),$B$158=1),$AF$195,HLOOKUP(INDIRECT(ADDRESS(2,COLUMN())),OFFSET($BN$2,0,0,ROW()-1,60),ROW()-1,FALSE))</f>
        <v>45</v>
      </c>
      <c r="AG39">
        <f ca="1">IF(AND(ISNUMBER($AG$195),$B$158=1),$AG$195,HLOOKUP(INDIRECT(ADDRESS(2,COLUMN())),OFFSET($BN$2,0,0,ROW()-1,60),ROW()-1,FALSE))</f>
        <v>29</v>
      </c>
      <c r="AH39" t="str">
        <f ca="1">IF(AND(ISNUMBER($AH$195),$B$158=1),$AH$195,HLOOKUP(INDIRECT(ADDRESS(2,COLUMN())),OFFSET($BN$2,0,0,ROW()-1,60),ROW()-1,FALSE))</f>
        <v/>
      </c>
      <c r="AI39" t="str">
        <f ca="1">IF(AND(ISNUMBER($AI$195),$B$158=1),$AI$195,HLOOKUP(INDIRECT(ADDRESS(2,COLUMN())),OFFSET($BN$2,0,0,ROW()-1,60),ROW()-1,FALSE))</f>
        <v/>
      </c>
      <c r="AJ39" t="str">
        <f ca="1">IF(AND(ISNUMBER($AJ$195),$B$158=1),$AJ$195,HLOOKUP(INDIRECT(ADDRESS(2,COLUMN())),OFFSET($BN$2,0,0,ROW()-1,60),ROW()-1,FALSE))</f>
        <v/>
      </c>
      <c r="AK39">
        <f ca="1">IF(AND(ISNUMBER($AK$195),$B$158=1),$AK$195,HLOOKUP(INDIRECT(ADDRESS(2,COLUMN())),OFFSET($BN$2,0,0,ROW()-1,60),ROW()-1,FALSE))</f>
        <v>53</v>
      </c>
      <c r="AL39" t="str">
        <f ca="1">IF(AND(ISNUMBER($AL$195),$B$158=1),$AL$195,HLOOKUP(INDIRECT(ADDRESS(2,COLUMN())),OFFSET($BN$2,0,0,ROW()-1,60),ROW()-1,FALSE))</f>
        <v/>
      </c>
      <c r="AM39" t="str">
        <f ca="1">IF(AND(ISNUMBER($AM$195),$B$158=1),$AM$195,HLOOKUP(INDIRECT(ADDRESS(2,COLUMN())),OFFSET($BN$2,0,0,ROW()-1,60),ROW()-1,FALSE))</f>
        <v/>
      </c>
      <c r="AN39" t="str">
        <f ca="1">IF(AND(ISNUMBER($AN$195),$B$158=1),$AN$195,HLOOKUP(INDIRECT(ADDRESS(2,COLUMN())),OFFSET($BN$2,0,0,ROW()-1,60),ROW()-1,FALSE))</f>
        <v/>
      </c>
      <c r="AO39">
        <f ca="1">IF(AND(ISNUMBER($AO$195),$B$158=1),$AO$195,HLOOKUP(INDIRECT(ADDRESS(2,COLUMN())),OFFSET($BN$2,0,0,ROW()-1,60),ROW()-1,FALSE))</f>
        <v>23</v>
      </c>
      <c r="AP39" t="str">
        <f ca="1">IF(AND(ISNUMBER($AP$195),$B$158=1),$AP$195,HLOOKUP(INDIRECT(ADDRESS(2,COLUMN())),OFFSET($BN$2,0,0,ROW()-1,60),ROW()-1,FALSE))</f>
        <v/>
      </c>
      <c r="AQ39" t="str">
        <f ca="1">IF(AND(ISNUMBER($AQ$195),$B$158=1),$AQ$195,HLOOKUP(INDIRECT(ADDRESS(2,COLUMN())),OFFSET($BN$2,0,0,ROW()-1,60),ROW()-1,FALSE))</f>
        <v/>
      </c>
      <c r="AR39" t="str">
        <f ca="1">IF(AND(ISNUMBER($AR$195),$B$158=1),$AR$195,HLOOKUP(INDIRECT(ADDRESS(2,COLUMN())),OFFSET($BN$2,0,0,ROW()-1,60),ROW()-1,FALSE))</f>
        <v/>
      </c>
      <c r="AS39" t="str">
        <f ca="1">IF(AND(ISNUMBER($AS$195),$B$158=1),$AS$195,HLOOKUP(INDIRECT(ADDRESS(2,COLUMN())),OFFSET($BN$2,0,0,ROW()-1,60),ROW()-1,FALSE))</f>
        <v/>
      </c>
      <c r="AT39" t="str">
        <f ca="1">IF(AND(ISNUMBER($AT$195),$B$158=1),$AT$195,HLOOKUP(INDIRECT(ADDRESS(2,COLUMN())),OFFSET($BN$2,0,0,ROW()-1,60),ROW()-1,FALSE))</f>
        <v/>
      </c>
      <c r="AU39" t="str">
        <f ca="1">IF(AND(ISNUMBER($AU$195),$B$158=1),$AU$195,HLOOKUP(INDIRECT(ADDRESS(2,COLUMN())),OFFSET($BN$2,0,0,ROW()-1,60),ROW()-1,FALSE))</f>
        <v/>
      </c>
      <c r="AV39" t="str">
        <f ca="1">IF(AND(ISNUMBER($AV$195),$B$158=1),$AV$195,HLOOKUP(INDIRECT(ADDRESS(2,COLUMN())),OFFSET($BN$2,0,0,ROW()-1,60),ROW()-1,FALSE))</f>
        <v/>
      </c>
      <c r="AW39" t="str">
        <f ca="1">IF(AND(ISNUMBER($AW$195),$B$158=1),$AW$195,HLOOKUP(INDIRECT(ADDRESS(2,COLUMN())),OFFSET($BN$2,0,0,ROW()-1,60),ROW()-1,FALSE))</f>
        <v/>
      </c>
      <c r="AX39" t="str">
        <f ca="1">IF(AND(ISNUMBER($AX$195),$B$158=1),$AX$195,HLOOKUP(INDIRECT(ADDRESS(2,COLUMN())),OFFSET($BN$2,0,0,ROW()-1,60),ROW()-1,FALSE))</f>
        <v/>
      </c>
      <c r="AY39" t="str">
        <f ca="1">IF(AND(ISNUMBER($AY$195),$B$158=1),$AY$195,HLOOKUP(INDIRECT(ADDRESS(2,COLUMN())),OFFSET($BN$2,0,0,ROW()-1,60),ROW()-1,FALSE))</f>
        <v/>
      </c>
      <c r="AZ39" t="str">
        <f ca="1">IF(AND(ISNUMBER($AZ$195),$B$158=1),$AZ$195,HLOOKUP(INDIRECT(ADDRESS(2,COLUMN())),OFFSET($BN$2,0,0,ROW()-1,60),ROW()-1,FALSE))</f>
        <v/>
      </c>
      <c r="BA39" t="str">
        <f ca="1">IF(AND(ISNUMBER($BA$195),$B$158=1),$BA$195,HLOOKUP(INDIRECT(ADDRESS(2,COLUMN())),OFFSET($BN$2,0,0,ROW()-1,60),ROW()-1,FALSE))</f>
        <v/>
      </c>
      <c r="BB39" t="str">
        <f ca="1">IF(AND(ISNUMBER($BB$195),$B$158=1),$BB$195,HLOOKUP(INDIRECT(ADDRESS(2,COLUMN())),OFFSET($BN$2,0,0,ROW()-1,60),ROW()-1,FALSE))</f>
        <v/>
      </c>
      <c r="BC39" t="str">
        <f ca="1">IF(AND(ISNUMBER($BC$195),$B$158=1),$BC$195,HLOOKUP(INDIRECT(ADDRESS(2,COLUMN())),OFFSET($BN$2,0,0,ROW()-1,60),ROW()-1,FALSE))</f>
        <v/>
      </c>
      <c r="BD39" t="str">
        <f ca="1">IF(AND(ISNUMBER($BD$195),$B$158=1),$BD$195,HLOOKUP(INDIRECT(ADDRESS(2,COLUMN())),OFFSET($BN$2,0,0,ROW()-1,60),ROW()-1,FALSE))</f>
        <v/>
      </c>
      <c r="BE39" t="str">
        <f ca="1">IF(AND(ISNUMBER($BE$195),$B$158=1),$BE$195,HLOOKUP(INDIRECT(ADDRESS(2,COLUMN())),OFFSET($BN$2,0,0,ROW()-1,60),ROW()-1,FALSE))</f>
        <v/>
      </c>
      <c r="BF39" t="str">
        <f ca="1">IF(AND(ISNUMBER($BF$195),$B$158=1),$BF$195,HLOOKUP(INDIRECT(ADDRESS(2,COLUMN())),OFFSET($BN$2,0,0,ROW()-1,60),ROW()-1,FALSE))</f>
        <v/>
      </c>
      <c r="BG39" t="str">
        <f ca="1">IF(AND(ISNUMBER($BG$195),$B$158=1),$BG$195,HLOOKUP(INDIRECT(ADDRESS(2,COLUMN())),OFFSET($BN$2,0,0,ROW()-1,60),ROW()-1,FALSE))</f>
        <v/>
      </c>
      <c r="BH39" t="str">
        <f ca="1">IF(AND(ISNUMBER($BH$195),$B$158=1),$BH$195,HLOOKUP(INDIRECT(ADDRESS(2,COLUMN())),OFFSET($BN$2,0,0,ROW()-1,60),ROW()-1,FALSE))</f>
        <v/>
      </c>
      <c r="BI39" t="str">
        <f ca="1">IF(AND(ISNUMBER($BI$195),$B$158=1),$BI$195,HLOOKUP(INDIRECT(ADDRESS(2,COLUMN())),OFFSET($BN$2,0,0,ROW()-1,60),ROW()-1,FALSE))</f>
        <v/>
      </c>
      <c r="BJ39" t="str">
        <f ca="1">IF(AND(ISNUMBER($BJ$195),$B$158=1),$BJ$195,HLOOKUP(INDIRECT(ADDRESS(2,COLUMN())),OFFSET($BN$2,0,0,ROW()-1,60),ROW()-1,FALSE))</f>
        <v/>
      </c>
      <c r="BK39" t="str">
        <f ca="1">IF(AND(ISNUMBER($BK$195),$B$158=1),$BK$195,HLOOKUP(INDIRECT(ADDRESS(2,COLUMN())),OFFSET($BN$2,0,0,ROW()-1,60),ROW()-1,FALSE))</f>
        <v/>
      </c>
      <c r="BL39" t="str">
        <f ca="1">IF(AND(ISNUMBER($BL$195),$B$158=1),$BL$195,HLOOKUP(INDIRECT(ADDRESS(2,COLUMN())),OFFSET($BN$2,0,0,ROW()-1,60),ROW()-1,FALSE))</f>
        <v/>
      </c>
      <c r="BM39" t="str">
        <f ca="1">IF(AND(ISNUMBER($BM$195),$B$158=1),$BM$195,HLOOKUP(INDIRECT(ADDRESS(2,COLUMN())),OFFSET($BN$2,0,0,ROW()-1,60),ROW()-1,FALSE))</f>
        <v/>
      </c>
      <c r="BN39" t="str">
        <f>""</f>
        <v/>
      </c>
      <c r="BO39">
        <f>35</f>
        <v>35</v>
      </c>
      <c r="BP39">
        <f>97</f>
        <v>97</v>
      </c>
      <c r="BQ39">
        <f>-27</f>
        <v>-27</v>
      </c>
      <c r="BR39">
        <f>-31</f>
        <v>-31</v>
      </c>
      <c r="BS39">
        <f>-30</f>
        <v>-30</v>
      </c>
      <c r="BT39">
        <f>-62</f>
        <v>-62</v>
      </c>
      <c r="BU39">
        <f>-11</f>
        <v>-11</v>
      </c>
      <c r="BV39">
        <f>14</f>
        <v>14</v>
      </c>
      <c r="BW39">
        <f>9</f>
        <v>9</v>
      </c>
      <c r="BX39">
        <f>15</f>
        <v>15</v>
      </c>
      <c r="BY39">
        <f>25</f>
        <v>25</v>
      </c>
      <c r="BZ39">
        <f>20</f>
        <v>20</v>
      </c>
      <c r="CA39">
        <f>13</f>
        <v>13</v>
      </c>
      <c r="CB39">
        <f>9</f>
        <v>9</v>
      </c>
      <c r="CC39">
        <f>-1</f>
        <v>-1</v>
      </c>
      <c r="CD39">
        <f>18</f>
        <v>18</v>
      </c>
      <c r="CE39">
        <f>19</f>
        <v>19</v>
      </c>
      <c r="CF39">
        <f>33</f>
        <v>33</v>
      </c>
      <c r="CG39">
        <f>46</f>
        <v>46</v>
      </c>
      <c r="CH39">
        <f>43</f>
        <v>43</v>
      </c>
      <c r="CI39">
        <f>33</f>
        <v>33</v>
      </c>
      <c r="CJ39">
        <f>21</f>
        <v>21</v>
      </c>
      <c r="CK39">
        <f>31</f>
        <v>31</v>
      </c>
      <c r="CL39" t="str">
        <f>""</f>
        <v/>
      </c>
      <c r="CM39">
        <f>40</f>
        <v>40</v>
      </c>
      <c r="CN39">
        <f>45</f>
        <v>45</v>
      </c>
      <c r="CO39">
        <f>29</f>
        <v>29</v>
      </c>
      <c r="CP39" t="str">
        <f>""</f>
        <v/>
      </c>
      <c r="CQ39" t="str">
        <f>""</f>
        <v/>
      </c>
      <c r="CR39" t="str">
        <f>""</f>
        <v/>
      </c>
      <c r="CS39">
        <f>53</f>
        <v>53</v>
      </c>
      <c r="CT39" t="str">
        <f>""</f>
        <v/>
      </c>
      <c r="CU39" t="str">
        <f>""</f>
        <v/>
      </c>
      <c r="CV39" t="str">
        <f>""</f>
        <v/>
      </c>
      <c r="CW39">
        <f>23</f>
        <v>23</v>
      </c>
      <c r="CX39" t="str">
        <f>""</f>
        <v/>
      </c>
      <c r="CY39" t="str">
        <f>""</f>
        <v/>
      </c>
      <c r="CZ39" t="str">
        <f>""</f>
        <v/>
      </c>
      <c r="DA39" t="str">
        <f>""</f>
        <v/>
      </c>
      <c r="DB39" t="str">
        <f>""</f>
        <v/>
      </c>
      <c r="DC39" t="str">
        <f>""</f>
        <v/>
      </c>
      <c r="DD39" t="str">
        <f>""</f>
        <v/>
      </c>
      <c r="DE39" t="str">
        <f>""</f>
        <v/>
      </c>
      <c r="DF39" t="str">
        <f>""</f>
        <v/>
      </c>
      <c r="DG39" t="str">
        <f>""</f>
        <v/>
      </c>
      <c r="DH39" t="str">
        <f>""</f>
        <v/>
      </c>
      <c r="DI39" t="str">
        <f>""</f>
        <v/>
      </c>
      <c r="DJ39" t="str">
        <f>""</f>
        <v/>
      </c>
      <c r="DK39" t="str">
        <f>""</f>
        <v/>
      </c>
      <c r="DL39" t="str">
        <f>""</f>
        <v/>
      </c>
      <c r="DM39" t="str">
        <f>""</f>
        <v/>
      </c>
      <c r="DN39" t="str">
        <f>""</f>
        <v/>
      </c>
      <c r="DO39" t="str">
        <f>""</f>
        <v/>
      </c>
      <c r="DP39" t="str">
        <f>""</f>
        <v/>
      </c>
      <c r="DQ39" t="str">
        <f>""</f>
        <v/>
      </c>
      <c r="DR39" t="str">
        <f>""</f>
        <v/>
      </c>
      <c r="DS39" t="str">
        <f>""</f>
        <v/>
      </c>
      <c r="DT39" t="str">
        <f>""</f>
        <v/>
      </c>
      <c r="DU39" t="str">
        <f>""</f>
        <v/>
      </c>
    </row>
    <row r="40" spans="1:125" x14ac:dyDescent="0.25">
      <c r="A40" t="str">
        <f>"                        North America"</f>
        <v xml:space="preserve">                        North America</v>
      </c>
      <c r="B40" t="str">
        <f t="shared" si="20"/>
        <v>KER FP Equity</v>
      </c>
      <c r="C40" t="str">
        <f t="shared" si="21"/>
        <v>BI047</v>
      </c>
      <c r="D40" t="str">
        <f t="shared" si="22"/>
        <v>BICS_SEGMENT_DATA</v>
      </c>
      <c r="E40" t="str">
        <f t="shared" si="23"/>
        <v>Dynamic</v>
      </c>
      <c r="F40" t="str">
        <f ca="1">IF(AND(ISNUMBER($F$196),$B$158=1),$F$196,HLOOKUP(INDIRECT(ADDRESS(2,COLUMN())),OFFSET($BN$2,0,0,ROW()-1,60),ROW()-1,FALSE))</f>
        <v/>
      </c>
      <c r="G40">
        <f ca="1">IF(AND(ISNUMBER($G$196),$B$158=1),$G$196,HLOOKUP(INDIRECT(ADDRESS(2,COLUMN())),OFFSET($BN$2,0,0,ROW()-1,60),ROW()-1,FALSE))</f>
        <v>75</v>
      </c>
      <c r="H40">
        <f ca="1">IF(AND(ISNUMBER($H$196),$B$158=1),$H$196,HLOOKUP(INDIRECT(ADDRESS(2,COLUMN())),OFFSET($BN$2,0,0,ROW()-1,60),ROW()-1,FALSE))</f>
        <v>399</v>
      </c>
      <c r="I40">
        <f ca="1">IF(AND(ISNUMBER($I$196),$B$158=1),$I$196,HLOOKUP(INDIRECT(ADDRESS(2,COLUMN())),OFFSET($BN$2,0,0,ROW()-1,60),ROW()-1,FALSE))</f>
        <v>46</v>
      </c>
      <c r="J40">
        <f ca="1">IF(AND(ISNUMBER($J$196),$B$158=1),$J$196,HLOOKUP(INDIRECT(ADDRESS(2,COLUMN())),OFFSET($BN$2,0,0,ROW()-1,60),ROW()-1,FALSE))</f>
        <v>19</v>
      </c>
      <c r="K40">
        <f ca="1">IF(AND(ISNUMBER($K$196),$B$158=1),$K$196,HLOOKUP(INDIRECT(ADDRESS(2,COLUMN())),OFFSET($BN$2,0,0,ROW()-1,60),ROW()-1,FALSE))</f>
        <v>32</v>
      </c>
      <c r="L40">
        <f ca="1">IF(AND(ISNUMBER($L$196),$B$158=1),$L$196,HLOOKUP(INDIRECT(ADDRESS(2,COLUMN())),OFFSET($BN$2,0,0,ROW()-1,60),ROW()-1,FALSE))</f>
        <v>-61</v>
      </c>
      <c r="M40">
        <f ca="1">IF(AND(ISNUMBER($M$196),$B$158=1),$M$196,HLOOKUP(INDIRECT(ADDRESS(2,COLUMN())),OFFSET($BN$2,0,0,ROW()-1,60),ROW()-1,FALSE))</f>
        <v>0</v>
      </c>
      <c r="N40">
        <f ca="1">IF(AND(ISNUMBER($N$196),$B$158=1),$N$196,HLOOKUP(INDIRECT(ADDRESS(2,COLUMN())),OFFSET($BN$2,0,0,ROW()-1,60),ROW()-1,FALSE))</f>
        <v>27</v>
      </c>
      <c r="O40">
        <f ca="1">IF(AND(ISNUMBER($O$196),$B$158=1),$O$196,HLOOKUP(INDIRECT(ADDRESS(2,COLUMN())),OFFSET($BN$2,0,0,ROW()-1,60),ROW()-1,FALSE))</f>
        <v>21</v>
      </c>
      <c r="P40">
        <f ca="1">IF(AND(ISNUMBER($P$196),$B$158=1),$P$196,HLOOKUP(INDIRECT(ADDRESS(2,COLUMN())),OFFSET($BN$2,0,0,ROW()-1,60),ROW()-1,FALSE))</f>
        <v>22</v>
      </c>
      <c r="Q40">
        <f ca="1">IF(AND(ISNUMBER($Q$196),$B$158=1),$Q$196,HLOOKUP(INDIRECT(ADDRESS(2,COLUMN())),OFFSET($BN$2,0,0,ROW()-1,60),ROW()-1,FALSE))</f>
        <v>21</v>
      </c>
      <c r="R40">
        <f ca="1">IF(AND(ISNUMBER($R$196),$B$158=1),$R$196,HLOOKUP(INDIRECT(ADDRESS(2,COLUMN())),OFFSET($BN$2,0,0,ROW()-1,60),ROW()-1,FALSE))</f>
        <v>22</v>
      </c>
      <c r="S40">
        <f ca="1">IF(AND(ISNUMBER($S$196),$B$158=1),$S$196,HLOOKUP(INDIRECT(ADDRESS(2,COLUMN())),OFFSET($BN$2,0,0,ROW()-1,60),ROW()-1,FALSE))</f>
        <v>27</v>
      </c>
      <c r="T40">
        <f ca="1">IF(AND(ISNUMBER($T$196),$B$158=1),$T$196,HLOOKUP(INDIRECT(ADDRESS(2,COLUMN())),OFFSET($BN$2,0,0,ROW()-1,60),ROW()-1,FALSE))</f>
        <v>33</v>
      </c>
      <c r="U40">
        <f ca="1">IF(AND(ISNUMBER($U$196),$B$158=1),$U$196,HLOOKUP(INDIRECT(ADDRESS(2,COLUMN())),OFFSET($BN$2,0,0,ROW()-1,60),ROW()-1,FALSE))</f>
        <v>27</v>
      </c>
      <c r="V40">
        <f ca="1">IF(AND(ISNUMBER($V$196),$B$158=1),$V$196,HLOOKUP(INDIRECT(ADDRESS(2,COLUMN())),OFFSET($BN$2,0,0,ROW()-1,60),ROW()-1,FALSE))</f>
        <v>31</v>
      </c>
      <c r="W40">
        <f ca="1">IF(AND(ISNUMBER($W$196),$B$158=1),$W$196,HLOOKUP(INDIRECT(ADDRESS(2,COLUMN())),OFFSET($BN$2,0,0,ROW()-1,60),ROW()-1,FALSE))</f>
        <v>8</v>
      </c>
      <c r="X40">
        <f ca="1">IF(AND(ISNUMBER($X$196),$B$158=1),$X$196,HLOOKUP(INDIRECT(ADDRESS(2,COLUMN())),OFFSET($BN$2,0,0,ROW()-1,60),ROW()-1,FALSE))</f>
        <v>16</v>
      </c>
      <c r="Y40">
        <f ca="1">IF(AND(ISNUMBER($Y$196),$B$158=1),$Y$196,HLOOKUP(INDIRECT(ADDRESS(2,COLUMN())),OFFSET($BN$2,0,0,ROW()-1,60),ROW()-1,FALSE))</f>
        <v>18</v>
      </c>
      <c r="Z40">
        <f ca="1">IF(AND(ISNUMBER($Z$196),$B$158=1),$Z$196,HLOOKUP(INDIRECT(ADDRESS(2,COLUMN())),OFFSET($BN$2,0,0,ROW()-1,60),ROW()-1,FALSE))</f>
        <v>30</v>
      </c>
      <c r="AA40">
        <f ca="1">IF(AND(ISNUMBER($AA$196),$B$158=1),$AA$196,HLOOKUP(INDIRECT(ADDRESS(2,COLUMN())),OFFSET($BN$2,0,0,ROW()-1,60),ROW()-1,FALSE))</f>
        <v>39</v>
      </c>
      <c r="AB40">
        <f ca="1">IF(AND(ISNUMBER($AB$196),$B$158=1),$AB$196,HLOOKUP(INDIRECT(ADDRESS(2,COLUMN())),OFFSET($BN$2,0,0,ROW()-1,60),ROW()-1,FALSE))</f>
        <v>28</v>
      </c>
      <c r="AC40">
        <f ca="1">IF(AND(ISNUMBER($AC$196),$B$158=1),$AC$196,HLOOKUP(INDIRECT(ADDRESS(2,COLUMN())),OFFSET($BN$2,0,0,ROW()-1,60),ROW()-1,FALSE))</f>
        <v>19</v>
      </c>
      <c r="AD40" t="str">
        <f ca="1">IF(AND(ISNUMBER($AD$196),$B$158=1),$AD$196,HLOOKUP(INDIRECT(ADDRESS(2,COLUMN())),OFFSET($BN$2,0,0,ROW()-1,60),ROW()-1,FALSE))</f>
        <v/>
      </c>
      <c r="AE40">
        <f ca="1">IF(AND(ISNUMBER($AE$196),$B$158=1),$AE$196,HLOOKUP(INDIRECT(ADDRESS(2,COLUMN())),OFFSET($BN$2,0,0,ROW()-1,60),ROW()-1,FALSE))</f>
        <v>16</v>
      </c>
      <c r="AF40">
        <f ca="1">IF(AND(ISNUMBER($AF$196),$B$158=1),$AF$196,HLOOKUP(INDIRECT(ADDRESS(2,COLUMN())),OFFSET($BN$2,0,0,ROW()-1,60),ROW()-1,FALSE))</f>
        <v>26</v>
      </c>
      <c r="AG40">
        <f ca="1">IF(AND(ISNUMBER($AG$196),$B$158=1),$AG$196,HLOOKUP(INDIRECT(ADDRESS(2,COLUMN())),OFFSET($BN$2,0,0,ROW()-1,60),ROW()-1,FALSE))</f>
        <v>39</v>
      </c>
      <c r="AH40" t="str">
        <f ca="1">IF(AND(ISNUMBER($AH$196),$B$158=1),$AH$196,HLOOKUP(INDIRECT(ADDRESS(2,COLUMN())),OFFSET($BN$2,0,0,ROW()-1,60),ROW()-1,FALSE))</f>
        <v/>
      </c>
      <c r="AI40" t="str">
        <f ca="1">IF(AND(ISNUMBER($AI$196),$B$158=1),$AI$196,HLOOKUP(INDIRECT(ADDRESS(2,COLUMN())),OFFSET($BN$2,0,0,ROW()-1,60),ROW()-1,FALSE))</f>
        <v/>
      </c>
      <c r="AJ40" t="str">
        <f ca="1">IF(AND(ISNUMBER($AJ$196),$B$158=1),$AJ$196,HLOOKUP(INDIRECT(ADDRESS(2,COLUMN())),OFFSET($BN$2,0,0,ROW()-1,60),ROW()-1,FALSE))</f>
        <v/>
      </c>
      <c r="AK40">
        <f ca="1">IF(AND(ISNUMBER($AK$196),$B$158=1),$AK$196,HLOOKUP(INDIRECT(ADDRESS(2,COLUMN())),OFFSET($BN$2,0,0,ROW()-1,60),ROW()-1,FALSE))</f>
        <v>62</v>
      </c>
      <c r="AL40" t="str">
        <f ca="1">IF(AND(ISNUMBER($AL$196),$B$158=1),$AL$196,HLOOKUP(INDIRECT(ADDRESS(2,COLUMN())),OFFSET($BN$2,0,0,ROW()-1,60),ROW()-1,FALSE))</f>
        <v/>
      </c>
      <c r="AM40" t="str">
        <f ca="1">IF(AND(ISNUMBER($AM$196),$B$158=1),$AM$196,HLOOKUP(INDIRECT(ADDRESS(2,COLUMN())),OFFSET($BN$2,0,0,ROW()-1,60),ROW()-1,FALSE))</f>
        <v/>
      </c>
      <c r="AN40" t="str">
        <f ca="1">IF(AND(ISNUMBER($AN$196),$B$158=1),$AN$196,HLOOKUP(INDIRECT(ADDRESS(2,COLUMN())),OFFSET($BN$2,0,0,ROW()-1,60),ROW()-1,FALSE))</f>
        <v/>
      </c>
      <c r="AO40">
        <f ca="1">IF(AND(ISNUMBER($AO$196),$B$158=1),$AO$196,HLOOKUP(INDIRECT(ADDRESS(2,COLUMN())),OFFSET($BN$2,0,0,ROW()-1,60),ROW()-1,FALSE))</f>
        <v>0</v>
      </c>
      <c r="AP40" t="str">
        <f ca="1">IF(AND(ISNUMBER($AP$196),$B$158=1),$AP$196,HLOOKUP(INDIRECT(ADDRESS(2,COLUMN())),OFFSET($BN$2,0,0,ROW()-1,60),ROW()-1,FALSE))</f>
        <v/>
      </c>
      <c r="AQ40" t="str">
        <f ca="1">IF(AND(ISNUMBER($AQ$196),$B$158=1),$AQ$196,HLOOKUP(INDIRECT(ADDRESS(2,COLUMN())),OFFSET($BN$2,0,0,ROW()-1,60),ROW()-1,FALSE))</f>
        <v/>
      </c>
      <c r="AR40" t="str">
        <f ca="1">IF(AND(ISNUMBER($AR$196),$B$158=1),$AR$196,HLOOKUP(INDIRECT(ADDRESS(2,COLUMN())),OFFSET($BN$2,0,0,ROW()-1,60),ROW()-1,FALSE))</f>
        <v/>
      </c>
      <c r="AS40" t="str">
        <f ca="1">IF(AND(ISNUMBER($AS$196),$B$158=1),$AS$196,HLOOKUP(INDIRECT(ADDRESS(2,COLUMN())),OFFSET($BN$2,0,0,ROW()-1,60),ROW()-1,FALSE))</f>
        <v/>
      </c>
      <c r="AT40" t="str">
        <f ca="1">IF(AND(ISNUMBER($AT$196),$B$158=1),$AT$196,HLOOKUP(INDIRECT(ADDRESS(2,COLUMN())),OFFSET($BN$2,0,0,ROW()-1,60),ROW()-1,FALSE))</f>
        <v/>
      </c>
      <c r="AU40" t="str">
        <f ca="1">IF(AND(ISNUMBER($AU$196),$B$158=1),$AU$196,HLOOKUP(INDIRECT(ADDRESS(2,COLUMN())),OFFSET($BN$2,0,0,ROW()-1,60),ROW()-1,FALSE))</f>
        <v/>
      </c>
      <c r="AV40" t="str">
        <f ca="1">IF(AND(ISNUMBER($AV$196),$B$158=1),$AV$196,HLOOKUP(INDIRECT(ADDRESS(2,COLUMN())),OFFSET($BN$2,0,0,ROW()-1,60),ROW()-1,FALSE))</f>
        <v/>
      </c>
      <c r="AW40" t="str">
        <f ca="1">IF(AND(ISNUMBER($AW$196),$B$158=1),$AW$196,HLOOKUP(INDIRECT(ADDRESS(2,COLUMN())),OFFSET($BN$2,0,0,ROW()-1,60),ROW()-1,FALSE))</f>
        <v/>
      </c>
      <c r="AX40" t="str">
        <f ca="1">IF(AND(ISNUMBER($AX$196),$B$158=1),$AX$196,HLOOKUP(INDIRECT(ADDRESS(2,COLUMN())),OFFSET($BN$2,0,0,ROW()-1,60),ROW()-1,FALSE))</f>
        <v/>
      </c>
      <c r="AY40" t="str">
        <f ca="1">IF(AND(ISNUMBER($AY$196),$B$158=1),$AY$196,HLOOKUP(INDIRECT(ADDRESS(2,COLUMN())),OFFSET($BN$2,0,0,ROW()-1,60),ROW()-1,FALSE))</f>
        <v/>
      </c>
      <c r="AZ40" t="str">
        <f ca="1">IF(AND(ISNUMBER($AZ$196),$B$158=1),$AZ$196,HLOOKUP(INDIRECT(ADDRESS(2,COLUMN())),OFFSET($BN$2,0,0,ROW()-1,60),ROW()-1,FALSE))</f>
        <v/>
      </c>
      <c r="BA40" t="str">
        <f ca="1">IF(AND(ISNUMBER($BA$196),$B$158=1),$BA$196,HLOOKUP(INDIRECT(ADDRESS(2,COLUMN())),OFFSET($BN$2,0,0,ROW()-1,60),ROW()-1,FALSE))</f>
        <v/>
      </c>
      <c r="BB40" t="str">
        <f ca="1">IF(AND(ISNUMBER($BB$196),$B$158=1),$BB$196,HLOOKUP(INDIRECT(ADDRESS(2,COLUMN())),OFFSET($BN$2,0,0,ROW()-1,60),ROW()-1,FALSE))</f>
        <v/>
      </c>
      <c r="BC40" t="str">
        <f ca="1">IF(AND(ISNUMBER($BC$196),$B$158=1),$BC$196,HLOOKUP(INDIRECT(ADDRESS(2,COLUMN())),OFFSET($BN$2,0,0,ROW()-1,60),ROW()-1,FALSE))</f>
        <v/>
      </c>
      <c r="BD40" t="str">
        <f ca="1">IF(AND(ISNUMBER($BD$196),$B$158=1),$BD$196,HLOOKUP(INDIRECT(ADDRESS(2,COLUMN())),OFFSET($BN$2,0,0,ROW()-1,60),ROW()-1,FALSE))</f>
        <v/>
      </c>
      <c r="BE40" t="str">
        <f ca="1">IF(AND(ISNUMBER($BE$196),$B$158=1),$BE$196,HLOOKUP(INDIRECT(ADDRESS(2,COLUMN())),OFFSET($BN$2,0,0,ROW()-1,60),ROW()-1,FALSE))</f>
        <v/>
      </c>
      <c r="BF40" t="str">
        <f ca="1">IF(AND(ISNUMBER($BF$196),$B$158=1),$BF$196,HLOOKUP(INDIRECT(ADDRESS(2,COLUMN())),OFFSET($BN$2,0,0,ROW()-1,60),ROW()-1,FALSE))</f>
        <v/>
      </c>
      <c r="BG40" t="str">
        <f ca="1">IF(AND(ISNUMBER($BG$196),$B$158=1),$BG$196,HLOOKUP(INDIRECT(ADDRESS(2,COLUMN())),OFFSET($BN$2,0,0,ROW()-1,60),ROW()-1,FALSE))</f>
        <v/>
      </c>
      <c r="BH40" t="str">
        <f ca="1">IF(AND(ISNUMBER($BH$196),$B$158=1),$BH$196,HLOOKUP(INDIRECT(ADDRESS(2,COLUMN())),OFFSET($BN$2,0,0,ROW()-1,60),ROW()-1,FALSE))</f>
        <v/>
      </c>
      <c r="BI40" t="str">
        <f ca="1">IF(AND(ISNUMBER($BI$196),$B$158=1),$BI$196,HLOOKUP(INDIRECT(ADDRESS(2,COLUMN())),OFFSET($BN$2,0,0,ROW()-1,60),ROW()-1,FALSE))</f>
        <v/>
      </c>
      <c r="BJ40" t="str">
        <f ca="1">IF(AND(ISNUMBER($BJ$196),$B$158=1),$BJ$196,HLOOKUP(INDIRECT(ADDRESS(2,COLUMN())),OFFSET($BN$2,0,0,ROW()-1,60),ROW()-1,FALSE))</f>
        <v/>
      </c>
      <c r="BK40" t="str">
        <f ca="1">IF(AND(ISNUMBER($BK$196),$B$158=1),$BK$196,HLOOKUP(INDIRECT(ADDRESS(2,COLUMN())),OFFSET($BN$2,0,0,ROW()-1,60),ROW()-1,FALSE))</f>
        <v/>
      </c>
      <c r="BL40" t="str">
        <f ca="1">IF(AND(ISNUMBER($BL$196),$B$158=1),$BL$196,HLOOKUP(INDIRECT(ADDRESS(2,COLUMN())),OFFSET($BN$2,0,0,ROW()-1,60),ROW()-1,FALSE))</f>
        <v/>
      </c>
      <c r="BM40" t="str">
        <f ca="1">IF(AND(ISNUMBER($BM$196),$B$158=1),$BM$196,HLOOKUP(INDIRECT(ADDRESS(2,COLUMN())),OFFSET($BN$2,0,0,ROW()-1,60),ROW()-1,FALSE))</f>
        <v/>
      </c>
      <c r="BN40" t="str">
        <f>""</f>
        <v/>
      </c>
      <c r="BO40">
        <f>75</f>
        <v>75</v>
      </c>
      <c r="BP40">
        <f>399</f>
        <v>399</v>
      </c>
      <c r="BQ40">
        <f>46</f>
        <v>46</v>
      </c>
      <c r="BR40">
        <f>19</f>
        <v>19</v>
      </c>
      <c r="BS40">
        <f>32</f>
        <v>32</v>
      </c>
      <c r="BT40">
        <f>-61</f>
        <v>-61</v>
      </c>
      <c r="BU40">
        <f>0</f>
        <v>0</v>
      </c>
      <c r="BV40">
        <f>27</f>
        <v>27</v>
      </c>
      <c r="BW40">
        <f>21</f>
        <v>21</v>
      </c>
      <c r="BX40">
        <f>22</f>
        <v>22</v>
      </c>
      <c r="BY40">
        <f>21</f>
        <v>21</v>
      </c>
      <c r="BZ40">
        <f>22</f>
        <v>22</v>
      </c>
      <c r="CA40">
        <f>27</f>
        <v>27</v>
      </c>
      <c r="CB40">
        <f>33</f>
        <v>33</v>
      </c>
      <c r="CC40">
        <f>27</f>
        <v>27</v>
      </c>
      <c r="CD40">
        <f>31</f>
        <v>31</v>
      </c>
      <c r="CE40">
        <f>8</f>
        <v>8</v>
      </c>
      <c r="CF40">
        <f>16</f>
        <v>16</v>
      </c>
      <c r="CG40">
        <f>18</f>
        <v>18</v>
      </c>
      <c r="CH40">
        <f>30</f>
        <v>30</v>
      </c>
      <c r="CI40">
        <f>39</f>
        <v>39</v>
      </c>
      <c r="CJ40">
        <f>28</f>
        <v>28</v>
      </c>
      <c r="CK40">
        <f>19</f>
        <v>19</v>
      </c>
      <c r="CL40" t="str">
        <f>""</f>
        <v/>
      </c>
      <c r="CM40">
        <f>16</f>
        <v>16</v>
      </c>
      <c r="CN40">
        <f>26</f>
        <v>26</v>
      </c>
      <c r="CO40">
        <f>39</f>
        <v>39</v>
      </c>
      <c r="CP40" t="str">
        <f>""</f>
        <v/>
      </c>
      <c r="CQ40" t="str">
        <f>""</f>
        <v/>
      </c>
      <c r="CR40" t="str">
        <f>""</f>
        <v/>
      </c>
      <c r="CS40">
        <f>62</f>
        <v>62</v>
      </c>
      <c r="CT40" t="str">
        <f>""</f>
        <v/>
      </c>
      <c r="CU40" t="str">
        <f>""</f>
        <v/>
      </c>
      <c r="CV40" t="str">
        <f>""</f>
        <v/>
      </c>
      <c r="CW40">
        <f>0</f>
        <v>0</v>
      </c>
      <c r="CX40" t="str">
        <f>""</f>
        <v/>
      </c>
      <c r="CY40" t="str">
        <f>""</f>
        <v/>
      </c>
      <c r="CZ40" t="str">
        <f>""</f>
        <v/>
      </c>
      <c r="DA40" t="str">
        <f>""</f>
        <v/>
      </c>
      <c r="DB40" t="str">
        <f>""</f>
        <v/>
      </c>
      <c r="DC40" t="str">
        <f>""</f>
        <v/>
      </c>
      <c r="DD40" t="str">
        <f>""</f>
        <v/>
      </c>
      <c r="DE40" t="str">
        <f>""</f>
        <v/>
      </c>
      <c r="DF40" t="str">
        <f>""</f>
        <v/>
      </c>
      <c r="DG40" t="str">
        <f>""</f>
        <v/>
      </c>
      <c r="DH40" t="str">
        <f>""</f>
        <v/>
      </c>
      <c r="DI40" t="str">
        <f>""</f>
        <v/>
      </c>
      <c r="DJ40" t="str">
        <f>""</f>
        <v/>
      </c>
      <c r="DK40" t="str">
        <f>""</f>
        <v/>
      </c>
      <c r="DL40" t="str">
        <f>""</f>
        <v/>
      </c>
      <c r="DM40" t="str">
        <f>""</f>
        <v/>
      </c>
      <c r="DN40" t="str">
        <f>""</f>
        <v/>
      </c>
      <c r="DO40" t="str">
        <f>""</f>
        <v/>
      </c>
      <c r="DP40" t="str">
        <f>""</f>
        <v/>
      </c>
      <c r="DQ40" t="str">
        <f>""</f>
        <v/>
      </c>
      <c r="DR40" t="str">
        <f>""</f>
        <v/>
      </c>
      <c r="DS40" t="str">
        <f>""</f>
        <v/>
      </c>
      <c r="DT40" t="str">
        <f>""</f>
        <v/>
      </c>
      <c r="DU40" t="str">
        <f>""</f>
        <v/>
      </c>
    </row>
    <row r="41" spans="1:125" x14ac:dyDescent="0.25">
      <c r="A41" t="str">
        <f>"                        Japan"</f>
        <v xml:space="preserve">                        Japan</v>
      </c>
      <c r="B41" t="str">
        <f t="shared" si="20"/>
        <v>KER FP Equity</v>
      </c>
      <c r="C41" t="str">
        <f t="shared" si="21"/>
        <v>BI047</v>
      </c>
      <c r="D41" t="str">
        <f t="shared" si="22"/>
        <v>BICS_SEGMENT_DATA</v>
      </c>
      <c r="E41" t="str">
        <f t="shared" si="23"/>
        <v>Dynamic</v>
      </c>
      <c r="F41" t="str">
        <f ca="1">IF(AND(ISNUMBER($F$197),$B$158=1),$F$197,HLOOKUP(INDIRECT(ADDRESS(2,COLUMN())),OFFSET($BN$2,0,0,ROW()-1,60),ROW()-1,FALSE))</f>
        <v/>
      </c>
      <c r="G41">
        <f ca="1">IF(AND(ISNUMBER($G$197),$B$158=1),$G$197,HLOOKUP(INDIRECT(ADDRESS(2,COLUMN())),OFFSET($BN$2,0,0,ROW()-1,60),ROW()-1,FALSE))</f>
        <v>1</v>
      </c>
      <c r="H41">
        <f ca="1">IF(AND(ISNUMBER($H$197),$B$158=1),$H$197,HLOOKUP(INDIRECT(ADDRESS(2,COLUMN())),OFFSET($BN$2,0,0,ROW()-1,60),ROW()-1,FALSE))</f>
        <v>97</v>
      </c>
      <c r="I41">
        <f ca="1">IF(AND(ISNUMBER($I$197),$B$158=1),$I$197,HLOOKUP(INDIRECT(ADDRESS(2,COLUMN())),OFFSET($BN$2,0,0,ROW()-1,60),ROW()-1,FALSE))</f>
        <v>3</v>
      </c>
      <c r="J41">
        <f ca="1">IF(AND(ISNUMBER($J$197),$B$158=1),$J$197,HLOOKUP(INDIRECT(ADDRESS(2,COLUMN())),OFFSET($BN$2,0,0,ROW()-1,60),ROW()-1,FALSE))</f>
        <v>4</v>
      </c>
      <c r="K41">
        <f ca="1">IF(AND(ISNUMBER($K$197),$B$158=1),$K$197,HLOOKUP(INDIRECT(ADDRESS(2,COLUMN())),OFFSET($BN$2,0,0,ROW()-1,60),ROW()-1,FALSE))</f>
        <v>-18</v>
      </c>
      <c r="L41">
        <f ca="1">IF(AND(ISNUMBER($L$197),$B$158=1),$L$197,HLOOKUP(INDIRECT(ADDRESS(2,COLUMN())),OFFSET($BN$2,0,0,ROW()-1,60),ROW()-1,FALSE))</f>
        <v>-62</v>
      </c>
      <c r="M41">
        <f ca="1">IF(AND(ISNUMBER($M$197),$B$158=1),$M$197,HLOOKUP(INDIRECT(ADDRESS(2,COLUMN())),OFFSET($BN$2,0,0,ROW()-1,60),ROW()-1,FALSE))</f>
        <v>-17</v>
      </c>
      <c r="N41">
        <f ca="1">IF(AND(ISNUMBER($N$197),$B$158=1),$N$197,HLOOKUP(INDIRECT(ADDRESS(2,COLUMN())),OFFSET($BN$2,0,0,ROW()-1,60),ROW()-1,FALSE))</f>
        <v>-9</v>
      </c>
      <c r="O41">
        <f ca="1">IF(AND(ISNUMBER($O$197),$B$158=1),$O$197,HLOOKUP(INDIRECT(ADDRESS(2,COLUMN())),OFFSET($BN$2,0,0,ROW()-1,60),ROW()-1,FALSE))</f>
        <v>17</v>
      </c>
      <c r="P41">
        <f ca="1">IF(AND(ISNUMBER($P$197),$B$158=1),$P$197,HLOOKUP(INDIRECT(ADDRESS(2,COLUMN())),OFFSET($BN$2,0,0,ROW()-1,60),ROW()-1,FALSE))</f>
        <v>12</v>
      </c>
      <c r="Q41">
        <f ca="1">IF(AND(ISNUMBER($Q$197),$B$158=1),$Q$197,HLOOKUP(INDIRECT(ADDRESS(2,COLUMN())),OFFSET($BN$2,0,0,ROW()-1,60),ROW()-1,FALSE))</f>
        <v>15</v>
      </c>
      <c r="R41">
        <f ca="1">IF(AND(ISNUMBER($R$197),$B$158=1),$R$197,HLOOKUP(INDIRECT(ADDRESS(2,COLUMN())),OFFSET($BN$2,0,0,ROW()-1,60),ROW()-1,FALSE))</f>
        <v>18</v>
      </c>
      <c r="S41">
        <f ca="1">IF(AND(ISNUMBER($S$197),$B$158=1),$S$197,HLOOKUP(INDIRECT(ADDRESS(2,COLUMN())),OFFSET($BN$2,0,0,ROW()-1,60),ROW()-1,FALSE))</f>
        <v>15</v>
      </c>
      <c r="T41">
        <f ca="1">IF(AND(ISNUMBER($T$197),$B$158=1),$T$197,HLOOKUP(INDIRECT(ADDRESS(2,COLUMN())),OFFSET($BN$2,0,0,ROW()-1,60),ROW()-1,FALSE))</f>
        <v>27</v>
      </c>
      <c r="U41">
        <f ca="1">IF(AND(ISNUMBER($U$197),$B$158=1),$U$197,HLOOKUP(INDIRECT(ADDRESS(2,COLUMN())),OFFSET($BN$2,0,0,ROW()-1,60),ROW()-1,FALSE))</f>
        <v>23</v>
      </c>
      <c r="V41">
        <f ca="1">IF(AND(ISNUMBER($V$197),$B$158=1),$V$197,HLOOKUP(INDIRECT(ADDRESS(2,COLUMN())),OFFSET($BN$2,0,0,ROW()-1,60),ROW()-1,FALSE))</f>
        <v>30</v>
      </c>
      <c r="W41">
        <f ca="1">IF(AND(ISNUMBER($W$197),$B$158=1),$W$197,HLOOKUP(INDIRECT(ADDRESS(2,COLUMN())),OFFSET($BN$2,0,0,ROW()-1,60),ROW()-1,FALSE))</f>
        <v>24</v>
      </c>
      <c r="X41">
        <f ca="1">IF(AND(ISNUMBER($X$197),$B$158=1),$X$197,HLOOKUP(INDIRECT(ADDRESS(2,COLUMN())),OFFSET($BN$2,0,0,ROW()-1,60),ROW()-1,FALSE))</f>
        <v>18</v>
      </c>
      <c r="Y41">
        <f ca="1">IF(AND(ISNUMBER($Y$197),$B$158=1),$Y$197,HLOOKUP(INDIRECT(ADDRESS(2,COLUMN())),OFFSET($BN$2,0,0,ROW()-1,60),ROW()-1,FALSE))</f>
        <v>-4</v>
      </c>
      <c r="Z41" t="str">
        <f ca="1">IF(AND(ISNUMBER($Z$197),$B$158=1),$Z$197,HLOOKUP(INDIRECT(ADDRESS(2,COLUMN())),OFFSET($BN$2,0,0,ROW()-1,60),ROW()-1,FALSE))</f>
        <v/>
      </c>
      <c r="AA41">
        <f ca="1">IF(AND(ISNUMBER($AA$197),$B$158=1),$AA$197,HLOOKUP(INDIRECT(ADDRESS(2,COLUMN())),OFFSET($BN$2,0,0,ROW()-1,60),ROW()-1,FALSE))</f>
        <v>14</v>
      </c>
      <c r="AB41">
        <f ca="1">IF(AND(ISNUMBER($AB$197),$B$158=1),$AB$197,HLOOKUP(INDIRECT(ADDRESS(2,COLUMN())),OFFSET($BN$2,0,0,ROW()-1,60),ROW()-1,FALSE))</f>
        <v>39</v>
      </c>
      <c r="AC41">
        <f ca="1">IF(AND(ISNUMBER($AC$197),$B$158=1),$AC$197,HLOOKUP(INDIRECT(ADDRESS(2,COLUMN())),OFFSET($BN$2,0,0,ROW()-1,60),ROW()-1,FALSE))</f>
        <v>58</v>
      </c>
      <c r="AD41" t="str">
        <f ca="1">IF(AND(ISNUMBER($AD$197),$B$158=1),$AD$197,HLOOKUP(INDIRECT(ADDRESS(2,COLUMN())),OFFSET($BN$2,0,0,ROW()-1,60),ROW()-1,FALSE))</f>
        <v/>
      </c>
      <c r="AE41">
        <f ca="1">IF(AND(ISNUMBER($AE$197),$B$158=1),$AE$197,HLOOKUP(INDIRECT(ADDRESS(2,COLUMN())),OFFSET($BN$2,0,0,ROW()-1,60),ROW()-1,FALSE))</f>
        <v>77</v>
      </c>
      <c r="AF41">
        <f ca="1">IF(AND(ISNUMBER($AF$197),$B$158=1),$AF$197,HLOOKUP(INDIRECT(ADDRESS(2,COLUMN())),OFFSET($BN$2,0,0,ROW()-1,60),ROW()-1,FALSE))</f>
        <v>82</v>
      </c>
      <c r="AG41">
        <f ca="1">IF(AND(ISNUMBER($AG$197),$B$158=1),$AG$197,HLOOKUP(INDIRECT(ADDRESS(2,COLUMN())),OFFSET($BN$2,0,0,ROW()-1,60),ROW()-1,FALSE))</f>
        <v>22</v>
      </c>
      <c r="AH41" t="str">
        <f ca="1">IF(AND(ISNUMBER($AH$197),$B$158=1),$AH$197,HLOOKUP(INDIRECT(ADDRESS(2,COLUMN())),OFFSET($BN$2,0,0,ROW()-1,60),ROW()-1,FALSE))</f>
        <v/>
      </c>
      <c r="AI41" t="str">
        <f ca="1">IF(AND(ISNUMBER($AI$197),$B$158=1),$AI$197,HLOOKUP(INDIRECT(ADDRESS(2,COLUMN())),OFFSET($BN$2,0,0,ROW()-1,60),ROW()-1,FALSE))</f>
        <v/>
      </c>
      <c r="AJ41" t="str">
        <f ca="1">IF(AND(ISNUMBER($AJ$197),$B$158=1),$AJ$197,HLOOKUP(INDIRECT(ADDRESS(2,COLUMN())),OFFSET($BN$2,0,0,ROW()-1,60),ROW()-1,FALSE))</f>
        <v/>
      </c>
      <c r="AK41">
        <f ca="1">IF(AND(ISNUMBER($AK$197),$B$158=1),$AK$197,HLOOKUP(INDIRECT(ADDRESS(2,COLUMN())),OFFSET($BN$2,0,0,ROW()-1,60),ROW()-1,FALSE))</f>
        <v>74</v>
      </c>
      <c r="AL41" t="str">
        <f ca="1">IF(AND(ISNUMBER($AL$197),$B$158=1),$AL$197,HLOOKUP(INDIRECT(ADDRESS(2,COLUMN())),OFFSET($BN$2,0,0,ROW()-1,60),ROW()-1,FALSE))</f>
        <v/>
      </c>
      <c r="AM41" t="str">
        <f ca="1">IF(AND(ISNUMBER($AM$197),$B$158=1),$AM$197,HLOOKUP(INDIRECT(ADDRESS(2,COLUMN())),OFFSET($BN$2,0,0,ROW()-1,60),ROW()-1,FALSE))</f>
        <v/>
      </c>
      <c r="AN41" t="str">
        <f ca="1">IF(AND(ISNUMBER($AN$197),$B$158=1),$AN$197,HLOOKUP(INDIRECT(ADDRESS(2,COLUMN())),OFFSET($BN$2,0,0,ROW()-1,60),ROW()-1,FALSE))</f>
        <v/>
      </c>
      <c r="AO41">
        <f ca="1">IF(AND(ISNUMBER($AO$197),$B$158=1),$AO$197,HLOOKUP(INDIRECT(ADDRESS(2,COLUMN())),OFFSET($BN$2,0,0,ROW()-1,60),ROW()-1,FALSE))</f>
        <v>26</v>
      </c>
      <c r="AP41" t="str">
        <f ca="1">IF(AND(ISNUMBER($AP$197),$B$158=1),$AP$197,HLOOKUP(INDIRECT(ADDRESS(2,COLUMN())),OFFSET($BN$2,0,0,ROW()-1,60),ROW()-1,FALSE))</f>
        <v/>
      </c>
      <c r="AQ41" t="str">
        <f ca="1">IF(AND(ISNUMBER($AQ$197),$B$158=1),$AQ$197,HLOOKUP(INDIRECT(ADDRESS(2,COLUMN())),OFFSET($BN$2,0,0,ROW()-1,60),ROW()-1,FALSE))</f>
        <v/>
      </c>
      <c r="AR41" t="str">
        <f ca="1">IF(AND(ISNUMBER($AR$197),$B$158=1),$AR$197,HLOOKUP(INDIRECT(ADDRESS(2,COLUMN())),OFFSET($BN$2,0,0,ROW()-1,60),ROW()-1,FALSE))</f>
        <v/>
      </c>
      <c r="AS41" t="str">
        <f ca="1">IF(AND(ISNUMBER($AS$197),$B$158=1),$AS$197,HLOOKUP(INDIRECT(ADDRESS(2,COLUMN())),OFFSET($BN$2,0,0,ROW()-1,60),ROW()-1,FALSE))</f>
        <v/>
      </c>
      <c r="AT41" t="str">
        <f ca="1">IF(AND(ISNUMBER($AT$197),$B$158=1),$AT$197,HLOOKUP(INDIRECT(ADDRESS(2,COLUMN())),OFFSET($BN$2,0,0,ROW()-1,60),ROW()-1,FALSE))</f>
        <v/>
      </c>
      <c r="AU41" t="str">
        <f ca="1">IF(AND(ISNUMBER($AU$197),$B$158=1),$AU$197,HLOOKUP(INDIRECT(ADDRESS(2,COLUMN())),OFFSET($BN$2,0,0,ROW()-1,60),ROW()-1,FALSE))</f>
        <v/>
      </c>
      <c r="AV41" t="str">
        <f ca="1">IF(AND(ISNUMBER($AV$197),$B$158=1),$AV$197,HLOOKUP(INDIRECT(ADDRESS(2,COLUMN())),OFFSET($BN$2,0,0,ROW()-1,60),ROW()-1,FALSE))</f>
        <v/>
      </c>
      <c r="AW41" t="str">
        <f ca="1">IF(AND(ISNUMBER($AW$197),$B$158=1),$AW$197,HLOOKUP(INDIRECT(ADDRESS(2,COLUMN())),OFFSET($BN$2,0,0,ROW()-1,60),ROW()-1,FALSE))</f>
        <v/>
      </c>
      <c r="AX41" t="str">
        <f ca="1">IF(AND(ISNUMBER($AX$197),$B$158=1),$AX$197,HLOOKUP(INDIRECT(ADDRESS(2,COLUMN())),OFFSET($BN$2,0,0,ROW()-1,60),ROW()-1,FALSE))</f>
        <v/>
      </c>
      <c r="AY41" t="str">
        <f ca="1">IF(AND(ISNUMBER($AY$197),$B$158=1),$AY$197,HLOOKUP(INDIRECT(ADDRESS(2,COLUMN())),OFFSET($BN$2,0,0,ROW()-1,60),ROW()-1,FALSE))</f>
        <v/>
      </c>
      <c r="AZ41" t="str">
        <f ca="1">IF(AND(ISNUMBER($AZ$197),$B$158=1),$AZ$197,HLOOKUP(INDIRECT(ADDRESS(2,COLUMN())),OFFSET($BN$2,0,0,ROW()-1,60),ROW()-1,FALSE))</f>
        <v/>
      </c>
      <c r="BA41" t="str">
        <f ca="1">IF(AND(ISNUMBER($BA$197),$B$158=1),$BA$197,HLOOKUP(INDIRECT(ADDRESS(2,COLUMN())),OFFSET($BN$2,0,0,ROW()-1,60),ROW()-1,FALSE))</f>
        <v/>
      </c>
      <c r="BB41" t="str">
        <f ca="1">IF(AND(ISNUMBER($BB$197),$B$158=1),$BB$197,HLOOKUP(INDIRECT(ADDRESS(2,COLUMN())),OFFSET($BN$2,0,0,ROW()-1,60),ROW()-1,FALSE))</f>
        <v/>
      </c>
      <c r="BC41" t="str">
        <f ca="1">IF(AND(ISNUMBER($BC$197),$B$158=1),$BC$197,HLOOKUP(INDIRECT(ADDRESS(2,COLUMN())),OFFSET($BN$2,0,0,ROW()-1,60),ROW()-1,FALSE))</f>
        <v/>
      </c>
      <c r="BD41" t="str">
        <f ca="1">IF(AND(ISNUMBER($BD$197),$B$158=1),$BD$197,HLOOKUP(INDIRECT(ADDRESS(2,COLUMN())),OFFSET($BN$2,0,0,ROW()-1,60),ROW()-1,FALSE))</f>
        <v/>
      </c>
      <c r="BE41" t="str">
        <f ca="1">IF(AND(ISNUMBER($BE$197),$B$158=1),$BE$197,HLOOKUP(INDIRECT(ADDRESS(2,COLUMN())),OFFSET($BN$2,0,0,ROW()-1,60),ROW()-1,FALSE))</f>
        <v/>
      </c>
      <c r="BF41" t="str">
        <f ca="1">IF(AND(ISNUMBER($BF$197),$B$158=1),$BF$197,HLOOKUP(INDIRECT(ADDRESS(2,COLUMN())),OFFSET($BN$2,0,0,ROW()-1,60),ROW()-1,FALSE))</f>
        <v/>
      </c>
      <c r="BG41" t="str">
        <f ca="1">IF(AND(ISNUMBER($BG$197),$B$158=1),$BG$197,HLOOKUP(INDIRECT(ADDRESS(2,COLUMN())),OFFSET($BN$2,0,0,ROW()-1,60),ROW()-1,FALSE))</f>
        <v/>
      </c>
      <c r="BH41" t="str">
        <f ca="1">IF(AND(ISNUMBER($BH$197),$B$158=1),$BH$197,HLOOKUP(INDIRECT(ADDRESS(2,COLUMN())),OFFSET($BN$2,0,0,ROW()-1,60),ROW()-1,FALSE))</f>
        <v/>
      </c>
      <c r="BI41" t="str">
        <f ca="1">IF(AND(ISNUMBER($BI$197),$B$158=1),$BI$197,HLOOKUP(INDIRECT(ADDRESS(2,COLUMN())),OFFSET($BN$2,0,0,ROW()-1,60),ROW()-1,FALSE))</f>
        <v/>
      </c>
      <c r="BJ41" t="str">
        <f ca="1">IF(AND(ISNUMBER($BJ$197),$B$158=1),$BJ$197,HLOOKUP(INDIRECT(ADDRESS(2,COLUMN())),OFFSET($BN$2,0,0,ROW()-1,60),ROW()-1,FALSE))</f>
        <v/>
      </c>
      <c r="BK41" t="str">
        <f ca="1">IF(AND(ISNUMBER($BK$197),$B$158=1),$BK$197,HLOOKUP(INDIRECT(ADDRESS(2,COLUMN())),OFFSET($BN$2,0,0,ROW()-1,60),ROW()-1,FALSE))</f>
        <v/>
      </c>
      <c r="BL41" t="str">
        <f ca="1">IF(AND(ISNUMBER($BL$197),$B$158=1),$BL$197,HLOOKUP(INDIRECT(ADDRESS(2,COLUMN())),OFFSET($BN$2,0,0,ROW()-1,60),ROW()-1,FALSE))</f>
        <v/>
      </c>
      <c r="BM41" t="str">
        <f ca="1">IF(AND(ISNUMBER($BM$197),$B$158=1),$BM$197,HLOOKUP(INDIRECT(ADDRESS(2,COLUMN())),OFFSET($BN$2,0,0,ROW()-1,60),ROW()-1,FALSE))</f>
        <v/>
      </c>
      <c r="BN41" t="str">
        <f>""</f>
        <v/>
      </c>
      <c r="BO41">
        <f>1</f>
        <v>1</v>
      </c>
      <c r="BP41">
        <f>97</f>
        <v>97</v>
      </c>
      <c r="BQ41">
        <f>3</f>
        <v>3</v>
      </c>
      <c r="BR41">
        <f>4</f>
        <v>4</v>
      </c>
      <c r="BS41">
        <f>-18</f>
        <v>-18</v>
      </c>
      <c r="BT41">
        <f>-62</f>
        <v>-62</v>
      </c>
      <c r="BU41">
        <f>-17</f>
        <v>-17</v>
      </c>
      <c r="BV41">
        <f>-9</f>
        <v>-9</v>
      </c>
      <c r="BW41">
        <f>17</f>
        <v>17</v>
      </c>
      <c r="BX41">
        <f>12</f>
        <v>12</v>
      </c>
      <c r="BY41">
        <f>15</f>
        <v>15</v>
      </c>
      <c r="BZ41">
        <f>18</f>
        <v>18</v>
      </c>
      <c r="CA41">
        <f>15</f>
        <v>15</v>
      </c>
      <c r="CB41">
        <f>27</f>
        <v>27</v>
      </c>
      <c r="CC41">
        <f>23</f>
        <v>23</v>
      </c>
      <c r="CD41">
        <f>30</f>
        <v>30</v>
      </c>
      <c r="CE41">
        <f>24</f>
        <v>24</v>
      </c>
      <c r="CF41">
        <f>18</f>
        <v>18</v>
      </c>
      <c r="CG41">
        <f>-4</f>
        <v>-4</v>
      </c>
      <c r="CH41" t="str">
        <f>""</f>
        <v/>
      </c>
      <c r="CI41">
        <f>14</f>
        <v>14</v>
      </c>
      <c r="CJ41">
        <f>39</f>
        <v>39</v>
      </c>
      <c r="CK41">
        <f>58</f>
        <v>58</v>
      </c>
      <c r="CL41" t="str">
        <f>""</f>
        <v/>
      </c>
      <c r="CM41">
        <f>77</f>
        <v>77</v>
      </c>
      <c r="CN41">
        <f>82</f>
        <v>82</v>
      </c>
      <c r="CO41">
        <f>22</f>
        <v>22</v>
      </c>
      <c r="CP41" t="str">
        <f>""</f>
        <v/>
      </c>
      <c r="CQ41" t="str">
        <f>""</f>
        <v/>
      </c>
      <c r="CR41" t="str">
        <f>""</f>
        <v/>
      </c>
      <c r="CS41">
        <f>74</f>
        <v>74</v>
      </c>
      <c r="CT41" t="str">
        <f>""</f>
        <v/>
      </c>
      <c r="CU41" t="str">
        <f>""</f>
        <v/>
      </c>
      <c r="CV41" t="str">
        <f>""</f>
        <v/>
      </c>
      <c r="CW41">
        <f>26</f>
        <v>26</v>
      </c>
      <c r="CX41" t="str">
        <f>""</f>
        <v/>
      </c>
      <c r="CY41" t="str">
        <f>""</f>
        <v/>
      </c>
      <c r="CZ41" t="str">
        <f>""</f>
        <v/>
      </c>
      <c r="DA41" t="str">
        <f>""</f>
        <v/>
      </c>
      <c r="DB41" t="str">
        <f>""</f>
        <v/>
      </c>
      <c r="DC41" t="str">
        <f>""</f>
        <v/>
      </c>
      <c r="DD41" t="str">
        <f>""</f>
        <v/>
      </c>
      <c r="DE41" t="str">
        <f>""</f>
        <v/>
      </c>
      <c r="DF41" t="str">
        <f>""</f>
        <v/>
      </c>
      <c r="DG41" t="str">
        <f>""</f>
        <v/>
      </c>
      <c r="DH41" t="str">
        <f>""</f>
        <v/>
      </c>
      <c r="DI41" t="str">
        <f>""</f>
        <v/>
      </c>
      <c r="DJ41" t="str">
        <f>""</f>
        <v/>
      </c>
      <c r="DK41" t="str">
        <f>""</f>
        <v/>
      </c>
      <c r="DL41" t="str">
        <f>""</f>
        <v/>
      </c>
      <c r="DM41" t="str">
        <f>""</f>
        <v/>
      </c>
      <c r="DN41" t="str">
        <f>""</f>
        <v/>
      </c>
      <c r="DO41" t="str">
        <f>""</f>
        <v/>
      </c>
      <c r="DP41" t="str">
        <f>""</f>
        <v/>
      </c>
      <c r="DQ41" t="str">
        <f>""</f>
        <v/>
      </c>
      <c r="DR41" t="str">
        <f>""</f>
        <v/>
      </c>
      <c r="DS41" t="str">
        <f>""</f>
        <v/>
      </c>
      <c r="DT41" t="str">
        <f>""</f>
        <v/>
      </c>
      <c r="DU41" t="str">
        <f>""</f>
        <v/>
      </c>
    </row>
    <row r="42" spans="1:125" x14ac:dyDescent="0.25">
      <c r="A42" t="str">
        <f>"                        Asia Pacific"</f>
        <v xml:space="preserve">                        Asia Pacific</v>
      </c>
      <c r="B42" t="str">
        <f t="shared" si="20"/>
        <v>KER FP Equity</v>
      </c>
      <c r="C42" t="str">
        <f t="shared" si="21"/>
        <v>BI047</v>
      </c>
      <c r="D42" t="str">
        <f t="shared" si="22"/>
        <v>BICS_SEGMENT_DATA</v>
      </c>
      <c r="E42" t="str">
        <f t="shared" si="23"/>
        <v>Dynamic</v>
      </c>
      <c r="F42" t="str">
        <f ca="1">IF(AND(ISNUMBER($F$198),$B$158=1),$F$198,HLOOKUP(INDIRECT(ADDRESS(2,COLUMN())),OFFSET($BN$2,0,0,ROW()-1,60),ROW()-1,FALSE))</f>
        <v/>
      </c>
      <c r="G42">
        <f ca="1">IF(AND(ISNUMBER($G$198),$B$158=1),$G$198,HLOOKUP(INDIRECT(ADDRESS(2,COLUMN())),OFFSET($BN$2,0,0,ROW()-1,60),ROW()-1,FALSE))</f>
        <v>2</v>
      </c>
      <c r="H42">
        <f ca="1">IF(AND(ISNUMBER($H$198),$B$158=1),$H$198,HLOOKUP(INDIRECT(ADDRESS(2,COLUMN())),OFFSET($BN$2,0,0,ROW()-1,60),ROW()-1,FALSE))</f>
        <v>67</v>
      </c>
      <c r="I42">
        <f ca="1">IF(AND(ISNUMBER($I$198),$B$158=1),$I$198,HLOOKUP(INDIRECT(ADDRESS(2,COLUMN())),OFFSET($BN$2,0,0,ROW()-1,60),ROW()-1,FALSE))</f>
        <v>89</v>
      </c>
      <c r="J42">
        <f ca="1">IF(AND(ISNUMBER($J$198),$B$158=1),$J$198,HLOOKUP(INDIRECT(ADDRESS(2,COLUMN())),OFFSET($BN$2,0,0,ROW()-1,60),ROW()-1,FALSE))</f>
        <v>30</v>
      </c>
      <c r="K42">
        <f ca="1">IF(AND(ISNUMBER($K$198),$B$158=1),$K$198,HLOOKUP(INDIRECT(ADDRESS(2,COLUMN())),OFFSET($BN$2,0,0,ROW()-1,60),ROW()-1,FALSE))</f>
        <v>29</v>
      </c>
      <c r="L42">
        <f ca="1">IF(AND(ISNUMBER($L$198),$B$158=1),$L$198,HLOOKUP(INDIRECT(ADDRESS(2,COLUMN())),OFFSET($BN$2,0,0,ROW()-1,60),ROW()-1,FALSE))</f>
        <v>-17</v>
      </c>
      <c r="M42">
        <f ca="1">IF(AND(ISNUMBER($M$198),$B$158=1),$M$198,HLOOKUP(INDIRECT(ADDRESS(2,COLUMN())),OFFSET($BN$2,0,0,ROW()-1,60),ROW()-1,FALSE))</f>
        <v>-34</v>
      </c>
      <c r="N42">
        <f ca="1">IF(AND(ISNUMBER($N$198),$B$158=1),$N$198,HLOOKUP(INDIRECT(ADDRESS(2,COLUMN())),OFFSET($BN$2,0,0,ROW()-1,60),ROW()-1,FALSE))</f>
        <v>7</v>
      </c>
      <c r="O42">
        <f ca="1">IF(AND(ISNUMBER($O$198),$B$158=1),$O$198,HLOOKUP(INDIRECT(ADDRESS(2,COLUMN())),OFFSET($BN$2,0,0,ROW()-1,60),ROW()-1,FALSE))</f>
        <v>8</v>
      </c>
      <c r="P42">
        <f ca="1">IF(AND(ISNUMBER($P$198),$B$158=1),$P$198,HLOOKUP(INDIRECT(ADDRESS(2,COLUMN())),OFFSET($BN$2,0,0,ROW()-1,60),ROW()-1,FALSE))</f>
        <v>18</v>
      </c>
      <c r="Q42">
        <f ca="1">IF(AND(ISNUMBER($Q$198),$B$158=1),$Q$198,HLOOKUP(INDIRECT(ADDRESS(2,COLUMN())),OFFSET($BN$2,0,0,ROW()-1,60),ROW()-1,FALSE))</f>
        <v>21</v>
      </c>
      <c r="R42">
        <f ca="1">IF(AND(ISNUMBER($R$198),$B$158=1),$R$198,HLOOKUP(INDIRECT(ADDRESS(2,COLUMN())),OFFSET($BN$2,0,0,ROW()-1,60),ROW()-1,FALSE))</f>
        <v>22</v>
      </c>
      <c r="S42">
        <f ca="1">IF(AND(ISNUMBER($S$198),$B$158=1),$S$198,HLOOKUP(INDIRECT(ADDRESS(2,COLUMN())),OFFSET($BN$2,0,0,ROW()-1,60),ROW()-1,FALSE))</f>
        <v>18</v>
      </c>
      <c r="T42">
        <f ca="1">IF(AND(ISNUMBER($T$198),$B$158=1),$T$198,HLOOKUP(INDIRECT(ADDRESS(2,COLUMN())),OFFSET($BN$2,0,0,ROW()-1,60),ROW()-1,FALSE))</f>
        <v>21</v>
      </c>
      <c r="U42">
        <f ca="1">IF(AND(ISNUMBER($U$198),$B$158=1),$U$198,HLOOKUP(INDIRECT(ADDRESS(2,COLUMN())),OFFSET($BN$2,0,0,ROW()-1,60),ROW()-1,FALSE))</f>
        <v>24</v>
      </c>
      <c r="V42">
        <f ca="1">IF(AND(ISNUMBER($V$198),$B$158=1),$V$198,HLOOKUP(INDIRECT(ADDRESS(2,COLUMN())),OFFSET($BN$2,0,0,ROW()-1,60),ROW()-1,FALSE))</f>
        <v>33</v>
      </c>
      <c r="W42">
        <f ca="1">IF(AND(ISNUMBER($W$198),$B$158=1),$W$198,HLOOKUP(INDIRECT(ADDRESS(2,COLUMN())),OFFSET($BN$2,0,0,ROW()-1,60),ROW()-1,FALSE))</f>
        <v>37</v>
      </c>
      <c r="X42">
        <f ca="1">IF(AND(ISNUMBER($X$198),$B$158=1),$X$198,HLOOKUP(INDIRECT(ADDRESS(2,COLUMN())),OFFSET($BN$2,0,0,ROW()-1,60),ROW()-1,FALSE))</f>
        <v>41</v>
      </c>
      <c r="Y42">
        <f ca="1">IF(AND(ISNUMBER($Y$198),$B$158=1),$Y$198,HLOOKUP(INDIRECT(ADDRESS(2,COLUMN())),OFFSET($BN$2,0,0,ROW()-1,60),ROW()-1,FALSE))</f>
        <v>48</v>
      </c>
      <c r="Z42">
        <f ca="1">IF(AND(ISNUMBER($Z$198),$B$158=1),$Z$198,HLOOKUP(INDIRECT(ADDRESS(2,COLUMN())),OFFSET($BN$2,0,0,ROW()-1,60),ROW()-1,FALSE))</f>
        <v>38</v>
      </c>
      <c r="AA42">
        <f ca="1">IF(AND(ISNUMBER($AA$198),$B$158=1),$AA$198,HLOOKUP(INDIRECT(ADDRESS(2,COLUMN())),OFFSET($BN$2,0,0,ROW()-1,60),ROW()-1,FALSE))</f>
        <v>39</v>
      </c>
      <c r="AB42">
        <f ca="1">IF(AND(ISNUMBER($AB$198),$B$158=1),$AB$198,HLOOKUP(INDIRECT(ADDRESS(2,COLUMN())),OFFSET($BN$2,0,0,ROW()-1,60),ROW()-1,FALSE))</f>
        <v>38</v>
      </c>
      <c r="AC42">
        <f ca="1">IF(AND(ISNUMBER($AC$198),$B$158=1),$AC$198,HLOOKUP(INDIRECT(ADDRESS(2,COLUMN())),OFFSET($BN$2,0,0,ROW()-1,60),ROW()-1,FALSE))</f>
        <v>29</v>
      </c>
      <c r="AD42" t="str">
        <f ca="1">IF(AND(ISNUMBER($AD$198),$B$158=1),$AD$198,HLOOKUP(INDIRECT(ADDRESS(2,COLUMN())),OFFSET($BN$2,0,0,ROW()-1,60),ROW()-1,FALSE))</f>
        <v/>
      </c>
      <c r="AE42">
        <f ca="1">IF(AND(ISNUMBER($AE$198),$B$158=1),$AE$198,HLOOKUP(INDIRECT(ADDRESS(2,COLUMN())),OFFSET($BN$2,0,0,ROW()-1,60),ROW()-1,FALSE))</f>
        <v>27</v>
      </c>
      <c r="AF42">
        <f ca="1">IF(AND(ISNUMBER($AF$198),$B$158=1),$AF$198,HLOOKUP(INDIRECT(ADDRESS(2,COLUMN())),OFFSET($BN$2,0,0,ROW()-1,60),ROW()-1,FALSE))</f>
        <v>15</v>
      </c>
      <c r="AG42">
        <f ca="1">IF(AND(ISNUMBER($AG$198),$B$158=1),$AG$198,HLOOKUP(INDIRECT(ADDRESS(2,COLUMN())),OFFSET($BN$2,0,0,ROW()-1,60),ROW()-1,FALSE))</f>
        <v>14</v>
      </c>
      <c r="AH42" t="str">
        <f ca="1">IF(AND(ISNUMBER($AH$198),$B$158=1),$AH$198,HLOOKUP(INDIRECT(ADDRESS(2,COLUMN())),OFFSET($BN$2,0,0,ROW()-1,60),ROW()-1,FALSE))</f>
        <v/>
      </c>
      <c r="AI42" t="str">
        <f ca="1">IF(AND(ISNUMBER($AI$198),$B$158=1),$AI$198,HLOOKUP(INDIRECT(ADDRESS(2,COLUMN())),OFFSET($BN$2,0,0,ROW()-1,60),ROW()-1,FALSE))</f>
        <v/>
      </c>
      <c r="AJ42" t="str">
        <f ca="1">IF(AND(ISNUMBER($AJ$198),$B$158=1),$AJ$198,HLOOKUP(INDIRECT(ADDRESS(2,COLUMN())),OFFSET($BN$2,0,0,ROW()-1,60),ROW()-1,FALSE))</f>
        <v/>
      </c>
      <c r="AK42">
        <f ca="1">IF(AND(ISNUMBER($AK$198),$B$158=1),$AK$198,HLOOKUP(INDIRECT(ADDRESS(2,COLUMN())),OFFSET($BN$2,0,0,ROW()-1,60),ROW()-1,FALSE))</f>
        <v>69</v>
      </c>
      <c r="AL42" t="str">
        <f ca="1">IF(AND(ISNUMBER($AL$198),$B$158=1),$AL$198,HLOOKUP(INDIRECT(ADDRESS(2,COLUMN())),OFFSET($BN$2,0,0,ROW()-1,60),ROW()-1,FALSE))</f>
        <v/>
      </c>
      <c r="AM42" t="str">
        <f ca="1">IF(AND(ISNUMBER($AM$198),$B$158=1),$AM$198,HLOOKUP(INDIRECT(ADDRESS(2,COLUMN())),OFFSET($BN$2,0,0,ROW()-1,60),ROW()-1,FALSE))</f>
        <v/>
      </c>
      <c r="AN42" t="str">
        <f ca="1">IF(AND(ISNUMBER($AN$198),$B$158=1),$AN$198,HLOOKUP(INDIRECT(ADDRESS(2,COLUMN())),OFFSET($BN$2,0,0,ROW()-1,60),ROW()-1,FALSE))</f>
        <v/>
      </c>
      <c r="AO42">
        <f ca="1">IF(AND(ISNUMBER($AO$198),$B$158=1),$AO$198,HLOOKUP(INDIRECT(ADDRESS(2,COLUMN())),OFFSET($BN$2,0,0,ROW()-1,60),ROW()-1,FALSE))</f>
        <v>26</v>
      </c>
      <c r="AP42" t="str">
        <f ca="1">IF(AND(ISNUMBER($AP$198),$B$158=1),$AP$198,HLOOKUP(INDIRECT(ADDRESS(2,COLUMN())),OFFSET($BN$2,0,0,ROW()-1,60),ROW()-1,FALSE))</f>
        <v/>
      </c>
      <c r="AQ42" t="str">
        <f ca="1">IF(AND(ISNUMBER($AQ$198),$B$158=1),$AQ$198,HLOOKUP(INDIRECT(ADDRESS(2,COLUMN())),OFFSET($BN$2,0,0,ROW()-1,60),ROW()-1,FALSE))</f>
        <v/>
      </c>
      <c r="AR42" t="str">
        <f ca="1">IF(AND(ISNUMBER($AR$198),$B$158=1),$AR$198,HLOOKUP(INDIRECT(ADDRESS(2,COLUMN())),OFFSET($BN$2,0,0,ROW()-1,60),ROW()-1,FALSE))</f>
        <v/>
      </c>
      <c r="AS42" t="str">
        <f ca="1">IF(AND(ISNUMBER($AS$198),$B$158=1),$AS$198,HLOOKUP(INDIRECT(ADDRESS(2,COLUMN())),OFFSET($BN$2,0,0,ROW()-1,60),ROW()-1,FALSE))</f>
        <v/>
      </c>
      <c r="AT42" t="str">
        <f ca="1">IF(AND(ISNUMBER($AT$198),$B$158=1),$AT$198,HLOOKUP(INDIRECT(ADDRESS(2,COLUMN())),OFFSET($BN$2,0,0,ROW()-1,60),ROW()-1,FALSE))</f>
        <v/>
      </c>
      <c r="AU42" t="str">
        <f ca="1">IF(AND(ISNUMBER($AU$198),$B$158=1),$AU$198,HLOOKUP(INDIRECT(ADDRESS(2,COLUMN())),OFFSET($BN$2,0,0,ROW()-1,60),ROW()-1,FALSE))</f>
        <v/>
      </c>
      <c r="AV42" t="str">
        <f ca="1">IF(AND(ISNUMBER($AV$198),$B$158=1),$AV$198,HLOOKUP(INDIRECT(ADDRESS(2,COLUMN())),OFFSET($BN$2,0,0,ROW()-1,60),ROW()-1,FALSE))</f>
        <v/>
      </c>
      <c r="AW42" t="str">
        <f ca="1">IF(AND(ISNUMBER($AW$198),$B$158=1),$AW$198,HLOOKUP(INDIRECT(ADDRESS(2,COLUMN())),OFFSET($BN$2,0,0,ROW()-1,60),ROW()-1,FALSE))</f>
        <v/>
      </c>
      <c r="AX42" t="str">
        <f ca="1">IF(AND(ISNUMBER($AX$198),$B$158=1),$AX$198,HLOOKUP(INDIRECT(ADDRESS(2,COLUMN())),OFFSET($BN$2,0,0,ROW()-1,60),ROW()-1,FALSE))</f>
        <v/>
      </c>
      <c r="AY42" t="str">
        <f ca="1">IF(AND(ISNUMBER($AY$198),$B$158=1),$AY$198,HLOOKUP(INDIRECT(ADDRESS(2,COLUMN())),OFFSET($BN$2,0,0,ROW()-1,60),ROW()-1,FALSE))</f>
        <v/>
      </c>
      <c r="AZ42" t="str">
        <f ca="1">IF(AND(ISNUMBER($AZ$198),$B$158=1),$AZ$198,HLOOKUP(INDIRECT(ADDRESS(2,COLUMN())),OFFSET($BN$2,0,0,ROW()-1,60),ROW()-1,FALSE))</f>
        <v/>
      </c>
      <c r="BA42" t="str">
        <f ca="1">IF(AND(ISNUMBER($BA$198),$B$158=1),$BA$198,HLOOKUP(INDIRECT(ADDRESS(2,COLUMN())),OFFSET($BN$2,0,0,ROW()-1,60),ROW()-1,FALSE))</f>
        <v/>
      </c>
      <c r="BB42" t="str">
        <f ca="1">IF(AND(ISNUMBER($BB$198),$B$158=1),$BB$198,HLOOKUP(INDIRECT(ADDRESS(2,COLUMN())),OFFSET($BN$2,0,0,ROW()-1,60),ROW()-1,FALSE))</f>
        <v/>
      </c>
      <c r="BC42" t="str">
        <f ca="1">IF(AND(ISNUMBER($BC$198),$B$158=1),$BC$198,HLOOKUP(INDIRECT(ADDRESS(2,COLUMN())),OFFSET($BN$2,0,0,ROW()-1,60),ROW()-1,FALSE))</f>
        <v/>
      </c>
      <c r="BD42" t="str">
        <f ca="1">IF(AND(ISNUMBER($BD$198),$B$158=1),$BD$198,HLOOKUP(INDIRECT(ADDRESS(2,COLUMN())),OFFSET($BN$2,0,0,ROW()-1,60),ROW()-1,FALSE))</f>
        <v/>
      </c>
      <c r="BE42" t="str">
        <f ca="1">IF(AND(ISNUMBER($BE$198),$B$158=1),$BE$198,HLOOKUP(INDIRECT(ADDRESS(2,COLUMN())),OFFSET($BN$2,0,0,ROW()-1,60),ROW()-1,FALSE))</f>
        <v/>
      </c>
      <c r="BF42" t="str">
        <f ca="1">IF(AND(ISNUMBER($BF$198),$B$158=1),$BF$198,HLOOKUP(INDIRECT(ADDRESS(2,COLUMN())),OFFSET($BN$2,0,0,ROW()-1,60),ROW()-1,FALSE))</f>
        <v/>
      </c>
      <c r="BG42" t="str">
        <f ca="1">IF(AND(ISNUMBER($BG$198),$B$158=1),$BG$198,HLOOKUP(INDIRECT(ADDRESS(2,COLUMN())),OFFSET($BN$2,0,0,ROW()-1,60),ROW()-1,FALSE))</f>
        <v/>
      </c>
      <c r="BH42" t="str">
        <f ca="1">IF(AND(ISNUMBER($BH$198),$B$158=1),$BH$198,HLOOKUP(INDIRECT(ADDRESS(2,COLUMN())),OFFSET($BN$2,0,0,ROW()-1,60),ROW()-1,FALSE))</f>
        <v/>
      </c>
      <c r="BI42" t="str">
        <f ca="1">IF(AND(ISNUMBER($BI$198),$B$158=1),$BI$198,HLOOKUP(INDIRECT(ADDRESS(2,COLUMN())),OFFSET($BN$2,0,0,ROW()-1,60),ROW()-1,FALSE))</f>
        <v/>
      </c>
      <c r="BJ42" t="str">
        <f ca="1">IF(AND(ISNUMBER($BJ$198),$B$158=1),$BJ$198,HLOOKUP(INDIRECT(ADDRESS(2,COLUMN())),OFFSET($BN$2,0,0,ROW()-1,60),ROW()-1,FALSE))</f>
        <v/>
      </c>
      <c r="BK42" t="str">
        <f ca="1">IF(AND(ISNUMBER($BK$198),$B$158=1),$BK$198,HLOOKUP(INDIRECT(ADDRESS(2,COLUMN())),OFFSET($BN$2,0,0,ROW()-1,60),ROW()-1,FALSE))</f>
        <v/>
      </c>
      <c r="BL42" t="str">
        <f ca="1">IF(AND(ISNUMBER($BL$198),$B$158=1),$BL$198,HLOOKUP(INDIRECT(ADDRESS(2,COLUMN())),OFFSET($BN$2,0,0,ROW()-1,60),ROW()-1,FALSE))</f>
        <v/>
      </c>
      <c r="BM42" t="str">
        <f ca="1">IF(AND(ISNUMBER($BM$198),$B$158=1),$BM$198,HLOOKUP(INDIRECT(ADDRESS(2,COLUMN())),OFFSET($BN$2,0,0,ROW()-1,60),ROW()-1,FALSE))</f>
        <v/>
      </c>
      <c r="BN42" t="str">
        <f>""</f>
        <v/>
      </c>
      <c r="BO42">
        <f>2</f>
        <v>2</v>
      </c>
      <c r="BP42">
        <f>67</f>
        <v>67</v>
      </c>
      <c r="BQ42">
        <f>89</f>
        <v>89</v>
      </c>
      <c r="BR42">
        <f>30</f>
        <v>30</v>
      </c>
      <c r="BS42">
        <f>29</f>
        <v>29</v>
      </c>
      <c r="BT42">
        <f>-17</f>
        <v>-17</v>
      </c>
      <c r="BU42">
        <f>-34</f>
        <v>-34</v>
      </c>
      <c r="BV42">
        <f>7</f>
        <v>7</v>
      </c>
      <c r="BW42">
        <f>8</f>
        <v>8</v>
      </c>
      <c r="BX42">
        <f>18</f>
        <v>18</v>
      </c>
      <c r="BY42">
        <f>21</f>
        <v>21</v>
      </c>
      <c r="BZ42">
        <f>22</f>
        <v>22</v>
      </c>
      <c r="CA42">
        <f>18</f>
        <v>18</v>
      </c>
      <c r="CB42">
        <f>21</f>
        <v>21</v>
      </c>
      <c r="CC42">
        <f>24</f>
        <v>24</v>
      </c>
      <c r="CD42">
        <f>33</f>
        <v>33</v>
      </c>
      <c r="CE42">
        <f>37</f>
        <v>37</v>
      </c>
      <c r="CF42">
        <f>41</f>
        <v>41</v>
      </c>
      <c r="CG42">
        <f>48</f>
        <v>48</v>
      </c>
      <c r="CH42">
        <f>38</f>
        <v>38</v>
      </c>
      <c r="CI42">
        <f>39</f>
        <v>39</v>
      </c>
      <c r="CJ42">
        <f>38</f>
        <v>38</v>
      </c>
      <c r="CK42">
        <f>29</f>
        <v>29</v>
      </c>
      <c r="CL42" t="str">
        <f>""</f>
        <v/>
      </c>
      <c r="CM42">
        <f>27</f>
        <v>27</v>
      </c>
      <c r="CN42">
        <f>15</f>
        <v>15</v>
      </c>
      <c r="CO42">
        <f>14</f>
        <v>14</v>
      </c>
      <c r="CP42" t="str">
        <f>""</f>
        <v/>
      </c>
      <c r="CQ42" t="str">
        <f>""</f>
        <v/>
      </c>
      <c r="CR42" t="str">
        <f>""</f>
        <v/>
      </c>
      <c r="CS42">
        <f>69</f>
        <v>69</v>
      </c>
      <c r="CT42" t="str">
        <f>""</f>
        <v/>
      </c>
      <c r="CU42" t="str">
        <f>""</f>
        <v/>
      </c>
      <c r="CV42" t="str">
        <f>""</f>
        <v/>
      </c>
      <c r="CW42">
        <f>26</f>
        <v>26</v>
      </c>
      <c r="CX42" t="str">
        <f>""</f>
        <v/>
      </c>
      <c r="CY42" t="str">
        <f>""</f>
        <v/>
      </c>
      <c r="CZ42" t="str">
        <f>""</f>
        <v/>
      </c>
      <c r="DA42" t="str">
        <f>""</f>
        <v/>
      </c>
      <c r="DB42" t="str">
        <f>""</f>
        <v/>
      </c>
      <c r="DC42" t="str">
        <f>""</f>
        <v/>
      </c>
      <c r="DD42" t="str">
        <f>""</f>
        <v/>
      </c>
      <c r="DE42" t="str">
        <f>""</f>
        <v/>
      </c>
      <c r="DF42" t="str">
        <f>""</f>
        <v/>
      </c>
      <c r="DG42" t="str">
        <f>""</f>
        <v/>
      </c>
      <c r="DH42" t="str">
        <f>""</f>
        <v/>
      </c>
      <c r="DI42" t="str">
        <f>""</f>
        <v/>
      </c>
      <c r="DJ42" t="str">
        <f>""</f>
        <v/>
      </c>
      <c r="DK42" t="str">
        <f>""</f>
        <v/>
      </c>
      <c r="DL42" t="str">
        <f>""</f>
        <v/>
      </c>
      <c r="DM42" t="str">
        <f>""</f>
        <v/>
      </c>
      <c r="DN42" t="str">
        <f>""</f>
        <v/>
      </c>
      <c r="DO42" t="str">
        <f>""</f>
        <v/>
      </c>
      <c r="DP42" t="str">
        <f>""</f>
        <v/>
      </c>
      <c r="DQ42" t="str">
        <f>""</f>
        <v/>
      </c>
      <c r="DR42" t="str">
        <f>""</f>
        <v/>
      </c>
      <c r="DS42" t="str">
        <f>""</f>
        <v/>
      </c>
      <c r="DT42" t="str">
        <f>""</f>
        <v/>
      </c>
      <c r="DU42" t="str">
        <f>""</f>
        <v/>
      </c>
    </row>
    <row r="43" spans="1:125" x14ac:dyDescent="0.25">
      <c r="A43" t="str">
        <f>"                        RoW"</f>
        <v xml:space="preserve">                        RoW</v>
      </c>
      <c r="B43" t="str">
        <f t="shared" si="20"/>
        <v>KER FP Equity</v>
      </c>
      <c r="C43" t="str">
        <f t="shared" si="21"/>
        <v>BI047</v>
      </c>
      <c r="D43" t="str">
        <f t="shared" si="22"/>
        <v>BICS_SEGMENT_DATA</v>
      </c>
      <c r="E43" t="str">
        <f t="shared" si="23"/>
        <v>Dynamic</v>
      </c>
      <c r="F43" t="str">
        <f ca="1">IF(AND(ISNUMBER($F$199),$B$158=1),$F$199,HLOOKUP(INDIRECT(ADDRESS(2,COLUMN())),OFFSET($BN$2,0,0,ROW()-1,60),ROW()-1,FALSE))</f>
        <v/>
      </c>
      <c r="G43">
        <f ca="1">IF(AND(ISNUMBER($G$199),$B$158=1),$G$199,HLOOKUP(INDIRECT(ADDRESS(2,COLUMN())),OFFSET($BN$2,0,0,ROW()-1,60),ROW()-1,FALSE))</f>
        <v>37</v>
      </c>
      <c r="H43">
        <f ca="1">IF(AND(ISNUMBER($H$199),$B$158=1),$H$199,HLOOKUP(INDIRECT(ADDRESS(2,COLUMN())),OFFSET($BN$2,0,0,ROW()-1,60),ROW()-1,FALSE))</f>
        <v>355</v>
      </c>
      <c r="I43">
        <f ca="1">IF(AND(ISNUMBER($I$199),$B$158=1),$I$199,HLOOKUP(INDIRECT(ADDRESS(2,COLUMN())),OFFSET($BN$2,0,0,ROW()-1,60),ROW()-1,FALSE))</f>
        <v>45</v>
      </c>
      <c r="J43">
        <f ca="1">IF(AND(ISNUMBER($J$199),$B$158=1),$J$199,HLOOKUP(INDIRECT(ADDRESS(2,COLUMN())),OFFSET($BN$2,0,0,ROW()-1,60),ROW()-1,FALSE))</f>
        <v>26</v>
      </c>
      <c r="K43">
        <f ca="1">IF(AND(ISNUMBER($K$199),$B$158=1),$K$199,HLOOKUP(INDIRECT(ADDRESS(2,COLUMN())),OFFSET($BN$2,0,0,ROW()-1,60),ROW()-1,FALSE))</f>
        <v>60</v>
      </c>
      <c r="L43">
        <f ca="1">IF(AND(ISNUMBER($L$199),$B$158=1),$L$199,HLOOKUP(INDIRECT(ADDRESS(2,COLUMN())),OFFSET($BN$2,0,0,ROW()-1,60),ROW()-1,FALSE))</f>
        <v>-69</v>
      </c>
      <c r="M43">
        <f ca="1">IF(AND(ISNUMBER($M$199),$B$158=1),$M$199,HLOOKUP(INDIRECT(ADDRESS(2,COLUMN())),OFFSET($BN$2,0,0,ROW()-1,60),ROW()-1,FALSE))</f>
        <v>-11</v>
      </c>
      <c r="N43">
        <f ca="1">IF(AND(ISNUMBER($N$199),$B$158=1),$N$199,HLOOKUP(INDIRECT(ADDRESS(2,COLUMN())),OFFSET($BN$2,0,0,ROW()-1,60),ROW()-1,FALSE))</f>
        <v>13</v>
      </c>
      <c r="O43">
        <f ca="1">IF(AND(ISNUMBER($O$199),$B$158=1),$O$199,HLOOKUP(INDIRECT(ADDRESS(2,COLUMN())),OFFSET($BN$2,0,0,ROW()-1,60),ROW()-1,FALSE))</f>
        <v>1</v>
      </c>
      <c r="P43">
        <f ca="1">IF(AND(ISNUMBER($P$199),$B$158=1),$P$199,HLOOKUP(INDIRECT(ADDRESS(2,COLUMN())),OFFSET($BN$2,0,0,ROW()-1,60),ROW()-1,FALSE))</f>
        <v>12</v>
      </c>
      <c r="Q43">
        <f ca="1">IF(AND(ISNUMBER($Q$199),$B$158=1),$Q$199,HLOOKUP(INDIRECT(ADDRESS(2,COLUMN())),OFFSET($BN$2,0,0,ROW()-1,60),ROW()-1,FALSE))</f>
        <v>24</v>
      </c>
      <c r="R43">
        <f ca="1">IF(AND(ISNUMBER($R$199),$B$158=1),$R$199,HLOOKUP(INDIRECT(ADDRESS(2,COLUMN())),OFFSET($BN$2,0,0,ROW()-1,60),ROW()-1,FALSE))</f>
        <v>30</v>
      </c>
      <c r="S43">
        <f ca="1">IF(AND(ISNUMBER($S$199),$B$158=1),$S$199,HLOOKUP(INDIRECT(ADDRESS(2,COLUMN())),OFFSET($BN$2,0,0,ROW()-1,60),ROW()-1,FALSE))</f>
        <v>21</v>
      </c>
      <c r="T43">
        <f ca="1">IF(AND(ISNUMBER($T$199),$B$158=1),$T$199,HLOOKUP(INDIRECT(ADDRESS(2,COLUMN())),OFFSET($BN$2,0,0,ROW()-1,60),ROW()-1,FALSE))</f>
        <v>7</v>
      </c>
      <c r="U43">
        <f ca="1">IF(AND(ISNUMBER($U$199),$B$158=1),$U$199,HLOOKUP(INDIRECT(ADDRESS(2,COLUMN())),OFFSET($BN$2,0,0,ROW()-1,60),ROW()-1,FALSE))</f>
        <v>17</v>
      </c>
      <c r="V43">
        <f ca="1">IF(AND(ISNUMBER($V$199),$B$158=1),$V$199,HLOOKUP(INDIRECT(ADDRESS(2,COLUMN())),OFFSET($BN$2,0,0,ROW()-1,60),ROW()-1,FALSE))</f>
        <v>27</v>
      </c>
      <c r="W43">
        <f ca="1">IF(AND(ISNUMBER($W$199),$B$158=1),$W$199,HLOOKUP(INDIRECT(ADDRESS(2,COLUMN())),OFFSET($BN$2,0,0,ROW()-1,60),ROW()-1,FALSE))</f>
        <v>7</v>
      </c>
      <c r="X43">
        <f ca="1">IF(AND(ISNUMBER($X$199),$B$158=1),$X$199,HLOOKUP(INDIRECT(ADDRESS(2,COLUMN())),OFFSET($BN$2,0,0,ROW()-1,60),ROW()-1,FALSE))</f>
        <v>33</v>
      </c>
      <c r="Y43">
        <f ca="1">IF(AND(ISNUMBER($Y$199),$B$158=1),$Y$199,HLOOKUP(INDIRECT(ADDRESS(2,COLUMN())),OFFSET($BN$2,0,0,ROW()-1,60),ROW()-1,FALSE))</f>
        <v>16</v>
      </c>
      <c r="Z43" t="str">
        <f ca="1">IF(AND(ISNUMBER($Z$199),$B$158=1),$Z$199,HLOOKUP(INDIRECT(ADDRESS(2,COLUMN())),OFFSET($BN$2,0,0,ROW()-1,60),ROW()-1,FALSE))</f>
        <v/>
      </c>
      <c r="AA43">
        <f ca="1">IF(AND(ISNUMBER($AA$199),$B$158=1),$AA$199,HLOOKUP(INDIRECT(ADDRESS(2,COLUMN())),OFFSET($BN$2,0,0,ROW()-1,60),ROW()-1,FALSE))</f>
        <v>52</v>
      </c>
      <c r="AB43">
        <f ca="1">IF(AND(ISNUMBER($AB$199),$B$158=1),$AB$199,HLOOKUP(INDIRECT(ADDRESS(2,COLUMN())),OFFSET($BN$2,0,0,ROW()-1,60),ROW()-1,FALSE))</f>
        <v>75</v>
      </c>
      <c r="AC43">
        <f ca="1">IF(AND(ISNUMBER($AC$199),$B$158=1),$AC$199,HLOOKUP(INDIRECT(ADDRESS(2,COLUMN())),OFFSET($BN$2,0,0,ROW()-1,60),ROW()-1,FALSE))</f>
        <v>34</v>
      </c>
      <c r="AD43" t="str">
        <f ca="1">IF(AND(ISNUMBER($AD$199),$B$158=1),$AD$199,HLOOKUP(INDIRECT(ADDRESS(2,COLUMN())),OFFSET($BN$2,0,0,ROW()-1,60),ROW()-1,FALSE))</f>
        <v/>
      </c>
      <c r="AE43">
        <f ca="1">IF(AND(ISNUMBER($AE$199),$B$158=1),$AE$199,HLOOKUP(INDIRECT(ADDRESS(2,COLUMN())),OFFSET($BN$2,0,0,ROW()-1,60),ROW()-1,FALSE))</f>
        <v>10</v>
      </c>
      <c r="AF43">
        <f ca="1">IF(AND(ISNUMBER($AF$199),$B$158=1),$AF$199,HLOOKUP(INDIRECT(ADDRESS(2,COLUMN())),OFFSET($BN$2,0,0,ROW()-1,60),ROW()-1,FALSE))</f>
        <v>-14</v>
      </c>
      <c r="AG43">
        <f ca="1">IF(AND(ISNUMBER($AG$199),$B$158=1),$AG$199,HLOOKUP(INDIRECT(ADDRESS(2,COLUMN())),OFFSET($BN$2,0,0,ROW()-1,60),ROW()-1,FALSE))</f>
        <v>-11</v>
      </c>
      <c r="AH43" t="str">
        <f ca="1">IF(AND(ISNUMBER($AH$199),$B$158=1),$AH$199,HLOOKUP(INDIRECT(ADDRESS(2,COLUMN())),OFFSET($BN$2,0,0,ROW()-1,60),ROW()-1,FALSE))</f>
        <v/>
      </c>
      <c r="AI43" t="str">
        <f ca="1">IF(AND(ISNUMBER($AI$199),$B$158=1),$AI$199,HLOOKUP(INDIRECT(ADDRESS(2,COLUMN())),OFFSET($BN$2,0,0,ROW()-1,60),ROW()-1,FALSE))</f>
        <v/>
      </c>
      <c r="AJ43" t="str">
        <f ca="1">IF(AND(ISNUMBER($AJ$199),$B$158=1),$AJ$199,HLOOKUP(INDIRECT(ADDRESS(2,COLUMN())),OFFSET($BN$2,0,0,ROW()-1,60),ROW()-1,FALSE))</f>
        <v/>
      </c>
      <c r="AK43">
        <f ca="1">IF(AND(ISNUMBER($AK$199),$B$158=1),$AK$199,HLOOKUP(INDIRECT(ADDRESS(2,COLUMN())),OFFSET($BN$2,0,0,ROW()-1,60),ROW()-1,FALSE))</f>
        <v>5</v>
      </c>
      <c r="AL43" t="str">
        <f ca="1">IF(AND(ISNUMBER($AL$199),$B$158=1),$AL$199,HLOOKUP(INDIRECT(ADDRESS(2,COLUMN())),OFFSET($BN$2,0,0,ROW()-1,60),ROW()-1,FALSE))</f>
        <v/>
      </c>
      <c r="AM43" t="str">
        <f ca="1">IF(AND(ISNUMBER($AM$199),$B$158=1),$AM$199,HLOOKUP(INDIRECT(ADDRESS(2,COLUMN())),OFFSET($BN$2,0,0,ROW()-1,60),ROW()-1,FALSE))</f>
        <v/>
      </c>
      <c r="AN43" t="str">
        <f ca="1">IF(AND(ISNUMBER($AN$199),$B$158=1),$AN$199,HLOOKUP(INDIRECT(ADDRESS(2,COLUMN())),OFFSET($BN$2,0,0,ROW()-1,60),ROW()-1,FALSE))</f>
        <v/>
      </c>
      <c r="AO43">
        <f ca="1">IF(AND(ISNUMBER($AO$199),$B$158=1),$AO$199,HLOOKUP(INDIRECT(ADDRESS(2,COLUMN())),OFFSET($BN$2,0,0,ROW()-1,60),ROW()-1,FALSE))</f>
        <v>29</v>
      </c>
      <c r="AP43" t="str">
        <f ca="1">IF(AND(ISNUMBER($AP$199),$B$158=1),$AP$199,HLOOKUP(INDIRECT(ADDRESS(2,COLUMN())),OFFSET($BN$2,0,0,ROW()-1,60),ROW()-1,FALSE))</f>
        <v/>
      </c>
      <c r="AQ43" t="str">
        <f ca="1">IF(AND(ISNUMBER($AQ$199),$B$158=1),$AQ$199,HLOOKUP(INDIRECT(ADDRESS(2,COLUMN())),OFFSET($BN$2,0,0,ROW()-1,60),ROW()-1,FALSE))</f>
        <v/>
      </c>
      <c r="AR43" t="str">
        <f ca="1">IF(AND(ISNUMBER($AR$199),$B$158=1),$AR$199,HLOOKUP(INDIRECT(ADDRESS(2,COLUMN())),OFFSET($BN$2,0,0,ROW()-1,60),ROW()-1,FALSE))</f>
        <v/>
      </c>
      <c r="AS43" t="str">
        <f ca="1">IF(AND(ISNUMBER($AS$199),$B$158=1),$AS$199,HLOOKUP(INDIRECT(ADDRESS(2,COLUMN())),OFFSET($BN$2,0,0,ROW()-1,60),ROW()-1,FALSE))</f>
        <v/>
      </c>
      <c r="AT43" t="str">
        <f ca="1">IF(AND(ISNUMBER($AT$199),$B$158=1),$AT$199,HLOOKUP(INDIRECT(ADDRESS(2,COLUMN())),OFFSET($BN$2,0,0,ROW()-1,60),ROW()-1,FALSE))</f>
        <v/>
      </c>
      <c r="AU43" t="str">
        <f ca="1">IF(AND(ISNUMBER($AU$199),$B$158=1),$AU$199,HLOOKUP(INDIRECT(ADDRESS(2,COLUMN())),OFFSET($BN$2,0,0,ROW()-1,60),ROW()-1,FALSE))</f>
        <v/>
      </c>
      <c r="AV43" t="str">
        <f ca="1">IF(AND(ISNUMBER($AV$199),$B$158=1),$AV$199,HLOOKUP(INDIRECT(ADDRESS(2,COLUMN())),OFFSET($BN$2,0,0,ROW()-1,60),ROW()-1,FALSE))</f>
        <v/>
      </c>
      <c r="AW43" t="str">
        <f ca="1">IF(AND(ISNUMBER($AW$199),$B$158=1),$AW$199,HLOOKUP(INDIRECT(ADDRESS(2,COLUMN())),OFFSET($BN$2,0,0,ROW()-1,60),ROW()-1,FALSE))</f>
        <v/>
      </c>
      <c r="AX43" t="str">
        <f ca="1">IF(AND(ISNUMBER($AX$199),$B$158=1),$AX$199,HLOOKUP(INDIRECT(ADDRESS(2,COLUMN())),OFFSET($BN$2,0,0,ROW()-1,60),ROW()-1,FALSE))</f>
        <v/>
      </c>
      <c r="AY43" t="str">
        <f ca="1">IF(AND(ISNUMBER($AY$199),$B$158=1),$AY$199,HLOOKUP(INDIRECT(ADDRESS(2,COLUMN())),OFFSET($BN$2,0,0,ROW()-1,60),ROW()-1,FALSE))</f>
        <v/>
      </c>
      <c r="AZ43" t="str">
        <f ca="1">IF(AND(ISNUMBER($AZ$199),$B$158=1),$AZ$199,HLOOKUP(INDIRECT(ADDRESS(2,COLUMN())),OFFSET($BN$2,0,0,ROW()-1,60),ROW()-1,FALSE))</f>
        <v/>
      </c>
      <c r="BA43" t="str">
        <f ca="1">IF(AND(ISNUMBER($BA$199),$B$158=1),$BA$199,HLOOKUP(INDIRECT(ADDRESS(2,COLUMN())),OFFSET($BN$2,0,0,ROW()-1,60),ROW()-1,FALSE))</f>
        <v/>
      </c>
      <c r="BB43" t="str">
        <f ca="1">IF(AND(ISNUMBER($BB$199),$B$158=1),$BB$199,HLOOKUP(INDIRECT(ADDRESS(2,COLUMN())),OFFSET($BN$2,0,0,ROW()-1,60),ROW()-1,FALSE))</f>
        <v/>
      </c>
      <c r="BC43" t="str">
        <f ca="1">IF(AND(ISNUMBER($BC$199),$B$158=1),$BC$199,HLOOKUP(INDIRECT(ADDRESS(2,COLUMN())),OFFSET($BN$2,0,0,ROW()-1,60),ROW()-1,FALSE))</f>
        <v/>
      </c>
      <c r="BD43" t="str">
        <f ca="1">IF(AND(ISNUMBER($BD$199),$B$158=1),$BD$199,HLOOKUP(INDIRECT(ADDRESS(2,COLUMN())),OFFSET($BN$2,0,0,ROW()-1,60),ROW()-1,FALSE))</f>
        <v/>
      </c>
      <c r="BE43" t="str">
        <f ca="1">IF(AND(ISNUMBER($BE$199),$B$158=1),$BE$199,HLOOKUP(INDIRECT(ADDRESS(2,COLUMN())),OFFSET($BN$2,0,0,ROW()-1,60),ROW()-1,FALSE))</f>
        <v/>
      </c>
      <c r="BF43" t="str">
        <f ca="1">IF(AND(ISNUMBER($BF$199),$B$158=1),$BF$199,HLOOKUP(INDIRECT(ADDRESS(2,COLUMN())),OFFSET($BN$2,0,0,ROW()-1,60),ROW()-1,FALSE))</f>
        <v/>
      </c>
      <c r="BG43" t="str">
        <f ca="1">IF(AND(ISNUMBER($BG$199),$B$158=1),$BG$199,HLOOKUP(INDIRECT(ADDRESS(2,COLUMN())),OFFSET($BN$2,0,0,ROW()-1,60),ROW()-1,FALSE))</f>
        <v/>
      </c>
      <c r="BH43" t="str">
        <f ca="1">IF(AND(ISNUMBER($BH$199),$B$158=1),$BH$199,HLOOKUP(INDIRECT(ADDRESS(2,COLUMN())),OFFSET($BN$2,0,0,ROW()-1,60),ROW()-1,FALSE))</f>
        <v/>
      </c>
      <c r="BI43" t="str">
        <f ca="1">IF(AND(ISNUMBER($BI$199),$B$158=1),$BI$199,HLOOKUP(INDIRECT(ADDRESS(2,COLUMN())),OFFSET($BN$2,0,0,ROW()-1,60),ROW()-1,FALSE))</f>
        <v/>
      </c>
      <c r="BJ43" t="str">
        <f ca="1">IF(AND(ISNUMBER($BJ$199),$B$158=1),$BJ$199,HLOOKUP(INDIRECT(ADDRESS(2,COLUMN())),OFFSET($BN$2,0,0,ROW()-1,60),ROW()-1,FALSE))</f>
        <v/>
      </c>
      <c r="BK43" t="str">
        <f ca="1">IF(AND(ISNUMBER($BK$199),$B$158=1),$BK$199,HLOOKUP(INDIRECT(ADDRESS(2,COLUMN())),OFFSET($BN$2,0,0,ROW()-1,60),ROW()-1,FALSE))</f>
        <v/>
      </c>
      <c r="BL43" t="str">
        <f ca="1">IF(AND(ISNUMBER($BL$199),$B$158=1),$BL$199,HLOOKUP(INDIRECT(ADDRESS(2,COLUMN())),OFFSET($BN$2,0,0,ROW()-1,60),ROW()-1,FALSE))</f>
        <v/>
      </c>
      <c r="BM43" t="str">
        <f ca="1">IF(AND(ISNUMBER($BM$199),$B$158=1),$BM$199,HLOOKUP(INDIRECT(ADDRESS(2,COLUMN())),OFFSET($BN$2,0,0,ROW()-1,60),ROW()-1,FALSE))</f>
        <v/>
      </c>
      <c r="BN43" t="str">
        <f>""</f>
        <v/>
      </c>
      <c r="BO43">
        <f>37</f>
        <v>37</v>
      </c>
      <c r="BP43">
        <f>355</f>
        <v>355</v>
      </c>
      <c r="BQ43">
        <f>45</f>
        <v>45</v>
      </c>
      <c r="BR43">
        <f>26</f>
        <v>26</v>
      </c>
      <c r="BS43">
        <f>60</f>
        <v>60</v>
      </c>
      <c r="BT43">
        <f>-69</f>
        <v>-69</v>
      </c>
      <c r="BU43">
        <f>-11</f>
        <v>-11</v>
      </c>
      <c r="BV43">
        <f>13</f>
        <v>13</v>
      </c>
      <c r="BW43">
        <f>1</f>
        <v>1</v>
      </c>
      <c r="BX43">
        <f>12</f>
        <v>12</v>
      </c>
      <c r="BY43">
        <f>24</f>
        <v>24</v>
      </c>
      <c r="BZ43">
        <f>30</f>
        <v>30</v>
      </c>
      <c r="CA43">
        <f>21</f>
        <v>21</v>
      </c>
      <c r="CB43">
        <f>7</f>
        <v>7</v>
      </c>
      <c r="CC43">
        <f>17</f>
        <v>17</v>
      </c>
      <c r="CD43">
        <f>27</f>
        <v>27</v>
      </c>
      <c r="CE43">
        <f>7</f>
        <v>7</v>
      </c>
      <c r="CF43">
        <f>33</f>
        <v>33</v>
      </c>
      <c r="CG43">
        <f>16</f>
        <v>16</v>
      </c>
      <c r="CH43" t="str">
        <f>""</f>
        <v/>
      </c>
      <c r="CI43">
        <f>52</f>
        <v>52</v>
      </c>
      <c r="CJ43">
        <f>75</f>
        <v>75</v>
      </c>
      <c r="CK43">
        <f>34</f>
        <v>34</v>
      </c>
      <c r="CL43" t="str">
        <f>""</f>
        <v/>
      </c>
      <c r="CM43">
        <f>10</f>
        <v>10</v>
      </c>
      <c r="CN43">
        <f>-14</f>
        <v>-14</v>
      </c>
      <c r="CO43">
        <f>-11</f>
        <v>-11</v>
      </c>
      <c r="CP43" t="str">
        <f>""</f>
        <v/>
      </c>
      <c r="CQ43" t="str">
        <f>""</f>
        <v/>
      </c>
      <c r="CR43" t="str">
        <f>""</f>
        <v/>
      </c>
      <c r="CS43">
        <f>5</f>
        <v>5</v>
      </c>
      <c r="CT43" t="str">
        <f>""</f>
        <v/>
      </c>
      <c r="CU43" t="str">
        <f>""</f>
        <v/>
      </c>
      <c r="CV43" t="str">
        <f>""</f>
        <v/>
      </c>
      <c r="CW43">
        <f>29</f>
        <v>29</v>
      </c>
      <c r="CX43" t="str">
        <f>""</f>
        <v/>
      </c>
      <c r="CY43" t="str">
        <f>""</f>
        <v/>
      </c>
      <c r="CZ43" t="str">
        <f>""</f>
        <v/>
      </c>
      <c r="DA43" t="str">
        <f>""</f>
        <v/>
      </c>
      <c r="DB43" t="str">
        <f>""</f>
        <v/>
      </c>
      <c r="DC43" t="str">
        <f>""</f>
        <v/>
      </c>
      <c r="DD43" t="str">
        <f>""</f>
        <v/>
      </c>
      <c r="DE43" t="str">
        <f>""</f>
        <v/>
      </c>
      <c r="DF43" t="str">
        <f>""</f>
        <v/>
      </c>
      <c r="DG43" t="str">
        <f>""</f>
        <v/>
      </c>
      <c r="DH43" t="str">
        <f>""</f>
        <v/>
      </c>
      <c r="DI43" t="str">
        <f>""</f>
        <v/>
      </c>
      <c r="DJ43" t="str">
        <f>""</f>
        <v/>
      </c>
      <c r="DK43" t="str">
        <f>""</f>
        <v/>
      </c>
      <c r="DL43" t="str">
        <f>""</f>
        <v/>
      </c>
      <c r="DM43" t="str">
        <f>""</f>
        <v/>
      </c>
      <c r="DN43" t="str">
        <f>""</f>
        <v/>
      </c>
      <c r="DO43" t="str">
        <f>""</f>
        <v/>
      </c>
      <c r="DP43" t="str">
        <f>""</f>
        <v/>
      </c>
      <c r="DQ43" t="str">
        <f>""</f>
        <v/>
      </c>
      <c r="DR43" t="str">
        <f>""</f>
        <v/>
      </c>
      <c r="DS43" t="str">
        <f>""</f>
        <v/>
      </c>
      <c r="DT43" t="str">
        <f>""</f>
        <v/>
      </c>
      <c r="DU43" t="str">
        <f>""</f>
        <v/>
      </c>
    </row>
    <row r="44" spans="1:125" x14ac:dyDescent="0.25">
      <c r="A44" t="str">
        <f>"                    Wholesale"</f>
        <v xml:space="preserve">                    Wholesale</v>
      </c>
      <c r="B44" t="str">
        <f t="shared" si="20"/>
        <v>KER FP Equity</v>
      </c>
      <c r="C44" t="str">
        <f t="shared" si="21"/>
        <v>BI047</v>
      </c>
      <c r="D44" t="str">
        <f t="shared" si="22"/>
        <v>BICS_SEGMENT_DATA</v>
      </c>
      <c r="E44" t="str">
        <f t="shared" si="23"/>
        <v>Dynamic</v>
      </c>
      <c r="F44" t="str">
        <f ca="1">IF(AND(ISNUMBER($F$200),$B$158=1),$F$200,HLOOKUP(INDIRECT(ADDRESS(2,COLUMN())),OFFSET($BN$2,0,0,ROW()-1,60),ROW()-1,FALSE))</f>
        <v/>
      </c>
      <c r="G44">
        <f ca="1">IF(AND(ISNUMBER($G$200),$B$158=1),$G$200,HLOOKUP(INDIRECT(ADDRESS(2,COLUMN())),OFFSET($BN$2,0,0,ROW()-1,60),ROW()-1,FALSE))</f>
        <v>22</v>
      </c>
      <c r="H44">
        <f ca="1">IF(AND(ISNUMBER($H$200),$B$158=1),$H$200,HLOOKUP(INDIRECT(ADDRESS(2,COLUMN())),OFFSET($BN$2,0,0,ROW()-1,60),ROW()-1,FALSE))</f>
        <v>56</v>
      </c>
      <c r="I44">
        <f ca="1">IF(AND(ISNUMBER($I$200),$B$158=1),$I$200,HLOOKUP(INDIRECT(ADDRESS(2,COLUMN())),OFFSET($BN$2,0,0,ROW()-1,60),ROW()-1,FALSE))</f>
        <v>13</v>
      </c>
      <c r="J44">
        <f ca="1">IF(AND(ISNUMBER($J$200),$B$158=1),$J$200,HLOOKUP(INDIRECT(ADDRESS(2,COLUMN())),OFFSET($BN$2,0,0,ROW()-1,60),ROW()-1,FALSE))</f>
        <v>-14</v>
      </c>
      <c r="K44">
        <f ca="1">IF(AND(ISNUMBER($K$200),$B$158=1),$K$200,HLOOKUP(INDIRECT(ADDRESS(2,COLUMN())),OFFSET($BN$2,0,0,ROW()-1,60),ROW()-1,FALSE))</f>
        <v>3</v>
      </c>
      <c r="L44">
        <f ca="1">IF(AND(ISNUMBER($L$200),$B$158=1),$L$200,HLOOKUP(INDIRECT(ADDRESS(2,COLUMN())),OFFSET($BN$2,0,0,ROW()-1,60),ROW()-1,FALSE))</f>
        <v>-49</v>
      </c>
      <c r="M44">
        <f ca="1">IF(AND(ISNUMBER($M$200),$B$158=1),$M$200,HLOOKUP(INDIRECT(ADDRESS(2,COLUMN())),OFFSET($BN$2,0,0,ROW()-1,60),ROW()-1,FALSE))</f>
        <v>-6</v>
      </c>
      <c r="N44">
        <f ca="1">IF(AND(ISNUMBER($N$200),$B$158=1),$N$200,HLOOKUP(INDIRECT(ADDRESS(2,COLUMN())),OFFSET($BN$2,0,0,ROW()-1,60),ROW()-1,FALSE))</f>
        <v>14</v>
      </c>
      <c r="O44">
        <f ca="1">IF(AND(ISNUMBER($O$200),$B$158=1),$O$200,HLOOKUP(INDIRECT(ADDRESS(2,COLUMN())),OFFSET($BN$2,0,0,ROW()-1,60),ROW()-1,FALSE))</f>
        <v>8</v>
      </c>
      <c r="P44">
        <f ca="1">IF(AND(ISNUMBER($P$200),$B$158=1),$P$200,HLOOKUP(INDIRECT(ADDRESS(2,COLUMN())),OFFSET($BN$2,0,0,ROW()-1,60),ROW()-1,FALSE))</f>
        <v>14</v>
      </c>
      <c r="Q44">
        <f ca="1">IF(AND(ISNUMBER($Q$200),$B$158=1),$Q$200,HLOOKUP(INDIRECT(ADDRESS(2,COLUMN())),OFFSET($BN$2,0,0,ROW()-1,60),ROW()-1,FALSE))</f>
        <v>8</v>
      </c>
      <c r="R44">
        <f ca="1">IF(AND(ISNUMBER($R$200),$B$158=1),$R$200,HLOOKUP(INDIRECT(ADDRESS(2,COLUMN())),OFFSET($BN$2,0,0,ROW()-1,60),ROW()-1,FALSE))</f>
        <v>14</v>
      </c>
      <c r="S44">
        <f ca="1">IF(AND(ISNUMBER($S$200),$B$158=1),$S$200,HLOOKUP(INDIRECT(ADDRESS(2,COLUMN())),OFFSET($BN$2,0,0,ROW()-1,60),ROW()-1,FALSE))</f>
        <v>14</v>
      </c>
      <c r="T44">
        <f ca="1">IF(AND(ISNUMBER($T$200),$B$158=1),$T$200,HLOOKUP(INDIRECT(ADDRESS(2,COLUMN())),OFFSET($BN$2,0,0,ROW()-1,60),ROW()-1,FALSE))</f>
        <v>25</v>
      </c>
      <c r="U44">
        <f ca="1">IF(AND(ISNUMBER($U$200),$B$158=1),$U$200,HLOOKUP(INDIRECT(ADDRESS(2,COLUMN())),OFFSET($BN$2,0,0,ROW()-1,60),ROW()-1,FALSE))</f>
        <v>32</v>
      </c>
      <c r="V44">
        <f ca="1">IF(AND(ISNUMBER($V$200),$B$158=1),$V$200,HLOOKUP(INDIRECT(ADDRESS(2,COLUMN())),OFFSET($BN$2,0,0,ROW()-1,60),ROW()-1,FALSE))</f>
        <v>14</v>
      </c>
      <c r="W44">
        <f ca="1">IF(AND(ISNUMBER($W$200),$B$158=1),$W$200,HLOOKUP(INDIRECT(ADDRESS(2,COLUMN())),OFFSET($BN$2,0,0,ROW()-1,60),ROW()-1,FALSE))</f>
        <v>23</v>
      </c>
      <c r="X44">
        <f ca="1">IF(AND(ISNUMBER($X$200),$B$158=1),$X$200,HLOOKUP(INDIRECT(ADDRESS(2,COLUMN())),OFFSET($BN$2,0,0,ROW()-1,60),ROW()-1,FALSE))</f>
        <v>5</v>
      </c>
      <c r="Y44">
        <f ca="1">IF(AND(ISNUMBER($Y$200),$B$158=1),$Y$200,HLOOKUP(INDIRECT(ADDRESS(2,COLUMN())),OFFSET($BN$2,0,0,ROW()-1,60),ROW()-1,FALSE))</f>
        <v>35</v>
      </c>
      <c r="Z44" t="str">
        <f ca="1">IF(AND(ISNUMBER($Z$200),$B$158=1),$Z$200,HLOOKUP(INDIRECT(ADDRESS(2,COLUMN())),OFFSET($BN$2,0,0,ROW()-1,60),ROW()-1,FALSE))</f>
        <v/>
      </c>
      <c r="AA44">
        <f ca="1">IF(AND(ISNUMBER($AA$200),$B$158=1),$AA$200,HLOOKUP(INDIRECT(ADDRESS(2,COLUMN())),OFFSET($BN$2,0,0,ROW()-1,60),ROW()-1,FALSE))</f>
        <v>36</v>
      </c>
      <c r="AB44">
        <f ca="1">IF(AND(ISNUMBER($AB$200),$B$158=1),$AB$200,HLOOKUP(INDIRECT(ADDRESS(2,COLUMN())),OFFSET($BN$2,0,0,ROW()-1,60),ROW()-1,FALSE))</f>
        <v>2</v>
      </c>
      <c r="AC44">
        <f ca="1">IF(AND(ISNUMBER($AC$200),$B$158=1),$AC$200,HLOOKUP(INDIRECT(ADDRESS(2,COLUMN())),OFFSET($BN$2,0,0,ROW()-1,60),ROW()-1,FALSE))</f>
        <v>18</v>
      </c>
      <c r="AD44">
        <f ca="1">IF(AND(ISNUMBER($AD$200),$B$158=1),$AD$200,HLOOKUP(INDIRECT(ADDRESS(2,COLUMN())),OFFSET($BN$2,0,0,ROW()-1,60),ROW()-1,FALSE))</f>
        <v>25</v>
      </c>
      <c r="AE44">
        <f ca="1">IF(AND(ISNUMBER($AE$200),$B$158=1),$AE$200,HLOOKUP(INDIRECT(ADDRESS(2,COLUMN())),OFFSET($BN$2,0,0,ROW()-1,60),ROW()-1,FALSE))</f>
        <v>17</v>
      </c>
      <c r="AF44">
        <f ca="1">IF(AND(ISNUMBER($AF$200),$B$158=1),$AF$200,HLOOKUP(INDIRECT(ADDRESS(2,COLUMN())),OFFSET($BN$2,0,0,ROW()-1,60),ROW()-1,FALSE))</f>
        <v>24</v>
      </c>
      <c r="AG44">
        <f ca="1">IF(AND(ISNUMBER($AG$200),$B$158=1),$AG$200,HLOOKUP(INDIRECT(ADDRESS(2,COLUMN())),OFFSET($BN$2,0,0,ROW()-1,60),ROW()-1,FALSE))</f>
        <v>20</v>
      </c>
      <c r="AH44" t="str">
        <f ca="1">IF(AND(ISNUMBER($AH$200),$B$158=1),$AH$200,HLOOKUP(INDIRECT(ADDRESS(2,COLUMN())),OFFSET($BN$2,0,0,ROW()-1,60),ROW()-1,FALSE))</f>
        <v/>
      </c>
      <c r="AI44" t="str">
        <f ca="1">IF(AND(ISNUMBER($AI$200),$B$158=1),$AI$200,HLOOKUP(INDIRECT(ADDRESS(2,COLUMN())),OFFSET($BN$2,0,0,ROW()-1,60),ROW()-1,FALSE))</f>
        <v/>
      </c>
      <c r="AJ44" t="str">
        <f ca="1">IF(AND(ISNUMBER($AJ$200),$B$158=1),$AJ$200,HLOOKUP(INDIRECT(ADDRESS(2,COLUMN())),OFFSET($BN$2,0,0,ROW()-1,60),ROW()-1,FALSE))</f>
        <v/>
      </c>
      <c r="AK44">
        <f ca="1">IF(AND(ISNUMBER($AK$200),$B$158=1),$AK$200,HLOOKUP(INDIRECT(ADDRESS(2,COLUMN())),OFFSET($BN$2,0,0,ROW()-1,60),ROW()-1,FALSE))</f>
        <v>-11</v>
      </c>
      <c r="AL44" t="str">
        <f ca="1">IF(AND(ISNUMBER($AL$200),$B$158=1),$AL$200,HLOOKUP(INDIRECT(ADDRESS(2,COLUMN())),OFFSET($BN$2,0,0,ROW()-1,60),ROW()-1,FALSE))</f>
        <v/>
      </c>
      <c r="AM44" t="str">
        <f ca="1">IF(AND(ISNUMBER($AM$200),$B$158=1),$AM$200,HLOOKUP(INDIRECT(ADDRESS(2,COLUMN())),OFFSET($BN$2,0,0,ROW()-1,60),ROW()-1,FALSE))</f>
        <v/>
      </c>
      <c r="AN44" t="str">
        <f ca="1">IF(AND(ISNUMBER($AN$200),$B$158=1),$AN$200,HLOOKUP(INDIRECT(ADDRESS(2,COLUMN())),OFFSET($BN$2,0,0,ROW()-1,60),ROW()-1,FALSE))</f>
        <v/>
      </c>
      <c r="AO44" t="str">
        <f ca="1">IF(AND(ISNUMBER($AO$200),$B$158=1),$AO$200,HLOOKUP(INDIRECT(ADDRESS(2,COLUMN())),OFFSET($BN$2,0,0,ROW()-1,60),ROW()-1,FALSE))</f>
        <v/>
      </c>
      <c r="AP44" t="str">
        <f ca="1">IF(AND(ISNUMBER($AP$200),$B$158=1),$AP$200,HLOOKUP(INDIRECT(ADDRESS(2,COLUMN())),OFFSET($BN$2,0,0,ROW()-1,60),ROW()-1,FALSE))</f>
        <v/>
      </c>
      <c r="AQ44" t="str">
        <f ca="1">IF(AND(ISNUMBER($AQ$200),$B$158=1),$AQ$200,HLOOKUP(INDIRECT(ADDRESS(2,COLUMN())),OFFSET($BN$2,0,0,ROW()-1,60),ROW()-1,FALSE))</f>
        <v/>
      </c>
      <c r="AR44" t="str">
        <f ca="1">IF(AND(ISNUMBER($AR$200),$B$158=1),$AR$200,HLOOKUP(INDIRECT(ADDRESS(2,COLUMN())),OFFSET($BN$2,0,0,ROW()-1,60),ROW()-1,FALSE))</f>
        <v/>
      </c>
      <c r="AS44" t="str">
        <f ca="1">IF(AND(ISNUMBER($AS$200),$B$158=1),$AS$200,HLOOKUP(INDIRECT(ADDRESS(2,COLUMN())),OFFSET($BN$2,0,0,ROW()-1,60),ROW()-1,FALSE))</f>
        <v/>
      </c>
      <c r="AT44" t="str">
        <f ca="1">IF(AND(ISNUMBER($AT$200),$B$158=1),$AT$200,HLOOKUP(INDIRECT(ADDRESS(2,COLUMN())),OFFSET($BN$2,0,0,ROW()-1,60),ROW()-1,FALSE))</f>
        <v/>
      </c>
      <c r="AU44" t="str">
        <f ca="1">IF(AND(ISNUMBER($AU$200),$B$158=1),$AU$200,HLOOKUP(INDIRECT(ADDRESS(2,COLUMN())),OFFSET($BN$2,0,0,ROW()-1,60),ROW()-1,FALSE))</f>
        <v/>
      </c>
      <c r="AV44" t="str">
        <f ca="1">IF(AND(ISNUMBER($AV$200),$B$158=1),$AV$200,HLOOKUP(INDIRECT(ADDRESS(2,COLUMN())),OFFSET($BN$2,0,0,ROW()-1,60),ROW()-1,FALSE))</f>
        <v/>
      </c>
      <c r="AW44" t="str">
        <f ca="1">IF(AND(ISNUMBER($AW$200),$B$158=1),$AW$200,HLOOKUP(INDIRECT(ADDRESS(2,COLUMN())),OFFSET($BN$2,0,0,ROW()-1,60),ROW()-1,FALSE))</f>
        <v/>
      </c>
      <c r="AX44" t="str">
        <f ca="1">IF(AND(ISNUMBER($AX$200),$B$158=1),$AX$200,HLOOKUP(INDIRECT(ADDRESS(2,COLUMN())),OFFSET($BN$2,0,0,ROW()-1,60),ROW()-1,FALSE))</f>
        <v/>
      </c>
      <c r="AY44" t="str">
        <f ca="1">IF(AND(ISNUMBER($AY$200),$B$158=1),$AY$200,HLOOKUP(INDIRECT(ADDRESS(2,COLUMN())),OFFSET($BN$2,0,0,ROW()-1,60),ROW()-1,FALSE))</f>
        <v/>
      </c>
      <c r="AZ44" t="str">
        <f ca="1">IF(AND(ISNUMBER($AZ$200),$B$158=1),$AZ$200,HLOOKUP(INDIRECT(ADDRESS(2,COLUMN())),OFFSET($BN$2,0,0,ROW()-1,60),ROW()-1,FALSE))</f>
        <v/>
      </c>
      <c r="BA44" t="str">
        <f ca="1">IF(AND(ISNUMBER($BA$200),$B$158=1),$BA$200,HLOOKUP(INDIRECT(ADDRESS(2,COLUMN())),OFFSET($BN$2,0,0,ROW()-1,60),ROW()-1,FALSE))</f>
        <v/>
      </c>
      <c r="BB44" t="str">
        <f ca="1">IF(AND(ISNUMBER($BB$200),$B$158=1),$BB$200,HLOOKUP(INDIRECT(ADDRESS(2,COLUMN())),OFFSET($BN$2,0,0,ROW()-1,60),ROW()-1,FALSE))</f>
        <v/>
      </c>
      <c r="BC44" t="str">
        <f ca="1">IF(AND(ISNUMBER($BC$200),$B$158=1),$BC$200,HLOOKUP(INDIRECT(ADDRESS(2,COLUMN())),OFFSET($BN$2,0,0,ROW()-1,60),ROW()-1,FALSE))</f>
        <v/>
      </c>
      <c r="BD44" t="str">
        <f ca="1">IF(AND(ISNUMBER($BD$200),$B$158=1),$BD$200,HLOOKUP(INDIRECT(ADDRESS(2,COLUMN())),OFFSET($BN$2,0,0,ROW()-1,60),ROW()-1,FALSE))</f>
        <v/>
      </c>
      <c r="BE44" t="str">
        <f ca="1">IF(AND(ISNUMBER($BE$200),$B$158=1),$BE$200,HLOOKUP(INDIRECT(ADDRESS(2,COLUMN())),OFFSET($BN$2,0,0,ROW()-1,60),ROW()-1,FALSE))</f>
        <v/>
      </c>
      <c r="BF44" t="str">
        <f ca="1">IF(AND(ISNUMBER($BF$200),$B$158=1),$BF$200,HLOOKUP(INDIRECT(ADDRESS(2,COLUMN())),OFFSET($BN$2,0,0,ROW()-1,60),ROW()-1,FALSE))</f>
        <v/>
      </c>
      <c r="BG44" t="str">
        <f ca="1">IF(AND(ISNUMBER($BG$200),$B$158=1),$BG$200,HLOOKUP(INDIRECT(ADDRESS(2,COLUMN())),OFFSET($BN$2,0,0,ROW()-1,60),ROW()-1,FALSE))</f>
        <v/>
      </c>
      <c r="BH44" t="str">
        <f ca="1">IF(AND(ISNUMBER($BH$200),$B$158=1),$BH$200,HLOOKUP(INDIRECT(ADDRESS(2,COLUMN())),OFFSET($BN$2,0,0,ROW()-1,60),ROW()-1,FALSE))</f>
        <v/>
      </c>
      <c r="BI44" t="str">
        <f ca="1">IF(AND(ISNUMBER($BI$200),$B$158=1),$BI$200,HLOOKUP(INDIRECT(ADDRESS(2,COLUMN())),OFFSET($BN$2,0,0,ROW()-1,60),ROW()-1,FALSE))</f>
        <v/>
      </c>
      <c r="BJ44" t="str">
        <f ca="1">IF(AND(ISNUMBER($BJ$200),$B$158=1),$BJ$200,HLOOKUP(INDIRECT(ADDRESS(2,COLUMN())),OFFSET($BN$2,0,0,ROW()-1,60),ROW()-1,FALSE))</f>
        <v/>
      </c>
      <c r="BK44" t="str">
        <f ca="1">IF(AND(ISNUMBER($BK$200),$B$158=1),$BK$200,HLOOKUP(INDIRECT(ADDRESS(2,COLUMN())),OFFSET($BN$2,0,0,ROW()-1,60),ROW()-1,FALSE))</f>
        <v/>
      </c>
      <c r="BL44" t="str">
        <f ca="1">IF(AND(ISNUMBER($BL$200),$B$158=1),$BL$200,HLOOKUP(INDIRECT(ADDRESS(2,COLUMN())),OFFSET($BN$2,0,0,ROW()-1,60),ROW()-1,FALSE))</f>
        <v/>
      </c>
      <c r="BM44" t="str">
        <f ca="1">IF(AND(ISNUMBER($BM$200),$B$158=1),$BM$200,HLOOKUP(INDIRECT(ADDRESS(2,COLUMN())),OFFSET($BN$2,0,0,ROW()-1,60),ROW()-1,FALSE))</f>
        <v/>
      </c>
      <c r="BN44" t="str">
        <f>""</f>
        <v/>
      </c>
      <c r="BO44">
        <f>22</f>
        <v>22</v>
      </c>
      <c r="BP44">
        <f>56</f>
        <v>56</v>
      </c>
      <c r="BQ44">
        <f>13</f>
        <v>13</v>
      </c>
      <c r="BR44">
        <f>-14</f>
        <v>-14</v>
      </c>
      <c r="BS44">
        <f>3</f>
        <v>3</v>
      </c>
      <c r="BT44">
        <f>-49</f>
        <v>-49</v>
      </c>
      <c r="BU44">
        <f>-6</f>
        <v>-6</v>
      </c>
      <c r="BV44">
        <f>14</f>
        <v>14</v>
      </c>
      <c r="BW44">
        <f>8</f>
        <v>8</v>
      </c>
      <c r="BX44">
        <f>14</f>
        <v>14</v>
      </c>
      <c r="BY44">
        <f>8</f>
        <v>8</v>
      </c>
      <c r="BZ44">
        <f>14</f>
        <v>14</v>
      </c>
      <c r="CA44">
        <f>14</f>
        <v>14</v>
      </c>
      <c r="CB44">
        <f>25</f>
        <v>25</v>
      </c>
      <c r="CC44">
        <f>32</f>
        <v>32</v>
      </c>
      <c r="CD44">
        <f>14</f>
        <v>14</v>
      </c>
      <c r="CE44">
        <f>23</f>
        <v>23</v>
      </c>
      <c r="CF44">
        <f>5</f>
        <v>5</v>
      </c>
      <c r="CG44">
        <f>35</f>
        <v>35</v>
      </c>
      <c r="CH44" t="str">
        <f>""</f>
        <v/>
      </c>
      <c r="CI44">
        <f>36</f>
        <v>36</v>
      </c>
      <c r="CJ44">
        <f>2</f>
        <v>2</v>
      </c>
      <c r="CK44">
        <f>18</f>
        <v>18</v>
      </c>
      <c r="CL44">
        <f>25</f>
        <v>25</v>
      </c>
      <c r="CM44">
        <f>17</f>
        <v>17</v>
      </c>
      <c r="CN44">
        <f>24</f>
        <v>24</v>
      </c>
      <c r="CO44">
        <f>20</f>
        <v>20</v>
      </c>
      <c r="CP44" t="str">
        <f>""</f>
        <v/>
      </c>
      <c r="CQ44" t="str">
        <f>""</f>
        <v/>
      </c>
      <c r="CR44" t="str">
        <f>""</f>
        <v/>
      </c>
      <c r="CS44">
        <f>-11</f>
        <v>-11</v>
      </c>
      <c r="CT44" t="str">
        <f>""</f>
        <v/>
      </c>
      <c r="CU44" t="str">
        <f>""</f>
        <v/>
      </c>
      <c r="CV44" t="str">
        <f>""</f>
        <v/>
      </c>
      <c r="CW44" t="str">
        <f>""</f>
        <v/>
      </c>
      <c r="CX44" t="str">
        <f>""</f>
        <v/>
      </c>
      <c r="CY44" t="str">
        <f>""</f>
        <v/>
      </c>
      <c r="CZ44" t="str">
        <f>""</f>
        <v/>
      </c>
      <c r="DA44" t="str">
        <f>""</f>
        <v/>
      </c>
      <c r="DB44" t="str">
        <f>""</f>
        <v/>
      </c>
      <c r="DC44" t="str">
        <f>""</f>
        <v/>
      </c>
      <c r="DD44" t="str">
        <f>""</f>
        <v/>
      </c>
      <c r="DE44" t="str">
        <f>""</f>
        <v/>
      </c>
      <c r="DF44" t="str">
        <f>""</f>
        <v/>
      </c>
      <c r="DG44" t="str">
        <f>""</f>
        <v/>
      </c>
      <c r="DH44" t="str">
        <f>""</f>
        <v/>
      </c>
      <c r="DI44" t="str">
        <f>""</f>
        <v/>
      </c>
      <c r="DJ44" t="str">
        <f>""</f>
        <v/>
      </c>
      <c r="DK44" t="str">
        <f>""</f>
        <v/>
      </c>
      <c r="DL44" t="str">
        <f>""</f>
        <v/>
      </c>
      <c r="DM44" t="str">
        <f>""</f>
        <v/>
      </c>
      <c r="DN44" t="str">
        <f>""</f>
        <v/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  <c r="DT44" t="str">
        <f>""</f>
        <v/>
      </c>
      <c r="DU44" t="str">
        <f>""</f>
        <v/>
      </c>
    </row>
    <row r="45" spans="1:125" x14ac:dyDescent="0.25">
      <c r="A45" t="str">
        <f>"                    Royalties and Others"</f>
        <v xml:space="preserve">                    Royalties and Others</v>
      </c>
      <c r="B45" t="str">
        <f t="shared" si="20"/>
        <v>KER FP Equity</v>
      </c>
      <c r="C45" t="str">
        <f t="shared" si="21"/>
        <v>BI047</v>
      </c>
      <c r="D45" t="str">
        <f t="shared" si="22"/>
        <v>BICS_SEGMENT_DATA</v>
      </c>
      <c r="E45" t="str">
        <f t="shared" si="23"/>
        <v>Dynamic</v>
      </c>
      <c r="F45" t="str">
        <f ca="1">IF(AND(ISNUMBER($F$201),$B$158=1),$F$201,HLOOKUP(INDIRECT(ADDRESS(2,COLUMN())),OFFSET($BN$2,0,0,ROW()-1,60),ROW()-1,FALSE))</f>
        <v/>
      </c>
      <c r="G45">
        <f ca="1">IF(AND(ISNUMBER($G$201),$B$158=1),$G$201,HLOOKUP(INDIRECT(ADDRESS(2,COLUMN())),OFFSET($BN$2,0,0,ROW()-1,60),ROW()-1,FALSE))</f>
        <v>28</v>
      </c>
      <c r="H45">
        <f ca="1">IF(AND(ISNUMBER($H$201),$B$158=1),$H$201,HLOOKUP(INDIRECT(ADDRESS(2,COLUMN())),OFFSET($BN$2,0,0,ROW()-1,60),ROW()-1,FALSE))</f>
        <v>55</v>
      </c>
      <c r="I45">
        <f ca="1">IF(AND(ISNUMBER($I$201),$B$158=1),$I$201,HLOOKUP(INDIRECT(ADDRESS(2,COLUMN())),OFFSET($BN$2,0,0,ROW()-1,60),ROW()-1,FALSE))</f>
        <v>1</v>
      </c>
      <c r="J45">
        <f ca="1">IF(AND(ISNUMBER($J$201),$B$158=1),$J$201,HLOOKUP(INDIRECT(ADDRESS(2,COLUMN())),OFFSET($BN$2,0,0,ROW()-1,60),ROW()-1,FALSE))</f>
        <v>-8</v>
      </c>
      <c r="K45">
        <f ca="1">IF(AND(ISNUMBER($K$201),$B$158=1),$K$201,HLOOKUP(INDIRECT(ADDRESS(2,COLUMN())),OFFSET($BN$2,0,0,ROW()-1,60),ROW()-1,FALSE))</f>
        <v>-16</v>
      </c>
      <c r="L45">
        <f ca="1">IF(AND(ISNUMBER($L$201),$B$158=1),$L$201,HLOOKUP(INDIRECT(ADDRESS(2,COLUMN())),OFFSET($BN$2,0,0,ROW()-1,60),ROW()-1,FALSE))</f>
        <v>-48</v>
      </c>
      <c r="M45">
        <f ca="1">IF(AND(ISNUMBER($M$201),$B$158=1),$M$201,HLOOKUP(INDIRECT(ADDRESS(2,COLUMN())),OFFSET($BN$2,0,0,ROW()-1,60),ROW()-1,FALSE))</f>
        <v>-11</v>
      </c>
      <c r="N45">
        <f ca="1">IF(AND(ISNUMBER($N$201),$B$158=1),$N$201,HLOOKUP(INDIRECT(ADDRESS(2,COLUMN())),OFFSET($BN$2,0,0,ROW()-1,60),ROW()-1,FALSE))</f>
        <v>13</v>
      </c>
      <c r="O45">
        <f ca="1">IF(AND(ISNUMBER($O$201),$B$158=1),$O$201,HLOOKUP(INDIRECT(ADDRESS(2,COLUMN())),OFFSET($BN$2,0,0,ROW()-1,60),ROW()-1,FALSE))</f>
        <v>20</v>
      </c>
      <c r="P45">
        <f ca="1">IF(AND(ISNUMBER($P$201),$B$158=1),$P$201,HLOOKUP(INDIRECT(ADDRESS(2,COLUMN())),OFFSET($BN$2,0,0,ROW()-1,60),ROW()-1,FALSE))</f>
        <v>11</v>
      </c>
      <c r="Q45">
        <f ca="1">IF(AND(ISNUMBER($Q$201),$B$158=1),$Q$201,HLOOKUP(INDIRECT(ADDRESS(2,COLUMN())),OFFSET($BN$2,0,0,ROW()-1,60),ROW()-1,FALSE))</f>
        <v>24</v>
      </c>
      <c r="R45">
        <f ca="1">IF(AND(ISNUMBER($R$201),$B$158=1),$R$201,HLOOKUP(INDIRECT(ADDRESS(2,COLUMN())),OFFSET($BN$2,0,0,ROW()-1,60),ROW()-1,FALSE))</f>
        <v>14</v>
      </c>
      <c r="S45">
        <f ca="1">IF(AND(ISNUMBER($S$201),$B$158=1),$S$201,HLOOKUP(INDIRECT(ADDRESS(2,COLUMN())),OFFSET($BN$2,0,0,ROW()-1,60),ROW()-1,FALSE))</f>
        <v>10</v>
      </c>
      <c r="T45">
        <f ca="1">IF(AND(ISNUMBER($T$201),$B$158=1),$T$201,HLOOKUP(INDIRECT(ADDRESS(2,COLUMN())),OFFSET($BN$2,0,0,ROW()-1,60),ROW()-1,FALSE))</f>
        <v>12</v>
      </c>
      <c r="U45">
        <f ca="1">IF(AND(ISNUMBER($U$201),$B$158=1),$U$201,HLOOKUP(INDIRECT(ADDRESS(2,COLUMN())),OFFSET($BN$2,0,0,ROW()-1,60),ROW()-1,FALSE))</f>
        <v>3</v>
      </c>
      <c r="V45">
        <f ca="1">IF(AND(ISNUMBER($V$201),$B$158=1),$V$201,HLOOKUP(INDIRECT(ADDRESS(2,COLUMN())),OFFSET($BN$2,0,0,ROW()-1,60),ROW()-1,FALSE))</f>
        <v>13</v>
      </c>
      <c r="W45">
        <f ca="1">IF(AND(ISNUMBER($W$201),$B$158=1),$W$201,HLOOKUP(INDIRECT(ADDRESS(2,COLUMN())),OFFSET($BN$2,0,0,ROW()-1,60),ROW()-1,FALSE))</f>
        <v>29</v>
      </c>
      <c r="X45">
        <f ca="1">IF(AND(ISNUMBER($X$201),$B$158=1),$X$201,HLOOKUP(INDIRECT(ADDRESS(2,COLUMN())),OFFSET($BN$2,0,0,ROW()-1,60),ROW()-1,FALSE))</f>
        <v>24</v>
      </c>
      <c r="Y45">
        <f ca="1">IF(AND(ISNUMBER($Y$201),$B$158=1),$Y$201,HLOOKUP(INDIRECT(ADDRESS(2,COLUMN())),OFFSET($BN$2,0,0,ROW()-1,60),ROW()-1,FALSE))</f>
        <v>48</v>
      </c>
      <c r="Z45" t="str">
        <f ca="1">IF(AND(ISNUMBER($Z$201),$B$158=1),$Z$201,HLOOKUP(INDIRECT(ADDRESS(2,COLUMN())),OFFSET($BN$2,0,0,ROW()-1,60),ROW()-1,FALSE))</f>
        <v/>
      </c>
      <c r="AA45">
        <f ca="1">IF(AND(ISNUMBER($AA$201),$B$158=1),$AA$201,HLOOKUP(INDIRECT(ADDRESS(2,COLUMN())),OFFSET($BN$2,0,0,ROW()-1,60),ROW()-1,FALSE))</f>
        <v>18</v>
      </c>
      <c r="AB45">
        <f ca="1">IF(AND(ISNUMBER($AB$201),$B$158=1),$AB$201,HLOOKUP(INDIRECT(ADDRESS(2,COLUMN())),OFFSET($BN$2,0,0,ROW()-1,60),ROW()-1,FALSE))</f>
        <v>17</v>
      </c>
      <c r="AC45">
        <f ca="1">IF(AND(ISNUMBER($AC$201),$B$158=1),$AC$201,HLOOKUP(INDIRECT(ADDRESS(2,COLUMN())),OFFSET($BN$2,0,0,ROW()-1,60),ROW()-1,FALSE))</f>
        <v>20</v>
      </c>
      <c r="AD45" t="str">
        <f ca="1">IF(AND(ISNUMBER($AD$201),$B$158=1),$AD$201,HLOOKUP(INDIRECT(ADDRESS(2,COLUMN())),OFFSET($BN$2,0,0,ROW()-1,60),ROW()-1,FALSE))</f>
        <v/>
      </c>
      <c r="AE45">
        <f ca="1">IF(AND(ISNUMBER($AE$201),$B$158=1),$AE$201,HLOOKUP(INDIRECT(ADDRESS(2,COLUMN())),OFFSET($BN$2,0,0,ROW()-1,60),ROW()-1,FALSE))</f>
        <v>25</v>
      </c>
      <c r="AF45">
        <f ca="1">IF(AND(ISNUMBER($AF$201),$B$158=1),$AF$201,HLOOKUP(INDIRECT(ADDRESS(2,COLUMN())),OFFSET($BN$2,0,0,ROW()-1,60),ROW()-1,FALSE))</f>
        <v>24</v>
      </c>
      <c r="AG45">
        <f ca="1">IF(AND(ISNUMBER($AG$201),$B$158=1),$AG$201,HLOOKUP(INDIRECT(ADDRESS(2,COLUMN())),OFFSET($BN$2,0,0,ROW()-1,60),ROW()-1,FALSE))</f>
        <v>19</v>
      </c>
      <c r="AH45" t="str">
        <f ca="1">IF(AND(ISNUMBER($AH$201),$B$158=1),$AH$201,HLOOKUP(INDIRECT(ADDRESS(2,COLUMN())),OFFSET($BN$2,0,0,ROW()-1,60),ROW()-1,FALSE))</f>
        <v/>
      </c>
      <c r="AI45" t="str">
        <f ca="1">IF(AND(ISNUMBER($AI$201),$B$158=1),$AI$201,HLOOKUP(INDIRECT(ADDRESS(2,COLUMN())),OFFSET($BN$2,0,0,ROW()-1,60),ROW()-1,FALSE))</f>
        <v/>
      </c>
      <c r="AJ45" t="str">
        <f ca="1">IF(AND(ISNUMBER($AJ$201),$B$158=1),$AJ$201,HLOOKUP(INDIRECT(ADDRESS(2,COLUMN())),OFFSET($BN$2,0,0,ROW()-1,60),ROW()-1,FALSE))</f>
        <v/>
      </c>
      <c r="AK45" t="str">
        <f ca="1">IF(AND(ISNUMBER($AK$201),$B$158=1),$AK$201,HLOOKUP(INDIRECT(ADDRESS(2,COLUMN())),OFFSET($BN$2,0,0,ROW()-1,60),ROW()-1,FALSE))</f>
        <v/>
      </c>
      <c r="AL45" t="str">
        <f ca="1">IF(AND(ISNUMBER($AL$201),$B$158=1),$AL$201,HLOOKUP(INDIRECT(ADDRESS(2,COLUMN())),OFFSET($BN$2,0,0,ROW()-1,60),ROW()-1,FALSE))</f>
        <v/>
      </c>
      <c r="AM45" t="str">
        <f ca="1">IF(AND(ISNUMBER($AM$201),$B$158=1),$AM$201,HLOOKUP(INDIRECT(ADDRESS(2,COLUMN())),OFFSET($BN$2,0,0,ROW()-1,60),ROW()-1,FALSE))</f>
        <v/>
      </c>
      <c r="AN45" t="str">
        <f ca="1">IF(AND(ISNUMBER($AN$201),$B$158=1),$AN$201,HLOOKUP(INDIRECT(ADDRESS(2,COLUMN())),OFFSET($BN$2,0,0,ROW()-1,60),ROW()-1,FALSE))</f>
        <v/>
      </c>
      <c r="AO45" t="str">
        <f ca="1">IF(AND(ISNUMBER($AO$201),$B$158=1),$AO$201,HLOOKUP(INDIRECT(ADDRESS(2,COLUMN())),OFFSET($BN$2,0,0,ROW()-1,60),ROW()-1,FALSE))</f>
        <v/>
      </c>
      <c r="AP45" t="str">
        <f ca="1">IF(AND(ISNUMBER($AP$201),$B$158=1),$AP$201,HLOOKUP(INDIRECT(ADDRESS(2,COLUMN())),OFFSET($BN$2,0,0,ROW()-1,60),ROW()-1,FALSE))</f>
        <v/>
      </c>
      <c r="AQ45" t="str">
        <f ca="1">IF(AND(ISNUMBER($AQ$201),$B$158=1),$AQ$201,HLOOKUP(INDIRECT(ADDRESS(2,COLUMN())),OFFSET($BN$2,0,0,ROW()-1,60),ROW()-1,FALSE))</f>
        <v/>
      </c>
      <c r="AR45" t="str">
        <f ca="1">IF(AND(ISNUMBER($AR$201),$B$158=1),$AR$201,HLOOKUP(INDIRECT(ADDRESS(2,COLUMN())),OFFSET($BN$2,0,0,ROW()-1,60),ROW()-1,FALSE))</f>
        <v/>
      </c>
      <c r="AS45" t="str">
        <f ca="1">IF(AND(ISNUMBER($AS$201),$B$158=1),$AS$201,HLOOKUP(INDIRECT(ADDRESS(2,COLUMN())),OFFSET($BN$2,0,0,ROW()-1,60),ROW()-1,FALSE))</f>
        <v/>
      </c>
      <c r="AT45" t="str">
        <f ca="1">IF(AND(ISNUMBER($AT$201),$B$158=1),$AT$201,HLOOKUP(INDIRECT(ADDRESS(2,COLUMN())),OFFSET($BN$2,0,0,ROW()-1,60),ROW()-1,FALSE))</f>
        <v/>
      </c>
      <c r="AU45" t="str">
        <f ca="1">IF(AND(ISNUMBER($AU$201),$B$158=1),$AU$201,HLOOKUP(INDIRECT(ADDRESS(2,COLUMN())),OFFSET($BN$2,0,0,ROW()-1,60),ROW()-1,FALSE))</f>
        <v/>
      </c>
      <c r="AV45" t="str">
        <f ca="1">IF(AND(ISNUMBER($AV$201),$B$158=1),$AV$201,HLOOKUP(INDIRECT(ADDRESS(2,COLUMN())),OFFSET($BN$2,0,0,ROW()-1,60),ROW()-1,FALSE))</f>
        <v/>
      </c>
      <c r="AW45" t="str">
        <f ca="1">IF(AND(ISNUMBER($AW$201),$B$158=1),$AW$201,HLOOKUP(INDIRECT(ADDRESS(2,COLUMN())),OFFSET($BN$2,0,0,ROW()-1,60),ROW()-1,FALSE))</f>
        <v/>
      </c>
      <c r="AX45" t="str">
        <f ca="1">IF(AND(ISNUMBER($AX$201),$B$158=1),$AX$201,HLOOKUP(INDIRECT(ADDRESS(2,COLUMN())),OFFSET($BN$2,0,0,ROW()-1,60),ROW()-1,FALSE))</f>
        <v/>
      </c>
      <c r="AY45" t="str">
        <f ca="1">IF(AND(ISNUMBER($AY$201),$B$158=1),$AY$201,HLOOKUP(INDIRECT(ADDRESS(2,COLUMN())),OFFSET($BN$2,0,0,ROW()-1,60),ROW()-1,FALSE))</f>
        <v/>
      </c>
      <c r="AZ45" t="str">
        <f ca="1">IF(AND(ISNUMBER($AZ$201),$B$158=1),$AZ$201,HLOOKUP(INDIRECT(ADDRESS(2,COLUMN())),OFFSET($BN$2,0,0,ROW()-1,60),ROW()-1,FALSE))</f>
        <v/>
      </c>
      <c r="BA45" t="str">
        <f ca="1">IF(AND(ISNUMBER($BA$201),$B$158=1),$BA$201,HLOOKUP(INDIRECT(ADDRESS(2,COLUMN())),OFFSET($BN$2,0,0,ROW()-1,60),ROW()-1,FALSE))</f>
        <v/>
      </c>
      <c r="BB45" t="str">
        <f ca="1">IF(AND(ISNUMBER($BB$201),$B$158=1),$BB$201,HLOOKUP(INDIRECT(ADDRESS(2,COLUMN())),OFFSET($BN$2,0,0,ROW()-1,60),ROW()-1,FALSE))</f>
        <v/>
      </c>
      <c r="BC45" t="str">
        <f ca="1">IF(AND(ISNUMBER($BC$201),$B$158=1),$BC$201,HLOOKUP(INDIRECT(ADDRESS(2,COLUMN())),OFFSET($BN$2,0,0,ROW()-1,60),ROW()-1,FALSE))</f>
        <v/>
      </c>
      <c r="BD45" t="str">
        <f ca="1">IF(AND(ISNUMBER($BD$201),$B$158=1),$BD$201,HLOOKUP(INDIRECT(ADDRESS(2,COLUMN())),OFFSET($BN$2,0,0,ROW()-1,60),ROW()-1,FALSE))</f>
        <v/>
      </c>
      <c r="BE45" t="str">
        <f ca="1">IF(AND(ISNUMBER($BE$201),$B$158=1),$BE$201,HLOOKUP(INDIRECT(ADDRESS(2,COLUMN())),OFFSET($BN$2,0,0,ROW()-1,60),ROW()-1,FALSE))</f>
        <v/>
      </c>
      <c r="BF45" t="str">
        <f ca="1">IF(AND(ISNUMBER($BF$201),$B$158=1),$BF$201,HLOOKUP(INDIRECT(ADDRESS(2,COLUMN())),OFFSET($BN$2,0,0,ROW()-1,60),ROW()-1,FALSE))</f>
        <v/>
      </c>
      <c r="BG45" t="str">
        <f ca="1">IF(AND(ISNUMBER($BG$201),$B$158=1),$BG$201,HLOOKUP(INDIRECT(ADDRESS(2,COLUMN())),OFFSET($BN$2,0,0,ROW()-1,60),ROW()-1,FALSE))</f>
        <v/>
      </c>
      <c r="BH45" t="str">
        <f ca="1">IF(AND(ISNUMBER($BH$201),$B$158=1),$BH$201,HLOOKUP(INDIRECT(ADDRESS(2,COLUMN())),OFFSET($BN$2,0,0,ROW()-1,60),ROW()-1,FALSE))</f>
        <v/>
      </c>
      <c r="BI45" t="str">
        <f ca="1">IF(AND(ISNUMBER($BI$201),$B$158=1),$BI$201,HLOOKUP(INDIRECT(ADDRESS(2,COLUMN())),OFFSET($BN$2,0,0,ROW()-1,60),ROW()-1,FALSE))</f>
        <v/>
      </c>
      <c r="BJ45" t="str">
        <f ca="1">IF(AND(ISNUMBER($BJ$201),$B$158=1),$BJ$201,HLOOKUP(INDIRECT(ADDRESS(2,COLUMN())),OFFSET($BN$2,0,0,ROW()-1,60),ROW()-1,FALSE))</f>
        <v/>
      </c>
      <c r="BK45" t="str">
        <f ca="1">IF(AND(ISNUMBER($BK$201),$B$158=1),$BK$201,HLOOKUP(INDIRECT(ADDRESS(2,COLUMN())),OFFSET($BN$2,0,0,ROW()-1,60),ROW()-1,FALSE))</f>
        <v/>
      </c>
      <c r="BL45" t="str">
        <f ca="1">IF(AND(ISNUMBER($BL$201),$B$158=1),$BL$201,HLOOKUP(INDIRECT(ADDRESS(2,COLUMN())),OFFSET($BN$2,0,0,ROW()-1,60),ROW()-1,FALSE))</f>
        <v/>
      </c>
      <c r="BM45" t="str">
        <f ca="1">IF(AND(ISNUMBER($BM$201),$B$158=1),$BM$201,HLOOKUP(INDIRECT(ADDRESS(2,COLUMN())),OFFSET($BN$2,0,0,ROW()-1,60),ROW()-1,FALSE))</f>
        <v/>
      </c>
      <c r="BN45" t="str">
        <f>""</f>
        <v/>
      </c>
      <c r="BO45">
        <f>28</f>
        <v>28</v>
      </c>
      <c r="BP45">
        <f>55</f>
        <v>55</v>
      </c>
      <c r="BQ45">
        <f>1</f>
        <v>1</v>
      </c>
      <c r="BR45">
        <f>-8</f>
        <v>-8</v>
      </c>
      <c r="BS45">
        <f>-16</f>
        <v>-16</v>
      </c>
      <c r="BT45">
        <f>-48</f>
        <v>-48</v>
      </c>
      <c r="BU45">
        <f>-11</f>
        <v>-11</v>
      </c>
      <c r="BV45">
        <f>13</f>
        <v>13</v>
      </c>
      <c r="BW45">
        <f>20</f>
        <v>20</v>
      </c>
      <c r="BX45">
        <f>11</f>
        <v>11</v>
      </c>
      <c r="BY45">
        <f>24</f>
        <v>24</v>
      </c>
      <c r="BZ45">
        <f>14</f>
        <v>14</v>
      </c>
      <c r="CA45">
        <f>10</f>
        <v>10</v>
      </c>
      <c r="CB45">
        <f>12</f>
        <v>12</v>
      </c>
      <c r="CC45">
        <f>3</f>
        <v>3</v>
      </c>
      <c r="CD45">
        <f>13</f>
        <v>13</v>
      </c>
      <c r="CE45">
        <f>29</f>
        <v>29</v>
      </c>
      <c r="CF45">
        <f>24</f>
        <v>24</v>
      </c>
      <c r="CG45">
        <f>48</f>
        <v>48</v>
      </c>
      <c r="CH45" t="str">
        <f>""</f>
        <v/>
      </c>
      <c r="CI45">
        <f>18</f>
        <v>18</v>
      </c>
      <c r="CJ45">
        <f>17</f>
        <v>17</v>
      </c>
      <c r="CK45">
        <f>20</f>
        <v>20</v>
      </c>
      <c r="CL45" t="str">
        <f>""</f>
        <v/>
      </c>
      <c r="CM45">
        <f>25</f>
        <v>25</v>
      </c>
      <c r="CN45">
        <f>24</f>
        <v>24</v>
      </c>
      <c r="CO45">
        <f>19</f>
        <v>19</v>
      </c>
      <c r="CP45" t="str">
        <f>""</f>
        <v/>
      </c>
      <c r="CQ45" t="str">
        <f>""</f>
        <v/>
      </c>
      <c r="CR45" t="str">
        <f>""</f>
        <v/>
      </c>
      <c r="CS45" t="str">
        <f>""</f>
        <v/>
      </c>
      <c r="CT45" t="str">
        <f>""</f>
        <v/>
      </c>
      <c r="CU45" t="str">
        <f>""</f>
        <v/>
      </c>
      <c r="CV45" t="str">
        <f>""</f>
        <v/>
      </c>
      <c r="CW45" t="str">
        <f>""</f>
        <v/>
      </c>
      <c r="CX45" t="str">
        <f>""</f>
        <v/>
      </c>
      <c r="CY45" t="str">
        <f>""</f>
        <v/>
      </c>
      <c r="CZ45" t="str">
        <f>""</f>
        <v/>
      </c>
      <c r="DA45" t="str">
        <f>""</f>
        <v/>
      </c>
      <c r="DB45" t="str">
        <f>""</f>
        <v/>
      </c>
      <c r="DC45" t="str">
        <f>""</f>
        <v/>
      </c>
      <c r="DD45" t="str">
        <f>""</f>
        <v/>
      </c>
      <c r="DE45" t="str">
        <f>""</f>
        <v/>
      </c>
      <c r="DF45" t="str">
        <f>""</f>
        <v/>
      </c>
      <c r="DG45" t="str">
        <f>""</f>
        <v/>
      </c>
      <c r="DH45" t="str">
        <f>""</f>
        <v/>
      </c>
      <c r="DI45" t="str">
        <f>""</f>
        <v/>
      </c>
      <c r="DJ45" t="str">
        <f>""</f>
        <v/>
      </c>
      <c r="DK45" t="str">
        <f>""</f>
        <v/>
      </c>
      <c r="DL45" t="str">
        <f>""</f>
        <v/>
      </c>
      <c r="DM45" t="str">
        <f>""</f>
        <v/>
      </c>
      <c r="DN45" t="str">
        <f>""</f>
        <v/>
      </c>
      <c r="DO45" t="str">
        <f>""</f>
        <v/>
      </c>
      <c r="DP45" t="str">
        <f>""</f>
        <v/>
      </c>
      <c r="DQ45" t="str">
        <f>""</f>
        <v/>
      </c>
      <c r="DR45" t="str">
        <f>""</f>
        <v/>
      </c>
      <c r="DS45" t="str">
        <f>""</f>
        <v/>
      </c>
      <c r="DT45" t="str">
        <f>""</f>
        <v/>
      </c>
      <c r="DU45" t="str">
        <f>""</f>
        <v/>
      </c>
    </row>
    <row r="46" spans="1:125" x14ac:dyDescent="0.25">
      <c r="A46" t="str">
        <f>"                Bottega Veneta"</f>
        <v xml:space="preserve">                Bottega Veneta</v>
      </c>
      <c r="B46" t="str">
        <f t="shared" si="20"/>
        <v>KER FP Equity</v>
      </c>
      <c r="C46" t="str">
        <f t="shared" si="21"/>
        <v>BI047</v>
      </c>
      <c r="D46" t="str">
        <f t="shared" si="22"/>
        <v>BICS_SEGMENT_DATA</v>
      </c>
      <c r="E46" t="str">
        <f t="shared" si="23"/>
        <v>Dynamic</v>
      </c>
      <c r="F46" t="str">
        <f ca="1">IF(AND(ISNUMBER($F$202),$B$158=1),$F$202,HLOOKUP(INDIRECT(ADDRESS(2,COLUMN())),OFFSET($BN$2,0,0,ROW()-1,60),ROW()-1,FALSE))</f>
        <v/>
      </c>
      <c r="G46">
        <f ca="1">IF(AND(ISNUMBER($G$202),$B$158=1),$G$202,HLOOKUP(INDIRECT(ADDRESS(2,COLUMN())),OFFSET($BN$2,0,0,ROW()-1,60),ROW()-1,FALSE))</f>
        <v>9.3000000000000007</v>
      </c>
      <c r="H46">
        <f ca="1">IF(AND(ISNUMBER($H$202),$B$158=1),$H$202,HLOOKUP(INDIRECT(ADDRESS(2,COLUMN())),OFFSET($BN$2,0,0,ROW()-1,60),ROW()-1,FALSE))</f>
        <v>65.400000000000006</v>
      </c>
      <c r="I46">
        <f ca="1">IF(AND(ISNUMBER($I$202),$B$158=1),$I$202,HLOOKUP(INDIRECT(ADDRESS(2,COLUMN())),OFFSET($BN$2,0,0,ROW()-1,60),ROW()-1,FALSE))</f>
        <v>19.899999999999999</v>
      </c>
      <c r="J46">
        <f ca="1">IF(AND(ISNUMBER($J$202),$B$158=1),$J$202,HLOOKUP(INDIRECT(ADDRESS(2,COLUMN())),OFFSET($BN$2,0,0,ROW()-1,60),ROW()-1,FALSE))</f>
        <v>12.1</v>
      </c>
      <c r="K46">
        <f ca="1">IF(AND(ISNUMBER($K$202),$B$158=1),$K$202,HLOOKUP(INDIRECT(ADDRESS(2,COLUMN())),OFFSET($BN$2,0,0,ROW()-1,60),ROW()-1,FALSE))</f>
        <v>16.899999999999999</v>
      </c>
      <c r="L46">
        <f ca="1">IF(AND(ISNUMBER($L$202),$B$158=1),$L$202,HLOOKUP(INDIRECT(ADDRESS(2,COLUMN())),OFFSET($BN$2,0,0,ROW()-1,60),ROW()-1,FALSE))</f>
        <v>-24</v>
      </c>
      <c r="M46">
        <f ca="1">IF(AND(ISNUMBER($M$202),$B$158=1),$M$202,HLOOKUP(INDIRECT(ADDRESS(2,COLUMN())),OFFSET($BN$2,0,0,ROW()-1,60),ROW()-1,FALSE))</f>
        <v>10.3</v>
      </c>
      <c r="N46">
        <f ca="1">IF(AND(ISNUMBER($N$202),$B$158=1),$N$202,HLOOKUP(INDIRECT(ADDRESS(2,COLUMN())),OFFSET($BN$2,0,0,ROW()-1,60),ROW()-1,FALSE))</f>
        <v>12.2</v>
      </c>
      <c r="O46">
        <f ca="1">IF(AND(ISNUMBER($O$202),$B$158=1),$O$202,HLOOKUP(INDIRECT(ADDRESS(2,COLUMN())),OFFSET($BN$2,0,0,ROW()-1,60),ROW()-1,FALSE))</f>
        <v>9.8000000000000007</v>
      </c>
      <c r="P46">
        <f ca="1">IF(AND(ISNUMBER($P$202),$B$158=1),$P$202,HLOOKUP(INDIRECT(ADDRESS(2,COLUMN())),OFFSET($BN$2,0,0,ROW()-1,60),ROW()-1,FALSE))</f>
        <v>3.4</v>
      </c>
      <c r="Q46">
        <f ca="1">IF(AND(ISNUMBER($Q$202),$B$158=1),$Q$202,HLOOKUP(INDIRECT(ADDRESS(2,COLUMN())),OFFSET($BN$2,0,0,ROW()-1,60),ROW()-1,FALSE))</f>
        <v>-5</v>
      </c>
      <c r="R46">
        <f ca="1">IF(AND(ISNUMBER($R$202),$B$158=1),$R$202,HLOOKUP(INDIRECT(ADDRESS(2,COLUMN())),OFFSET($BN$2,0,0,ROW()-1,60),ROW()-1,FALSE))</f>
        <v>-2.4</v>
      </c>
      <c r="S46">
        <f ca="1">IF(AND(ISNUMBER($S$202),$B$158=1),$S$202,HLOOKUP(INDIRECT(ADDRESS(2,COLUMN())),OFFSET($BN$2,0,0,ROW()-1,60),ROW()-1,FALSE))</f>
        <v>-7.8</v>
      </c>
      <c r="T46">
        <f ca="1">IF(AND(ISNUMBER($T$202),$B$158=1),$T$202,HLOOKUP(INDIRECT(ADDRESS(2,COLUMN())),OFFSET($BN$2,0,0,ROW()-1,60),ROW()-1,FALSE))</f>
        <v>-6.1</v>
      </c>
      <c r="U46">
        <f ca="1">IF(AND(ISNUMBER($U$202),$B$158=1),$U$202,HLOOKUP(INDIRECT(ADDRESS(2,COLUMN())),OFFSET($BN$2,0,0,ROW()-1,60),ROW()-1,FALSE))</f>
        <v>-5</v>
      </c>
      <c r="V46">
        <f ca="1">IF(AND(ISNUMBER($V$202),$B$158=1),$V$202,HLOOKUP(INDIRECT(ADDRESS(2,COLUMN())),OFFSET($BN$2,0,0,ROW()-1,60),ROW()-1,FALSE))</f>
        <v>-1</v>
      </c>
      <c r="W46">
        <f ca="1">IF(AND(ISNUMBER($W$202),$B$158=1),$W$202,HLOOKUP(INDIRECT(ADDRESS(2,COLUMN())),OFFSET($BN$2,0,0,ROW()-1,60),ROW()-1,FALSE))</f>
        <v>-4.5</v>
      </c>
      <c r="X46">
        <f ca="1">IF(AND(ISNUMBER($X$202),$B$158=1),$X$202,HLOOKUP(INDIRECT(ADDRESS(2,COLUMN())),OFFSET($BN$2,0,0,ROW()-1,60),ROW()-1,FALSE))</f>
        <v>2.2000000000000002</v>
      </c>
      <c r="Y46">
        <f ca="1">IF(AND(ISNUMBER($Y$202),$B$158=1),$Y$202,HLOOKUP(INDIRECT(ADDRESS(2,COLUMN())),OFFSET($BN$2,0,0,ROW()-1,60),ROW()-1,FALSE))</f>
        <v>4.7</v>
      </c>
      <c r="Z46">
        <f ca="1">IF(AND(ISNUMBER($Z$202),$B$158=1),$Z$202,HLOOKUP(INDIRECT(ADDRESS(2,COLUMN())),OFFSET($BN$2,0,0,ROW()-1,60),ROW()-1,FALSE))</f>
        <v>-7.3</v>
      </c>
      <c r="AA46">
        <f ca="1">IF(AND(ISNUMBER($AA$202),$B$158=1),$AA$202,HLOOKUP(INDIRECT(ADDRESS(2,COLUMN())),OFFSET($BN$2,0,0,ROW()-1,60),ROW()-1,FALSE))</f>
        <v>-9.3000000000000007</v>
      </c>
      <c r="AB46">
        <f ca="1">IF(AND(ISNUMBER($AB$202),$B$158=1),$AB$202,HLOOKUP(INDIRECT(ADDRESS(2,COLUMN())),OFFSET($BN$2,0,0,ROW()-1,60),ROW()-1,FALSE))</f>
        <v>-10.6</v>
      </c>
      <c r="AC46">
        <f ca="1">IF(AND(ISNUMBER($AC$202),$B$158=1),$AC$202,HLOOKUP(INDIRECT(ADDRESS(2,COLUMN())),OFFSET($BN$2,0,0,ROW()-1,60),ROW()-1,FALSE))</f>
        <v>-7.6</v>
      </c>
      <c r="AD46">
        <f ca="1">IF(AND(ISNUMBER($AD$202),$B$158=1),$AD$202,HLOOKUP(INDIRECT(ADDRESS(2,COLUMN())),OFFSET($BN$2,0,0,ROW()-1,60),ROW()-1,FALSE))</f>
        <v>4.3</v>
      </c>
      <c r="AE46">
        <f ca="1">IF(AND(ISNUMBER($AE$202),$B$158=1),$AE$202,HLOOKUP(INDIRECT(ADDRESS(2,COLUMN())),OFFSET($BN$2,0,0,ROW()-1,60),ROW()-1,FALSE))</f>
        <v>13.2</v>
      </c>
      <c r="AF46">
        <f ca="1">IF(AND(ISNUMBER($AF$202),$B$158=1),$AF$202,HLOOKUP(INDIRECT(ADDRESS(2,COLUMN())),OFFSET($BN$2,0,0,ROW()-1,60),ROW()-1,FALSE))</f>
        <v>23.5</v>
      </c>
      <c r="AG46">
        <f ca="1">IF(AND(ISNUMBER($AG$202),$B$158=1),$AG$202,HLOOKUP(INDIRECT(ADDRESS(2,COLUMN())),OFFSET($BN$2,0,0,ROW()-1,60),ROW()-1,FALSE))</f>
        <v>15.6</v>
      </c>
      <c r="AH46">
        <f ca="1">IF(AND(ISNUMBER($AH$202),$B$158=1),$AH$202,HLOOKUP(INDIRECT(ADDRESS(2,COLUMN())),OFFSET($BN$2,0,0,ROW()-1,60),ROW()-1,FALSE))</f>
        <v>9.6</v>
      </c>
      <c r="AI46">
        <f ca="1">IF(AND(ISNUMBER($AI$202),$B$158=1),$AI$202,HLOOKUP(INDIRECT(ADDRESS(2,COLUMN())),OFFSET($BN$2,0,0,ROW()-1,60),ROW()-1,FALSE))</f>
        <v>17.399999999999999</v>
      </c>
      <c r="AJ46">
        <f ca="1">IF(AND(ISNUMBER($AJ$202),$B$158=1),$AJ$202,HLOOKUP(INDIRECT(ADDRESS(2,COLUMN())),OFFSET($BN$2,0,0,ROW()-1,60),ROW()-1,FALSE))</f>
        <v>16.100000000000001</v>
      </c>
      <c r="AK46">
        <f ca="1">IF(AND(ISNUMBER($AK$202),$B$158=1),$AK$202,HLOOKUP(INDIRECT(ADDRESS(2,COLUMN())),OFFSET($BN$2,0,0,ROW()-1,60),ROW()-1,FALSE))</f>
        <v>9.5</v>
      </c>
      <c r="AL46">
        <f ca="1">IF(AND(ISNUMBER($AL$202),$B$158=1),$AL$202,HLOOKUP(INDIRECT(ADDRESS(2,COLUMN())),OFFSET($BN$2,0,0,ROW()-1,60),ROW()-1,FALSE))</f>
        <v>6.2</v>
      </c>
      <c r="AM46">
        <f ca="1">IF(AND(ISNUMBER($AM$202),$B$158=1),$AM$202,HLOOKUP(INDIRECT(ADDRESS(2,COLUMN())),OFFSET($BN$2,0,0,ROW()-1,60),ROW()-1,FALSE))</f>
        <v>7.3</v>
      </c>
      <c r="AN46">
        <f ca="1">IF(AND(ISNUMBER($AN$202),$B$158=1),$AN$202,HLOOKUP(INDIRECT(ADDRESS(2,COLUMN())),OFFSET($BN$2,0,0,ROW()-1,60),ROW()-1,FALSE))</f>
        <v>11.9</v>
      </c>
      <c r="AO46">
        <f ca="1">IF(AND(ISNUMBER($AO$202),$B$158=1),$AO$202,HLOOKUP(INDIRECT(ADDRESS(2,COLUMN())),OFFSET($BN$2,0,0,ROW()-1,60),ROW()-1,FALSE))</f>
        <v>5</v>
      </c>
      <c r="AP46" t="str">
        <f ca="1">IF(AND(ISNUMBER($AP$202),$B$158=1),$AP$202,HLOOKUP(INDIRECT(ADDRESS(2,COLUMN())),OFFSET($BN$2,0,0,ROW()-1,60),ROW()-1,FALSE))</f>
        <v/>
      </c>
      <c r="AQ46" t="str">
        <f ca="1">IF(AND(ISNUMBER($AQ$202),$B$158=1),$AQ$202,HLOOKUP(INDIRECT(ADDRESS(2,COLUMN())),OFFSET($BN$2,0,0,ROW()-1,60),ROW()-1,FALSE))</f>
        <v/>
      </c>
      <c r="AR46" t="str">
        <f ca="1">IF(AND(ISNUMBER($AR$202),$B$158=1),$AR$202,HLOOKUP(INDIRECT(ADDRESS(2,COLUMN())),OFFSET($BN$2,0,0,ROW()-1,60),ROW()-1,FALSE))</f>
        <v/>
      </c>
      <c r="AS46" t="str">
        <f ca="1">IF(AND(ISNUMBER($AS$202),$B$158=1),$AS$202,HLOOKUP(INDIRECT(ADDRESS(2,COLUMN())),OFFSET($BN$2,0,0,ROW()-1,60),ROW()-1,FALSE))</f>
        <v/>
      </c>
      <c r="AT46" t="str">
        <f ca="1">IF(AND(ISNUMBER($AT$202),$B$158=1),$AT$202,HLOOKUP(INDIRECT(ADDRESS(2,COLUMN())),OFFSET($BN$2,0,0,ROW()-1,60),ROW()-1,FALSE))</f>
        <v/>
      </c>
      <c r="AU46" t="str">
        <f ca="1">IF(AND(ISNUMBER($AU$202),$B$158=1),$AU$202,HLOOKUP(INDIRECT(ADDRESS(2,COLUMN())),OFFSET($BN$2,0,0,ROW()-1,60),ROW()-1,FALSE))</f>
        <v/>
      </c>
      <c r="AV46" t="str">
        <f ca="1">IF(AND(ISNUMBER($AV$202),$B$158=1),$AV$202,HLOOKUP(INDIRECT(ADDRESS(2,COLUMN())),OFFSET($BN$2,0,0,ROW()-1,60),ROW()-1,FALSE))</f>
        <v/>
      </c>
      <c r="AW46" t="str">
        <f ca="1">IF(AND(ISNUMBER($AW$202),$B$158=1),$AW$202,HLOOKUP(INDIRECT(ADDRESS(2,COLUMN())),OFFSET($BN$2,0,0,ROW()-1,60),ROW()-1,FALSE))</f>
        <v/>
      </c>
      <c r="AX46" t="str">
        <f ca="1">IF(AND(ISNUMBER($AX$202),$B$158=1),$AX$202,HLOOKUP(INDIRECT(ADDRESS(2,COLUMN())),OFFSET($BN$2,0,0,ROW()-1,60),ROW()-1,FALSE))</f>
        <v/>
      </c>
      <c r="AY46" t="str">
        <f ca="1">IF(AND(ISNUMBER($AY$202),$B$158=1),$AY$202,HLOOKUP(INDIRECT(ADDRESS(2,COLUMN())),OFFSET($BN$2,0,0,ROW()-1,60),ROW()-1,FALSE))</f>
        <v/>
      </c>
      <c r="AZ46" t="str">
        <f ca="1">IF(AND(ISNUMBER($AZ$202),$B$158=1),$AZ$202,HLOOKUP(INDIRECT(ADDRESS(2,COLUMN())),OFFSET($BN$2,0,0,ROW()-1,60),ROW()-1,FALSE))</f>
        <v/>
      </c>
      <c r="BA46" t="str">
        <f ca="1">IF(AND(ISNUMBER($BA$202),$B$158=1),$BA$202,HLOOKUP(INDIRECT(ADDRESS(2,COLUMN())),OFFSET($BN$2,0,0,ROW()-1,60),ROW()-1,FALSE))</f>
        <v/>
      </c>
      <c r="BB46" t="str">
        <f ca="1">IF(AND(ISNUMBER($BB$202),$B$158=1),$BB$202,HLOOKUP(INDIRECT(ADDRESS(2,COLUMN())),OFFSET($BN$2,0,0,ROW()-1,60),ROW()-1,FALSE))</f>
        <v/>
      </c>
      <c r="BC46" t="str">
        <f ca="1">IF(AND(ISNUMBER($BC$202),$B$158=1),$BC$202,HLOOKUP(INDIRECT(ADDRESS(2,COLUMN())),OFFSET($BN$2,0,0,ROW()-1,60),ROW()-1,FALSE))</f>
        <v/>
      </c>
      <c r="BD46" t="str">
        <f ca="1">IF(AND(ISNUMBER($BD$202),$B$158=1),$BD$202,HLOOKUP(INDIRECT(ADDRESS(2,COLUMN())),OFFSET($BN$2,0,0,ROW()-1,60),ROW()-1,FALSE))</f>
        <v/>
      </c>
      <c r="BE46" t="str">
        <f ca="1">IF(AND(ISNUMBER($BE$202),$B$158=1),$BE$202,HLOOKUP(INDIRECT(ADDRESS(2,COLUMN())),OFFSET($BN$2,0,0,ROW()-1,60),ROW()-1,FALSE))</f>
        <v/>
      </c>
      <c r="BF46" t="str">
        <f ca="1">IF(AND(ISNUMBER($BF$202),$B$158=1),$BF$202,HLOOKUP(INDIRECT(ADDRESS(2,COLUMN())),OFFSET($BN$2,0,0,ROW()-1,60),ROW()-1,FALSE))</f>
        <v/>
      </c>
      <c r="BG46" t="str">
        <f ca="1">IF(AND(ISNUMBER($BG$202),$B$158=1),$BG$202,HLOOKUP(INDIRECT(ADDRESS(2,COLUMN())),OFFSET($BN$2,0,0,ROW()-1,60),ROW()-1,FALSE))</f>
        <v/>
      </c>
      <c r="BH46" t="str">
        <f ca="1">IF(AND(ISNUMBER($BH$202),$B$158=1),$BH$202,HLOOKUP(INDIRECT(ADDRESS(2,COLUMN())),OFFSET($BN$2,0,0,ROW()-1,60),ROW()-1,FALSE))</f>
        <v/>
      </c>
      <c r="BI46" t="str">
        <f ca="1">IF(AND(ISNUMBER($BI$202),$B$158=1),$BI$202,HLOOKUP(INDIRECT(ADDRESS(2,COLUMN())),OFFSET($BN$2,0,0,ROW()-1,60),ROW()-1,FALSE))</f>
        <v/>
      </c>
      <c r="BJ46" t="str">
        <f ca="1">IF(AND(ISNUMBER($BJ$202),$B$158=1),$BJ$202,HLOOKUP(INDIRECT(ADDRESS(2,COLUMN())),OFFSET($BN$2,0,0,ROW()-1,60),ROW()-1,FALSE))</f>
        <v/>
      </c>
      <c r="BK46" t="str">
        <f ca="1">IF(AND(ISNUMBER($BK$202),$B$158=1),$BK$202,HLOOKUP(INDIRECT(ADDRESS(2,COLUMN())),OFFSET($BN$2,0,0,ROW()-1,60),ROW()-1,FALSE))</f>
        <v/>
      </c>
      <c r="BL46" t="str">
        <f ca="1">IF(AND(ISNUMBER($BL$202),$B$158=1),$BL$202,HLOOKUP(INDIRECT(ADDRESS(2,COLUMN())),OFFSET($BN$2,0,0,ROW()-1,60),ROW()-1,FALSE))</f>
        <v/>
      </c>
      <c r="BM46" t="str">
        <f ca="1">IF(AND(ISNUMBER($BM$202),$B$158=1),$BM$202,HLOOKUP(INDIRECT(ADDRESS(2,COLUMN())),OFFSET($BN$2,0,0,ROW()-1,60),ROW()-1,FALSE))</f>
        <v/>
      </c>
      <c r="BN46" t="str">
        <f>""</f>
        <v/>
      </c>
      <c r="BO46">
        <f>9.3</f>
        <v>9.3000000000000007</v>
      </c>
      <c r="BP46">
        <f>65.4</f>
        <v>65.400000000000006</v>
      </c>
      <c r="BQ46">
        <f>19.9</f>
        <v>19.899999999999999</v>
      </c>
      <c r="BR46">
        <f>12.1</f>
        <v>12.1</v>
      </c>
      <c r="BS46">
        <f>16.9</f>
        <v>16.899999999999999</v>
      </c>
      <c r="BT46">
        <f>-24</f>
        <v>-24</v>
      </c>
      <c r="BU46">
        <f>10.3</f>
        <v>10.3</v>
      </c>
      <c r="BV46">
        <f>12.2</f>
        <v>12.2</v>
      </c>
      <c r="BW46">
        <f>9.8</f>
        <v>9.8000000000000007</v>
      </c>
      <c r="BX46">
        <f>3.4</f>
        <v>3.4</v>
      </c>
      <c r="BY46">
        <f>-5</f>
        <v>-5</v>
      </c>
      <c r="BZ46">
        <f>-2.4</f>
        <v>-2.4</v>
      </c>
      <c r="CA46">
        <f>-7.8</f>
        <v>-7.8</v>
      </c>
      <c r="CB46">
        <f>-6.1</f>
        <v>-6.1</v>
      </c>
      <c r="CC46">
        <f>-5</f>
        <v>-5</v>
      </c>
      <c r="CD46">
        <f>-1</f>
        <v>-1</v>
      </c>
      <c r="CE46">
        <f>-4.5</f>
        <v>-4.5</v>
      </c>
      <c r="CF46">
        <f>2.2</f>
        <v>2.2000000000000002</v>
      </c>
      <c r="CG46">
        <f>4.7</f>
        <v>4.7</v>
      </c>
      <c r="CH46">
        <f>-7.3</f>
        <v>-7.3</v>
      </c>
      <c r="CI46">
        <f>-9.3</f>
        <v>-9.3000000000000007</v>
      </c>
      <c r="CJ46">
        <f>-10.6</f>
        <v>-10.6</v>
      </c>
      <c r="CK46">
        <f>-7.6</f>
        <v>-7.6</v>
      </c>
      <c r="CL46">
        <f>4.3</f>
        <v>4.3</v>
      </c>
      <c r="CM46">
        <f>13.2</f>
        <v>13.2</v>
      </c>
      <c r="CN46">
        <f>23.5</f>
        <v>23.5</v>
      </c>
      <c r="CO46">
        <f>15.6</f>
        <v>15.6</v>
      </c>
      <c r="CP46">
        <f>9.6</f>
        <v>9.6</v>
      </c>
      <c r="CQ46">
        <f>17.4</f>
        <v>17.399999999999999</v>
      </c>
      <c r="CR46">
        <f>16.1</f>
        <v>16.100000000000001</v>
      </c>
      <c r="CS46">
        <f>9.5</f>
        <v>9.5</v>
      </c>
      <c r="CT46">
        <f>6.2</f>
        <v>6.2</v>
      </c>
      <c r="CU46">
        <f>7.3</f>
        <v>7.3</v>
      </c>
      <c r="CV46">
        <f>11.9</f>
        <v>11.9</v>
      </c>
      <c r="CW46">
        <f>5</f>
        <v>5</v>
      </c>
      <c r="CX46" t="str">
        <f>""</f>
        <v/>
      </c>
      <c r="CY46" t="str">
        <f>""</f>
        <v/>
      </c>
      <c r="CZ46" t="str">
        <f>""</f>
        <v/>
      </c>
      <c r="DA46" t="str">
        <f>""</f>
        <v/>
      </c>
      <c r="DB46" t="str">
        <f>""</f>
        <v/>
      </c>
      <c r="DC46" t="str">
        <f>""</f>
        <v/>
      </c>
      <c r="DD46" t="str">
        <f>""</f>
        <v/>
      </c>
      <c r="DE46" t="str">
        <f>""</f>
        <v/>
      </c>
      <c r="DF46" t="str">
        <f>""</f>
        <v/>
      </c>
      <c r="DG46" t="str">
        <f>""</f>
        <v/>
      </c>
      <c r="DH46" t="str">
        <f>""</f>
        <v/>
      </c>
      <c r="DI46" t="str">
        <f>""</f>
        <v/>
      </c>
      <c r="DJ46" t="str">
        <f>""</f>
        <v/>
      </c>
      <c r="DK46" t="str">
        <f>""</f>
        <v/>
      </c>
      <c r="DL46" t="str">
        <f>""</f>
        <v/>
      </c>
      <c r="DM46" t="str">
        <f>""</f>
        <v/>
      </c>
      <c r="DN46" t="str">
        <f>""</f>
        <v/>
      </c>
      <c r="DO46" t="str">
        <f>""</f>
        <v/>
      </c>
      <c r="DP46" t="str">
        <f>""</f>
        <v/>
      </c>
      <c r="DQ46" t="str">
        <f>""</f>
        <v/>
      </c>
      <c r="DR46" t="str">
        <f>""</f>
        <v/>
      </c>
      <c r="DS46" t="str">
        <f>""</f>
        <v/>
      </c>
      <c r="DT46" t="str">
        <f>""</f>
        <v/>
      </c>
      <c r="DU46" t="str">
        <f>""</f>
        <v/>
      </c>
    </row>
    <row r="47" spans="1:125" x14ac:dyDescent="0.25">
      <c r="A47" t="str">
        <f>"                    Retail"</f>
        <v xml:space="preserve">                    Retail</v>
      </c>
      <c r="B47" t="str">
        <f t="shared" si="20"/>
        <v>KER FP Equity</v>
      </c>
      <c r="C47" t="str">
        <f t="shared" si="21"/>
        <v>BI047</v>
      </c>
      <c r="D47" t="str">
        <f t="shared" si="22"/>
        <v>BICS_SEGMENT_DATA</v>
      </c>
      <c r="E47" t="str">
        <f t="shared" si="23"/>
        <v>Dynamic</v>
      </c>
      <c r="F47" t="str">
        <f ca="1">IF(AND(ISNUMBER($F$203),$B$158=1),$F$203,HLOOKUP(INDIRECT(ADDRESS(2,COLUMN())),OFFSET($BN$2,0,0,ROW()-1,60),ROW()-1,FALSE))</f>
        <v/>
      </c>
      <c r="G47">
        <f ca="1">IF(AND(ISNUMBER($G$203),$B$158=1),$G$203,HLOOKUP(INDIRECT(ADDRESS(2,COLUMN())),OFFSET($BN$2,0,0,ROW()-1,60),ROW()-1,FALSE))</f>
        <v>6</v>
      </c>
      <c r="H47">
        <f ca="1">IF(AND(ISNUMBER($H$203),$B$158=1),$H$203,HLOOKUP(INDIRECT(ADDRESS(2,COLUMN())),OFFSET($BN$2,0,0,ROW()-1,60),ROW()-1,FALSE))</f>
        <v>72</v>
      </c>
      <c r="I47">
        <f ca="1">IF(AND(ISNUMBER($I$203),$B$158=1),$I$203,HLOOKUP(INDIRECT(ADDRESS(2,COLUMN())),OFFSET($BN$2,0,0,ROW()-1,60),ROW()-1,FALSE))</f>
        <v>24</v>
      </c>
      <c r="J47">
        <f ca="1">IF(AND(ISNUMBER($J$203),$B$158=1),$J$203,HLOOKUP(INDIRECT(ADDRESS(2,COLUMN())),OFFSET($BN$2,0,0,ROW()-1,60),ROW()-1,FALSE))</f>
        <v>-5</v>
      </c>
      <c r="K47">
        <f ca="1">IF(AND(ISNUMBER($K$203),$B$158=1),$K$203,HLOOKUP(INDIRECT(ADDRESS(2,COLUMN())),OFFSET($BN$2,0,0,ROW()-1,60),ROW()-1,FALSE))</f>
        <v>12</v>
      </c>
      <c r="L47">
        <f ca="1">IF(AND(ISNUMBER($L$203),$B$158=1),$L$203,HLOOKUP(INDIRECT(ADDRESS(2,COLUMN())),OFFSET($BN$2,0,0,ROW()-1,60),ROW()-1,FALSE))</f>
        <v>-34</v>
      </c>
      <c r="M47">
        <f ca="1">IF(AND(ISNUMBER($M$203),$B$158=1),$M$203,HLOOKUP(INDIRECT(ADDRESS(2,COLUMN())),OFFSET($BN$2,0,0,ROW()-1,60),ROW()-1,FALSE))</f>
        <v>-1</v>
      </c>
      <c r="N47">
        <f ca="1">IF(AND(ISNUMBER($N$203),$B$158=1),$N$203,HLOOKUP(INDIRECT(ADDRESS(2,COLUMN())),OFFSET($BN$2,0,0,ROW()-1,60),ROW()-1,FALSE))</f>
        <v>7</v>
      </c>
      <c r="O47">
        <f ca="1">IF(AND(ISNUMBER($O$203),$B$158=1),$O$203,HLOOKUP(INDIRECT(ADDRESS(2,COLUMN())),OFFSET($BN$2,0,0,ROW()-1,60),ROW()-1,FALSE))</f>
        <v>8</v>
      </c>
      <c r="P47">
        <f ca="1">IF(AND(ISNUMBER($P$203),$B$158=1),$P$203,HLOOKUP(INDIRECT(ADDRESS(2,COLUMN())),OFFSET($BN$2,0,0,ROW()-1,60),ROW()-1,FALSE))</f>
        <v>0.5</v>
      </c>
      <c r="Q47">
        <f ca="1">IF(AND(ISNUMBER($Q$203),$B$158=1),$Q$203,HLOOKUP(INDIRECT(ADDRESS(2,COLUMN())),OFFSET($BN$2,0,0,ROW()-1,60),ROW()-1,FALSE))</f>
        <v>-10</v>
      </c>
      <c r="R47">
        <f ca="1">IF(AND(ISNUMBER($R$203),$B$158=1),$R$203,HLOOKUP(INDIRECT(ADDRESS(2,COLUMN())),OFFSET($BN$2,0,0,ROW()-1,60),ROW()-1,FALSE))</f>
        <v>4</v>
      </c>
      <c r="S47">
        <f ca="1">IF(AND(ISNUMBER($S$203),$B$158=1),$S$203,HLOOKUP(INDIRECT(ADDRESS(2,COLUMN())),OFFSET($BN$2,0,0,ROW()-1,60),ROW()-1,FALSE))</f>
        <v>-10</v>
      </c>
      <c r="T47">
        <f ca="1">IF(AND(ISNUMBER($T$203),$B$158=1),$T$203,HLOOKUP(INDIRECT(ADDRESS(2,COLUMN())),OFFSET($BN$2,0,0,ROW()-1,60),ROW()-1,FALSE))</f>
        <v>-5</v>
      </c>
      <c r="U47">
        <f ca="1">IF(AND(ISNUMBER($U$203),$B$158=1),$U$203,HLOOKUP(INDIRECT(ADDRESS(2,COLUMN())),OFFSET($BN$2,0,0,ROW()-1,60),ROW()-1,FALSE))</f>
        <v>2</v>
      </c>
      <c r="V47">
        <f ca="1">IF(AND(ISNUMBER($V$203),$B$158=1),$V$203,HLOOKUP(INDIRECT(ADDRESS(2,COLUMN())),OFFSET($BN$2,0,0,ROW()-1,60),ROW()-1,FALSE))</f>
        <v>6</v>
      </c>
      <c r="W47">
        <f ca="1">IF(AND(ISNUMBER($W$203),$B$158=1),$W$203,HLOOKUP(INDIRECT(ADDRESS(2,COLUMN())),OFFSET($BN$2,0,0,ROW()-1,60),ROW()-1,FALSE))</f>
        <v>3</v>
      </c>
      <c r="X47">
        <f ca="1">IF(AND(ISNUMBER($X$203),$B$158=1),$X$203,HLOOKUP(INDIRECT(ADDRESS(2,COLUMN())),OFFSET($BN$2,0,0,ROW()-1,60),ROW()-1,FALSE))</f>
        <v>4</v>
      </c>
      <c r="Y47">
        <f ca="1">IF(AND(ISNUMBER($Y$203),$B$158=1),$Y$203,HLOOKUP(INDIRECT(ADDRESS(2,COLUMN())),OFFSET($BN$2,0,0,ROW()-1,60),ROW()-1,FALSE))</f>
        <v>4</v>
      </c>
      <c r="Z47">
        <f ca="1">IF(AND(ISNUMBER($Z$203),$B$158=1),$Z$203,HLOOKUP(INDIRECT(ADDRESS(2,COLUMN())),OFFSET($BN$2,0,0,ROW()-1,60),ROW()-1,FALSE))</f>
        <v>-7</v>
      </c>
      <c r="AA47">
        <f ca="1">IF(AND(ISNUMBER($AA$203),$B$158=1),$AA$203,HLOOKUP(INDIRECT(ADDRESS(2,COLUMN())),OFFSET($BN$2,0,0,ROW()-1,60),ROW()-1,FALSE))</f>
        <v>-8</v>
      </c>
      <c r="AB47">
        <f ca="1">IF(AND(ISNUMBER($AB$203),$B$158=1),$AB$203,HLOOKUP(INDIRECT(ADDRESS(2,COLUMN())),OFFSET($BN$2,0,0,ROW()-1,60),ROW()-1,FALSE))</f>
        <v>-11</v>
      </c>
      <c r="AC47">
        <f ca="1">IF(AND(ISNUMBER($AC$203),$B$158=1),$AC$203,HLOOKUP(INDIRECT(ADDRESS(2,COLUMN())),OFFSET($BN$2,0,0,ROW()-1,60),ROW()-1,FALSE))</f>
        <v>-10</v>
      </c>
      <c r="AD47" t="str">
        <f ca="1">IF(AND(ISNUMBER($AD$203),$B$158=1),$AD$203,HLOOKUP(INDIRECT(ADDRESS(2,COLUMN())),OFFSET($BN$2,0,0,ROW()-1,60),ROW()-1,FALSE))</f>
        <v/>
      </c>
      <c r="AE47">
        <f ca="1">IF(AND(ISNUMBER($AE$203),$B$158=1),$AE$203,HLOOKUP(INDIRECT(ADDRESS(2,COLUMN())),OFFSET($BN$2,0,0,ROW()-1,60),ROW()-1,FALSE))</f>
        <v>4</v>
      </c>
      <c r="AF47">
        <f ca="1">IF(AND(ISNUMBER($AF$203),$B$158=1),$AF$203,HLOOKUP(INDIRECT(ADDRESS(2,COLUMN())),OFFSET($BN$2,0,0,ROW()-1,60),ROW()-1,FALSE))</f>
        <v>12</v>
      </c>
      <c r="AG47">
        <f ca="1">IF(AND(ISNUMBER($AG$203),$B$158=1),$AG$203,HLOOKUP(INDIRECT(ADDRESS(2,COLUMN())),OFFSET($BN$2,0,0,ROW()-1,60),ROW()-1,FALSE))</f>
        <v>2</v>
      </c>
      <c r="AH47" t="str">
        <f ca="1">IF(AND(ISNUMBER($AH$203),$B$158=1),$AH$203,HLOOKUP(INDIRECT(ADDRESS(2,COLUMN())),OFFSET($BN$2,0,0,ROW()-1,60),ROW()-1,FALSE))</f>
        <v/>
      </c>
      <c r="AI47" t="str">
        <f ca="1">IF(AND(ISNUMBER($AI$203),$B$158=1),$AI$203,HLOOKUP(INDIRECT(ADDRESS(2,COLUMN())),OFFSET($BN$2,0,0,ROW()-1,60),ROW()-1,FALSE))</f>
        <v/>
      </c>
      <c r="AJ47" t="str">
        <f ca="1">IF(AND(ISNUMBER($AJ$203),$B$158=1),$AJ$203,HLOOKUP(INDIRECT(ADDRESS(2,COLUMN())),OFFSET($BN$2,0,0,ROW()-1,60),ROW()-1,FALSE))</f>
        <v/>
      </c>
      <c r="AK47">
        <f ca="1">IF(AND(ISNUMBER($AK$203),$B$158=1),$AK$203,HLOOKUP(INDIRECT(ADDRESS(2,COLUMN())),OFFSET($BN$2,0,0,ROW()-1,60),ROW()-1,FALSE))</f>
        <v>18</v>
      </c>
      <c r="AL47" t="str">
        <f ca="1">IF(AND(ISNUMBER($AL$203),$B$158=1),$AL$203,HLOOKUP(INDIRECT(ADDRESS(2,COLUMN())),OFFSET($BN$2,0,0,ROW()-1,60),ROW()-1,FALSE))</f>
        <v/>
      </c>
      <c r="AM47" t="str">
        <f ca="1">IF(AND(ISNUMBER($AM$203),$B$158=1),$AM$203,HLOOKUP(INDIRECT(ADDRESS(2,COLUMN())),OFFSET($BN$2,0,0,ROW()-1,60),ROW()-1,FALSE))</f>
        <v/>
      </c>
      <c r="AN47" t="str">
        <f ca="1">IF(AND(ISNUMBER($AN$203),$B$158=1),$AN$203,HLOOKUP(INDIRECT(ADDRESS(2,COLUMN())),OFFSET($BN$2,0,0,ROW()-1,60),ROW()-1,FALSE))</f>
        <v/>
      </c>
      <c r="AO47" t="str">
        <f ca="1">IF(AND(ISNUMBER($AO$203),$B$158=1),$AO$203,HLOOKUP(INDIRECT(ADDRESS(2,COLUMN())),OFFSET($BN$2,0,0,ROW()-1,60),ROW()-1,FALSE))</f>
        <v/>
      </c>
      <c r="AP47" t="str">
        <f ca="1">IF(AND(ISNUMBER($AP$203),$B$158=1),$AP$203,HLOOKUP(INDIRECT(ADDRESS(2,COLUMN())),OFFSET($BN$2,0,0,ROW()-1,60),ROW()-1,FALSE))</f>
        <v/>
      </c>
      <c r="AQ47" t="str">
        <f ca="1">IF(AND(ISNUMBER($AQ$203),$B$158=1),$AQ$203,HLOOKUP(INDIRECT(ADDRESS(2,COLUMN())),OFFSET($BN$2,0,0,ROW()-1,60),ROW()-1,FALSE))</f>
        <v/>
      </c>
      <c r="AR47" t="str">
        <f ca="1">IF(AND(ISNUMBER($AR$203),$B$158=1),$AR$203,HLOOKUP(INDIRECT(ADDRESS(2,COLUMN())),OFFSET($BN$2,0,0,ROW()-1,60),ROW()-1,FALSE))</f>
        <v/>
      </c>
      <c r="AS47" t="str">
        <f ca="1">IF(AND(ISNUMBER($AS$203),$B$158=1),$AS$203,HLOOKUP(INDIRECT(ADDRESS(2,COLUMN())),OFFSET($BN$2,0,0,ROW()-1,60),ROW()-1,FALSE))</f>
        <v/>
      </c>
      <c r="AT47" t="str">
        <f ca="1">IF(AND(ISNUMBER($AT$203),$B$158=1),$AT$203,HLOOKUP(INDIRECT(ADDRESS(2,COLUMN())),OFFSET($BN$2,0,0,ROW()-1,60),ROW()-1,FALSE))</f>
        <v/>
      </c>
      <c r="AU47" t="str">
        <f ca="1">IF(AND(ISNUMBER($AU$203),$B$158=1),$AU$203,HLOOKUP(INDIRECT(ADDRESS(2,COLUMN())),OFFSET($BN$2,0,0,ROW()-1,60),ROW()-1,FALSE))</f>
        <v/>
      </c>
      <c r="AV47" t="str">
        <f ca="1">IF(AND(ISNUMBER($AV$203),$B$158=1),$AV$203,HLOOKUP(INDIRECT(ADDRESS(2,COLUMN())),OFFSET($BN$2,0,0,ROW()-1,60),ROW()-1,FALSE))</f>
        <v/>
      </c>
      <c r="AW47" t="str">
        <f ca="1">IF(AND(ISNUMBER($AW$203),$B$158=1),$AW$203,HLOOKUP(INDIRECT(ADDRESS(2,COLUMN())),OFFSET($BN$2,0,0,ROW()-1,60),ROW()-1,FALSE))</f>
        <v/>
      </c>
      <c r="AX47" t="str">
        <f ca="1">IF(AND(ISNUMBER($AX$203),$B$158=1),$AX$203,HLOOKUP(INDIRECT(ADDRESS(2,COLUMN())),OFFSET($BN$2,0,0,ROW()-1,60),ROW()-1,FALSE))</f>
        <v/>
      </c>
      <c r="AY47" t="str">
        <f ca="1">IF(AND(ISNUMBER($AY$203),$B$158=1),$AY$203,HLOOKUP(INDIRECT(ADDRESS(2,COLUMN())),OFFSET($BN$2,0,0,ROW()-1,60),ROW()-1,FALSE))</f>
        <v/>
      </c>
      <c r="AZ47" t="str">
        <f ca="1">IF(AND(ISNUMBER($AZ$203),$B$158=1),$AZ$203,HLOOKUP(INDIRECT(ADDRESS(2,COLUMN())),OFFSET($BN$2,0,0,ROW()-1,60),ROW()-1,FALSE))</f>
        <v/>
      </c>
      <c r="BA47" t="str">
        <f ca="1">IF(AND(ISNUMBER($BA$203),$B$158=1),$BA$203,HLOOKUP(INDIRECT(ADDRESS(2,COLUMN())),OFFSET($BN$2,0,0,ROW()-1,60),ROW()-1,FALSE))</f>
        <v/>
      </c>
      <c r="BB47" t="str">
        <f ca="1">IF(AND(ISNUMBER($BB$203),$B$158=1),$BB$203,HLOOKUP(INDIRECT(ADDRESS(2,COLUMN())),OFFSET($BN$2,0,0,ROW()-1,60),ROW()-1,FALSE))</f>
        <v/>
      </c>
      <c r="BC47" t="str">
        <f ca="1">IF(AND(ISNUMBER($BC$203),$B$158=1),$BC$203,HLOOKUP(INDIRECT(ADDRESS(2,COLUMN())),OFFSET($BN$2,0,0,ROW()-1,60),ROW()-1,FALSE))</f>
        <v/>
      </c>
      <c r="BD47" t="str">
        <f ca="1">IF(AND(ISNUMBER($BD$203),$B$158=1),$BD$203,HLOOKUP(INDIRECT(ADDRESS(2,COLUMN())),OFFSET($BN$2,0,0,ROW()-1,60),ROW()-1,FALSE))</f>
        <v/>
      </c>
      <c r="BE47" t="str">
        <f ca="1">IF(AND(ISNUMBER($BE$203),$B$158=1),$BE$203,HLOOKUP(INDIRECT(ADDRESS(2,COLUMN())),OFFSET($BN$2,0,0,ROW()-1,60),ROW()-1,FALSE))</f>
        <v/>
      </c>
      <c r="BF47" t="str">
        <f ca="1">IF(AND(ISNUMBER($BF$203),$B$158=1),$BF$203,HLOOKUP(INDIRECT(ADDRESS(2,COLUMN())),OFFSET($BN$2,0,0,ROW()-1,60),ROW()-1,FALSE))</f>
        <v/>
      </c>
      <c r="BG47" t="str">
        <f ca="1">IF(AND(ISNUMBER($BG$203),$B$158=1),$BG$203,HLOOKUP(INDIRECT(ADDRESS(2,COLUMN())),OFFSET($BN$2,0,0,ROW()-1,60),ROW()-1,FALSE))</f>
        <v/>
      </c>
      <c r="BH47" t="str">
        <f ca="1">IF(AND(ISNUMBER($BH$203),$B$158=1),$BH$203,HLOOKUP(INDIRECT(ADDRESS(2,COLUMN())),OFFSET($BN$2,0,0,ROW()-1,60),ROW()-1,FALSE))</f>
        <v/>
      </c>
      <c r="BI47" t="str">
        <f ca="1">IF(AND(ISNUMBER($BI$203),$B$158=1),$BI$203,HLOOKUP(INDIRECT(ADDRESS(2,COLUMN())),OFFSET($BN$2,0,0,ROW()-1,60),ROW()-1,FALSE))</f>
        <v/>
      </c>
      <c r="BJ47" t="str">
        <f ca="1">IF(AND(ISNUMBER($BJ$203),$B$158=1),$BJ$203,HLOOKUP(INDIRECT(ADDRESS(2,COLUMN())),OFFSET($BN$2,0,0,ROW()-1,60),ROW()-1,FALSE))</f>
        <v/>
      </c>
      <c r="BK47" t="str">
        <f ca="1">IF(AND(ISNUMBER($BK$203),$B$158=1),$BK$203,HLOOKUP(INDIRECT(ADDRESS(2,COLUMN())),OFFSET($BN$2,0,0,ROW()-1,60),ROW()-1,FALSE))</f>
        <v/>
      </c>
      <c r="BL47" t="str">
        <f ca="1">IF(AND(ISNUMBER($BL$203),$B$158=1),$BL$203,HLOOKUP(INDIRECT(ADDRESS(2,COLUMN())),OFFSET($BN$2,0,0,ROW()-1,60),ROW()-1,FALSE))</f>
        <v/>
      </c>
      <c r="BM47" t="str">
        <f ca="1">IF(AND(ISNUMBER($BM$203),$B$158=1),$BM$203,HLOOKUP(INDIRECT(ADDRESS(2,COLUMN())),OFFSET($BN$2,0,0,ROW()-1,60),ROW()-1,FALSE))</f>
        <v/>
      </c>
      <c r="BN47" t="str">
        <f>""</f>
        <v/>
      </c>
      <c r="BO47">
        <f>6</f>
        <v>6</v>
      </c>
      <c r="BP47">
        <f>72</f>
        <v>72</v>
      </c>
      <c r="BQ47">
        <f>24</f>
        <v>24</v>
      </c>
      <c r="BR47">
        <f>-5</f>
        <v>-5</v>
      </c>
      <c r="BS47">
        <f>12</f>
        <v>12</v>
      </c>
      <c r="BT47">
        <f>-34</f>
        <v>-34</v>
      </c>
      <c r="BU47">
        <f>-1</f>
        <v>-1</v>
      </c>
      <c r="BV47">
        <f>7</f>
        <v>7</v>
      </c>
      <c r="BW47">
        <f>8</f>
        <v>8</v>
      </c>
      <c r="BX47">
        <f>0.5</f>
        <v>0.5</v>
      </c>
      <c r="BY47">
        <f>-10</f>
        <v>-10</v>
      </c>
      <c r="BZ47">
        <f>4</f>
        <v>4</v>
      </c>
      <c r="CA47">
        <f>-10</f>
        <v>-10</v>
      </c>
      <c r="CB47">
        <f>-5</f>
        <v>-5</v>
      </c>
      <c r="CC47">
        <f>2</f>
        <v>2</v>
      </c>
      <c r="CD47">
        <f>6</f>
        <v>6</v>
      </c>
      <c r="CE47">
        <f>3</f>
        <v>3</v>
      </c>
      <c r="CF47">
        <f>4</f>
        <v>4</v>
      </c>
      <c r="CG47">
        <f>4</f>
        <v>4</v>
      </c>
      <c r="CH47">
        <f>-7</f>
        <v>-7</v>
      </c>
      <c r="CI47">
        <f>-8</f>
        <v>-8</v>
      </c>
      <c r="CJ47">
        <f>-11</f>
        <v>-11</v>
      </c>
      <c r="CK47">
        <f>-10</f>
        <v>-10</v>
      </c>
      <c r="CL47" t="str">
        <f>""</f>
        <v/>
      </c>
      <c r="CM47">
        <f>4</f>
        <v>4</v>
      </c>
      <c r="CN47">
        <f>12</f>
        <v>12</v>
      </c>
      <c r="CO47">
        <f>2</f>
        <v>2</v>
      </c>
      <c r="CP47" t="str">
        <f>""</f>
        <v/>
      </c>
      <c r="CQ47" t="str">
        <f>""</f>
        <v/>
      </c>
      <c r="CR47" t="str">
        <f>""</f>
        <v/>
      </c>
      <c r="CS47">
        <f>18</f>
        <v>18</v>
      </c>
      <c r="CT47" t="str">
        <f>""</f>
        <v/>
      </c>
      <c r="CU47" t="str">
        <f>""</f>
        <v/>
      </c>
      <c r="CV47" t="str">
        <f>""</f>
        <v/>
      </c>
      <c r="CW47" t="str">
        <f>""</f>
        <v/>
      </c>
      <c r="CX47" t="str">
        <f>""</f>
        <v/>
      </c>
      <c r="CY47" t="str">
        <f>""</f>
        <v/>
      </c>
      <c r="CZ47" t="str">
        <f>""</f>
        <v/>
      </c>
      <c r="DA47" t="str">
        <f>""</f>
        <v/>
      </c>
      <c r="DB47" t="str">
        <f>""</f>
        <v/>
      </c>
      <c r="DC47" t="str">
        <f>""</f>
        <v/>
      </c>
      <c r="DD47" t="str">
        <f>""</f>
        <v/>
      </c>
      <c r="DE47" t="str">
        <f>""</f>
        <v/>
      </c>
      <c r="DF47" t="str">
        <f>""</f>
        <v/>
      </c>
      <c r="DG47" t="str">
        <f>""</f>
        <v/>
      </c>
      <c r="DH47" t="str">
        <f>""</f>
        <v/>
      </c>
      <c r="DI47" t="str">
        <f>""</f>
        <v/>
      </c>
      <c r="DJ47" t="str">
        <f>""</f>
        <v/>
      </c>
      <c r="DK47" t="str">
        <f>""</f>
        <v/>
      </c>
      <c r="DL47" t="str">
        <f>""</f>
        <v/>
      </c>
      <c r="DM47" t="str">
        <f>""</f>
        <v/>
      </c>
      <c r="DN47" t="str">
        <f>""</f>
        <v/>
      </c>
      <c r="DO47" t="str">
        <f>""</f>
        <v/>
      </c>
      <c r="DP47" t="str">
        <f>""</f>
        <v/>
      </c>
      <c r="DQ47" t="str">
        <f>""</f>
        <v/>
      </c>
      <c r="DR47" t="str">
        <f>""</f>
        <v/>
      </c>
      <c r="DS47" t="str">
        <f>""</f>
        <v/>
      </c>
      <c r="DT47" t="str">
        <f>""</f>
        <v/>
      </c>
      <c r="DU47" t="str">
        <f>""</f>
        <v/>
      </c>
    </row>
    <row r="48" spans="1:125" x14ac:dyDescent="0.25">
      <c r="A48" t="str">
        <f>"                        Western Europe"</f>
        <v xml:space="preserve">                        Western Europe</v>
      </c>
      <c r="B48" t="str">
        <f t="shared" si="20"/>
        <v>KER FP Equity</v>
      </c>
      <c r="C48" t="str">
        <f t="shared" si="21"/>
        <v>BI047</v>
      </c>
      <c r="D48" t="str">
        <f t="shared" si="22"/>
        <v>BICS_SEGMENT_DATA</v>
      </c>
      <c r="E48" t="str">
        <f t="shared" si="23"/>
        <v>Dynamic</v>
      </c>
      <c r="F48" t="str">
        <f ca="1">IF(AND(ISNUMBER($F$204),$B$158=1),$F$204,HLOOKUP(INDIRECT(ADDRESS(2,COLUMN())),OFFSET($BN$2,0,0,ROW()-1,60),ROW()-1,FALSE))</f>
        <v/>
      </c>
      <c r="G48">
        <f ca="1">IF(AND(ISNUMBER($G$204),$B$158=1),$G$204,HLOOKUP(INDIRECT(ADDRESS(2,COLUMN())),OFFSET($BN$2,0,0,ROW()-1,60),ROW()-1,FALSE))</f>
        <v>7</v>
      </c>
      <c r="H48">
        <f ca="1">IF(AND(ISNUMBER($H$204),$B$158=1),$H$204,HLOOKUP(INDIRECT(ADDRESS(2,COLUMN())),OFFSET($BN$2,0,0,ROW()-1,60),ROW()-1,FALSE))</f>
        <v>46</v>
      </c>
      <c r="I48">
        <f ca="1">IF(AND(ISNUMBER($I$204),$B$158=1),$I$204,HLOOKUP(INDIRECT(ADDRESS(2,COLUMN())),OFFSET($BN$2,0,0,ROW()-1,60),ROW()-1,FALSE))</f>
        <v>-43</v>
      </c>
      <c r="J48">
        <f ca="1">IF(AND(ISNUMBER($J$204),$B$158=1),$J$204,HLOOKUP(INDIRECT(ADDRESS(2,COLUMN())),OFFSET($BN$2,0,0,ROW()-1,60),ROW()-1,FALSE))</f>
        <v>-39</v>
      </c>
      <c r="K48">
        <f ca="1">IF(AND(ISNUMBER($K$204),$B$158=1),$K$204,HLOOKUP(INDIRECT(ADDRESS(2,COLUMN())),OFFSET($BN$2,0,0,ROW()-1,60),ROW()-1,FALSE))</f>
        <v>-26</v>
      </c>
      <c r="L48">
        <f ca="1">IF(AND(ISNUMBER($L$204),$B$158=1),$L$204,HLOOKUP(INDIRECT(ADDRESS(2,COLUMN())),OFFSET($BN$2,0,0,ROW()-1,60),ROW()-1,FALSE))</f>
        <v>-58</v>
      </c>
      <c r="M48">
        <f ca="1">IF(AND(ISNUMBER($M$204),$B$158=1),$M$204,HLOOKUP(INDIRECT(ADDRESS(2,COLUMN())),OFFSET($BN$2,0,0,ROW()-1,60),ROW()-1,FALSE))</f>
        <v>25</v>
      </c>
      <c r="N48">
        <f ca="1">IF(AND(ISNUMBER($N$204),$B$158=1),$N$204,HLOOKUP(INDIRECT(ADDRESS(2,COLUMN())),OFFSET($BN$2,0,0,ROW()-1,60),ROW()-1,FALSE))</f>
        <v>20</v>
      </c>
      <c r="O48">
        <f ca="1">IF(AND(ISNUMBER($O$204),$B$158=1),$O$204,HLOOKUP(INDIRECT(ADDRESS(2,COLUMN())),OFFSET($BN$2,0,0,ROW()-1,60),ROW()-1,FALSE))</f>
        <v>10</v>
      </c>
      <c r="P48">
        <f ca="1">IF(AND(ISNUMBER($P$204),$B$158=1),$P$204,HLOOKUP(INDIRECT(ADDRESS(2,COLUMN())),OFFSET($BN$2,0,0,ROW()-1,60),ROW()-1,FALSE))</f>
        <v>3</v>
      </c>
      <c r="Q48">
        <f ca="1">IF(AND(ISNUMBER($Q$204),$B$158=1),$Q$204,HLOOKUP(INDIRECT(ADDRESS(2,COLUMN())),OFFSET($BN$2,0,0,ROW()-1,60),ROW()-1,FALSE))</f>
        <v>-5</v>
      </c>
      <c r="R48">
        <f ca="1">IF(AND(ISNUMBER($R$204),$B$158=1),$R$204,HLOOKUP(INDIRECT(ADDRESS(2,COLUMN())),OFFSET($BN$2,0,0,ROW()-1,60),ROW()-1,FALSE))</f>
        <v>-8</v>
      </c>
      <c r="S48">
        <f ca="1">IF(AND(ISNUMBER($S$204),$B$158=1),$S$204,HLOOKUP(INDIRECT(ADDRESS(2,COLUMN())),OFFSET($BN$2,0,0,ROW()-1,60),ROW()-1,FALSE))</f>
        <v>-13</v>
      </c>
      <c r="T48">
        <f ca="1">IF(AND(ISNUMBER($T$204),$B$158=1),$T$204,HLOOKUP(INDIRECT(ADDRESS(2,COLUMN())),OFFSET($BN$2,0,0,ROW()-1,60),ROW()-1,FALSE))</f>
        <v>-14</v>
      </c>
      <c r="U48">
        <f ca="1">IF(AND(ISNUMBER($U$204),$B$158=1),$U$204,HLOOKUP(INDIRECT(ADDRESS(2,COLUMN())),OFFSET($BN$2,0,0,ROW()-1,60),ROW()-1,FALSE))</f>
        <v>-13</v>
      </c>
      <c r="V48">
        <f ca="1">IF(AND(ISNUMBER($V$204),$B$158=1),$V$204,HLOOKUP(INDIRECT(ADDRESS(2,COLUMN())),OFFSET($BN$2,0,0,ROW()-1,60),ROW()-1,FALSE))</f>
        <v>1</v>
      </c>
      <c r="W48">
        <f ca="1">IF(AND(ISNUMBER($W$204),$B$158=1),$W$204,HLOOKUP(INDIRECT(ADDRESS(2,COLUMN())),OFFSET($BN$2,0,0,ROW()-1,60),ROW()-1,FALSE))</f>
        <v>3</v>
      </c>
      <c r="X48">
        <f ca="1">IF(AND(ISNUMBER($X$204),$B$158=1),$X$204,HLOOKUP(INDIRECT(ADDRESS(2,COLUMN())),OFFSET($BN$2,0,0,ROW()-1,60),ROW()-1,FALSE))</f>
        <v>14</v>
      </c>
      <c r="Y48">
        <f ca="1">IF(AND(ISNUMBER($Y$204),$B$158=1),$Y$204,HLOOKUP(INDIRECT(ADDRESS(2,COLUMN())),OFFSET($BN$2,0,0,ROW()-1,60),ROW()-1,FALSE))</f>
        <v>14</v>
      </c>
      <c r="Z48" t="str">
        <f ca="1">IF(AND(ISNUMBER($Z$204),$B$158=1),$Z$204,HLOOKUP(INDIRECT(ADDRESS(2,COLUMN())),OFFSET($BN$2,0,0,ROW()-1,60),ROW()-1,FALSE))</f>
        <v/>
      </c>
      <c r="AA48">
        <f ca="1">IF(AND(ISNUMBER($AA$204),$B$158=1),$AA$204,HLOOKUP(INDIRECT(ADDRESS(2,COLUMN())),OFFSET($BN$2,0,0,ROW()-1,60),ROW()-1,FALSE))</f>
        <v>-17</v>
      </c>
      <c r="AB48">
        <f ca="1">IF(AND(ISNUMBER($AB$204),$B$158=1),$AB$204,HLOOKUP(INDIRECT(ADDRESS(2,COLUMN())),OFFSET($BN$2,0,0,ROW()-1,60),ROW()-1,FALSE))</f>
        <v>-25</v>
      </c>
      <c r="AC48">
        <f ca="1">IF(AND(ISNUMBER($AC$204),$B$158=1),$AC$204,HLOOKUP(INDIRECT(ADDRESS(2,COLUMN())),OFFSET($BN$2,0,0,ROW()-1,60),ROW()-1,FALSE))</f>
        <v>-17</v>
      </c>
      <c r="AD48" t="str">
        <f ca="1">IF(AND(ISNUMBER($AD$204),$B$158=1),$AD$204,HLOOKUP(INDIRECT(ADDRESS(2,COLUMN())),OFFSET($BN$2,0,0,ROW()-1,60),ROW()-1,FALSE))</f>
        <v/>
      </c>
      <c r="AE48">
        <f ca="1">IF(AND(ISNUMBER($AE$204),$B$158=1),$AE$204,HLOOKUP(INDIRECT(ADDRESS(2,COLUMN())),OFFSET($BN$2,0,0,ROW()-1,60),ROW()-1,FALSE))</f>
        <v>33</v>
      </c>
      <c r="AF48">
        <f ca="1">IF(AND(ISNUMBER($AF$204),$B$158=1),$AF$204,HLOOKUP(INDIRECT(ADDRESS(2,COLUMN())),OFFSET($BN$2,0,0,ROW()-1,60),ROW()-1,FALSE))</f>
        <v>52</v>
      </c>
      <c r="AG48">
        <f ca="1">IF(AND(ISNUMBER($AG$204),$B$158=1),$AG$204,HLOOKUP(INDIRECT(ADDRESS(2,COLUMN())),OFFSET($BN$2,0,0,ROW()-1,60),ROW()-1,FALSE))</f>
        <v>34</v>
      </c>
      <c r="AH48" t="str">
        <f ca="1">IF(AND(ISNUMBER($AH$204),$B$158=1),$AH$204,HLOOKUP(INDIRECT(ADDRESS(2,COLUMN())),OFFSET($BN$2,0,0,ROW()-1,60),ROW()-1,FALSE))</f>
        <v/>
      </c>
      <c r="AI48" t="str">
        <f ca="1">IF(AND(ISNUMBER($AI$204),$B$158=1),$AI$204,HLOOKUP(INDIRECT(ADDRESS(2,COLUMN())),OFFSET($BN$2,0,0,ROW()-1,60),ROW()-1,FALSE))</f>
        <v/>
      </c>
      <c r="AJ48" t="str">
        <f ca="1">IF(AND(ISNUMBER($AJ$204),$B$158=1),$AJ$204,HLOOKUP(INDIRECT(ADDRESS(2,COLUMN())),OFFSET($BN$2,0,0,ROW()-1,60),ROW()-1,FALSE))</f>
        <v/>
      </c>
      <c r="AK48">
        <f ca="1">IF(AND(ISNUMBER($AK$204),$B$158=1),$AK$204,HLOOKUP(INDIRECT(ADDRESS(2,COLUMN())),OFFSET($BN$2,0,0,ROW()-1,60),ROW()-1,FALSE))</f>
        <v>10</v>
      </c>
      <c r="AL48" t="str">
        <f ca="1">IF(AND(ISNUMBER($AL$204),$B$158=1),$AL$204,HLOOKUP(INDIRECT(ADDRESS(2,COLUMN())),OFFSET($BN$2,0,0,ROW()-1,60),ROW()-1,FALSE))</f>
        <v/>
      </c>
      <c r="AM48" t="str">
        <f ca="1">IF(AND(ISNUMBER($AM$204),$B$158=1),$AM$204,HLOOKUP(INDIRECT(ADDRESS(2,COLUMN())),OFFSET($BN$2,0,0,ROW()-1,60),ROW()-1,FALSE))</f>
        <v/>
      </c>
      <c r="AN48" t="str">
        <f ca="1">IF(AND(ISNUMBER($AN$204),$B$158=1),$AN$204,HLOOKUP(INDIRECT(ADDRESS(2,COLUMN())),OFFSET($BN$2,0,0,ROW()-1,60),ROW()-1,FALSE))</f>
        <v/>
      </c>
      <c r="AO48">
        <f ca="1">IF(AND(ISNUMBER($AO$204),$B$158=1),$AO$204,HLOOKUP(INDIRECT(ADDRESS(2,COLUMN())),OFFSET($BN$2,0,0,ROW()-1,60),ROW()-1,FALSE))</f>
        <v>5</v>
      </c>
      <c r="AP48" t="str">
        <f ca="1">IF(AND(ISNUMBER($AP$204),$B$158=1),$AP$204,HLOOKUP(INDIRECT(ADDRESS(2,COLUMN())),OFFSET($BN$2,0,0,ROW()-1,60),ROW()-1,FALSE))</f>
        <v/>
      </c>
      <c r="AQ48" t="str">
        <f ca="1">IF(AND(ISNUMBER($AQ$204),$B$158=1),$AQ$204,HLOOKUP(INDIRECT(ADDRESS(2,COLUMN())),OFFSET($BN$2,0,0,ROW()-1,60),ROW()-1,FALSE))</f>
        <v/>
      </c>
      <c r="AR48" t="str">
        <f ca="1">IF(AND(ISNUMBER($AR$204),$B$158=1),$AR$204,HLOOKUP(INDIRECT(ADDRESS(2,COLUMN())),OFFSET($BN$2,0,0,ROW()-1,60),ROW()-1,FALSE))</f>
        <v/>
      </c>
      <c r="AS48" t="str">
        <f ca="1">IF(AND(ISNUMBER($AS$204),$B$158=1),$AS$204,HLOOKUP(INDIRECT(ADDRESS(2,COLUMN())),OFFSET($BN$2,0,0,ROW()-1,60),ROW()-1,FALSE))</f>
        <v/>
      </c>
      <c r="AT48" t="str">
        <f ca="1">IF(AND(ISNUMBER($AT$204),$B$158=1),$AT$204,HLOOKUP(INDIRECT(ADDRESS(2,COLUMN())),OFFSET($BN$2,0,0,ROW()-1,60),ROW()-1,FALSE))</f>
        <v/>
      </c>
      <c r="AU48" t="str">
        <f ca="1">IF(AND(ISNUMBER($AU$204),$B$158=1),$AU$204,HLOOKUP(INDIRECT(ADDRESS(2,COLUMN())),OFFSET($BN$2,0,0,ROW()-1,60),ROW()-1,FALSE))</f>
        <v/>
      </c>
      <c r="AV48" t="str">
        <f ca="1">IF(AND(ISNUMBER($AV$204),$B$158=1),$AV$204,HLOOKUP(INDIRECT(ADDRESS(2,COLUMN())),OFFSET($BN$2,0,0,ROW()-1,60),ROW()-1,FALSE))</f>
        <v/>
      </c>
      <c r="AW48" t="str">
        <f ca="1">IF(AND(ISNUMBER($AW$204),$B$158=1),$AW$204,HLOOKUP(INDIRECT(ADDRESS(2,COLUMN())),OFFSET($BN$2,0,0,ROW()-1,60),ROW()-1,FALSE))</f>
        <v/>
      </c>
      <c r="AX48" t="str">
        <f ca="1">IF(AND(ISNUMBER($AX$204),$B$158=1),$AX$204,HLOOKUP(INDIRECT(ADDRESS(2,COLUMN())),OFFSET($BN$2,0,0,ROW()-1,60),ROW()-1,FALSE))</f>
        <v/>
      </c>
      <c r="AY48" t="str">
        <f ca="1">IF(AND(ISNUMBER($AY$204),$B$158=1),$AY$204,HLOOKUP(INDIRECT(ADDRESS(2,COLUMN())),OFFSET($BN$2,0,0,ROW()-1,60),ROW()-1,FALSE))</f>
        <v/>
      </c>
      <c r="AZ48" t="str">
        <f ca="1">IF(AND(ISNUMBER($AZ$204),$B$158=1),$AZ$204,HLOOKUP(INDIRECT(ADDRESS(2,COLUMN())),OFFSET($BN$2,0,0,ROW()-1,60),ROW()-1,FALSE))</f>
        <v/>
      </c>
      <c r="BA48" t="str">
        <f ca="1">IF(AND(ISNUMBER($BA$204),$B$158=1),$BA$204,HLOOKUP(INDIRECT(ADDRESS(2,COLUMN())),OFFSET($BN$2,0,0,ROW()-1,60),ROW()-1,FALSE))</f>
        <v/>
      </c>
      <c r="BB48" t="str">
        <f ca="1">IF(AND(ISNUMBER($BB$204),$B$158=1),$BB$204,HLOOKUP(INDIRECT(ADDRESS(2,COLUMN())),OFFSET($BN$2,0,0,ROW()-1,60),ROW()-1,FALSE))</f>
        <v/>
      </c>
      <c r="BC48" t="str">
        <f ca="1">IF(AND(ISNUMBER($BC$204),$B$158=1),$BC$204,HLOOKUP(INDIRECT(ADDRESS(2,COLUMN())),OFFSET($BN$2,0,0,ROW()-1,60),ROW()-1,FALSE))</f>
        <v/>
      </c>
      <c r="BD48" t="str">
        <f ca="1">IF(AND(ISNUMBER($BD$204),$B$158=1),$BD$204,HLOOKUP(INDIRECT(ADDRESS(2,COLUMN())),OFFSET($BN$2,0,0,ROW()-1,60),ROW()-1,FALSE))</f>
        <v/>
      </c>
      <c r="BE48" t="str">
        <f ca="1">IF(AND(ISNUMBER($BE$204),$B$158=1),$BE$204,HLOOKUP(INDIRECT(ADDRESS(2,COLUMN())),OFFSET($BN$2,0,0,ROW()-1,60),ROW()-1,FALSE))</f>
        <v/>
      </c>
      <c r="BF48" t="str">
        <f ca="1">IF(AND(ISNUMBER($BF$204),$B$158=1),$BF$204,HLOOKUP(INDIRECT(ADDRESS(2,COLUMN())),OFFSET($BN$2,0,0,ROW()-1,60),ROW()-1,FALSE))</f>
        <v/>
      </c>
      <c r="BG48" t="str">
        <f ca="1">IF(AND(ISNUMBER($BG$204),$B$158=1),$BG$204,HLOOKUP(INDIRECT(ADDRESS(2,COLUMN())),OFFSET($BN$2,0,0,ROW()-1,60),ROW()-1,FALSE))</f>
        <v/>
      </c>
      <c r="BH48" t="str">
        <f ca="1">IF(AND(ISNUMBER($BH$204),$B$158=1),$BH$204,HLOOKUP(INDIRECT(ADDRESS(2,COLUMN())),OFFSET($BN$2,0,0,ROW()-1,60),ROW()-1,FALSE))</f>
        <v/>
      </c>
      <c r="BI48" t="str">
        <f ca="1">IF(AND(ISNUMBER($BI$204),$B$158=1),$BI$204,HLOOKUP(INDIRECT(ADDRESS(2,COLUMN())),OFFSET($BN$2,0,0,ROW()-1,60),ROW()-1,FALSE))</f>
        <v/>
      </c>
      <c r="BJ48" t="str">
        <f ca="1">IF(AND(ISNUMBER($BJ$204),$B$158=1),$BJ$204,HLOOKUP(INDIRECT(ADDRESS(2,COLUMN())),OFFSET($BN$2,0,0,ROW()-1,60),ROW()-1,FALSE))</f>
        <v/>
      </c>
      <c r="BK48" t="str">
        <f ca="1">IF(AND(ISNUMBER($BK$204),$B$158=1),$BK$204,HLOOKUP(INDIRECT(ADDRESS(2,COLUMN())),OFFSET($BN$2,0,0,ROW()-1,60),ROW()-1,FALSE))</f>
        <v/>
      </c>
      <c r="BL48" t="str">
        <f ca="1">IF(AND(ISNUMBER($BL$204),$B$158=1),$BL$204,HLOOKUP(INDIRECT(ADDRESS(2,COLUMN())),OFFSET($BN$2,0,0,ROW()-1,60),ROW()-1,FALSE))</f>
        <v/>
      </c>
      <c r="BM48" t="str">
        <f ca="1">IF(AND(ISNUMBER($BM$204),$B$158=1),$BM$204,HLOOKUP(INDIRECT(ADDRESS(2,COLUMN())),OFFSET($BN$2,0,0,ROW()-1,60),ROW()-1,FALSE))</f>
        <v/>
      </c>
      <c r="BN48" t="str">
        <f>""</f>
        <v/>
      </c>
      <c r="BO48">
        <f>7</f>
        <v>7</v>
      </c>
      <c r="BP48">
        <f>46</f>
        <v>46</v>
      </c>
      <c r="BQ48">
        <f>-43</f>
        <v>-43</v>
      </c>
      <c r="BR48">
        <f>-39</f>
        <v>-39</v>
      </c>
      <c r="BS48">
        <f>-26</f>
        <v>-26</v>
      </c>
      <c r="BT48">
        <f>-58</f>
        <v>-58</v>
      </c>
      <c r="BU48">
        <f>25</f>
        <v>25</v>
      </c>
      <c r="BV48">
        <f>20</f>
        <v>20</v>
      </c>
      <c r="BW48">
        <f>10</f>
        <v>10</v>
      </c>
      <c r="BX48">
        <f>3</f>
        <v>3</v>
      </c>
      <c r="BY48">
        <f>-5</f>
        <v>-5</v>
      </c>
      <c r="BZ48">
        <f>-8</f>
        <v>-8</v>
      </c>
      <c r="CA48">
        <f>-13</f>
        <v>-13</v>
      </c>
      <c r="CB48">
        <f>-14</f>
        <v>-14</v>
      </c>
      <c r="CC48">
        <f>-13</f>
        <v>-13</v>
      </c>
      <c r="CD48">
        <f>1</f>
        <v>1</v>
      </c>
      <c r="CE48">
        <f>3</f>
        <v>3</v>
      </c>
      <c r="CF48">
        <f>14</f>
        <v>14</v>
      </c>
      <c r="CG48">
        <f>14</f>
        <v>14</v>
      </c>
      <c r="CH48" t="str">
        <f>""</f>
        <v/>
      </c>
      <c r="CI48">
        <f>-17</f>
        <v>-17</v>
      </c>
      <c r="CJ48">
        <f>-25</f>
        <v>-25</v>
      </c>
      <c r="CK48">
        <f>-17</f>
        <v>-17</v>
      </c>
      <c r="CL48" t="str">
        <f>""</f>
        <v/>
      </c>
      <c r="CM48">
        <f>33</f>
        <v>33</v>
      </c>
      <c r="CN48">
        <f>52</f>
        <v>52</v>
      </c>
      <c r="CO48">
        <f>34</f>
        <v>34</v>
      </c>
      <c r="CP48" t="str">
        <f>""</f>
        <v/>
      </c>
      <c r="CQ48" t="str">
        <f>""</f>
        <v/>
      </c>
      <c r="CR48" t="str">
        <f>""</f>
        <v/>
      </c>
      <c r="CS48">
        <f>10</f>
        <v>10</v>
      </c>
      <c r="CT48" t="str">
        <f>""</f>
        <v/>
      </c>
      <c r="CU48" t="str">
        <f>""</f>
        <v/>
      </c>
      <c r="CV48" t="str">
        <f>""</f>
        <v/>
      </c>
      <c r="CW48">
        <f>5</f>
        <v>5</v>
      </c>
      <c r="CX48" t="str">
        <f>""</f>
        <v/>
      </c>
      <c r="CY48" t="str">
        <f>""</f>
        <v/>
      </c>
      <c r="CZ48" t="str">
        <f>""</f>
        <v/>
      </c>
      <c r="DA48" t="str">
        <f>""</f>
        <v/>
      </c>
      <c r="DB48" t="str">
        <f>""</f>
        <v/>
      </c>
      <c r="DC48" t="str">
        <f>""</f>
        <v/>
      </c>
      <c r="DD48" t="str">
        <f>""</f>
        <v/>
      </c>
      <c r="DE48" t="str">
        <f>""</f>
        <v/>
      </c>
      <c r="DF48" t="str">
        <f>""</f>
        <v/>
      </c>
      <c r="DG48" t="str">
        <f>""</f>
        <v/>
      </c>
      <c r="DH48" t="str">
        <f>""</f>
        <v/>
      </c>
      <c r="DI48" t="str">
        <f>""</f>
        <v/>
      </c>
      <c r="DJ48" t="str">
        <f>""</f>
        <v/>
      </c>
      <c r="DK48" t="str">
        <f>""</f>
        <v/>
      </c>
      <c r="DL48" t="str">
        <f>""</f>
        <v/>
      </c>
      <c r="DM48" t="str">
        <f>""</f>
        <v/>
      </c>
      <c r="DN48" t="str">
        <f>""</f>
        <v/>
      </c>
      <c r="DO48" t="str">
        <f>""</f>
        <v/>
      </c>
      <c r="DP48" t="str">
        <f>""</f>
        <v/>
      </c>
      <c r="DQ48" t="str">
        <f>""</f>
        <v/>
      </c>
      <c r="DR48" t="str">
        <f>""</f>
        <v/>
      </c>
      <c r="DS48" t="str">
        <f>""</f>
        <v/>
      </c>
      <c r="DT48" t="str">
        <f>""</f>
        <v/>
      </c>
      <c r="DU48" t="str">
        <f>""</f>
        <v/>
      </c>
    </row>
    <row r="49" spans="1:125" x14ac:dyDescent="0.25">
      <c r="A49" t="str">
        <f>"                        North America"</f>
        <v xml:space="preserve">                        North America</v>
      </c>
      <c r="B49" t="str">
        <f t="shared" si="20"/>
        <v>KER FP Equity</v>
      </c>
      <c r="C49" t="str">
        <f t="shared" si="21"/>
        <v>BI047</v>
      </c>
      <c r="D49" t="str">
        <f t="shared" si="22"/>
        <v>BICS_SEGMENT_DATA</v>
      </c>
      <c r="E49" t="str">
        <f t="shared" si="23"/>
        <v>Dynamic</v>
      </c>
      <c r="F49" t="str">
        <f ca="1">IF(AND(ISNUMBER($F$205),$B$158=1),$F$205,HLOOKUP(INDIRECT(ADDRESS(2,COLUMN())),OFFSET($BN$2,0,0,ROW()-1,60),ROW()-1,FALSE))</f>
        <v/>
      </c>
      <c r="G49">
        <f ca="1">IF(AND(ISNUMBER($G$205),$B$158=1),$G$205,HLOOKUP(INDIRECT(ADDRESS(2,COLUMN())),OFFSET($BN$2,0,0,ROW()-1,60),ROW()-1,FALSE))</f>
        <v>52</v>
      </c>
      <c r="H49">
        <f ca="1">IF(AND(ISNUMBER($H$205),$B$158=1),$H$205,HLOOKUP(INDIRECT(ADDRESS(2,COLUMN())),OFFSET($BN$2,0,0,ROW()-1,60),ROW()-1,FALSE))</f>
        <v>472</v>
      </c>
      <c r="I49">
        <f ca="1">IF(AND(ISNUMBER($I$205),$B$158=1),$I$205,HLOOKUP(INDIRECT(ADDRESS(2,COLUMN())),OFFSET($BN$2,0,0,ROW()-1,60),ROW()-1,FALSE))</f>
        <v>14</v>
      </c>
      <c r="J49">
        <f ca="1">IF(AND(ISNUMBER($J$205),$B$158=1),$J$205,HLOOKUP(INDIRECT(ADDRESS(2,COLUMN())),OFFSET($BN$2,0,0,ROW()-1,60),ROW()-1,FALSE))</f>
        <v>-1</v>
      </c>
      <c r="K49">
        <f ca="1">IF(AND(ISNUMBER($K$205),$B$158=1),$K$205,HLOOKUP(INDIRECT(ADDRESS(2,COLUMN())),OFFSET($BN$2,0,0,ROW()-1,60),ROW()-1,FALSE))</f>
        <v>15</v>
      </c>
      <c r="L49">
        <f ca="1">IF(AND(ISNUMBER($L$205),$B$158=1),$L$205,HLOOKUP(INDIRECT(ADDRESS(2,COLUMN())),OFFSET($BN$2,0,0,ROW()-1,60),ROW()-1,FALSE))</f>
        <v>-70</v>
      </c>
      <c r="M49">
        <f ca="1">IF(AND(ISNUMBER($M$205),$B$158=1),$M$205,HLOOKUP(INDIRECT(ADDRESS(2,COLUMN())),OFFSET($BN$2,0,0,ROW()-1,60),ROW()-1,FALSE))</f>
        <v>31</v>
      </c>
      <c r="N49">
        <f ca="1">IF(AND(ISNUMBER($N$205),$B$158=1),$N$205,HLOOKUP(INDIRECT(ADDRESS(2,COLUMN())),OFFSET($BN$2,0,0,ROW()-1,60),ROW()-1,FALSE))</f>
        <v>19</v>
      </c>
      <c r="O49">
        <f ca="1">IF(AND(ISNUMBER($O$205),$B$158=1),$O$205,HLOOKUP(INDIRECT(ADDRESS(2,COLUMN())),OFFSET($BN$2,0,0,ROW()-1,60),ROW()-1,FALSE))</f>
        <v>17</v>
      </c>
      <c r="P49">
        <f ca="1">IF(AND(ISNUMBER($P$205),$B$158=1),$P$205,HLOOKUP(INDIRECT(ADDRESS(2,COLUMN())),OFFSET($BN$2,0,0,ROW()-1,60),ROW()-1,FALSE))</f>
        <v>0</v>
      </c>
      <c r="Q49">
        <f ca="1">IF(AND(ISNUMBER($Q$205),$B$158=1),$Q$205,HLOOKUP(INDIRECT(ADDRESS(2,COLUMN())),OFFSET($BN$2,0,0,ROW()-1,60),ROW()-1,FALSE))</f>
        <v>-14</v>
      </c>
      <c r="R49">
        <f ca="1">IF(AND(ISNUMBER($R$205),$B$158=1),$R$205,HLOOKUP(INDIRECT(ADDRESS(2,COLUMN())),OFFSET($BN$2,0,0,ROW()-1,60),ROW()-1,FALSE))</f>
        <v>-9</v>
      </c>
      <c r="S49">
        <f ca="1">IF(AND(ISNUMBER($S$205),$B$158=1),$S$205,HLOOKUP(INDIRECT(ADDRESS(2,COLUMN())),OFFSET($BN$2,0,0,ROW()-1,60),ROW()-1,FALSE))</f>
        <v>-5</v>
      </c>
      <c r="T49">
        <f ca="1">IF(AND(ISNUMBER($T$205),$B$158=1),$T$205,HLOOKUP(INDIRECT(ADDRESS(2,COLUMN())),OFFSET($BN$2,0,0,ROW()-1,60),ROW()-1,FALSE))</f>
        <v>4</v>
      </c>
      <c r="U49">
        <f ca="1">IF(AND(ISNUMBER($U$205),$B$158=1),$U$205,HLOOKUP(INDIRECT(ADDRESS(2,COLUMN())),OFFSET($BN$2,0,0,ROW()-1,60),ROW()-1,FALSE))</f>
        <v>11</v>
      </c>
      <c r="V49">
        <f ca="1">IF(AND(ISNUMBER($V$205),$B$158=1),$V$205,HLOOKUP(INDIRECT(ADDRESS(2,COLUMN())),OFFSET($BN$2,0,0,ROW()-1,60),ROW()-1,FALSE))</f>
        <v>14</v>
      </c>
      <c r="W49">
        <f ca="1">IF(AND(ISNUMBER($W$205),$B$158=1),$W$205,HLOOKUP(INDIRECT(ADDRESS(2,COLUMN())),OFFSET($BN$2,0,0,ROW()-1,60),ROW()-1,FALSE))</f>
        <v>-10</v>
      </c>
      <c r="X49">
        <f ca="1">IF(AND(ISNUMBER($X$205),$B$158=1),$X$205,HLOOKUP(INDIRECT(ADDRESS(2,COLUMN())),OFFSET($BN$2,0,0,ROW()-1,60),ROW()-1,FALSE))</f>
        <v>-5</v>
      </c>
      <c r="Y49">
        <f ca="1">IF(AND(ISNUMBER($Y$205),$B$158=1),$Y$205,HLOOKUP(INDIRECT(ADDRESS(2,COLUMN())),OFFSET($BN$2,0,0,ROW()-1,60),ROW()-1,FALSE))</f>
        <v>-8</v>
      </c>
      <c r="Z49" t="str">
        <f ca="1">IF(AND(ISNUMBER($Z$205),$B$158=1),$Z$205,HLOOKUP(INDIRECT(ADDRESS(2,COLUMN())),OFFSET($BN$2,0,0,ROW()-1,60),ROW()-1,FALSE))</f>
        <v/>
      </c>
      <c r="AA49">
        <f ca="1">IF(AND(ISNUMBER($AA$205),$B$158=1),$AA$205,HLOOKUP(INDIRECT(ADDRESS(2,COLUMN())),OFFSET($BN$2,0,0,ROW()-1,60),ROW()-1,FALSE))</f>
        <v>-12</v>
      </c>
      <c r="AB49">
        <f ca="1">IF(AND(ISNUMBER($AB$205),$B$158=1),$AB$205,HLOOKUP(INDIRECT(ADDRESS(2,COLUMN())),OFFSET($BN$2,0,0,ROW()-1,60),ROW()-1,FALSE))</f>
        <v>-18</v>
      </c>
      <c r="AC49">
        <f ca="1">IF(AND(ISNUMBER($AC$205),$B$158=1),$AC$205,HLOOKUP(INDIRECT(ADDRESS(2,COLUMN())),OFFSET($BN$2,0,0,ROW()-1,60),ROW()-1,FALSE))</f>
        <v>-22</v>
      </c>
      <c r="AD49" t="str">
        <f ca="1">IF(AND(ISNUMBER($AD$205),$B$158=1),$AD$205,HLOOKUP(INDIRECT(ADDRESS(2,COLUMN())),OFFSET($BN$2,0,0,ROW()-1,60),ROW()-1,FALSE))</f>
        <v/>
      </c>
      <c r="AE49">
        <f ca="1">IF(AND(ISNUMBER($AE$205),$B$158=1),$AE$205,HLOOKUP(INDIRECT(ADDRESS(2,COLUMN())),OFFSET($BN$2,0,0,ROW()-1,60),ROW()-1,FALSE))</f>
        <v>-13</v>
      </c>
      <c r="AF49">
        <f ca="1">IF(AND(ISNUMBER($AF$205),$B$158=1),$AF$205,HLOOKUP(INDIRECT(ADDRESS(2,COLUMN())),OFFSET($BN$2,0,0,ROW()-1,60),ROW()-1,FALSE))</f>
        <v>-2</v>
      </c>
      <c r="AG49">
        <f ca="1">IF(AND(ISNUMBER($AG$205),$B$158=1),$AG$205,HLOOKUP(INDIRECT(ADDRESS(2,COLUMN())),OFFSET($BN$2,0,0,ROW()-1,60),ROW()-1,FALSE))</f>
        <v>0</v>
      </c>
      <c r="AH49" t="str">
        <f ca="1">IF(AND(ISNUMBER($AH$205),$B$158=1),$AH$205,HLOOKUP(INDIRECT(ADDRESS(2,COLUMN())),OFFSET($BN$2,0,0,ROW()-1,60),ROW()-1,FALSE))</f>
        <v/>
      </c>
      <c r="AI49" t="str">
        <f ca="1">IF(AND(ISNUMBER($AI$205),$B$158=1),$AI$205,HLOOKUP(INDIRECT(ADDRESS(2,COLUMN())),OFFSET($BN$2,0,0,ROW()-1,60),ROW()-1,FALSE))</f>
        <v/>
      </c>
      <c r="AJ49" t="str">
        <f ca="1">IF(AND(ISNUMBER($AJ$205),$B$158=1),$AJ$205,HLOOKUP(INDIRECT(ADDRESS(2,COLUMN())),OFFSET($BN$2,0,0,ROW()-1,60),ROW()-1,FALSE))</f>
        <v/>
      </c>
      <c r="AK49">
        <f ca="1">IF(AND(ISNUMBER($AK$205),$B$158=1),$AK$205,HLOOKUP(INDIRECT(ADDRESS(2,COLUMN())),OFFSET($BN$2,0,0,ROW()-1,60),ROW()-1,FALSE))</f>
        <v>5</v>
      </c>
      <c r="AL49" t="str">
        <f ca="1">IF(AND(ISNUMBER($AL$205),$B$158=1),$AL$205,HLOOKUP(INDIRECT(ADDRESS(2,COLUMN())),OFFSET($BN$2,0,0,ROW()-1,60),ROW()-1,FALSE))</f>
        <v/>
      </c>
      <c r="AM49" t="str">
        <f ca="1">IF(AND(ISNUMBER($AM$205),$B$158=1),$AM$205,HLOOKUP(INDIRECT(ADDRESS(2,COLUMN())),OFFSET($BN$2,0,0,ROW()-1,60),ROW()-1,FALSE))</f>
        <v/>
      </c>
      <c r="AN49" t="str">
        <f ca="1">IF(AND(ISNUMBER($AN$205),$B$158=1),$AN$205,HLOOKUP(INDIRECT(ADDRESS(2,COLUMN())),OFFSET($BN$2,0,0,ROW()-1,60),ROW()-1,FALSE))</f>
        <v/>
      </c>
      <c r="AO49">
        <f ca="1">IF(AND(ISNUMBER($AO$205),$B$158=1),$AO$205,HLOOKUP(INDIRECT(ADDRESS(2,COLUMN())),OFFSET($BN$2,0,0,ROW()-1,60),ROW()-1,FALSE))</f>
        <v>2</v>
      </c>
      <c r="AP49" t="str">
        <f ca="1">IF(AND(ISNUMBER($AP$205),$B$158=1),$AP$205,HLOOKUP(INDIRECT(ADDRESS(2,COLUMN())),OFFSET($BN$2,0,0,ROW()-1,60),ROW()-1,FALSE))</f>
        <v/>
      </c>
      <c r="AQ49" t="str">
        <f ca="1">IF(AND(ISNUMBER($AQ$205),$B$158=1),$AQ$205,HLOOKUP(INDIRECT(ADDRESS(2,COLUMN())),OFFSET($BN$2,0,0,ROW()-1,60),ROW()-1,FALSE))</f>
        <v/>
      </c>
      <c r="AR49" t="str">
        <f ca="1">IF(AND(ISNUMBER($AR$205),$B$158=1),$AR$205,HLOOKUP(INDIRECT(ADDRESS(2,COLUMN())),OFFSET($BN$2,0,0,ROW()-1,60),ROW()-1,FALSE))</f>
        <v/>
      </c>
      <c r="AS49" t="str">
        <f ca="1">IF(AND(ISNUMBER($AS$205),$B$158=1),$AS$205,HLOOKUP(INDIRECT(ADDRESS(2,COLUMN())),OFFSET($BN$2,0,0,ROW()-1,60),ROW()-1,FALSE))</f>
        <v/>
      </c>
      <c r="AT49" t="str">
        <f ca="1">IF(AND(ISNUMBER($AT$205),$B$158=1),$AT$205,HLOOKUP(INDIRECT(ADDRESS(2,COLUMN())),OFFSET($BN$2,0,0,ROW()-1,60),ROW()-1,FALSE))</f>
        <v/>
      </c>
      <c r="AU49" t="str">
        <f ca="1">IF(AND(ISNUMBER($AU$205),$B$158=1),$AU$205,HLOOKUP(INDIRECT(ADDRESS(2,COLUMN())),OFFSET($BN$2,0,0,ROW()-1,60),ROW()-1,FALSE))</f>
        <v/>
      </c>
      <c r="AV49" t="str">
        <f ca="1">IF(AND(ISNUMBER($AV$205),$B$158=1),$AV$205,HLOOKUP(INDIRECT(ADDRESS(2,COLUMN())),OFFSET($BN$2,0,0,ROW()-1,60),ROW()-1,FALSE))</f>
        <v/>
      </c>
      <c r="AW49" t="str">
        <f ca="1">IF(AND(ISNUMBER($AW$205),$B$158=1),$AW$205,HLOOKUP(INDIRECT(ADDRESS(2,COLUMN())),OFFSET($BN$2,0,0,ROW()-1,60),ROW()-1,FALSE))</f>
        <v/>
      </c>
      <c r="AX49" t="str">
        <f ca="1">IF(AND(ISNUMBER($AX$205),$B$158=1),$AX$205,HLOOKUP(INDIRECT(ADDRESS(2,COLUMN())),OFFSET($BN$2,0,0,ROW()-1,60),ROW()-1,FALSE))</f>
        <v/>
      </c>
      <c r="AY49" t="str">
        <f ca="1">IF(AND(ISNUMBER($AY$205),$B$158=1),$AY$205,HLOOKUP(INDIRECT(ADDRESS(2,COLUMN())),OFFSET($BN$2,0,0,ROW()-1,60),ROW()-1,FALSE))</f>
        <v/>
      </c>
      <c r="AZ49" t="str">
        <f ca="1">IF(AND(ISNUMBER($AZ$205),$B$158=1),$AZ$205,HLOOKUP(INDIRECT(ADDRESS(2,COLUMN())),OFFSET($BN$2,0,0,ROW()-1,60),ROW()-1,FALSE))</f>
        <v/>
      </c>
      <c r="BA49" t="str">
        <f ca="1">IF(AND(ISNUMBER($BA$205),$B$158=1),$BA$205,HLOOKUP(INDIRECT(ADDRESS(2,COLUMN())),OFFSET($BN$2,0,0,ROW()-1,60),ROW()-1,FALSE))</f>
        <v/>
      </c>
      <c r="BB49" t="str">
        <f ca="1">IF(AND(ISNUMBER($BB$205),$B$158=1),$BB$205,HLOOKUP(INDIRECT(ADDRESS(2,COLUMN())),OFFSET($BN$2,0,0,ROW()-1,60),ROW()-1,FALSE))</f>
        <v/>
      </c>
      <c r="BC49" t="str">
        <f ca="1">IF(AND(ISNUMBER($BC$205),$B$158=1),$BC$205,HLOOKUP(INDIRECT(ADDRESS(2,COLUMN())),OFFSET($BN$2,0,0,ROW()-1,60),ROW()-1,FALSE))</f>
        <v/>
      </c>
      <c r="BD49" t="str">
        <f ca="1">IF(AND(ISNUMBER($BD$205),$B$158=1),$BD$205,HLOOKUP(INDIRECT(ADDRESS(2,COLUMN())),OFFSET($BN$2,0,0,ROW()-1,60),ROW()-1,FALSE))</f>
        <v/>
      </c>
      <c r="BE49" t="str">
        <f ca="1">IF(AND(ISNUMBER($BE$205),$B$158=1),$BE$205,HLOOKUP(INDIRECT(ADDRESS(2,COLUMN())),OFFSET($BN$2,0,0,ROW()-1,60),ROW()-1,FALSE))</f>
        <v/>
      </c>
      <c r="BF49" t="str">
        <f ca="1">IF(AND(ISNUMBER($BF$205),$B$158=1),$BF$205,HLOOKUP(INDIRECT(ADDRESS(2,COLUMN())),OFFSET($BN$2,0,0,ROW()-1,60),ROW()-1,FALSE))</f>
        <v/>
      </c>
      <c r="BG49" t="str">
        <f ca="1">IF(AND(ISNUMBER($BG$205),$B$158=1),$BG$205,HLOOKUP(INDIRECT(ADDRESS(2,COLUMN())),OFFSET($BN$2,0,0,ROW()-1,60),ROW()-1,FALSE))</f>
        <v/>
      </c>
      <c r="BH49" t="str">
        <f ca="1">IF(AND(ISNUMBER($BH$205),$B$158=1),$BH$205,HLOOKUP(INDIRECT(ADDRESS(2,COLUMN())),OFFSET($BN$2,0,0,ROW()-1,60),ROW()-1,FALSE))</f>
        <v/>
      </c>
      <c r="BI49" t="str">
        <f ca="1">IF(AND(ISNUMBER($BI$205),$B$158=1),$BI$205,HLOOKUP(INDIRECT(ADDRESS(2,COLUMN())),OFFSET($BN$2,0,0,ROW()-1,60),ROW()-1,FALSE))</f>
        <v/>
      </c>
      <c r="BJ49" t="str">
        <f ca="1">IF(AND(ISNUMBER($BJ$205),$B$158=1),$BJ$205,HLOOKUP(INDIRECT(ADDRESS(2,COLUMN())),OFFSET($BN$2,0,0,ROW()-1,60),ROW()-1,FALSE))</f>
        <v/>
      </c>
      <c r="BK49" t="str">
        <f ca="1">IF(AND(ISNUMBER($BK$205),$B$158=1),$BK$205,HLOOKUP(INDIRECT(ADDRESS(2,COLUMN())),OFFSET($BN$2,0,0,ROW()-1,60),ROW()-1,FALSE))</f>
        <v/>
      </c>
      <c r="BL49" t="str">
        <f ca="1">IF(AND(ISNUMBER($BL$205),$B$158=1),$BL$205,HLOOKUP(INDIRECT(ADDRESS(2,COLUMN())),OFFSET($BN$2,0,0,ROW()-1,60),ROW()-1,FALSE))</f>
        <v/>
      </c>
      <c r="BM49" t="str">
        <f ca="1">IF(AND(ISNUMBER($BM$205),$B$158=1),$BM$205,HLOOKUP(INDIRECT(ADDRESS(2,COLUMN())),OFFSET($BN$2,0,0,ROW()-1,60),ROW()-1,FALSE))</f>
        <v/>
      </c>
      <c r="BN49" t="str">
        <f>""</f>
        <v/>
      </c>
      <c r="BO49">
        <f>52</f>
        <v>52</v>
      </c>
      <c r="BP49">
        <f>472</f>
        <v>472</v>
      </c>
      <c r="BQ49">
        <f>14</f>
        <v>14</v>
      </c>
      <c r="BR49">
        <f>-1</f>
        <v>-1</v>
      </c>
      <c r="BS49">
        <f>15</f>
        <v>15</v>
      </c>
      <c r="BT49">
        <f>-70</f>
        <v>-70</v>
      </c>
      <c r="BU49">
        <f>31</f>
        <v>31</v>
      </c>
      <c r="BV49">
        <f>19</f>
        <v>19</v>
      </c>
      <c r="BW49">
        <f>17</f>
        <v>17</v>
      </c>
      <c r="BX49">
        <f>0</f>
        <v>0</v>
      </c>
      <c r="BY49">
        <f>-14</f>
        <v>-14</v>
      </c>
      <c r="BZ49">
        <f>-9</f>
        <v>-9</v>
      </c>
      <c r="CA49">
        <f>-5</f>
        <v>-5</v>
      </c>
      <c r="CB49">
        <f>4</f>
        <v>4</v>
      </c>
      <c r="CC49">
        <f>11</f>
        <v>11</v>
      </c>
      <c r="CD49">
        <f>14</f>
        <v>14</v>
      </c>
      <c r="CE49">
        <f>-10</f>
        <v>-10</v>
      </c>
      <c r="CF49">
        <f>-5</f>
        <v>-5</v>
      </c>
      <c r="CG49">
        <f>-8</f>
        <v>-8</v>
      </c>
      <c r="CH49" t="str">
        <f>""</f>
        <v/>
      </c>
      <c r="CI49">
        <f>-12</f>
        <v>-12</v>
      </c>
      <c r="CJ49">
        <f>-18</f>
        <v>-18</v>
      </c>
      <c r="CK49">
        <f>-22</f>
        <v>-22</v>
      </c>
      <c r="CL49" t="str">
        <f>""</f>
        <v/>
      </c>
      <c r="CM49">
        <f>-13</f>
        <v>-13</v>
      </c>
      <c r="CN49">
        <f>-2</f>
        <v>-2</v>
      </c>
      <c r="CO49">
        <f>0</f>
        <v>0</v>
      </c>
      <c r="CP49" t="str">
        <f>""</f>
        <v/>
      </c>
      <c r="CQ49" t="str">
        <f>""</f>
        <v/>
      </c>
      <c r="CR49" t="str">
        <f>""</f>
        <v/>
      </c>
      <c r="CS49">
        <f>5</f>
        <v>5</v>
      </c>
      <c r="CT49" t="str">
        <f>""</f>
        <v/>
      </c>
      <c r="CU49" t="str">
        <f>""</f>
        <v/>
      </c>
      <c r="CV49" t="str">
        <f>""</f>
        <v/>
      </c>
      <c r="CW49">
        <f>2</f>
        <v>2</v>
      </c>
      <c r="CX49" t="str">
        <f>""</f>
        <v/>
      </c>
      <c r="CY49" t="str">
        <f>""</f>
        <v/>
      </c>
      <c r="CZ49" t="str">
        <f>""</f>
        <v/>
      </c>
      <c r="DA49" t="str">
        <f>""</f>
        <v/>
      </c>
      <c r="DB49" t="str">
        <f>""</f>
        <v/>
      </c>
      <c r="DC49" t="str">
        <f>""</f>
        <v/>
      </c>
      <c r="DD49" t="str">
        <f>""</f>
        <v/>
      </c>
      <c r="DE49" t="str">
        <f>""</f>
        <v/>
      </c>
      <c r="DF49" t="str">
        <f>""</f>
        <v/>
      </c>
      <c r="DG49" t="str">
        <f>""</f>
        <v/>
      </c>
      <c r="DH49" t="str">
        <f>""</f>
        <v/>
      </c>
      <c r="DI49" t="str">
        <f>""</f>
        <v/>
      </c>
      <c r="DJ49" t="str">
        <f>""</f>
        <v/>
      </c>
      <c r="DK49" t="str">
        <f>""</f>
        <v/>
      </c>
      <c r="DL49" t="str">
        <f>""</f>
        <v/>
      </c>
      <c r="DM49" t="str">
        <f>""</f>
        <v/>
      </c>
      <c r="DN49" t="str">
        <f>""</f>
        <v/>
      </c>
      <c r="DO49" t="str">
        <f>""</f>
        <v/>
      </c>
      <c r="DP49" t="str">
        <f>""</f>
        <v/>
      </c>
      <c r="DQ49" t="str">
        <f>""</f>
        <v/>
      </c>
      <c r="DR49" t="str">
        <f>""</f>
        <v/>
      </c>
      <c r="DS49" t="str">
        <f>""</f>
        <v/>
      </c>
      <c r="DT49" t="str">
        <f>""</f>
        <v/>
      </c>
      <c r="DU49" t="str">
        <f>""</f>
        <v/>
      </c>
    </row>
    <row r="50" spans="1:125" x14ac:dyDescent="0.25">
      <c r="A50" t="str">
        <f>"                        Japan"</f>
        <v xml:space="preserve">                        Japan</v>
      </c>
      <c r="B50" t="str">
        <f t="shared" si="20"/>
        <v>KER FP Equity</v>
      </c>
      <c r="C50" t="str">
        <f t="shared" si="21"/>
        <v>BI047</v>
      </c>
      <c r="D50" t="str">
        <f t="shared" si="22"/>
        <v>BICS_SEGMENT_DATA</v>
      </c>
      <c r="E50" t="str">
        <f t="shared" si="23"/>
        <v>Dynamic</v>
      </c>
      <c r="F50" t="str">
        <f ca="1">IF(AND(ISNUMBER($F$206),$B$158=1),$F$206,HLOOKUP(INDIRECT(ADDRESS(2,COLUMN())),OFFSET($BN$2,0,0,ROW()-1,60),ROW()-1,FALSE))</f>
        <v/>
      </c>
      <c r="G50">
        <f ca="1">IF(AND(ISNUMBER($G$206),$B$158=1),$G$206,HLOOKUP(INDIRECT(ADDRESS(2,COLUMN())),OFFSET($BN$2,0,0,ROW()-1,60),ROW()-1,FALSE))</f>
        <v>10</v>
      </c>
      <c r="H50">
        <f ca="1">IF(AND(ISNUMBER($H$206),$B$158=1),$H$206,HLOOKUP(INDIRECT(ADDRESS(2,COLUMN())),OFFSET($BN$2,0,0,ROW()-1,60),ROW()-1,FALSE))</f>
        <v>108</v>
      </c>
      <c r="I50">
        <f ca="1">IF(AND(ISNUMBER($I$206),$B$158=1),$I$206,HLOOKUP(INDIRECT(ADDRESS(2,COLUMN())),OFFSET($BN$2,0,0,ROW()-1,60),ROW()-1,FALSE))</f>
        <v>15</v>
      </c>
      <c r="J50">
        <f ca="1">IF(AND(ISNUMBER($J$206),$B$158=1),$J$206,HLOOKUP(INDIRECT(ADDRESS(2,COLUMN())),OFFSET($BN$2,0,0,ROW()-1,60),ROW()-1,FALSE))</f>
        <v>3</v>
      </c>
      <c r="K50">
        <f ca="1">IF(AND(ISNUMBER($K$206),$B$158=1),$K$206,HLOOKUP(INDIRECT(ADDRESS(2,COLUMN())),OFFSET($BN$2,0,0,ROW()-1,60),ROW()-1,FALSE))</f>
        <v>-17</v>
      </c>
      <c r="L50">
        <f ca="1">IF(AND(ISNUMBER($L$206),$B$158=1),$L$206,HLOOKUP(INDIRECT(ADDRESS(2,COLUMN())),OFFSET($BN$2,0,0,ROW()-1,60),ROW()-1,FALSE))</f>
        <v>-61</v>
      </c>
      <c r="M50">
        <f ca="1">IF(AND(ISNUMBER($M$206),$B$158=1),$M$206,HLOOKUP(INDIRECT(ADDRESS(2,COLUMN())),OFFSET($BN$2,0,0,ROW()-1,60),ROW()-1,FALSE))</f>
        <v>-19</v>
      </c>
      <c r="N50">
        <f ca="1">IF(AND(ISNUMBER($N$206),$B$158=1),$N$206,HLOOKUP(INDIRECT(ADDRESS(2,COLUMN())),OFFSET($BN$2,0,0,ROW()-1,60),ROW()-1,FALSE))</f>
        <v>-15</v>
      </c>
      <c r="O50">
        <f ca="1">IF(AND(ISNUMBER($O$206),$B$158=1),$O$206,HLOOKUP(INDIRECT(ADDRESS(2,COLUMN())),OFFSET($BN$2,0,0,ROW()-1,60),ROW()-1,FALSE))</f>
        <v>4</v>
      </c>
      <c r="P50">
        <f ca="1">IF(AND(ISNUMBER($P$206),$B$158=1),$P$206,HLOOKUP(INDIRECT(ADDRESS(2,COLUMN())),OFFSET($BN$2,0,0,ROW()-1,60),ROW()-1,FALSE))</f>
        <v>2</v>
      </c>
      <c r="Q50">
        <f ca="1">IF(AND(ISNUMBER($Q$206),$B$158=1),$Q$206,HLOOKUP(INDIRECT(ADDRESS(2,COLUMN())),OFFSET($BN$2,0,0,ROW()-1,60),ROW()-1,FALSE))</f>
        <v>-9</v>
      </c>
      <c r="R50">
        <f ca="1">IF(AND(ISNUMBER($R$206),$B$158=1),$R$206,HLOOKUP(INDIRECT(ADDRESS(2,COLUMN())),OFFSET($BN$2,0,0,ROW()-1,60),ROW()-1,FALSE))</f>
        <v>0</v>
      </c>
      <c r="S50">
        <f ca="1">IF(AND(ISNUMBER($S$206),$B$158=1),$S$206,HLOOKUP(INDIRECT(ADDRESS(2,COLUMN())),OFFSET($BN$2,0,0,ROW()-1,60),ROW()-1,FALSE))</f>
        <v>-8</v>
      </c>
      <c r="T50">
        <f ca="1">IF(AND(ISNUMBER($T$206),$B$158=1),$T$206,HLOOKUP(INDIRECT(ADDRESS(2,COLUMN())),OFFSET($BN$2,0,0,ROW()-1,60),ROW()-1,FALSE))</f>
        <v>-2</v>
      </c>
      <c r="U50">
        <f ca="1">IF(AND(ISNUMBER($U$206),$B$158=1),$U$206,HLOOKUP(INDIRECT(ADDRESS(2,COLUMN())),OFFSET($BN$2,0,0,ROW()-1,60),ROW()-1,FALSE))</f>
        <v>6</v>
      </c>
      <c r="V50">
        <f ca="1">IF(AND(ISNUMBER($V$206),$B$158=1),$V$206,HLOOKUP(INDIRECT(ADDRESS(2,COLUMN())),OFFSET($BN$2,0,0,ROW()-1,60),ROW()-1,FALSE))</f>
        <v>10</v>
      </c>
      <c r="W50">
        <f ca="1">IF(AND(ISNUMBER($W$206),$B$158=1),$W$206,HLOOKUP(INDIRECT(ADDRESS(2,COLUMN())),OFFSET($BN$2,0,0,ROW()-1,60),ROW()-1,FALSE))</f>
        <v>10</v>
      </c>
      <c r="X50">
        <f ca="1">IF(AND(ISNUMBER($X$206),$B$158=1),$X$206,HLOOKUP(INDIRECT(ADDRESS(2,COLUMN())),OFFSET($BN$2,0,0,ROW()-1,60),ROW()-1,FALSE))</f>
        <v>3</v>
      </c>
      <c r="Y50">
        <f ca="1">IF(AND(ISNUMBER($Y$206),$B$158=1),$Y$206,HLOOKUP(INDIRECT(ADDRESS(2,COLUMN())),OFFSET($BN$2,0,0,ROW()-1,60),ROW()-1,FALSE))</f>
        <v>-6</v>
      </c>
      <c r="Z50" t="str">
        <f ca="1">IF(AND(ISNUMBER($Z$206),$B$158=1),$Z$206,HLOOKUP(INDIRECT(ADDRESS(2,COLUMN())),OFFSET($BN$2,0,0,ROW()-1,60),ROW()-1,FALSE))</f>
        <v/>
      </c>
      <c r="AA50">
        <f ca="1">IF(AND(ISNUMBER($AA$206),$B$158=1),$AA$206,HLOOKUP(INDIRECT(ADDRESS(2,COLUMN())),OFFSET($BN$2,0,0,ROW()-1,60),ROW()-1,FALSE))</f>
        <v>-17</v>
      </c>
      <c r="AB50">
        <f ca="1">IF(AND(ISNUMBER($AB$206),$B$158=1),$AB$206,HLOOKUP(INDIRECT(ADDRESS(2,COLUMN())),OFFSET($BN$2,0,0,ROW()-1,60),ROW()-1,FALSE))</f>
        <v>-19</v>
      </c>
      <c r="AC50">
        <f ca="1">IF(AND(ISNUMBER($AC$206),$B$158=1),$AC$206,HLOOKUP(INDIRECT(ADDRESS(2,COLUMN())),OFFSET($BN$2,0,0,ROW()-1,60),ROW()-1,FALSE))</f>
        <v>-8</v>
      </c>
      <c r="AD50" t="str">
        <f ca="1">IF(AND(ISNUMBER($AD$206),$B$158=1),$AD$206,HLOOKUP(INDIRECT(ADDRESS(2,COLUMN())),OFFSET($BN$2,0,0,ROW()-1,60),ROW()-1,FALSE))</f>
        <v/>
      </c>
      <c r="AE50">
        <f ca="1">IF(AND(ISNUMBER($AE$206),$B$158=1),$AE$206,HLOOKUP(INDIRECT(ADDRESS(2,COLUMN())),OFFSET($BN$2,0,0,ROW()-1,60),ROW()-1,FALSE))</f>
        <v>15</v>
      </c>
      <c r="AF50">
        <f ca="1">IF(AND(ISNUMBER($AF$206),$B$158=1),$AF$206,HLOOKUP(INDIRECT(ADDRESS(2,COLUMN())),OFFSET($BN$2,0,0,ROW()-1,60),ROW()-1,FALSE))</f>
        <v>27</v>
      </c>
      <c r="AG50">
        <f ca="1">IF(AND(ISNUMBER($AG$206),$B$158=1),$AG$206,HLOOKUP(INDIRECT(ADDRESS(2,COLUMN())),OFFSET($BN$2,0,0,ROW()-1,60),ROW()-1,FALSE))</f>
        <v>-2</v>
      </c>
      <c r="AH50" t="str">
        <f ca="1">IF(AND(ISNUMBER($AH$206),$B$158=1),$AH$206,HLOOKUP(INDIRECT(ADDRESS(2,COLUMN())),OFFSET($BN$2,0,0,ROW()-1,60),ROW()-1,FALSE))</f>
        <v/>
      </c>
      <c r="AI50" t="str">
        <f ca="1">IF(AND(ISNUMBER($AI$206),$B$158=1),$AI$206,HLOOKUP(INDIRECT(ADDRESS(2,COLUMN())),OFFSET($BN$2,0,0,ROW()-1,60),ROW()-1,FALSE))</f>
        <v/>
      </c>
      <c r="AJ50" t="str">
        <f ca="1">IF(AND(ISNUMBER($AJ$206),$B$158=1),$AJ$206,HLOOKUP(INDIRECT(ADDRESS(2,COLUMN())),OFFSET($BN$2,0,0,ROW()-1,60),ROW()-1,FALSE))</f>
        <v/>
      </c>
      <c r="AK50">
        <f ca="1">IF(AND(ISNUMBER($AK$206),$B$158=1),$AK$206,HLOOKUP(INDIRECT(ADDRESS(2,COLUMN())),OFFSET($BN$2,0,0,ROW()-1,60),ROW()-1,FALSE))</f>
        <v>42</v>
      </c>
      <c r="AL50" t="str">
        <f ca="1">IF(AND(ISNUMBER($AL$206),$B$158=1),$AL$206,HLOOKUP(INDIRECT(ADDRESS(2,COLUMN())),OFFSET($BN$2,0,0,ROW()-1,60),ROW()-1,FALSE))</f>
        <v/>
      </c>
      <c r="AM50" t="str">
        <f ca="1">IF(AND(ISNUMBER($AM$206),$B$158=1),$AM$206,HLOOKUP(INDIRECT(ADDRESS(2,COLUMN())),OFFSET($BN$2,0,0,ROW()-1,60),ROW()-1,FALSE))</f>
        <v/>
      </c>
      <c r="AN50" t="str">
        <f ca="1">IF(AND(ISNUMBER($AN$206),$B$158=1),$AN$206,HLOOKUP(INDIRECT(ADDRESS(2,COLUMN())),OFFSET($BN$2,0,0,ROW()-1,60),ROW()-1,FALSE))</f>
        <v/>
      </c>
      <c r="AO50">
        <f ca="1">IF(AND(ISNUMBER($AO$206),$B$158=1),$AO$206,HLOOKUP(INDIRECT(ADDRESS(2,COLUMN())),OFFSET($BN$2,0,0,ROW()-1,60),ROW()-1,FALSE))</f>
        <v>12</v>
      </c>
      <c r="AP50" t="str">
        <f ca="1">IF(AND(ISNUMBER($AP$206),$B$158=1),$AP$206,HLOOKUP(INDIRECT(ADDRESS(2,COLUMN())),OFFSET($BN$2,0,0,ROW()-1,60),ROW()-1,FALSE))</f>
        <v/>
      </c>
      <c r="AQ50" t="str">
        <f ca="1">IF(AND(ISNUMBER($AQ$206),$B$158=1),$AQ$206,HLOOKUP(INDIRECT(ADDRESS(2,COLUMN())),OFFSET($BN$2,0,0,ROW()-1,60),ROW()-1,FALSE))</f>
        <v/>
      </c>
      <c r="AR50" t="str">
        <f ca="1">IF(AND(ISNUMBER($AR$206),$B$158=1),$AR$206,HLOOKUP(INDIRECT(ADDRESS(2,COLUMN())),OFFSET($BN$2,0,0,ROW()-1,60),ROW()-1,FALSE))</f>
        <v/>
      </c>
      <c r="AS50" t="str">
        <f ca="1">IF(AND(ISNUMBER($AS$206),$B$158=1),$AS$206,HLOOKUP(INDIRECT(ADDRESS(2,COLUMN())),OFFSET($BN$2,0,0,ROW()-1,60),ROW()-1,FALSE))</f>
        <v/>
      </c>
      <c r="AT50" t="str">
        <f ca="1">IF(AND(ISNUMBER($AT$206),$B$158=1),$AT$206,HLOOKUP(INDIRECT(ADDRESS(2,COLUMN())),OFFSET($BN$2,0,0,ROW()-1,60),ROW()-1,FALSE))</f>
        <v/>
      </c>
      <c r="AU50" t="str">
        <f ca="1">IF(AND(ISNUMBER($AU$206),$B$158=1),$AU$206,HLOOKUP(INDIRECT(ADDRESS(2,COLUMN())),OFFSET($BN$2,0,0,ROW()-1,60),ROW()-1,FALSE))</f>
        <v/>
      </c>
      <c r="AV50" t="str">
        <f ca="1">IF(AND(ISNUMBER($AV$206),$B$158=1),$AV$206,HLOOKUP(INDIRECT(ADDRESS(2,COLUMN())),OFFSET($BN$2,0,0,ROW()-1,60),ROW()-1,FALSE))</f>
        <v/>
      </c>
      <c r="AW50" t="str">
        <f ca="1">IF(AND(ISNUMBER($AW$206),$B$158=1),$AW$206,HLOOKUP(INDIRECT(ADDRESS(2,COLUMN())),OFFSET($BN$2,0,0,ROW()-1,60),ROW()-1,FALSE))</f>
        <v/>
      </c>
      <c r="AX50" t="str">
        <f ca="1">IF(AND(ISNUMBER($AX$206),$B$158=1),$AX$206,HLOOKUP(INDIRECT(ADDRESS(2,COLUMN())),OFFSET($BN$2,0,0,ROW()-1,60),ROW()-1,FALSE))</f>
        <v/>
      </c>
      <c r="AY50" t="str">
        <f ca="1">IF(AND(ISNUMBER($AY$206),$B$158=1),$AY$206,HLOOKUP(INDIRECT(ADDRESS(2,COLUMN())),OFFSET($BN$2,0,0,ROW()-1,60),ROW()-1,FALSE))</f>
        <v/>
      </c>
      <c r="AZ50" t="str">
        <f ca="1">IF(AND(ISNUMBER($AZ$206),$B$158=1),$AZ$206,HLOOKUP(INDIRECT(ADDRESS(2,COLUMN())),OFFSET($BN$2,0,0,ROW()-1,60),ROW()-1,FALSE))</f>
        <v/>
      </c>
      <c r="BA50" t="str">
        <f ca="1">IF(AND(ISNUMBER($BA$206),$B$158=1),$BA$206,HLOOKUP(INDIRECT(ADDRESS(2,COLUMN())),OFFSET($BN$2,0,0,ROW()-1,60),ROW()-1,FALSE))</f>
        <v/>
      </c>
      <c r="BB50" t="str">
        <f ca="1">IF(AND(ISNUMBER($BB$206),$B$158=1),$BB$206,HLOOKUP(INDIRECT(ADDRESS(2,COLUMN())),OFFSET($BN$2,0,0,ROW()-1,60),ROW()-1,FALSE))</f>
        <v/>
      </c>
      <c r="BC50" t="str">
        <f ca="1">IF(AND(ISNUMBER($BC$206),$B$158=1),$BC$206,HLOOKUP(INDIRECT(ADDRESS(2,COLUMN())),OFFSET($BN$2,0,0,ROW()-1,60),ROW()-1,FALSE))</f>
        <v/>
      </c>
      <c r="BD50" t="str">
        <f ca="1">IF(AND(ISNUMBER($BD$206),$B$158=1),$BD$206,HLOOKUP(INDIRECT(ADDRESS(2,COLUMN())),OFFSET($BN$2,0,0,ROW()-1,60),ROW()-1,FALSE))</f>
        <v/>
      </c>
      <c r="BE50" t="str">
        <f ca="1">IF(AND(ISNUMBER($BE$206),$B$158=1),$BE$206,HLOOKUP(INDIRECT(ADDRESS(2,COLUMN())),OFFSET($BN$2,0,0,ROW()-1,60),ROW()-1,FALSE))</f>
        <v/>
      </c>
      <c r="BF50" t="str">
        <f ca="1">IF(AND(ISNUMBER($BF$206),$B$158=1),$BF$206,HLOOKUP(INDIRECT(ADDRESS(2,COLUMN())),OFFSET($BN$2,0,0,ROW()-1,60),ROW()-1,FALSE))</f>
        <v/>
      </c>
      <c r="BG50" t="str">
        <f ca="1">IF(AND(ISNUMBER($BG$206),$B$158=1),$BG$206,HLOOKUP(INDIRECT(ADDRESS(2,COLUMN())),OFFSET($BN$2,0,0,ROW()-1,60),ROW()-1,FALSE))</f>
        <v/>
      </c>
      <c r="BH50" t="str">
        <f ca="1">IF(AND(ISNUMBER($BH$206),$B$158=1),$BH$206,HLOOKUP(INDIRECT(ADDRESS(2,COLUMN())),OFFSET($BN$2,0,0,ROW()-1,60),ROW()-1,FALSE))</f>
        <v/>
      </c>
      <c r="BI50" t="str">
        <f ca="1">IF(AND(ISNUMBER($BI$206),$B$158=1),$BI$206,HLOOKUP(INDIRECT(ADDRESS(2,COLUMN())),OFFSET($BN$2,0,0,ROW()-1,60),ROW()-1,FALSE))</f>
        <v/>
      </c>
      <c r="BJ50" t="str">
        <f ca="1">IF(AND(ISNUMBER($BJ$206),$B$158=1),$BJ$206,HLOOKUP(INDIRECT(ADDRESS(2,COLUMN())),OFFSET($BN$2,0,0,ROW()-1,60),ROW()-1,FALSE))</f>
        <v/>
      </c>
      <c r="BK50" t="str">
        <f ca="1">IF(AND(ISNUMBER($BK$206),$B$158=1),$BK$206,HLOOKUP(INDIRECT(ADDRESS(2,COLUMN())),OFFSET($BN$2,0,0,ROW()-1,60),ROW()-1,FALSE))</f>
        <v/>
      </c>
      <c r="BL50" t="str">
        <f ca="1">IF(AND(ISNUMBER($BL$206),$B$158=1),$BL$206,HLOOKUP(INDIRECT(ADDRESS(2,COLUMN())),OFFSET($BN$2,0,0,ROW()-1,60),ROW()-1,FALSE))</f>
        <v/>
      </c>
      <c r="BM50" t="str">
        <f ca="1">IF(AND(ISNUMBER($BM$206),$B$158=1),$BM$206,HLOOKUP(INDIRECT(ADDRESS(2,COLUMN())),OFFSET($BN$2,0,0,ROW()-1,60),ROW()-1,FALSE))</f>
        <v/>
      </c>
      <c r="BN50" t="str">
        <f>""</f>
        <v/>
      </c>
      <c r="BO50">
        <f>10</f>
        <v>10</v>
      </c>
      <c r="BP50">
        <f>108</f>
        <v>108</v>
      </c>
      <c r="BQ50">
        <f>15</f>
        <v>15</v>
      </c>
      <c r="BR50">
        <f>3</f>
        <v>3</v>
      </c>
      <c r="BS50">
        <f>-17</f>
        <v>-17</v>
      </c>
      <c r="BT50">
        <f>-61</f>
        <v>-61</v>
      </c>
      <c r="BU50">
        <f>-19</f>
        <v>-19</v>
      </c>
      <c r="BV50">
        <f>-15</f>
        <v>-15</v>
      </c>
      <c r="BW50">
        <f>4</f>
        <v>4</v>
      </c>
      <c r="BX50">
        <f>2</f>
        <v>2</v>
      </c>
      <c r="BY50">
        <f>-9</f>
        <v>-9</v>
      </c>
      <c r="BZ50">
        <f>0</f>
        <v>0</v>
      </c>
      <c r="CA50">
        <f>-8</f>
        <v>-8</v>
      </c>
      <c r="CB50">
        <f>-2</f>
        <v>-2</v>
      </c>
      <c r="CC50">
        <f>6</f>
        <v>6</v>
      </c>
      <c r="CD50">
        <f>10</f>
        <v>10</v>
      </c>
      <c r="CE50">
        <f>10</f>
        <v>10</v>
      </c>
      <c r="CF50">
        <f>3</f>
        <v>3</v>
      </c>
      <c r="CG50">
        <f>-6</f>
        <v>-6</v>
      </c>
      <c r="CH50" t="str">
        <f>""</f>
        <v/>
      </c>
      <c r="CI50">
        <f>-17</f>
        <v>-17</v>
      </c>
      <c r="CJ50">
        <f>-19</f>
        <v>-19</v>
      </c>
      <c r="CK50">
        <f>-8</f>
        <v>-8</v>
      </c>
      <c r="CL50" t="str">
        <f>""</f>
        <v/>
      </c>
      <c r="CM50">
        <f>15</f>
        <v>15</v>
      </c>
      <c r="CN50">
        <f>27</f>
        <v>27</v>
      </c>
      <c r="CO50">
        <f>-2</f>
        <v>-2</v>
      </c>
      <c r="CP50" t="str">
        <f>""</f>
        <v/>
      </c>
      <c r="CQ50" t="str">
        <f>""</f>
        <v/>
      </c>
      <c r="CR50" t="str">
        <f>""</f>
        <v/>
      </c>
      <c r="CS50">
        <f>42</f>
        <v>42</v>
      </c>
      <c r="CT50" t="str">
        <f>""</f>
        <v/>
      </c>
      <c r="CU50" t="str">
        <f>""</f>
        <v/>
      </c>
      <c r="CV50" t="str">
        <f>""</f>
        <v/>
      </c>
      <c r="CW50">
        <f>12</f>
        <v>12</v>
      </c>
      <c r="CX50" t="str">
        <f>""</f>
        <v/>
      </c>
      <c r="CY50" t="str">
        <f>""</f>
        <v/>
      </c>
      <c r="CZ50" t="str">
        <f>""</f>
        <v/>
      </c>
      <c r="DA50" t="str">
        <f>""</f>
        <v/>
      </c>
      <c r="DB50" t="str">
        <f>""</f>
        <v/>
      </c>
      <c r="DC50" t="str">
        <f>""</f>
        <v/>
      </c>
      <c r="DD50" t="str">
        <f>""</f>
        <v/>
      </c>
      <c r="DE50" t="str">
        <f>""</f>
        <v/>
      </c>
      <c r="DF50" t="str">
        <f>""</f>
        <v/>
      </c>
      <c r="DG50" t="str">
        <f>""</f>
        <v/>
      </c>
      <c r="DH50" t="str">
        <f>""</f>
        <v/>
      </c>
      <c r="DI50" t="str">
        <f>""</f>
        <v/>
      </c>
      <c r="DJ50" t="str">
        <f>""</f>
        <v/>
      </c>
      <c r="DK50" t="str">
        <f>""</f>
        <v/>
      </c>
      <c r="DL50" t="str">
        <f>""</f>
        <v/>
      </c>
      <c r="DM50" t="str">
        <f>""</f>
        <v/>
      </c>
      <c r="DN50" t="str">
        <f>""</f>
        <v/>
      </c>
      <c r="DO50" t="str">
        <f>""</f>
        <v/>
      </c>
      <c r="DP50" t="str">
        <f>""</f>
        <v/>
      </c>
      <c r="DQ50" t="str">
        <f>""</f>
        <v/>
      </c>
      <c r="DR50" t="str">
        <f>""</f>
        <v/>
      </c>
      <c r="DS50" t="str">
        <f>""</f>
        <v/>
      </c>
      <c r="DT50" t="str">
        <f>""</f>
        <v/>
      </c>
      <c r="DU50" t="str">
        <f>""</f>
        <v/>
      </c>
    </row>
    <row r="51" spans="1:125" x14ac:dyDescent="0.25">
      <c r="A51" t="str">
        <f>"                        Asia Pacific"</f>
        <v xml:space="preserve">                        Asia Pacific</v>
      </c>
      <c r="B51" t="str">
        <f t="shared" si="20"/>
        <v>KER FP Equity</v>
      </c>
      <c r="C51" t="str">
        <f t="shared" si="21"/>
        <v>BI047</v>
      </c>
      <c r="D51" t="str">
        <f t="shared" si="22"/>
        <v>BICS_SEGMENT_DATA</v>
      </c>
      <c r="E51" t="str">
        <f t="shared" si="23"/>
        <v>Dynamic</v>
      </c>
      <c r="F51" t="str">
        <f ca="1">IF(AND(ISNUMBER($F$207),$B$158=1),$F$207,HLOOKUP(INDIRECT(ADDRESS(2,COLUMN())),OFFSET($BN$2,0,0,ROW()-1,60),ROW()-1,FALSE))</f>
        <v/>
      </c>
      <c r="G51">
        <f ca="1">IF(AND(ISNUMBER($G$207),$B$158=1),$G$207,HLOOKUP(INDIRECT(ADDRESS(2,COLUMN())),OFFSET($BN$2,0,0,ROW()-1,60),ROW()-1,FALSE))</f>
        <v>-4</v>
      </c>
      <c r="H51">
        <f ca="1">IF(AND(ISNUMBER($H$207),$B$158=1),$H$207,HLOOKUP(INDIRECT(ADDRESS(2,COLUMN())),OFFSET($BN$2,0,0,ROW()-1,60),ROW()-1,FALSE))</f>
        <v>32</v>
      </c>
      <c r="I51">
        <f ca="1">IF(AND(ISNUMBER($I$207),$B$158=1),$I$207,HLOOKUP(INDIRECT(ADDRESS(2,COLUMN())),OFFSET($BN$2,0,0,ROW()-1,60),ROW()-1,FALSE))</f>
        <v>83</v>
      </c>
      <c r="J51">
        <f ca="1">IF(AND(ISNUMBER($J$207),$B$158=1),$J$207,HLOOKUP(INDIRECT(ADDRESS(2,COLUMN())),OFFSET($BN$2,0,0,ROW()-1,60),ROW()-1,FALSE))</f>
        <v>29</v>
      </c>
      <c r="K51">
        <f ca="1">IF(AND(ISNUMBER($K$207),$B$158=1),$K$207,HLOOKUP(INDIRECT(ADDRESS(2,COLUMN())),OFFSET($BN$2,0,0,ROW()-1,60),ROW()-1,FALSE))</f>
        <v>49</v>
      </c>
      <c r="L51">
        <f ca="1">IF(AND(ISNUMBER($L$207),$B$158=1),$L$207,HLOOKUP(INDIRECT(ADDRESS(2,COLUMN())),OFFSET($BN$2,0,0,ROW()-1,60),ROW()-1,FALSE))</f>
        <v>4</v>
      </c>
      <c r="M51">
        <f ca="1">IF(AND(ISNUMBER($M$207),$B$158=1),$M$207,HLOOKUP(INDIRECT(ADDRESS(2,COLUMN())),OFFSET($BN$2,0,0,ROW()-1,60),ROW()-1,FALSE))</f>
        <v>-20</v>
      </c>
      <c r="N51">
        <f ca="1">IF(AND(ISNUMBER($N$207),$B$158=1),$N$207,HLOOKUP(INDIRECT(ADDRESS(2,COLUMN())),OFFSET($BN$2,0,0,ROW()-1,60),ROW()-1,FALSE))</f>
        <v>3</v>
      </c>
      <c r="O51">
        <f ca="1">IF(AND(ISNUMBER($O$207),$B$158=1),$O$207,HLOOKUP(INDIRECT(ADDRESS(2,COLUMN())),OFFSET($BN$2,0,0,ROW()-1,60),ROW()-1,FALSE))</f>
        <v>1</v>
      </c>
      <c r="P51">
        <f ca="1">IF(AND(ISNUMBER($P$207),$B$158=1),$P$207,HLOOKUP(INDIRECT(ADDRESS(2,COLUMN())),OFFSET($BN$2,0,0,ROW()-1,60),ROW()-1,FALSE))</f>
        <v>-1</v>
      </c>
      <c r="Q51">
        <f ca="1">IF(AND(ISNUMBER($Q$207),$B$158=1),$Q$207,HLOOKUP(INDIRECT(ADDRESS(2,COLUMN())),OFFSET($BN$2,0,0,ROW()-1,60),ROW()-1,FALSE))</f>
        <v>-11</v>
      </c>
      <c r="R51">
        <f ca="1">IF(AND(ISNUMBER($R$207),$B$158=1),$R$207,HLOOKUP(INDIRECT(ADDRESS(2,COLUMN())),OFFSET($BN$2,0,0,ROW()-1,60),ROW()-1,FALSE))</f>
        <v>-3</v>
      </c>
      <c r="S51">
        <f ca="1">IF(AND(ISNUMBER($S$207),$B$158=1),$S$207,HLOOKUP(INDIRECT(ADDRESS(2,COLUMN())),OFFSET($BN$2,0,0,ROW()-1,60),ROW()-1,FALSE))</f>
        <v>-11</v>
      </c>
      <c r="T51">
        <f ca="1">IF(AND(ISNUMBER($T$207),$B$158=1),$T$207,HLOOKUP(INDIRECT(ADDRESS(2,COLUMN())),OFFSET($BN$2,0,0,ROW()-1,60),ROW()-1,FALSE))</f>
        <v>-3</v>
      </c>
      <c r="U51">
        <f ca="1">IF(AND(ISNUMBER($U$207),$B$158=1),$U$207,HLOOKUP(INDIRECT(ADDRESS(2,COLUMN())),OFFSET($BN$2,0,0,ROW()-1,60),ROW()-1,FALSE))</f>
        <v>6</v>
      </c>
      <c r="V51">
        <f ca="1">IF(AND(ISNUMBER($V$207),$B$158=1),$V$207,HLOOKUP(INDIRECT(ADDRESS(2,COLUMN())),OFFSET($BN$2,0,0,ROW()-1,60),ROW()-1,FALSE))</f>
        <v>3</v>
      </c>
      <c r="W51">
        <f ca="1">IF(AND(ISNUMBER($W$207),$B$158=1),$W$207,HLOOKUP(INDIRECT(ADDRESS(2,COLUMN())),OFFSET($BN$2,0,0,ROW()-1,60),ROW()-1,FALSE))</f>
        <v>3</v>
      </c>
      <c r="X51">
        <f ca="1">IF(AND(ISNUMBER($X$207),$B$158=1),$X$207,HLOOKUP(INDIRECT(ADDRESS(2,COLUMN())),OFFSET($BN$2,0,0,ROW()-1,60),ROW()-1,FALSE))</f>
        <v>-1</v>
      </c>
      <c r="Y51">
        <f ca="1">IF(AND(ISNUMBER($Y$207),$B$158=1),$Y$207,HLOOKUP(INDIRECT(ADDRESS(2,COLUMN())),OFFSET($BN$2,0,0,ROW()-1,60),ROW()-1,FALSE))</f>
        <v>6</v>
      </c>
      <c r="Z51" t="str">
        <f ca="1">IF(AND(ISNUMBER($Z$207),$B$158=1),$Z$207,HLOOKUP(INDIRECT(ADDRESS(2,COLUMN())),OFFSET($BN$2,0,0,ROW()-1,60),ROW()-1,FALSE))</f>
        <v/>
      </c>
      <c r="AA51">
        <f ca="1">IF(AND(ISNUMBER($AA$207),$B$158=1),$AA$207,HLOOKUP(INDIRECT(ADDRESS(2,COLUMN())),OFFSET($BN$2,0,0,ROW()-1,60),ROW()-1,FALSE))</f>
        <v>1</v>
      </c>
      <c r="AB51">
        <f ca="1">IF(AND(ISNUMBER($AB$207),$B$158=1),$AB$207,HLOOKUP(INDIRECT(ADDRESS(2,COLUMN())),OFFSET($BN$2,0,0,ROW()-1,60),ROW()-1,FALSE))</f>
        <v>2</v>
      </c>
      <c r="AC51">
        <f ca="1">IF(AND(ISNUMBER($AC$207),$B$158=1),$AC$207,HLOOKUP(INDIRECT(ADDRESS(2,COLUMN())),OFFSET($BN$2,0,0,ROW()-1,60),ROW()-1,FALSE))</f>
        <v>-9</v>
      </c>
      <c r="AD51" t="str">
        <f ca="1">IF(AND(ISNUMBER($AD$207),$B$158=1),$AD$207,HLOOKUP(INDIRECT(ADDRESS(2,COLUMN())),OFFSET($BN$2,0,0,ROW()-1,60),ROW()-1,FALSE))</f>
        <v/>
      </c>
      <c r="AE51">
        <f ca="1">IF(AND(ISNUMBER($AE$207),$B$158=1),$AE$207,HLOOKUP(INDIRECT(ADDRESS(2,COLUMN())),OFFSET($BN$2,0,0,ROW()-1,60),ROW()-1,FALSE))</f>
        <v>-13</v>
      </c>
      <c r="AF51">
        <f ca="1">IF(AND(ISNUMBER($AF$207),$B$158=1),$AF$207,HLOOKUP(INDIRECT(ADDRESS(2,COLUMN())),OFFSET($BN$2,0,0,ROW()-1,60),ROW()-1,FALSE))</f>
        <v>-8</v>
      </c>
      <c r="AG51">
        <f ca="1">IF(AND(ISNUMBER($AG$207),$B$158=1),$AG$207,HLOOKUP(INDIRECT(ADDRESS(2,COLUMN())),OFFSET($BN$2,0,0,ROW()-1,60),ROW()-1,FALSE))</f>
        <v>-9</v>
      </c>
      <c r="AH51" t="str">
        <f ca="1">IF(AND(ISNUMBER($AH$207),$B$158=1),$AH$207,HLOOKUP(INDIRECT(ADDRESS(2,COLUMN())),OFFSET($BN$2,0,0,ROW()-1,60),ROW()-1,FALSE))</f>
        <v/>
      </c>
      <c r="AI51" t="str">
        <f ca="1">IF(AND(ISNUMBER($AI$207),$B$158=1),$AI$207,HLOOKUP(INDIRECT(ADDRESS(2,COLUMN())),OFFSET($BN$2,0,0,ROW()-1,60),ROW()-1,FALSE))</f>
        <v/>
      </c>
      <c r="AJ51" t="str">
        <f ca="1">IF(AND(ISNUMBER($AJ$207),$B$158=1),$AJ$207,HLOOKUP(INDIRECT(ADDRESS(2,COLUMN())),OFFSET($BN$2,0,0,ROW()-1,60),ROW()-1,FALSE))</f>
        <v/>
      </c>
      <c r="AK51">
        <f ca="1">IF(AND(ISNUMBER($AK$207),$B$158=1),$AK$207,HLOOKUP(INDIRECT(ADDRESS(2,COLUMN())),OFFSET($BN$2,0,0,ROW()-1,60),ROW()-1,FALSE))</f>
        <v>17</v>
      </c>
      <c r="AL51" t="str">
        <f ca="1">IF(AND(ISNUMBER($AL$207),$B$158=1),$AL$207,HLOOKUP(INDIRECT(ADDRESS(2,COLUMN())),OFFSET($BN$2,0,0,ROW()-1,60),ROW()-1,FALSE))</f>
        <v/>
      </c>
      <c r="AM51" t="str">
        <f ca="1">IF(AND(ISNUMBER($AM$207),$B$158=1),$AM$207,HLOOKUP(INDIRECT(ADDRESS(2,COLUMN())),OFFSET($BN$2,0,0,ROW()-1,60),ROW()-1,FALSE))</f>
        <v/>
      </c>
      <c r="AN51" t="str">
        <f ca="1">IF(AND(ISNUMBER($AN$207),$B$158=1),$AN$207,HLOOKUP(INDIRECT(ADDRESS(2,COLUMN())),OFFSET($BN$2,0,0,ROW()-1,60),ROW()-1,FALSE))</f>
        <v/>
      </c>
      <c r="AO51">
        <f ca="1">IF(AND(ISNUMBER($AO$207),$B$158=1),$AO$207,HLOOKUP(INDIRECT(ADDRESS(2,COLUMN())),OFFSET($BN$2,0,0,ROW()-1,60),ROW()-1,FALSE))</f>
        <v>14</v>
      </c>
      <c r="AP51" t="str">
        <f ca="1">IF(AND(ISNUMBER($AP$207),$B$158=1),$AP$207,HLOOKUP(INDIRECT(ADDRESS(2,COLUMN())),OFFSET($BN$2,0,0,ROW()-1,60),ROW()-1,FALSE))</f>
        <v/>
      </c>
      <c r="AQ51" t="str">
        <f ca="1">IF(AND(ISNUMBER($AQ$207),$B$158=1),$AQ$207,HLOOKUP(INDIRECT(ADDRESS(2,COLUMN())),OFFSET($BN$2,0,0,ROW()-1,60),ROW()-1,FALSE))</f>
        <v/>
      </c>
      <c r="AR51" t="str">
        <f ca="1">IF(AND(ISNUMBER($AR$207),$B$158=1),$AR$207,HLOOKUP(INDIRECT(ADDRESS(2,COLUMN())),OFFSET($BN$2,0,0,ROW()-1,60),ROW()-1,FALSE))</f>
        <v/>
      </c>
      <c r="AS51" t="str">
        <f ca="1">IF(AND(ISNUMBER($AS$207),$B$158=1),$AS$207,HLOOKUP(INDIRECT(ADDRESS(2,COLUMN())),OFFSET($BN$2,0,0,ROW()-1,60),ROW()-1,FALSE))</f>
        <v/>
      </c>
      <c r="AT51" t="str">
        <f ca="1">IF(AND(ISNUMBER($AT$207),$B$158=1),$AT$207,HLOOKUP(INDIRECT(ADDRESS(2,COLUMN())),OFFSET($BN$2,0,0,ROW()-1,60),ROW()-1,FALSE))</f>
        <v/>
      </c>
      <c r="AU51" t="str">
        <f ca="1">IF(AND(ISNUMBER($AU$207),$B$158=1),$AU$207,HLOOKUP(INDIRECT(ADDRESS(2,COLUMN())),OFFSET($BN$2,0,0,ROW()-1,60),ROW()-1,FALSE))</f>
        <v/>
      </c>
      <c r="AV51" t="str">
        <f ca="1">IF(AND(ISNUMBER($AV$207),$B$158=1),$AV$207,HLOOKUP(INDIRECT(ADDRESS(2,COLUMN())),OFFSET($BN$2,0,0,ROW()-1,60),ROW()-1,FALSE))</f>
        <v/>
      </c>
      <c r="AW51" t="str">
        <f ca="1">IF(AND(ISNUMBER($AW$207),$B$158=1),$AW$207,HLOOKUP(INDIRECT(ADDRESS(2,COLUMN())),OFFSET($BN$2,0,0,ROW()-1,60),ROW()-1,FALSE))</f>
        <v/>
      </c>
      <c r="AX51" t="str">
        <f ca="1">IF(AND(ISNUMBER($AX$207),$B$158=1),$AX$207,HLOOKUP(INDIRECT(ADDRESS(2,COLUMN())),OFFSET($BN$2,0,0,ROW()-1,60),ROW()-1,FALSE))</f>
        <v/>
      </c>
      <c r="AY51" t="str">
        <f ca="1">IF(AND(ISNUMBER($AY$207),$B$158=1),$AY$207,HLOOKUP(INDIRECT(ADDRESS(2,COLUMN())),OFFSET($BN$2,0,0,ROW()-1,60),ROW()-1,FALSE))</f>
        <v/>
      </c>
      <c r="AZ51" t="str">
        <f ca="1">IF(AND(ISNUMBER($AZ$207),$B$158=1),$AZ$207,HLOOKUP(INDIRECT(ADDRESS(2,COLUMN())),OFFSET($BN$2,0,0,ROW()-1,60),ROW()-1,FALSE))</f>
        <v/>
      </c>
      <c r="BA51" t="str">
        <f ca="1">IF(AND(ISNUMBER($BA$207),$B$158=1),$BA$207,HLOOKUP(INDIRECT(ADDRESS(2,COLUMN())),OFFSET($BN$2,0,0,ROW()-1,60),ROW()-1,FALSE))</f>
        <v/>
      </c>
      <c r="BB51" t="str">
        <f ca="1">IF(AND(ISNUMBER($BB$207),$B$158=1),$BB$207,HLOOKUP(INDIRECT(ADDRESS(2,COLUMN())),OFFSET($BN$2,0,0,ROW()-1,60),ROW()-1,FALSE))</f>
        <v/>
      </c>
      <c r="BC51" t="str">
        <f ca="1">IF(AND(ISNUMBER($BC$207),$B$158=1),$BC$207,HLOOKUP(INDIRECT(ADDRESS(2,COLUMN())),OFFSET($BN$2,0,0,ROW()-1,60),ROW()-1,FALSE))</f>
        <v/>
      </c>
      <c r="BD51" t="str">
        <f ca="1">IF(AND(ISNUMBER($BD$207),$B$158=1),$BD$207,HLOOKUP(INDIRECT(ADDRESS(2,COLUMN())),OFFSET($BN$2,0,0,ROW()-1,60),ROW()-1,FALSE))</f>
        <v/>
      </c>
      <c r="BE51" t="str">
        <f ca="1">IF(AND(ISNUMBER($BE$207),$B$158=1),$BE$207,HLOOKUP(INDIRECT(ADDRESS(2,COLUMN())),OFFSET($BN$2,0,0,ROW()-1,60),ROW()-1,FALSE))</f>
        <v/>
      </c>
      <c r="BF51" t="str">
        <f ca="1">IF(AND(ISNUMBER($BF$207),$B$158=1),$BF$207,HLOOKUP(INDIRECT(ADDRESS(2,COLUMN())),OFFSET($BN$2,0,0,ROW()-1,60),ROW()-1,FALSE))</f>
        <v/>
      </c>
      <c r="BG51" t="str">
        <f ca="1">IF(AND(ISNUMBER($BG$207),$B$158=1),$BG$207,HLOOKUP(INDIRECT(ADDRESS(2,COLUMN())),OFFSET($BN$2,0,0,ROW()-1,60),ROW()-1,FALSE))</f>
        <v/>
      </c>
      <c r="BH51" t="str">
        <f ca="1">IF(AND(ISNUMBER($BH$207),$B$158=1),$BH$207,HLOOKUP(INDIRECT(ADDRESS(2,COLUMN())),OFFSET($BN$2,0,0,ROW()-1,60),ROW()-1,FALSE))</f>
        <v/>
      </c>
      <c r="BI51" t="str">
        <f ca="1">IF(AND(ISNUMBER($BI$207),$B$158=1),$BI$207,HLOOKUP(INDIRECT(ADDRESS(2,COLUMN())),OFFSET($BN$2,0,0,ROW()-1,60),ROW()-1,FALSE))</f>
        <v/>
      </c>
      <c r="BJ51" t="str">
        <f ca="1">IF(AND(ISNUMBER($BJ$207),$B$158=1),$BJ$207,HLOOKUP(INDIRECT(ADDRESS(2,COLUMN())),OFFSET($BN$2,0,0,ROW()-1,60),ROW()-1,FALSE))</f>
        <v/>
      </c>
      <c r="BK51" t="str">
        <f ca="1">IF(AND(ISNUMBER($BK$207),$B$158=1),$BK$207,HLOOKUP(INDIRECT(ADDRESS(2,COLUMN())),OFFSET($BN$2,0,0,ROW()-1,60),ROW()-1,FALSE))</f>
        <v/>
      </c>
      <c r="BL51" t="str">
        <f ca="1">IF(AND(ISNUMBER($BL$207),$B$158=1),$BL$207,HLOOKUP(INDIRECT(ADDRESS(2,COLUMN())),OFFSET($BN$2,0,0,ROW()-1,60),ROW()-1,FALSE))</f>
        <v/>
      </c>
      <c r="BM51" t="str">
        <f ca="1">IF(AND(ISNUMBER($BM$207),$B$158=1),$BM$207,HLOOKUP(INDIRECT(ADDRESS(2,COLUMN())),OFFSET($BN$2,0,0,ROW()-1,60),ROW()-1,FALSE))</f>
        <v/>
      </c>
      <c r="BN51" t="str">
        <f>""</f>
        <v/>
      </c>
      <c r="BO51">
        <f>-4</f>
        <v>-4</v>
      </c>
      <c r="BP51">
        <f>32</f>
        <v>32</v>
      </c>
      <c r="BQ51">
        <f>83</f>
        <v>83</v>
      </c>
      <c r="BR51">
        <f>29</f>
        <v>29</v>
      </c>
      <c r="BS51">
        <f>49</f>
        <v>49</v>
      </c>
      <c r="BT51">
        <f>4</f>
        <v>4</v>
      </c>
      <c r="BU51">
        <f>-20</f>
        <v>-20</v>
      </c>
      <c r="BV51">
        <f>3</f>
        <v>3</v>
      </c>
      <c r="BW51">
        <f>1</f>
        <v>1</v>
      </c>
      <c r="BX51">
        <f>-1</f>
        <v>-1</v>
      </c>
      <c r="BY51">
        <f>-11</f>
        <v>-11</v>
      </c>
      <c r="BZ51">
        <f>-3</f>
        <v>-3</v>
      </c>
      <c r="CA51">
        <f>-11</f>
        <v>-11</v>
      </c>
      <c r="CB51">
        <f>-3</f>
        <v>-3</v>
      </c>
      <c r="CC51">
        <f>6</f>
        <v>6</v>
      </c>
      <c r="CD51">
        <f>3</f>
        <v>3</v>
      </c>
      <c r="CE51">
        <f>3</f>
        <v>3</v>
      </c>
      <c r="CF51">
        <f>-1</f>
        <v>-1</v>
      </c>
      <c r="CG51">
        <f>6</f>
        <v>6</v>
      </c>
      <c r="CH51" t="str">
        <f>""</f>
        <v/>
      </c>
      <c r="CI51">
        <f>1</f>
        <v>1</v>
      </c>
      <c r="CJ51">
        <f>2</f>
        <v>2</v>
      </c>
      <c r="CK51">
        <f>-9</f>
        <v>-9</v>
      </c>
      <c r="CL51" t="str">
        <f>""</f>
        <v/>
      </c>
      <c r="CM51">
        <f>-13</f>
        <v>-13</v>
      </c>
      <c r="CN51">
        <f>-8</f>
        <v>-8</v>
      </c>
      <c r="CO51">
        <f>-9</f>
        <v>-9</v>
      </c>
      <c r="CP51" t="str">
        <f>""</f>
        <v/>
      </c>
      <c r="CQ51" t="str">
        <f>""</f>
        <v/>
      </c>
      <c r="CR51" t="str">
        <f>""</f>
        <v/>
      </c>
      <c r="CS51">
        <f>17</f>
        <v>17</v>
      </c>
      <c r="CT51" t="str">
        <f>""</f>
        <v/>
      </c>
      <c r="CU51" t="str">
        <f>""</f>
        <v/>
      </c>
      <c r="CV51" t="str">
        <f>""</f>
        <v/>
      </c>
      <c r="CW51">
        <f>14</f>
        <v>14</v>
      </c>
      <c r="CX51" t="str">
        <f>""</f>
        <v/>
      </c>
      <c r="CY51" t="str">
        <f>""</f>
        <v/>
      </c>
      <c r="CZ51" t="str">
        <f>""</f>
        <v/>
      </c>
      <c r="DA51" t="str">
        <f>""</f>
        <v/>
      </c>
      <c r="DB51" t="str">
        <f>""</f>
        <v/>
      </c>
      <c r="DC51" t="str">
        <f>""</f>
        <v/>
      </c>
      <c r="DD51" t="str">
        <f>""</f>
        <v/>
      </c>
      <c r="DE51" t="str">
        <f>""</f>
        <v/>
      </c>
      <c r="DF51" t="str">
        <f>""</f>
        <v/>
      </c>
      <c r="DG51" t="str">
        <f>""</f>
        <v/>
      </c>
      <c r="DH51" t="str">
        <f>""</f>
        <v/>
      </c>
      <c r="DI51" t="str">
        <f>""</f>
        <v/>
      </c>
      <c r="DJ51" t="str">
        <f>""</f>
        <v/>
      </c>
      <c r="DK51" t="str">
        <f>""</f>
        <v/>
      </c>
      <c r="DL51" t="str">
        <f>""</f>
        <v/>
      </c>
      <c r="DM51" t="str">
        <f>""</f>
        <v/>
      </c>
      <c r="DN51" t="str">
        <f>""</f>
        <v/>
      </c>
      <c r="DO51" t="str">
        <f>""</f>
        <v/>
      </c>
      <c r="DP51" t="str">
        <f>""</f>
        <v/>
      </c>
      <c r="DQ51" t="str">
        <f>""</f>
        <v/>
      </c>
      <c r="DR51" t="str">
        <f>""</f>
        <v/>
      </c>
      <c r="DS51" t="str">
        <f>""</f>
        <v/>
      </c>
      <c r="DT51" t="str">
        <f>""</f>
        <v/>
      </c>
      <c r="DU51" t="str">
        <f>""</f>
        <v/>
      </c>
    </row>
    <row r="52" spans="1:125" x14ac:dyDescent="0.25">
      <c r="A52" t="str">
        <f>"                        RoW"</f>
        <v xml:space="preserve">                        RoW</v>
      </c>
      <c r="B52" t="str">
        <f t="shared" si="20"/>
        <v>KER FP Equity</v>
      </c>
      <c r="C52" t="str">
        <f t="shared" si="21"/>
        <v>BI047</v>
      </c>
      <c r="D52" t="str">
        <f t="shared" si="22"/>
        <v>BICS_SEGMENT_DATA</v>
      </c>
      <c r="E52" t="str">
        <f t="shared" si="23"/>
        <v>Dynamic</v>
      </c>
      <c r="F52" t="str">
        <f ca="1">IF(AND(ISNUMBER($F$208),$B$158=1),$F$208,HLOOKUP(INDIRECT(ADDRESS(2,COLUMN())),OFFSET($BN$2,0,0,ROW()-1,60),ROW()-1,FALSE))</f>
        <v/>
      </c>
      <c r="G52">
        <f ca="1">IF(AND(ISNUMBER($G$208),$B$158=1),$G$208,HLOOKUP(INDIRECT(ADDRESS(2,COLUMN())),OFFSET($BN$2,0,0,ROW()-1,60),ROW()-1,FALSE))</f>
        <v>-17</v>
      </c>
      <c r="H52">
        <f ca="1">IF(AND(ISNUMBER($H$208),$B$158=1),$H$208,HLOOKUP(INDIRECT(ADDRESS(2,COLUMN())),OFFSET($BN$2,0,0,ROW()-1,60),ROW()-1,FALSE))</f>
        <v>170</v>
      </c>
      <c r="I52">
        <f ca="1">IF(AND(ISNUMBER($I$208),$B$158=1),$I$208,HLOOKUP(INDIRECT(ADDRESS(2,COLUMN())),OFFSET($BN$2,0,0,ROW()-1,60),ROW()-1,FALSE))</f>
        <v>23</v>
      </c>
      <c r="J52">
        <f ca="1">IF(AND(ISNUMBER($J$208),$B$158=1),$J$208,HLOOKUP(INDIRECT(ADDRESS(2,COLUMN())),OFFSET($BN$2,0,0,ROW()-1,60),ROW()-1,FALSE))</f>
        <v>30</v>
      </c>
      <c r="K52">
        <f ca="1">IF(AND(ISNUMBER($K$208),$B$158=1),$K$208,HLOOKUP(INDIRECT(ADDRESS(2,COLUMN())),OFFSET($BN$2,0,0,ROW()-1,60),ROW()-1,FALSE))</f>
        <v>99</v>
      </c>
      <c r="L52">
        <f ca="1">IF(AND(ISNUMBER($L$208),$B$158=1),$L$208,HLOOKUP(INDIRECT(ADDRESS(2,COLUMN())),OFFSET($BN$2,0,0,ROW()-1,60),ROW()-1,FALSE))</f>
        <v>-18</v>
      </c>
      <c r="M52">
        <f ca="1">IF(AND(ISNUMBER($M$208),$B$158=1),$M$208,HLOOKUP(INDIRECT(ADDRESS(2,COLUMN())),OFFSET($BN$2,0,0,ROW()-1,60),ROW()-1,FALSE))</f>
        <v>74</v>
      </c>
      <c r="N52">
        <f ca="1">IF(AND(ISNUMBER($N$208),$B$158=1),$N$208,HLOOKUP(INDIRECT(ADDRESS(2,COLUMN())),OFFSET($BN$2,0,0,ROW()-1,60),ROW()-1,FALSE))</f>
        <v>43</v>
      </c>
      <c r="O52">
        <f ca="1">IF(AND(ISNUMBER($O$208),$B$158=1),$O$208,HLOOKUP(INDIRECT(ADDRESS(2,COLUMN())),OFFSET($BN$2,0,0,ROW()-1,60),ROW()-1,FALSE))</f>
        <v>54</v>
      </c>
      <c r="P52">
        <f ca="1">IF(AND(ISNUMBER($P$208),$B$158=1),$P$208,HLOOKUP(INDIRECT(ADDRESS(2,COLUMN())),OFFSET($BN$2,0,0,ROW()-1,60),ROW()-1,FALSE))</f>
        <v>-1</v>
      </c>
      <c r="Q52">
        <f ca="1">IF(AND(ISNUMBER($Q$208),$B$158=1),$Q$208,HLOOKUP(INDIRECT(ADDRESS(2,COLUMN())),OFFSET($BN$2,0,0,ROW()-1,60),ROW()-1,FALSE))</f>
        <v>-17</v>
      </c>
      <c r="R52">
        <f ca="1">IF(AND(ISNUMBER($R$208),$B$158=1),$R$208,HLOOKUP(INDIRECT(ADDRESS(2,COLUMN())),OFFSET($BN$2,0,0,ROW()-1,60),ROW()-1,FALSE))</f>
        <v>1</v>
      </c>
      <c r="S52">
        <f ca="1">IF(AND(ISNUMBER($S$208),$B$158=1),$S$208,HLOOKUP(INDIRECT(ADDRESS(2,COLUMN())),OFFSET($BN$2,0,0,ROW()-1,60),ROW()-1,FALSE))</f>
        <v>-10</v>
      </c>
      <c r="T52">
        <f ca="1">IF(AND(ISNUMBER($T$208),$B$158=1),$T$208,HLOOKUP(INDIRECT(ADDRESS(2,COLUMN())),OFFSET($BN$2,0,0,ROW()-1,60),ROW()-1,FALSE))</f>
        <v>4</v>
      </c>
      <c r="U52">
        <f ca="1">IF(AND(ISNUMBER($U$208),$B$158=1),$U$208,HLOOKUP(INDIRECT(ADDRESS(2,COLUMN())),OFFSET($BN$2,0,0,ROW()-1,60),ROW()-1,FALSE))</f>
        <v>11</v>
      </c>
      <c r="V52">
        <f ca="1">IF(AND(ISNUMBER($V$208),$B$158=1),$V$208,HLOOKUP(INDIRECT(ADDRESS(2,COLUMN())),OFFSET($BN$2,0,0,ROW()-1,60),ROW()-1,FALSE))</f>
        <v>24</v>
      </c>
      <c r="W52">
        <f ca="1">IF(AND(ISNUMBER($W$208),$B$158=1),$W$208,HLOOKUP(INDIRECT(ADDRESS(2,COLUMN())),OFFSET($BN$2,0,0,ROW()-1,60),ROW()-1,FALSE))</f>
        <v>15</v>
      </c>
      <c r="X52">
        <f ca="1">IF(AND(ISNUMBER($X$208),$B$158=1),$X$208,HLOOKUP(INDIRECT(ADDRESS(2,COLUMN())),OFFSET($BN$2,0,0,ROW()-1,60),ROW()-1,FALSE))</f>
        <v>26</v>
      </c>
      <c r="Y52">
        <f ca="1">IF(AND(ISNUMBER($Y$208),$B$158=1),$Y$208,HLOOKUP(INDIRECT(ADDRESS(2,COLUMN())),OFFSET($BN$2,0,0,ROW()-1,60),ROW()-1,FALSE))</f>
        <v>11</v>
      </c>
      <c r="Z52" t="str">
        <f ca="1">IF(AND(ISNUMBER($Z$208),$B$158=1),$Z$208,HLOOKUP(INDIRECT(ADDRESS(2,COLUMN())),OFFSET($BN$2,0,0,ROW()-1,60),ROW()-1,FALSE))</f>
        <v/>
      </c>
      <c r="AA52">
        <f ca="1">IF(AND(ISNUMBER($AA$208),$B$158=1),$AA$208,HLOOKUP(INDIRECT(ADDRESS(2,COLUMN())),OFFSET($BN$2,0,0,ROW()-1,60),ROW()-1,FALSE))</f>
        <v>0</v>
      </c>
      <c r="AB52">
        <f ca="1">IF(AND(ISNUMBER($AB$208),$B$158=1),$AB$208,HLOOKUP(INDIRECT(ADDRESS(2,COLUMN())),OFFSET($BN$2,0,0,ROW()-1,60),ROW()-1,FALSE))</f>
        <v>0</v>
      </c>
      <c r="AC52">
        <f ca="1">IF(AND(ISNUMBER($AC$208),$B$158=1),$AC$208,HLOOKUP(INDIRECT(ADDRESS(2,COLUMN())),OFFSET($BN$2,0,0,ROW()-1,60),ROW()-1,FALSE))</f>
        <v>0</v>
      </c>
      <c r="AD52" t="str">
        <f ca="1">IF(AND(ISNUMBER($AD$208),$B$158=1),$AD$208,HLOOKUP(INDIRECT(ADDRESS(2,COLUMN())),OFFSET($BN$2,0,0,ROW()-1,60),ROW()-1,FALSE))</f>
        <v/>
      </c>
      <c r="AE52">
        <f ca="1">IF(AND(ISNUMBER($AE$208),$B$158=1),$AE$208,HLOOKUP(INDIRECT(ADDRESS(2,COLUMN())),OFFSET($BN$2,0,0,ROW()-1,60),ROW()-1,FALSE))</f>
        <v>78</v>
      </c>
      <c r="AF52">
        <f ca="1">IF(AND(ISNUMBER($AF$208),$B$158=1),$AF$208,HLOOKUP(INDIRECT(ADDRESS(2,COLUMN())),OFFSET($BN$2,0,0,ROW()-1,60),ROW()-1,FALSE))</f>
        <v>65</v>
      </c>
      <c r="AG52">
        <f ca="1">IF(AND(ISNUMBER($AG$208),$B$158=1),$AG$208,HLOOKUP(INDIRECT(ADDRESS(2,COLUMN())),OFFSET($BN$2,0,0,ROW()-1,60),ROW()-1,FALSE))</f>
        <v>8</v>
      </c>
      <c r="AH52" t="str">
        <f ca="1">IF(AND(ISNUMBER($AH$208),$B$158=1),$AH$208,HLOOKUP(INDIRECT(ADDRESS(2,COLUMN())),OFFSET($BN$2,0,0,ROW()-1,60),ROW()-1,FALSE))</f>
        <v/>
      </c>
      <c r="AI52" t="str">
        <f ca="1">IF(AND(ISNUMBER($AI$208),$B$158=1),$AI$208,HLOOKUP(INDIRECT(ADDRESS(2,COLUMN())),OFFSET($BN$2,0,0,ROW()-1,60),ROW()-1,FALSE))</f>
        <v/>
      </c>
      <c r="AJ52" t="str">
        <f ca="1">IF(AND(ISNUMBER($AJ$208),$B$158=1),$AJ$208,HLOOKUP(INDIRECT(ADDRESS(2,COLUMN())),OFFSET($BN$2,0,0,ROW()-1,60),ROW()-1,FALSE))</f>
        <v/>
      </c>
      <c r="AK52">
        <f ca="1">IF(AND(ISNUMBER($AK$208),$B$158=1),$AK$208,HLOOKUP(INDIRECT(ADDRESS(2,COLUMN())),OFFSET($BN$2,0,0,ROW()-1,60),ROW()-1,FALSE))</f>
        <v>13</v>
      </c>
      <c r="AL52" t="str">
        <f ca="1">IF(AND(ISNUMBER($AL$208),$B$158=1),$AL$208,HLOOKUP(INDIRECT(ADDRESS(2,COLUMN())),OFFSET($BN$2,0,0,ROW()-1,60),ROW()-1,FALSE))</f>
        <v/>
      </c>
      <c r="AM52" t="str">
        <f ca="1">IF(AND(ISNUMBER($AM$208),$B$158=1),$AM$208,HLOOKUP(INDIRECT(ADDRESS(2,COLUMN())),OFFSET($BN$2,0,0,ROW()-1,60),ROW()-1,FALSE))</f>
        <v/>
      </c>
      <c r="AN52" t="str">
        <f ca="1">IF(AND(ISNUMBER($AN$208),$B$158=1),$AN$208,HLOOKUP(INDIRECT(ADDRESS(2,COLUMN())),OFFSET($BN$2,0,0,ROW()-1,60),ROW()-1,FALSE))</f>
        <v/>
      </c>
      <c r="AO52">
        <f ca="1">IF(AND(ISNUMBER($AO$208),$B$158=1),$AO$208,HLOOKUP(INDIRECT(ADDRESS(2,COLUMN())),OFFSET($BN$2,0,0,ROW()-1,60),ROW()-1,FALSE))</f>
        <v>-2</v>
      </c>
      <c r="AP52" t="str">
        <f ca="1">IF(AND(ISNUMBER($AP$208),$B$158=1),$AP$208,HLOOKUP(INDIRECT(ADDRESS(2,COLUMN())),OFFSET($BN$2,0,0,ROW()-1,60),ROW()-1,FALSE))</f>
        <v/>
      </c>
      <c r="AQ52" t="str">
        <f ca="1">IF(AND(ISNUMBER($AQ$208),$B$158=1),$AQ$208,HLOOKUP(INDIRECT(ADDRESS(2,COLUMN())),OFFSET($BN$2,0,0,ROW()-1,60),ROW()-1,FALSE))</f>
        <v/>
      </c>
      <c r="AR52" t="str">
        <f ca="1">IF(AND(ISNUMBER($AR$208),$B$158=1),$AR$208,HLOOKUP(INDIRECT(ADDRESS(2,COLUMN())),OFFSET($BN$2,0,0,ROW()-1,60),ROW()-1,FALSE))</f>
        <v/>
      </c>
      <c r="AS52" t="str">
        <f ca="1">IF(AND(ISNUMBER($AS$208),$B$158=1),$AS$208,HLOOKUP(INDIRECT(ADDRESS(2,COLUMN())),OFFSET($BN$2,0,0,ROW()-1,60),ROW()-1,FALSE))</f>
        <v/>
      </c>
      <c r="AT52" t="str">
        <f ca="1">IF(AND(ISNUMBER($AT$208),$B$158=1),$AT$208,HLOOKUP(INDIRECT(ADDRESS(2,COLUMN())),OFFSET($BN$2,0,0,ROW()-1,60),ROW()-1,FALSE))</f>
        <v/>
      </c>
      <c r="AU52" t="str">
        <f ca="1">IF(AND(ISNUMBER($AU$208),$B$158=1),$AU$208,HLOOKUP(INDIRECT(ADDRESS(2,COLUMN())),OFFSET($BN$2,0,0,ROW()-1,60),ROW()-1,FALSE))</f>
        <v/>
      </c>
      <c r="AV52" t="str">
        <f ca="1">IF(AND(ISNUMBER($AV$208),$B$158=1),$AV$208,HLOOKUP(INDIRECT(ADDRESS(2,COLUMN())),OFFSET($BN$2,0,0,ROW()-1,60),ROW()-1,FALSE))</f>
        <v/>
      </c>
      <c r="AW52" t="str">
        <f ca="1">IF(AND(ISNUMBER($AW$208),$B$158=1),$AW$208,HLOOKUP(INDIRECT(ADDRESS(2,COLUMN())),OFFSET($BN$2,0,0,ROW()-1,60),ROW()-1,FALSE))</f>
        <v/>
      </c>
      <c r="AX52" t="str">
        <f ca="1">IF(AND(ISNUMBER($AX$208),$B$158=1),$AX$208,HLOOKUP(INDIRECT(ADDRESS(2,COLUMN())),OFFSET($BN$2,0,0,ROW()-1,60),ROW()-1,FALSE))</f>
        <v/>
      </c>
      <c r="AY52" t="str">
        <f ca="1">IF(AND(ISNUMBER($AY$208),$B$158=1),$AY$208,HLOOKUP(INDIRECT(ADDRESS(2,COLUMN())),OFFSET($BN$2,0,0,ROW()-1,60),ROW()-1,FALSE))</f>
        <v/>
      </c>
      <c r="AZ52" t="str">
        <f ca="1">IF(AND(ISNUMBER($AZ$208),$B$158=1),$AZ$208,HLOOKUP(INDIRECT(ADDRESS(2,COLUMN())),OFFSET($BN$2,0,0,ROW()-1,60),ROW()-1,FALSE))</f>
        <v/>
      </c>
      <c r="BA52" t="str">
        <f ca="1">IF(AND(ISNUMBER($BA$208),$B$158=1),$BA$208,HLOOKUP(INDIRECT(ADDRESS(2,COLUMN())),OFFSET($BN$2,0,0,ROW()-1,60),ROW()-1,FALSE))</f>
        <v/>
      </c>
      <c r="BB52" t="str">
        <f ca="1">IF(AND(ISNUMBER($BB$208),$B$158=1),$BB$208,HLOOKUP(INDIRECT(ADDRESS(2,COLUMN())),OFFSET($BN$2,0,0,ROW()-1,60),ROW()-1,FALSE))</f>
        <v/>
      </c>
      <c r="BC52" t="str">
        <f ca="1">IF(AND(ISNUMBER($BC$208),$B$158=1),$BC$208,HLOOKUP(INDIRECT(ADDRESS(2,COLUMN())),OFFSET($BN$2,0,0,ROW()-1,60),ROW()-1,FALSE))</f>
        <v/>
      </c>
      <c r="BD52" t="str">
        <f ca="1">IF(AND(ISNUMBER($BD$208),$B$158=1),$BD$208,HLOOKUP(INDIRECT(ADDRESS(2,COLUMN())),OFFSET($BN$2,0,0,ROW()-1,60),ROW()-1,FALSE))</f>
        <v/>
      </c>
      <c r="BE52" t="str">
        <f ca="1">IF(AND(ISNUMBER($BE$208),$B$158=1),$BE$208,HLOOKUP(INDIRECT(ADDRESS(2,COLUMN())),OFFSET($BN$2,0,0,ROW()-1,60),ROW()-1,FALSE))</f>
        <v/>
      </c>
      <c r="BF52" t="str">
        <f ca="1">IF(AND(ISNUMBER($BF$208),$B$158=1),$BF$208,HLOOKUP(INDIRECT(ADDRESS(2,COLUMN())),OFFSET($BN$2,0,0,ROW()-1,60),ROW()-1,FALSE))</f>
        <v/>
      </c>
      <c r="BG52" t="str">
        <f ca="1">IF(AND(ISNUMBER($BG$208),$B$158=1),$BG$208,HLOOKUP(INDIRECT(ADDRESS(2,COLUMN())),OFFSET($BN$2,0,0,ROW()-1,60),ROW()-1,FALSE))</f>
        <v/>
      </c>
      <c r="BH52" t="str">
        <f ca="1">IF(AND(ISNUMBER($BH$208),$B$158=1),$BH$208,HLOOKUP(INDIRECT(ADDRESS(2,COLUMN())),OFFSET($BN$2,0,0,ROW()-1,60),ROW()-1,FALSE))</f>
        <v/>
      </c>
      <c r="BI52" t="str">
        <f ca="1">IF(AND(ISNUMBER($BI$208),$B$158=1),$BI$208,HLOOKUP(INDIRECT(ADDRESS(2,COLUMN())),OFFSET($BN$2,0,0,ROW()-1,60),ROW()-1,FALSE))</f>
        <v/>
      </c>
      <c r="BJ52" t="str">
        <f ca="1">IF(AND(ISNUMBER($BJ$208),$B$158=1),$BJ$208,HLOOKUP(INDIRECT(ADDRESS(2,COLUMN())),OFFSET($BN$2,0,0,ROW()-1,60),ROW()-1,FALSE))</f>
        <v/>
      </c>
      <c r="BK52" t="str">
        <f ca="1">IF(AND(ISNUMBER($BK$208),$B$158=1),$BK$208,HLOOKUP(INDIRECT(ADDRESS(2,COLUMN())),OFFSET($BN$2,0,0,ROW()-1,60),ROW()-1,FALSE))</f>
        <v/>
      </c>
      <c r="BL52" t="str">
        <f ca="1">IF(AND(ISNUMBER($BL$208),$B$158=1),$BL$208,HLOOKUP(INDIRECT(ADDRESS(2,COLUMN())),OFFSET($BN$2,0,0,ROW()-1,60),ROW()-1,FALSE))</f>
        <v/>
      </c>
      <c r="BM52" t="str">
        <f ca="1">IF(AND(ISNUMBER($BM$208),$B$158=1),$BM$208,HLOOKUP(INDIRECT(ADDRESS(2,COLUMN())),OFFSET($BN$2,0,0,ROW()-1,60),ROW()-1,FALSE))</f>
        <v/>
      </c>
      <c r="BN52" t="str">
        <f>""</f>
        <v/>
      </c>
      <c r="BO52">
        <f>-17</f>
        <v>-17</v>
      </c>
      <c r="BP52">
        <f>170</f>
        <v>170</v>
      </c>
      <c r="BQ52">
        <f>23</f>
        <v>23</v>
      </c>
      <c r="BR52">
        <f>30</f>
        <v>30</v>
      </c>
      <c r="BS52">
        <f>99</f>
        <v>99</v>
      </c>
      <c r="BT52">
        <f>-18</f>
        <v>-18</v>
      </c>
      <c r="BU52">
        <f>74</f>
        <v>74</v>
      </c>
      <c r="BV52">
        <f>43</f>
        <v>43</v>
      </c>
      <c r="BW52">
        <f>54</f>
        <v>54</v>
      </c>
      <c r="BX52">
        <f>-1</f>
        <v>-1</v>
      </c>
      <c r="BY52">
        <f>-17</f>
        <v>-17</v>
      </c>
      <c r="BZ52">
        <f>1</f>
        <v>1</v>
      </c>
      <c r="CA52">
        <f>-10</f>
        <v>-10</v>
      </c>
      <c r="CB52">
        <f>4</f>
        <v>4</v>
      </c>
      <c r="CC52">
        <f>11</f>
        <v>11</v>
      </c>
      <c r="CD52">
        <f>24</f>
        <v>24</v>
      </c>
      <c r="CE52">
        <f>15</f>
        <v>15</v>
      </c>
      <c r="CF52">
        <f>26</f>
        <v>26</v>
      </c>
      <c r="CG52">
        <f>11</f>
        <v>11</v>
      </c>
      <c r="CH52" t="str">
        <f>""</f>
        <v/>
      </c>
      <c r="CI52">
        <f>0</f>
        <v>0</v>
      </c>
      <c r="CJ52">
        <f>0</f>
        <v>0</v>
      </c>
      <c r="CK52">
        <f>0</f>
        <v>0</v>
      </c>
      <c r="CL52" t="str">
        <f>""</f>
        <v/>
      </c>
      <c r="CM52">
        <f>78</f>
        <v>78</v>
      </c>
      <c r="CN52">
        <f>65</f>
        <v>65</v>
      </c>
      <c r="CO52">
        <f>8</f>
        <v>8</v>
      </c>
      <c r="CP52" t="str">
        <f>""</f>
        <v/>
      </c>
      <c r="CQ52" t="str">
        <f>""</f>
        <v/>
      </c>
      <c r="CR52" t="str">
        <f>""</f>
        <v/>
      </c>
      <c r="CS52">
        <f>13</f>
        <v>13</v>
      </c>
      <c r="CT52" t="str">
        <f>""</f>
        <v/>
      </c>
      <c r="CU52" t="str">
        <f>""</f>
        <v/>
      </c>
      <c r="CV52" t="str">
        <f>""</f>
        <v/>
      </c>
      <c r="CW52">
        <f>-2</f>
        <v>-2</v>
      </c>
      <c r="CX52" t="str">
        <f>""</f>
        <v/>
      </c>
      <c r="CY52" t="str">
        <f>""</f>
        <v/>
      </c>
      <c r="CZ52" t="str">
        <f>""</f>
        <v/>
      </c>
      <c r="DA52" t="str">
        <f>""</f>
        <v/>
      </c>
      <c r="DB52" t="str">
        <f>""</f>
        <v/>
      </c>
      <c r="DC52" t="str">
        <f>""</f>
        <v/>
      </c>
      <c r="DD52" t="str">
        <f>""</f>
        <v/>
      </c>
      <c r="DE52" t="str">
        <f>""</f>
        <v/>
      </c>
      <c r="DF52" t="str">
        <f>""</f>
        <v/>
      </c>
      <c r="DG52" t="str">
        <f>""</f>
        <v/>
      </c>
      <c r="DH52" t="str">
        <f>""</f>
        <v/>
      </c>
      <c r="DI52" t="str">
        <f>""</f>
        <v/>
      </c>
      <c r="DJ52" t="str">
        <f>""</f>
        <v/>
      </c>
      <c r="DK52" t="str">
        <f>""</f>
        <v/>
      </c>
      <c r="DL52" t="str">
        <f>""</f>
        <v/>
      </c>
      <c r="DM52" t="str">
        <f>""</f>
        <v/>
      </c>
      <c r="DN52" t="str">
        <f>""</f>
        <v/>
      </c>
      <c r="DO52" t="str">
        <f>""</f>
        <v/>
      </c>
      <c r="DP52" t="str">
        <f>""</f>
        <v/>
      </c>
      <c r="DQ52" t="str">
        <f>""</f>
        <v/>
      </c>
      <c r="DR52" t="str">
        <f>""</f>
        <v/>
      </c>
      <c r="DS52" t="str">
        <f>""</f>
        <v/>
      </c>
      <c r="DT52" t="str">
        <f>""</f>
        <v/>
      </c>
      <c r="DU52" t="str">
        <f>""</f>
        <v/>
      </c>
    </row>
    <row r="53" spans="1:125" x14ac:dyDescent="0.25">
      <c r="A53" t="str">
        <f>"                    Wholesale"</f>
        <v xml:space="preserve">                    Wholesale</v>
      </c>
      <c r="B53" t="str">
        <f t="shared" si="20"/>
        <v>KER FP Equity</v>
      </c>
      <c r="C53" t="str">
        <f t="shared" si="21"/>
        <v>BI047</v>
      </c>
      <c r="D53" t="str">
        <f t="shared" si="22"/>
        <v>BICS_SEGMENT_DATA</v>
      </c>
      <c r="E53" t="str">
        <f t="shared" si="23"/>
        <v>Dynamic</v>
      </c>
      <c r="F53" t="str">
        <f ca="1">IF(AND(ISNUMBER($F$209),$B$158=1),$F$209,HLOOKUP(INDIRECT(ADDRESS(2,COLUMN())),OFFSET($BN$2,0,0,ROW()-1,60),ROW()-1,FALSE))</f>
        <v/>
      </c>
      <c r="G53">
        <f ca="1">IF(AND(ISNUMBER($G$209),$B$158=1),$G$209,HLOOKUP(INDIRECT(ADDRESS(2,COLUMN())),OFFSET($BN$2,0,0,ROW()-1,60),ROW()-1,FALSE))</f>
        <v>18</v>
      </c>
      <c r="H53">
        <f ca="1">IF(AND(ISNUMBER($H$209),$B$158=1),$H$209,HLOOKUP(INDIRECT(ADDRESS(2,COLUMN())),OFFSET($BN$2,0,0,ROW()-1,60),ROW()-1,FALSE))</f>
        <v>63</v>
      </c>
      <c r="I53">
        <f ca="1">IF(AND(ISNUMBER($I$209),$B$158=1),$I$209,HLOOKUP(INDIRECT(ADDRESS(2,COLUMN())),OFFSET($BN$2,0,0,ROW()-1,60),ROW()-1,FALSE))</f>
        <v>27</v>
      </c>
      <c r="J53">
        <f ca="1">IF(AND(ISNUMBER($J$209),$B$158=1),$J$209,HLOOKUP(INDIRECT(ADDRESS(2,COLUMN())),OFFSET($BN$2,0,0,ROW()-1,60),ROW()-1,FALSE))</f>
        <v>62</v>
      </c>
      <c r="K53">
        <f ca="1">IF(AND(ISNUMBER($K$209),$B$158=1),$K$209,HLOOKUP(INDIRECT(ADDRESS(2,COLUMN())),OFFSET($BN$2,0,0,ROW()-1,60),ROW()-1,FALSE))</f>
        <v>63</v>
      </c>
      <c r="L53">
        <f ca="1">IF(AND(ISNUMBER($L$209),$B$158=1),$L$209,HLOOKUP(INDIRECT(ADDRESS(2,COLUMN())),OFFSET($BN$2,0,0,ROW()-1,60),ROW()-1,FALSE))</f>
        <v>15</v>
      </c>
      <c r="M53">
        <f ca="1">IF(AND(ISNUMBER($M$209),$B$158=1),$M$209,HLOOKUP(INDIRECT(ADDRESS(2,COLUMN())),OFFSET($BN$2,0,0,ROW()-1,60),ROW()-1,FALSE))</f>
        <v>55</v>
      </c>
      <c r="N53">
        <f ca="1">IF(AND(ISNUMBER($N$209),$B$158=1),$N$209,HLOOKUP(INDIRECT(ADDRESS(2,COLUMN())),OFFSET($BN$2,0,0,ROW()-1,60),ROW()-1,FALSE))</f>
        <v>20</v>
      </c>
      <c r="O53">
        <f ca="1">IF(AND(ISNUMBER($O$209),$B$158=1),$O$209,HLOOKUP(INDIRECT(ADDRESS(2,COLUMN())),OFFSET($BN$2,0,0,ROW()-1,60),ROW()-1,FALSE))</f>
        <v>4</v>
      </c>
      <c r="P53">
        <f ca="1">IF(AND(ISNUMBER($P$209),$B$158=1),$P$209,HLOOKUP(INDIRECT(ADDRESS(2,COLUMN())),OFFSET($BN$2,0,0,ROW()-1,60),ROW()-1,FALSE))</f>
        <v>3</v>
      </c>
      <c r="Q53">
        <f ca="1">IF(AND(ISNUMBER($Q$209),$B$158=1),$Q$209,HLOOKUP(INDIRECT(ADDRESS(2,COLUMN())),OFFSET($BN$2,0,0,ROW()-1,60),ROW()-1,FALSE))</f>
        <v>-3</v>
      </c>
      <c r="R53">
        <f ca="1">IF(AND(ISNUMBER($R$209),$B$158=1),$R$209,HLOOKUP(INDIRECT(ADDRESS(2,COLUMN())),OFFSET($BN$2,0,0,ROW()-1,60),ROW()-1,FALSE))</f>
        <v>2</v>
      </c>
      <c r="S53">
        <f ca="1">IF(AND(ISNUMBER($S$209),$B$158=1),$S$209,HLOOKUP(INDIRECT(ADDRESS(2,COLUMN())),OFFSET($BN$2,0,0,ROW()-1,60),ROW()-1,FALSE))</f>
        <v>2</v>
      </c>
      <c r="T53">
        <f ca="1">IF(AND(ISNUMBER($T$209),$B$158=1),$T$209,HLOOKUP(INDIRECT(ADDRESS(2,COLUMN())),OFFSET($BN$2,0,0,ROW()-1,60),ROW()-1,FALSE))</f>
        <v>10</v>
      </c>
      <c r="U53">
        <f ca="1">IF(AND(ISNUMBER($U$209),$B$158=1),$U$209,HLOOKUP(INDIRECT(ADDRESS(2,COLUMN())),OFFSET($BN$2,0,0,ROW()-1,60),ROW()-1,FALSE))</f>
        <v>-4</v>
      </c>
      <c r="V53">
        <f ca="1">IF(AND(ISNUMBER($V$209),$B$158=1),$V$209,HLOOKUP(INDIRECT(ADDRESS(2,COLUMN())),OFFSET($BN$2,0,0,ROW()-1,60),ROW()-1,FALSE))</f>
        <v>-1</v>
      </c>
      <c r="W53">
        <f ca="1">IF(AND(ISNUMBER($W$209),$B$158=1),$W$209,HLOOKUP(INDIRECT(ADDRESS(2,COLUMN())),OFFSET($BN$2,0,0,ROW()-1,60),ROW()-1,FALSE))</f>
        <v>-8</v>
      </c>
      <c r="X53">
        <f ca="1">IF(AND(ISNUMBER($X$209),$B$158=1),$X$209,HLOOKUP(INDIRECT(ADDRESS(2,COLUMN())),OFFSET($BN$2,0,0,ROW()-1,60),ROW()-1,FALSE))</f>
        <v>-7</v>
      </c>
      <c r="Y53">
        <f ca="1">IF(AND(ISNUMBER($Y$209),$B$158=1),$Y$209,HLOOKUP(INDIRECT(ADDRESS(2,COLUMN())),OFFSET($BN$2,0,0,ROW()-1,60),ROW()-1,FALSE))</f>
        <v>-3</v>
      </c>
      <c r="Z53">
        <f ca="1">IF(AND(ISNUMBER($Z$209),$B$158=1),$Z$209,HLOOKUP(INDIRECT(ADDRESS(2,COLUMN())),OFFSET($BN$2,0,0,ROW()-1,60),ROW()-1,FALSE))</f>
        <v>-16</v>
      </c>
      <c r="AA53">
        <f ca="1">IF(AND(ISNUMBER($AA$209),$B$158=1),$AA$209,HLOOKUP(INDIRECT(ADDRESS(2,COLUMN())),OFFSET($BN$2,0,0,ROW()-1,60),ROW()-1,FALSE))</f>
        <v>-23</v>
      </c>
      <c r="AB53">
        <f ca="1">IF(AND(ISNUMBER($AB$209),$B$158=1),$AB$209,HLOOKUP(INDIRECT(ADDRESS(2,COLUMN())),OFFSET($BN$2,0,0,ROW()-1,60),ROW()-1,FALSE))</f>
        <v>-6</v>
      </c>
      <c r="AC53">
        <f ca="1">IF(AND(ISNUMBER($AC$209),$B$158=1),$AC$209,HLOOKUP(INDIRECT(ADDRESS(2,COLUMN())),OFFSET($BN$2,0,0,ROW()-1,60),ROW()-1,FALSE))</f>
        <v>-3</v>
      </c>
      <c r="AD53" t="str">
        <f ca="1">IF(AND(ISNUMBER($AD$209),$B$158=1),$AD$209,HLOOKUP(INDIRECT(ADDRESS(2,COLUMN())),OFFSET($BN$2,0,0,ROW()-1,60),ROW()-1,FALSE))</f>
        <v/>
      </c>
      <c r="AE53">
        <f ca="1">IF(AND(ISNUMBER($AE$209),$B$158=1),$AE$209,HLOOKUP(INDIRECT(ADDRESS(2,COLUMN())),OFFSET($BN$2,0,0,ROW()-1,60),ROW()-1,FALSE))</f>
        <v>6</v>
      </c>
      <c r="AF53">
        <f ca="1">IF(AND(ISNUMBER($AF$209),$B$158=1),$AF$209,HLOOKUP(INDIRECT(ADDRESS(2,COLUMN())),OFFSET($BN$2,0,0,ROW()-1,60),ROW()-1,FALSE))</f>
        <v>-3</v>
      </c>
      <c r="AG53">
        <f ca="1">IF(AND(ISNUMBER($AG$209),$B$158=1),$AG$209,HLOOKUP(INDIRECT(ADDRESS(2,COLUMN())),OFFSET($BN$2,0,0,ROW()-1,60),ROW()-1,FALSE))</f>
        <v>9</v>
      </c>
      <c r="AH53" t="str">
        <f ca="1">IF(AND(ISNUMBER($AH$209),$B$158=1),$AH$209,HLOOKUP(INDIRECT(ADDRESS(2,COLUMN())),OFFSET($BN$2,0,0,ROW()-1,60),ROW()-1,FALSE))</f>
        <v/>
      </c>
      <c r="AI53" t="str">
        <f ca="1">IF(AND(ISNUMBER($AI$209),$B$158=1),$AI$209,HLOOKUP(INDIRECT(ADDRESS(2,COLUMN())),OFFSET($BN$2,0,0,ROW()-1,60),ROW()-1,FALSE))</f>
        <v/>
      </c>
      <c r="AJ53" t="str">
        <f ca="1">IF(AND(ISNUMBER($AJ$209),$B$158=1),$AJ$209,HLOOKUP(INDIRECT(ADDRESS(2,COLUMN())),OFFSET($BN$2,0,0,ROW()-1,60),ROW()-1,FALSE))</f>
        <v/>
      </c>
      <c r="AK53">
        <f ca="1">IF(AND(ISNUMBER($AK$209),$B$158=1),$AK$209,HLOOKUP(INDIRECT(ADDRESS(2,COLUMN())),OFFSET($BN$2,0,0,ROW()-1,60),ROW()-1,FALSE))</f>
        <v>-1</v>
      </c>
      <c r="AL53" t="str">
        <f ca="1">IF(AND(ISNUMBER($AL$209),$B$158=1),$AL$209,HLOOKUP(INDIRECT(ADDRESS(2,COLUMN())),OFFSET($BN$2,0,0,ROW()-1,60),ROW()-1,FALSE))</f>
        <v/>
      </c>
      <c r="AM53" t="str">
        <f ca="1">IF(AND(ISNUMBER($AM$209),$B$158=1),$AM$209,HLOOKUP(INDIRECT(ADDRESS(2,COLUMN())),OFFSET($BN$2,0,0,ROW()-1,60),ROW()-1,FALSE))</f>
        <v/>
      </c>
      <c r="AN53" t="str">
        <f ca="1">IF(AND(ISNUMBER($AN$209),$B$158=1),$AN$209,HLOOKUP(INDIRECT(ADDRESS(2,COLUMN())),OFFSET($BN$2,0,0,ROW()-1,60),ROW()-1,FALSE))</f>
        <v/>
      </c>
      <c r="AO53" t="str">
        <f ca="1">IF(AND(ISNUMBER($AO$209),$B$158=1),$AO$209,HLOOKUP(INDIRECT(ADDRESS(2,COLUMN())),OFFSET($BN$2,0,0,ROW()-1,60),ROW()-1,FALSE))</f>
        <v/>
      </c>
      <c r="AP53" t="str">
        <f ca="1">IF(AND(ISNUMBER($AP$209),$B$158=1),$AP$209,HLOOKUP(INDIRECT(ADDRESS(2,COLUMN())),OFFSET($BN$2,0,0,ROW()-1,60),ROW()-1,FALSE))</f>
        <v/>
      </c>
      <c r="AQ53" t="str">
        <f ca="1">IF(AND(ISNUMBER($AQ$209),$B$158=1),$AQ$209,HLOOKUP(INDIRECT(ADDRESS(2,COLUMN())),OFFSET($BN$2,0,0,ROW()-1,60),ROW()-1,FALSE))</f>
        <v/>
      </c>
      <c r="AR53" t="str">
        <f ca="1">IF(AND(ISNUMBER($AR$209),$B$158=1),$AR$209,HLOOKUP(INDIRECT(ADDRESS(2,COLUMN())),OFFSET($BN$2,0,0,ROW()-1,60),ROW()-1,FALSE))</f>
        <v/>
      </c>
      <c r="AS53" t="str">
        <f ca="1">IF(AND(ISNUMBER($AS$209),$B$158=1),$AS$209,HLOOKUP(INDIRECT(ADDRESS(2,COLUMN())),OFFSET($BN$2,0,0,ROW()-1,60),ROW()-1,FALSE))</f>
        <v/>
      </c>
      <c r="AT53" t="str">
        <f ca="1">IF(AND(ISNUMBER($AT$209),$B$158=1),$AT$209,HLOOKUP(INDIRECT(ADDRESS(2,COLUMN())),OFFSET($BN$2,0,0,ROW()-1,60),ROW()-1,FALSE))</f>
        <v/>
      </c>
      <c r="AU53" t="str">
        <f ca="1">IF(AND(ISNUMBER($AU$209),$B$158=1),$AU$209,HLOOKUP(INDIRECT(ADDRESS(2,COLUMN())),OFFSET($BN$2,0,0,ROW()-1,60),ROW()-1,FALSE))</f>
        <v/>
      </c>
      <c r="AV53" t="str">
        <f ca="1">IF(AND(ISNUMBER($AV$209),$B$158=1),$AV$209,HLOOKUP(INDIRECT(ADDRESS(2,COLUMN())),OFFSET($BN$2,0,0,ROW()-1,60),ROW()-1,FALSE))</f>
        <v/>
      </c>
      <c r="AW53" t="str">
        <f ca="1">IF(AND(ISNUMBER($AW$209),$B$158=1),$AW$209,HLOOKUP(INDIRECT(ADDRESS(2,COLUMN())),OFFSET($BN$2,0,0,ROW()-1,60),ROW()-1,FALSE))</f>
        <v/>
      </c>
      <c r="AX53" t="str">
        <f ca="1">IF(AND(ISNUMBER($AX$209),$B$158=1),$AX$209,HLOOKUP(INDIRECT(ADDRESS(2,COLUMN())),OFFSET($BN$2,0,0,ROW()-1,60),ROW()-1,FALSE))</f>
        <v/>
      </c>
      <c r="AY53" t="str">
        <f ca="1">IF(AND(ISNUMBER($AY$209),$B$158=1),$AY$209,HLOOKUP(INDIRECT(ADDRESS(2,COLUMN())),OFFSET($BN$2,0,0,ROW()-1,60),ROW()-1,FALSE))</f>
        <v/>
      </c>
      <c r="AZ53" t="str">
        <f ca="1">IF(AND(ISNUMBER($AZ$209),$B$158=1),$AZ$209,HLOOKUP(INDIRECT(ADDRESS(2,COLUMN())),OFFSET($BN$2,0,0,ROW()-1,60),ROW()-1,FALSE))</f>
        <v/>
      </c>
      <c r="BA53" t="str">
        <f ca="1">IF(AND(ISNUMBER($BA$209),$B$158=1),$BA$209,HLOOKUP(INDIRECT(ADDRESS(2,COLUMN())),OFFSET($BN$2,0,0,ROW()-1,60),ROW()-1,FALSE))</f>
        <v/>
      </c>
      <c r="BB53" t="str">
        <f ca="1">IF(AND(ISNUMBER($BB$209),$B$158=1),$BB$209,HLOOKUP(INDIRECT(ADDRESS(2,COLUMN())),OFFSET($BN$2,0,0,ROW()-1,60),ROW()-1,FALSE))</f>
        <v/>
      </c>
      <c r="BC53" t="str">
        <f ca="1">IF(AND(ISNUMBER($BC$209),$B$158=1),$BC$209,HLOOKUP(INDIRECT(ADDRESS(2,COLUMN())),OFFSET($BN$2,0,0,ROW()-1,60),ROW()-1,FALSE))</f>
        <v/>
      </c>
      <c r="BD53" t="str">
        <f ca="1">IF(AND(ISNUMBER($BD$209),$B$158=1),$BD$209,HLOOKUP(INDIRECT(ADDRESS(2,COLUMN())),OFFSET($BN$2,0,0,ROW()-1,60),ROW()-1,FALSE))</f>
        <v/>
      </c>
      <c r="BE53" t="str">
        <f ca="1">IF(AND(ISNUMBER($BE$209),$B$158=1),$BE$209,HLOOKUP(INDIRECT(ADDRESS(2,COLUMN())),OFFSET($BN$2,0,0,ROW()-1,60),ROW()-1,FALSE))</f>
        <v/>
      </c>
      <c r="BF53" t="str">
        <f ca="1">IF(AND(ISNUMBER($BF$209),$B$158=1),$BF$209,HLOOKUP(INDIRECT(ADDRESS(2,COLUMN())),OFFSET($BN$2,0,0,ROW()-1,60),ROW()-1,FALSE))</f>
        <v/>
      </c>
      <c r="BG53" t="str">
        <f ca="1">IF(AND(ISNUMBER($BG$209),$B$158=1),$BG$209,HLOOKUP(INDIRECT(ADDRESS(2,COLUMN())),OFFSET($BN$2,0,0,ROW()-1,60),ROW()-1,FALSE))</f>
        <v/>
      </c>
      <c r="BH53" t="str">
        <f ca="1">IF(AND(ISNUMBER($BH$209),$B$158=1),$BH$209,HLOOKUP(INDIRECT(ADDRESS(2,COLUMN())),OFFSET($BN$2,0,0,ROW()-1,60),ROW()-1,FALSE))</f>
        <v/>
      </c>
      <c r="BI53" t="str">
        <f ca="1">IF(AND(ISNUMBER($BI$209),$B$158=1),$BI$209,HLOOKUP(INDIRECT(ADDRESS(2,COLUMN())),OFFSET($BN$2,0,0,ROW()-1,60),ROW()-1,FALSE))</f>
        <v/>
      </c>
      <c r="BJ53" t="str">
        <f ca="1">IF(AND(ISNUMBER($BJ$209),$B$158=1),$BJ$209,HLOOKUP(INDIRECT(ADDRESS(2,COLUMN())),OFFSET($BN$2,0,0,ROW()-1,60),ROW()-1,FALSE))</f>
        <v/>
      </c>
      <c r="BK53" t="str">
        <f ca="1">IF(AND(ISNUMBER($BK$209),$B$158=1),$BK$209,HLOOKUP(INDIRECT(ADDRESS(2,COLUMN())),OFFSET($BN$2,0,0,ROW()-1,60),ROW()-1,FALSE))</f>
        <v/>
      </c>
      <c r="BL53" t="str">
        <f ca="1">IF(AND(ISNUMBER($BL$209),$B$158=1),$BL$209,HLOOKUP(INDIRECT(ADDRESS(2,COLUMN())),OFFSET($BN$2,0,0,ROW()-1,60),ROW()-1,FALSE))</f>
        <v/>
      </c>
      <c r="BM53" t="str">
        <f ca="1">IF(AND(ISNUMBER($BM$209),$B$158=1),$BM$209,HLOOKUP(INDIRECT(ADDRESS(2,COLUMN())),OFFSET($BN$2,0,0,ROW()-1,60),ROW()-1,FALSE))</f>
        <v/>
      </c>
      <c r="BN53" t="str">
        <f>""</f>
        <v/>
      </c>
      <c r="BO53">
        <f>18</f>
        <v>18</v>
      </c>
      <c r="BP53">
        <f>63</f>
        <v>63</v>
      </c>
      <c r="BQ53">
        <f>27</f>
        <v>27</v>
      </c>
      <c r="BR53">
        <f>62</f>
        <v>62</v>
      </c>
      <c r="BS53">
        <f>63</f>
        <v>63</v>
      </c>
      <c r="BT53">
        <f>15</f>
        <v>15</v>
      </c>
      <c r="BU53">
        <f>55</f>
        <v>55</v>
      </c>
      <c r="BV53">
        <f>20</f>
        <v>20</v>
      </c>
      <c r="BW53">
        <f>4</f>
        <v>4</v>
      </c>
      <c r="BX53">
        <f>3</f>
        <v>3</v>
      </c>
      <c r="BY53">
        <f>-3</f>
        <v>-3</v>
      </c>
      <c r="BZ53">
        <f>2</f>
        <v>2</v>
      </c>
      <c r="CA53">
        <f>2</f>
        <v>2</v>
      </c>
      <c r="CB53">
        <f>10</f>
        <v>10</v>
      </c>
      <c r="CC53">
        <f>-4</f>
        <v>-4</v>
      </c>
      <c r="CD53">
        <f>-1</f>
        <v>-1</v>
      </c>
      <c r="CE53">
        <f>-8</f>
        <v>-8</v>
      </c>
      <c r="CF53">
        <f>-7</f>
        <v>-7</v>
      </c>
      <c r="CG53">
        <f>-3</f>
        <v>-3</v>
      </c>
      <c r="CH53">
        <f>-16</f>
        <v>-16</v>
      </c>
      <c r="CI53">
        <f>-23</f>
        <v>-23</v>
      </c>
      <c r="CJ53">
        <f>-6</f>
        <v>-6</v>
      </c>
      <c r="CK53">
        <f>-3</f>
        <v>-3</v>
      </c>
      <c r="CL53" t="str">
        <f>""</f>
        <v/>
      </c>
      <c r="CM53">
        <f>6</f>
        <v>6</v>
      </c>
      <c r="CN53">
        <f>-3</f>
        <v>-3</v>
      </c>
      <c r="CO53">
        <f>9</f>
        <v>9</v>
      </c>
      <c r="CP53" t="str">
        <f>""</f>
        <v/>
      </c>
      <c r="CQ53" t="str">
        <f>""</f>
        <v/>
      </c>
      <c r="CR53" t="str">
        <f>""</f>
        <v/>
      </c>
      <c r="CS53">
        <f>-1</f>
        <v>-1</v>
      </c>
      <c r="CT53" t="str">
        <f>""</f>
        <v/>
      </c>
      <c r="CU53" t="str">
        <f>""</f>
        <v/>
      </c>
      <c r="CV53" t="str">
        <f>""</f>
        <v/>
      </c>
      <c r="CW53" t="str">
        <f>""</f>
        <v/>
      </c>
      <c r="CX53" t="str">
        <f>""</f>
        <v/>
      </c>
      <c r="CY53" t="str">
        <f>""</f>
        <v/>
      </c>
      <c r="CZ53" t="str">
        <f>""</f>
        <v/>
      </c>
      <c r="DA53" t="str">
        <f>""</f>
        <v/>
      </c>
      <c r="DB53" t="str">
        <f>""</f>
        <v/>
      </c>
      <c r="DC53" t="str">
        <f>""</f>
        <v/>
      </c>
      <c r="DD53" t="str">
        <f>""</f>
        <v/>
      </c>
      <c r="DE53" t="str">
        <f>""</f>
        <v/>
      </c>
      <c r="DF53" t="str">
        <f>""</f>
        <v/>
      </c>
      <c r="DG53" t="str">
        <f>""</f>
        <v/>
      </c>
      <c r="DH53" t="str">
        <f>""</f>
        <v/>
      </c>
      <c r="DI53" t="str">
        <f>""</f>
        <v/>
      </c>
      <c r="DJ53" t="str">
        <f>""</f>
        <v/>
      </c>
      <c r="DK53" t="str">
        <f>""</f>
        <v/>
      </c>
      <c r="DL53" t="str">
        <f>""</f>
        <v/>
      </c>
      <c r="DM53" t="str">
        <f>""</f>
        <v/>
      </c>
      <c r="DN53" t="str">
        <f>""</f>
        <v/>
      </c>
      <c r="DO53" t="str">
        <f>""</f>
        <v/>
      </c>
      <c r="DP53" t="str">
        <f>""</f>
        <v/>
      </c>
      <c r="DQ53" t="str">
        <f>""</f>
        <v/>
      </c>
      <c r="DR53" t="str">
        <f>""</f>
        <v/>
      </c>
      <c r="DS53" t="str">
        <f>""</f>
        <v/>
      </c>
      <c r="DT53" t="str">
        <f>""</f>
        <v/>
      </c>
      <c r="DU53" t="str">
        <f>""</f>
        <v/>
      </c>
    </row>
    <row r="54" spans="1:125" x14ac:dyDescent="0.25">
      <c r="A54" t="str">
        <f>"                    Royalties and Others"</f>
        <v xml:space="preserve">                    Royalties and Others</v>
      </c>
      <c r="B54" t="str">
        <f t="shared" si="20"/>
        <v>KER FP Equity</v>
      </c>
      <c r="C54" t="str">
        <f t="shared" si="21"/>
        <v>BI047</v>
      </c>
      <c r="D54" t="str">
        <f t="shared" si="22"/>
        <v>BICS_SEGMENT_DATA</v>
      </c>
      <c r="E54" t="str">
        <f t="shared" si="23"/>
        <v>Dynamic</v>
      </c>
      <c r="F54" t="str">
        <f ca="1">IF(AND(ISNUMBER($F$210),$B$158=1),$F$210,HLOOKUP(INDIRECT(ADDRESS(2,COLUMN())),OFFSET($BN$2,0,0,ROW()-1,60),ROW()-1,FALSE))</f>
        <v/>
      </c>
      <c r="G54">
        <f ca="1">IF(AND(ISNUMBER($G$210),$B$158=1),$G$210,HLOOKUP(INDIRECT(ADDRESS(2,COLUMN())),OFFSET($BN$2,0,0,ROW()-1,60),ROW()-1,FALSE))</f>
        <v>17</v>
      </c>
      <c r="H54">
        <f ca="1">IF(AND(ISNUMBER($H$210),$B$158=1),$H$210,HLOOKUP(INDIRECT(ADDRESS(2,COLUMN())),OFFSET($BN$2,0,0,ROW()-1,60),ROW()-1,FALSE))</f>
        <v>48</v>
      </c>
      <c r="I54">
        <f ca="1">IF(AND(ISNUMBER($I$210),$B$158=1),$I$210,HLOOKUP(INDIRECT(ADDRESS(2,COLUMN())),OFFSET($BN$2,0,0,ROW()-1,60),ROW()-1,FALSE))</f>
        <v>28</v>
      </c>
      <c r="J54">
        <f ca="1">IF(AND(ISNUMBER($J$210),$B$158=1),$J$210,HLOOKUP(INDIRECT(ADDRESS(2,COLUMN())),OFFSET($BN$2,0,0,ROW()-1,60),ROW()-1,FALSE))</f>
        <v>29</v>
      </c>
      <c r="K54">
        <f ca="1">IF(AND(ISNUMBER($K$210),$B$158=1),$K$210,HLOOKUP(INDIRECT(ADDRESS(2,COLUMN())),OFFSET($BN$2,0,0,ROW()-1,60),ROW()-1,FALSE))</f>
        <v>34</v>
      </c>
      <c r="L54">
        <f ca="1">IF(AND(ISNUMBER($L$210),$B$158=1),$L$210,HLOOKUP(INDIRECT(ADDRESS(2,COLUMN())),OFFSET($BN$2,0,0,ROW()-1,60),ROW()-1,FALSE))</f>
        <v>-8</v>
      </c>
      <c r="M54">
        <f ca="1">IF(AND(ISNUMBER($M$210),$B$158=1),$M$210,HLOOKUP(INDIRECT(ADDRESS(2,COLUMN())),OFFSET($BN$2,0,0,ROW()-1,60),ROW()-1,FALSE))</f>
        <v>9</v>
      </c>
      <c r="N54">
        <f ca="1">IF(AND(ISNUMBER($N$210),$B$158=1),$N$210,HLOOKUP(INDIRECT(ADDRESS(2,COLUMN())),OFFSET($BN$2,0,0,ROW()-1,60),ROW()-1,FALSE))</f>
        <v>-16</v>
      </c>
      <c r="O54">
        <f ca="1">IF(AND(ISNUMBER($O$210),$B$158=1),$O$210,HLOOKUP(INDIRECT(ADDRESS(2,COLUMN())),OFFSET($BN$2,0,0,ROW()-1,60),ROW()-1,FALSE))</f>
        <v>2</v>
      </c>
      <c r="P54">
        <f ca="1">IF(AND(ISNUMBER($P$210),$B$158=1),$P$210,HLOOKUP(INDIRECT(ADDRESS(2,COLUMN())),OFFSET($BN$2,0,0,ROW()-1,60),ROW()-1,FALSE))</f>
        <v>-9</v>
      </c>
      <c r="Q54">
        <f ca="1">IF(AND(ISNUMBER($Q$210),$B$158=1),$Q$210,HLOOKUP(INDIRECT(ADDRESS(2,COLUMN())),OFFSET($BN$2,0,0,ROW()-1,60),ROW()-1,FALSE))</f>
        <v>1</v>
      </c>
      <c r="R54">
        <f ca="1">IF(AND(ISNUMBER($R$210),$B$158=1),$R$210,HLOOKUP(INDIRECT(ADDRESS(2,COLUMN())),OFFSET($BN$2,0,0,ROW()-1,60),ROW()-1,FALSE))</f>
        <v>8</v>
      </c>
      <c r="S54">
        <f ca="1">IF(AND(ISNUMBER($S$210),$B$158=1),$S$210,HLOOKUP(INDIRECT(ADDRESS(2,COLUMN())),OFFSET($BN$2,0,0,ROW()-1,60),ROW()-1,FALSE))</f>
        <v>3</v>
      </c>
      <c r="T54">
        <f ca="1">IF(AND(ISNUMBER($T$210),$B$158=1),$T$210,HLOOKUP(INDIRECT(ADDRESS(2,COLUMN())),OFFSET($BN$2,0,0,ROW()-1,60),ROW()-1,FALSE))</f>
        <v>7</v>
      </c>
      <c r="U54">
        <f ca="1">IF(AND(ISNUMBER($U$210),$B$158=1),$U$210,HLOOKUP(INDIRECT(ADDRESS(2,COLUMN())),OFFSET($BN$2,0,0,ROW()-1,60),ROW()-1,FALSE))</f>
        <v>-11</v>
      </c>
      <c r="V54">
        <f ca="1">IF(AND(ISNUMBER($V$210),$B$158=1),$V$210,HLOOKUP(INDIRECT(ADDRESS(2,COLUMN())),OFFSET($BN$2,0,0,ROW()-1,60),ROW()-1,FALSE))</f>
        <v>2</v>
      </c>
      <c r="W54">
        <f ca="1">IF(AND(ISNUMBER($W$210),$B$158=1),$W$210,HLOOKUP(INDIRECT(ADDRESS(2,COLUMN())),OFFSET($BN$2,0,0,ROW()-1,60),ROW()-1,FALSE))</f>
        <v>-14</v>
      </c>
      <c r="X54">
        <f ca="1">IF(AND(ISNUMBER($X$210),$B$158=1),$X$210,HLOOKUP(INDIRECT(ADDRESS(2,COLUMN())),OFFSET($BN$2,0,0,ROW()-1,60),ROW()-1,FALSE))</f>
        <v>6</v>
      </c>
      <c r="Y54">
        <f ca="1">IF(AND(ISNUMBER($Y$210),$B$158=1),$Y$210,HLOOKUP(INDIRECT(ADDRESS(2,COLUMN())),OFFSET($BN$2,0,0,ROW()-1,60),ROW()-1,FALSE))</f>
        <v>-22</v>
      </c>
      <c r="Z54" t="str">
        <f ca="1">IF(AND(ISNUMBER($Z$210),$B$158=1),$Z$210,HLOOKUP(INDIRECT(ADDRESS(2,COLUMN())),OFFSET($BN$2,0,0,ROW()-1,60),ROW()-1,FALSE))</f>
        <v/>
      </c>
      <c r="AA54">
        <f ca="1">IF(AND(ISNUMBER($AA$210),$B$158=1),$AA$210,HLOOKUP(INDIRECT(ADDRESS(2,COLUMN())),OFFSET($BN$2,0,0,ROW()-1,60),ROW()-1,FALSE))</f>
        <v>0</v>
      </c>
      <c r="AB54">
        <f ca="1">IF(AND(ISNUMBER($AB$210),$B$158=1),$AB$210,HLOOKUP(INDIRECT(ADDRESS(2,COLUMN())),OFFSET($BN$2,0,0,ROW()-1,60),ROW()-1,FALSE))</f>
        <v>0</v>
      </c>
      <c r="AC54">
        <f ca="1">IF(AND(ISNUMBER($AC$210),$B$158=1),$AC$210,HLOOKUP(INDIRECT(ADDRESS(2,COLUMN())),OFFSET($BN$2,0,0,ROW()-1,60),ROW()-1,FALSE))</f>
        <v>0</v>
      </c>
      <c r="AD54" t="str">
        <f ca="1">IF(AND(ISNUMBER($AD$210),$B$158=1),$AD$210,HLOOKUP(INDIRECT(ADDRESS(2,COLUMN())),OFFSET($BN$2,0,0,ROW()-1,60),ROW()-1,FALSE))</f>
        <v/>
      </c>
      <c r="AE54">
        <f ca="1">IF(AND(ISNUMBER($AE$210),$B$158=1),$AE$210,HLOOKUP(INDIRECT(ADDRESS(2,COLUMN())),OFFSET($BN$2,0,0,ROW()-1,60),ROW()-1,FALSE))</f>
        <v>14</v>
      </c>
      <c r="AF54">
        <f ca="1">IF(AND(ISNUMBER($AF$210),$B$158=1),$AF$210,HLOOKUP(INDIRECT(ADDRESS(2,COLUMN())),OFFSET($BN$2,0,0,ROW()-1,60),ROW()-1,FALSE))</f>
        <v>13</v>
      </c>
      <c r="AG54">
        <f ca="1">IF(AND(ISNUMBER($AG$210),$B$158=1),$AG$210,HLOOKUP(INDIRECT(ADDRESS(2,COLUMN())),OFFSET($BN$2,0,0,ROW()-1,60),ROW()-1,FALSE))</f>
        <v>20</v>
      </c>
      <c r="AH54" t="str">
        <f ca="1">IF(AND(ISNUMBER($AH$210),$B$158=1),$AH$210,HLOOKUP(INDIRECT(ADDRESS(2,COLUMN())),OFFSET($BN$2,0,0,ROW()-1,60),ROW()-1,FALSE))</f>
        <v/>
      </c>
      <c r="AI54" t="str">
        <f ca="1">IF(AND(ISNUMBER($AI$210),$B$158=1),$AI$210,HLOOKUP(INDIRECT(ADDRESS(2,COLUMN())),OFFSET($BN$2,0,0,ROW()-1,60),ROW()-1,FALSE))</f>
        <v/>
      </c>
      <c r="AJ54" t="str">
        <f ca="1">IF(AND(ISNUMBER($AJ$210),$B$158=1),$AJ$210,HLOOKUP(INDIRECT(ADDRESS(2,COLUMN())),OFFSET($BN$2,0,0,ROW()-1,60),ROW()-1,FALSE))</f>
        <v/>
      </c>
      <c r="AK54" t="str">
        <f ca="1">IF(AND(ISNUMBER($AK$210),$B$158=1),$AK$210,HLOOKUP(INDIRECT(ADDRESS(2,COLUMN())),OFFSET($BN$2,0,0,ROW()-1,60),ROW()-1,FALSE))</f>
        <v/>
      </c>
      <c r="AL54" t="str">
        <f ca="1">IF(AND(ISNUMBER($AL$210),$B$158=1),$AL$210,HLOOKUP(INDIRECT(ADDRESS(2,COLUMN())),OFFSET($BN$2,0,0,ROW()-1,60),ROW()-1,FALSE))</f>
        <v/>
      </c>
      <c r="AM54" t="str">
        <f ca="1">IF(AND(ISNUMBER($AM$210),$B$158=1),$AM$210,HLOOKUP(INDIRECT(ADDRESS(2,COLUMN())),OFFSET($BN$2,0,0,ROW()-1,60),ROW()-1,FALSE))</f>
        <v/>
      </c>
      <c r="AN54" t="str">
        <f ca="1">IF(AND(ISNUMBER($AN$210),$B$158=1),$AN$210,HLOOKUP(INDIRECT(ADDRESS(2,COLUMN())),OFFSET($BN$2,0,0,ROW()-1,60),ROW()-1,FALSE))</f>
        <v/>
      </c>
      <c r="AO54" t="str">
        <f ca="1">IF(AND(ISNUMBER($AO$210),$B$158=1),$AO$210,HLOOKUP(INDIRECT(ADDRESS(2,COLUMN())),OFFSET($BN$2,0,0,ROW()-1,60),ROW()-1,FALSE))</f>
        <v/>
      </c>
      <c r="AP54" t="str">
        <f ca="1">IF(AND(ISNUMBER($AP$210),$B$158=1),$AP$210,HLOOKUP(INDIRECT(ADDRESS(2,COLUMN())),OFFSET($BN$2,0,0,ROW()-1,60),ROW()-1,FALSE))</f>
        <v/>
      </c>
      <c r="AQ54" t="str">
        <f ca="1">IF(AND(ISNUMBER($AQ$210),$B$158=1),$AQ$210,HLOOKUP(INDIRECT(ADDRESS(2,COLUMN())),OFFSET($BN$2,0,0,ROW()-1,60),ROW()-1,FALSE))</f>
        <v/>
      </c>
      <c r="AR54" t="str">
        <f ca="1">IF(AND(ISNUMBER($AR$210),$B$158=1),$AR$210,HLOOKUP(INDIRECT(ADDRESS(2,COLUMN())),OFFSET($BN$2,0,0,ROW()-1,60),ROW()-1,FALSE))</f>
        <v/>
      </c>
      <c r="AS54" t="str">
        <f ca="1">IF(AND(ISNUMBER($AS$210),$B$158=1),$AS$210,HLOOKUP(INDIRECT(ADDRESS(2,COLUMN())),OFFSET($BN$2,0,0,ROW()-1,60),ROW()-1,FALSE))</f>
        <v/>
      </c>
      <c r="AT54" t="str">
        <f ca="1">IF(AND(ISNUMBER($AT$210),$B$158=1),$AT$210,HLOOKUP(INDIRECT(ADDRESS(2,COLUMN())),OFFSET($BN$2,0,0,ROW()-1,60),ROW()-1,FALSE))</f>
        <v/>
      </c>
      <c r="AU54" t="str">
        <f ca="1">IF(AND(ISNUMBER($AU$210),$B$158=1),$AU$210,HLOOKUP(INDIRECT(ADDRESS(2,COLUMN())),OFFSET($BN$2,0,0,ROW()-1,60),ROW()-1,FALSE))</f>
        <v/>
      </c>
      <c r="AV54" t="str">
        <f ca="1">IF(AND(ISNUMBER($AV$210),$B$158=1),$AV$210,HLOOKUP(INDIRECT(ADDRESS(2,COLUMN())),OFFSET($BN$2,0,0,ROW()-1,60),ROW()-1,FALSE))</f>
        <v/>
      </c>
      <c r="AW54" t="str">
        <f ca="1">IF(AND(ISNUMBER($AW$210),$B$158=1),$AW$210,HLOOKUP(INDIRECT(ADDRESS(2,COLUMN())),OFFSET($BN$2,0,0,ROW()-1,60),ROW()-1,FALSE))</f>
        <v/>
      </c>
      <c r="AX54" t="str">
        <f ca="1">IF(AND(ISNUMBER($AX$210),$B$158=1),$AX$210,HLOOKUP(INDIRECT(ADDRESS(2,COLUMN())),OFFSET($BN$2,0,0,ROW()-1,60),ROW()-1,FALSE))</f>
        <v/>
      </c>
      <c r="AY54" t="str">
        <f ca="1">IF(AND(ISNUMBER($AY$210),$B$158=1),$AY$210,HLOOKUP(INDIRECT(ADDRESS(2,COLUMN())),OFFSET($BN$2,0,0,ROW()-1,60),ROW()-1,FALSE))</f>
        <v/>
      </c>
      <c r="AZ54" t="str">
        <f ca="1">IF(AND(ISNUMBER($AZ$210),$B$158=1),$AZ$210,HLOOKUP(INDIRECT(ADDRESS(2,COLUMN())),OFFSET($BN$2,0,0,ROW()-1,60),ROW()-1,FALSE))</f>
        <v/>
      </c>
      <c r="BA54" t="str">
        <f ca="1">IF(AND(ISNUMBER($BA$210),$B$158=1),$BA$210,HLOOKUP(INDIRECT(ADDRESS(2,COLUMN())),OFFSET($BN$2,0,0,ROW()-1,60),ROW()-1,FALSE))</f>
        <v/>
      </c>
      <c r="BB54" t="str">
        <f ca="1">IF(AND(ISNUMBER($BB$210),$B$158=1),$BB$210,HLOOKUP(INDIRECT(ADDRESS(2,COLUMN())),OFFSET($BN$2,0,0,ROW()-1,60),ROW()-1,FALSE))</f>
        <v/>
      </c>
      <c r="BC54" t="str">
        <f ca="1">IF(AND(ISNUMBER($BC$210),$B$158=1),$BC$210,HLOOKUP(INDIRECT(ADDRESS(2,COLUMN())),OFFSET($BN$2,0,0,ROW()-1,60),ROW()-1,FALSE))</f>
        <v/>
      </c>
      <c r="BD54" t="str">
        <f ca="1">IF(AND(ISNUMBER($BD$210),$B$158=1),$BD$210,HLOOKUP(INDIRECT(ADDRESS(2,COLUMN())),OFFSET($BN$2,0,0,ROW()-1,60),ROW()-1,FALSE))</f>
        <v/>
      </c>
      <c r="BE54" t="str">
        <f ca="1">IF(AND(ISNUMBER($BE$210),$B$158=1),$BE$210,HLOOKUP(INDIRECT(ADDRESS(2,COLUMN())),OFFSET($BN$2,0,0,ROW()-1,60),ROW()-1,FALSE))</f>
        <v/>
      </c>
      <c r="BF54" t="str">
        <f ca="1">IF(AND(ISNUMBER($BF$210),$B$158=1),$BF$210,HLOOKUP(INDIRECT(ADDRESS(2,COLUMN())),OFFSET($BN$2,0,0,ROW()-1,60),ROW()-1,FALSE))</f>
        <v/>
      </c>
      <c r="BG54" t="str">
        <f ca="1">IF(AND(ISNUMBER($BG$210),$B$158=1),$BG$210,HLOOKUP(INDIRECT(ADDRESS(2,COLUMN())),OFFSET($BN$2,0,0,ROW()-1,60),ROW()-1,FALSE))</f>
        <v/>
      </c>
      <c r="BH54" t="str">
        <f ca="1">IF(AND(ISNUMBER($BH$210),$B$158=1),$BH$210,HLOOKUP(INDIRECT(ADDRESS(2,COLUMN())),OFFSET($BN$2,0,0,ROW()-1,60),ROW()-1,FALSE))</f>
        <v/>
      </c>
      <c r="BI54" t="str">
        <f ca="1">IF(AND(ISNUMBER($BI$210),$B$158=1),$BI$210,HLOOKUP(INDIRECT(ADDRESS(2,COLUMN())),OFFSET($BN$2,0,0,ROW()-1,60),ROW()-1,FALSE))</f>
        <v/>
      </c>
      <c r="BJ54" t="str">
        <f ca="1">IF(AND(ISNUMBER($BJ$210),$B$158=1),$BJ$210,HLOOKUP(INDIRECT(ADDRESS(2,COLUMN())),OFFSET($BN$2,0,0,ROW()-1,60),ROW()-1,FALSE))</f>
        <v/>
      </c>
      <c r="BK54" t="str">
        <f ca="1">IF(AND(ISNUMBER($BK$210),$B$158=1),$BK$210,HLOOKUP(INDIRECT(ADDRESS(2,COLUMN())),OFFSET($BN$2,0,0,ROW()-1,60),ROW()-1,FALSE))</f>
        <v/>
      </c>
      <c r="BL54" t="str">
        <f ca="1">IF(AND(ISNUMBER($BL$210),$B$158=1),$BL$210,HLOOKUP(INDIRECT(ADDRESS(2,COLUMN())),OFFSET($BN$2,0,0,ROW()-1,60),ROW()-1,FALSE))</f>
        <v/>
      </c>
      <c r="BM54" t="str">
        <f ca="1">IF(AND(ISNUMBER($BM$210),$B$158=1),$BM$210,HLOOKUP(INDIRECT(ADDRESS(2,COLUMN())),OFFSET($BN$2,0,0,ROW()-1,60),ROW()-1,FALSE))</f>
        <v/>
      </c>
      <c r="BN54" t="str">
        <f>""</f>
        <v/>
      </c>
      <c r="BO54">
        <f>17</f>
        <v>17</v>
      </c>
      <c r="BP54">
        <f>48</f>
        <v>48</v>
      </c>
      <c r="BQ54">
        <f>28</f>
        <v>28</v>
      </c>
      <c r="BR54">
        <f>29</f>
        <v>29</v>
      </c>
      <c r="BS54">
        <f>34</f>
        <v>34</v>
      </c>
      <c r="BT54">
        <f>-8</f>
        <v>-8</v>
      </c>
      <c r="BU54">
        <f>9</f>
        <v>9</v>
      </c>
      <c r="BV54">
        <f>-16</f>
        <v>-16</v>
      </c>
      <c r="BW54">
        <f>2</f>
        <v>2</v>
      </c>
      <c r="BX54">
        <f>-9</f>
        <v>-9</v>
      </c>
      <c r="BY54">
        <f>1</f>
        <v>1</v>
      </c>
      <c r="BZ54">
        <f>8</f>
        <v>8</v>
      </c>
      <c r="CA54">
        <f>3</f>
        <v>3</v>
      </c>
      <c r="CB54">
        <f>7</f>
        <v>7</v>
      </c>
      <c r="CC54">
        <f>-11</f>
        <v>-11</v>
      </c>
      <c r="CD54">
        <f>2</f>
        <v>2</v>
      </c>
      <c r="CE54">
        <f>-14</f>
        <v>-14</v>
      </c>
      <c r="CF54">
        <f>6</f>
        <v>6</v>
      </c>
      <c r="CG54">
        <f>-22</f>
        <v>-22</v>
      </c>
      <c r="CH54" t="str">
        <f>""</f>
        <v/>
      </c>
      <c r="CI54">
        <f>0</f>
        <v>0</v>
      </c>
      <c r="CJ54">
        <f>0</f>
        <v>0</v>
      </c>
      <c r="CK54">
        <f>0</f>
        <v>0</v>
      </c>
      <c r="CL54" t="str">
        <f>""</f>
        <v/>
      </c>
      <c r="CM54">
        <f>14</f>
        <v>14</v>
      </c>
      <c r="CN54">
        <f>13</f>
        <v>13</v>
      </c>
      <c r="CO54">
        <f>20</f>
        <v>20</v>
      </c>
      <c r="CP54" t="str">
        <f>""</f>
        <v/>
      </c>
      <c r="CQ54" t="str">
        <f>""</f>
        <v/>
      </c>
      <c r="CR54" t="str">
        <f>""</f>
        <v/>
      </c>
      <c r="CS54" t="str">
        <f>""</f>
        <v/>
      </c>
      <c r="CT54" t="str">
        <f>""</f>
        <v/>
      </c>
      <c r="CU54" t="str">
        <f>""</f>
        <v/>
      </c>
      <c r="CV54" t="str">
        <f>""</f>
        <v/>
      </c>
      <c r="CW54" t="str">
        <f>""</f>
        <v/>
      </c>
      <c r="CX54" t="str">
        <f>""</f>
        <v/>
      </c>
      <c r="CY54" t="str">
        <f>""</f>
        <v/>
      </c>
      <c r="CZ54" t="str">
        <f>""</f>
        <v/>
      </c>
      <c r="DA54" t="str">
        <f>""</f>
        <v/>
      </c>
      <c r="DB54" t="str">
        <f>""</f>
        <v/>
      </c>
      <c r="DC54" t="str">
        <f>""</f>
        <v/>
      </c>
      <c r="DD54" t="str">
        <f>""</f>
        <v/>
      </c>
      <c r="DE54" t="str">
        <f>""</f>
        <v/>
      </c>
      <c r="DF54" t="str">
        <f>""</f>
        <v/>
      </c>
      <c r="DG54" t="str">
        <f>""</f>
        <v/>
      </c>
      <c r="DH54" t="str">
        <f>""</f>
        <v/>
      </c>
      <c r="DI54" t="str">
        <f>""</f>
        <v/>
      </c>
      <c r="DJ54" t="str">
        <f>""</f>
        <v/>
      </c>
      <c r="DK54" t="str">
        <f>""</f>
        <v/>
      </c>
      <c r="DL54" t="str">
        <f>""</f>
        <v/>
      </c>
      <c r="DM54" t="str">
        <f>""</f>
        <v/>
      </c>
      <c r="DN54" t="str">
        <f>""</f>
        <v/>
      </c>
      <c r="DO54" t="str">
        <f>""</f>
        <v/>
      </c>
      <c r="DP54" t="str">
        <f>""</f>
        <v/>
      </c>
      <c r="DQ54" t="str">
        <f>""</f>
        <v/>
      </c>
      <c r="DR54" t="str">
        <f>""</f>
        <v/>
      </c>
      <c r="DS54" t="str">
        <f>""</f>
        <v/>
      </c>
      <c r="DT54" t="str">
        <f>""</f>
        <v/>
      </c>
      <c r="DU54" t="str">
        <f>""</f>
        <v/>
      </c>
    </row>
    <row r="55" spans="1:125" x14ac:dyDescent="0.25">
      <c r="A55" t="str">
        <f>"                Other Luxury Brands"</f>
        <v xml:space="preserve">                Other Luxury Brands</v>
      </c>
      <c r="B55" t="str">
        <f t="shared" si="20"/>
        <v>KER FP Equity</v>
      </c>
      <c r="C55" t="str">
        <f t="shared" si="21"/>
        <v>BI047</v>
      </c>
      <c r="D55" t="str">
        <f t="shared" si="22"/>
        <v>BICS_SEGMENT_DATA</v>
      </c>
      <c r="E55" t="str">
        <f t="shared" si="23"/>
        <v>Dynamic</v>
      </c>
      <c r="F55" t="str">
        <f ca="1">IF(AND(ISNUMBER($F$211),$B$158=1),$F$211,HLOOKUP(INDIRECT(ADDRESS(2,COLUMN())),OFFSET($BN$2,0,0,ROW()-1,60),ROW()-1,FALSE))</f>
        <v/>
      </c>
      <c r="G55">
        <f ca="1">IF(AND(ISNUMBER($G$211),$B$158=1),$G$211,HLOOKUP(INDIRECT(ADDRESS(2,COLUMN())),OFFSET($BN$2,0,0,ROW()-1,60),ROW()-1,FALSE))</f>
        <v>26.1</v>
      </c>
      <c r="H55">
        <f ca="1">IF(AND(ISNUMBER($H$211),$B$158=1),$H$211,HLOOKUP(INDIRECT(ADDRESS(2,COLUMN())),OFFSET($BN$2,0,0,ROW()-1,60),ROW()-1,FALSE))</f>
        <v>108.1</v>
      </c>
      <c r="I55">
        <f ca="1">IF(AND(ISNUMBER($I$211),$B$158=1),$I$211,HLOOKUP(INDIRECT(ADDRESS(2,COLUMN())),OFFSET($BN$2,0,0,ROW()-1,60),ROW()-1,FALSE))</f>
        <v>29.1</v>
      </c>
      <c r="J55">
        <f ca="1">IF(AND(ISNUMBER($J$211),$B$158=1),$J$211,HLOOKUP(INDIRECT(ADDRESS(2,COLUMN())),OFFSET($BN$2,0,0,ROW()-1,60),ROW()-1,FALSE))</f>
        <v>-1</v>
      </c>
      <c r="K55">
        <f ca="1">IF(AND(ISNUMBER($K$211),$B$158=1),$K$211,HLOOKUP(INDIRECT(ADDRESS(2,COLUMN())),OFFSET($BN$2,0,0,ROW()-1,60),ROW()-1,FALSE))</f>
        <v>9.3000000000000007</v>
      </c>
      <c r="L55">
        <f ca="1">IF(AND(ISNUMBER($L$211),$B$158=1),$L$211,HLOOKUP(INDIRECT(ADDRESS(2,COLUMN())),OFFSET($BN$2,0,0,ROW()-1,60),ROW()-1,FALSE))</f>
        <v>-43.6</v>
      </c>
      <c r="M55">
        <f ca="1">IF(AND(ISNUMBER($M$211),$B$158=1),$M$211,HLOOKUP(INDIRECT(ADDRESS(2,COLUMN())),OFFSET($BN$2,0,0,ROW()-1,60),ROW()-1,FALSE))</f>
        <v>-4.0999999999999996</v>
      </c>
      <c r="N55">
        <f ca="1">IF(AND(ISNUMBER($N$211),$B$158=1),$N$211,HLOOKUP(INDIRECT(ADDRESS(2,COLUMN())),OFFSET($BN$2,0,0,ROW()-1,60),ROW()-1,FALSE))</f>
        <v>17.2</v>
      </c>
      <c r="O55">
        <f ca="1">IF(AND(ISNUMBER($O$211),$B$158=1),$O$211,HLOOKUP(INDIRECT(ADDRESS(2,COLUMN())),OFFSET($BN$2,0,0,ROW()-1,60),ROW()-1,FALSE))</f>
        <v>18.600000000000001</v>
      </c>
      <c r="P55">
        <f ca="1">IF(AND(ISNUMBER($P$211),$B$158=1),$P$211,HLOOKUP(INDIRECT(ADDRESS(2,COLUMN())),OFFSET($BN$2,0,0,ROW()-1,60),ROW()-1,FALSE))</f>
        <v>21.5</v>
      </c>
      <c r="Q55">
        <f ca="1">IF(AND(ISNUMBER($Q$211),$B$158=1),$Q$211,HLOOKUP(INDIRECT(ADDRESS(2,COLUMN())),OFFSET($BN$2,0,0,ROW()-1,60),ROW()-1,FALSE))</f>
        <v>25</v>
      </c>
      <c r="R55">
        <f ca="1">IF(AND(ISNUMBER($R$211),$B$158=1),$R$211,HLOOKUP(INDIRECT(ADDRESS(2,COLUMN())),OFFSET($BN$2,0,0,ROW()-1,60),ROW()-1,FALSE))</f>
        <v>26</v>
      </c>
      <c r="S55">
        <f ca="1">IF(AND(ISNUMBER($S$211),$B$158=1),$S$211,HLOOKUP(INDIRECT(ADDRESS(2,COLUMN())),OFFSET($BN$2,0,0,ROW()-1,60),ROW()-1,FALSE))</f>
        <v>32.200000000000003</v>
      </c>
      <c r="T55">
        <f ca="1">IF(AND(ISNUMBER($T$211),$B$158=1),$T$211,HLOOKUP(INDIRECT(ADDRESS(2,COLUMN())),OFFSET($BN$2,0,0,ROW()-1,60),ROW()-1,FALSE))</f>
        <v>30.6</v>
      </c>
      <c r="U55">
        <f ca="1">IF(AND(ISNUMBER($U$211),$B$158=1),$U$211,HLOOKUP(INDIRECT(ADDRESS(2,COLUMN())),OFFSET($BN$2,0,0,ROW()-1,60),ROW()-1,FALSE))</f>
        <v>31</v>
      </c>
      <c r="V55">
        <f ca="1">IF(AND(ISNUMBER($V$211),$B$158=1),$V$211,HLOOKUP(INDIRECT(ADDRESS(2,COLUMN())),OFFSET($BN$2,0,0,ROW()-1,60),ROW()-1,FALSE))</f>
        <v>14.7</v>
      </c>
      <c r="W55">
        <f ca="1">IF(AND(ISNUMBER($W$211),$B$158=1),$W$211,HLOOKUP(INDIRECT(ADDRESS(2,COLUMN())),OFFSET($BN$2,0,0,ROW()-1,60),ROW()-1,FALSE))</f>
        <v>13</v>
      </c>
      <c r="X55">
        <f ca="1">IF(AND(ISNUMBER($X$211),$B$158=1),$X$211,HLOOKUP(INDIRECT(ADDRESS(2,COLUMN())),OFFSET($BN$2,0,0,ROW()-1,60),ROW()-1,FALSE))</f>
        <v>9.1999999999999993</v>
      </c>
      <c r="Y55" t="str">
        <f ca="1">IF(AND(ISNUMBER($Y$211),$B$158=1),$Y$211,HLOOKUP(INDIRECT(ADDRESS(2,COLUMN())),OFFSET($BN$2,0,0,ROW()-1,60),ROW()-1,FALSE))</f>
        <v/>
      </c>
      <c r="Z55" t="str">
        <f ca="1">IF(AND(ISNUMBER($Z$211),$B$158=1),$Z$211,HLOOKUP(INDIRECT(ADDRESS(2,COLUMN())),OFFSET($BN$2,0,0,ROW()-1,60),ROW()-1,FALSE))</f>
        <v/>
      </c>
      <c r="AA55" t="str">
        <f ca="1">IF(AND(ISNUMBER($AA$211),$B$158=1),$AA$211,HLOOKUP(INDIRECT(ADDRESS(2,COLUMN())),OFFSET($BN$2,0,0,ROW()-1,60),ROW()-1,FALSE))</f>
        <v/>
      </c>
      <c r="AB55" t="str">
        <f ca="1">IF(AND(ISNUMBER($AB$211),$B$158=1),$AB$211,HLOOKUP(INDIRECT(ADDRESS(2,COLUMN())),OFFSET($BN$2,0,0,ROW()-1,60),ROW()-1,FALSE))</f>
        <v/>
      </c>
      <c r="AC55">
        <f ca="1">IF(AND(ISNUMBER($AC$211),$B$158=1),$AC$211,HLOOKUP(INDIRECT(ADDRESS(2,COLUMN())),OFFSET($BN$2,0,0,ROW()-1,60),ROW()-1,FALSE))</f>
        <v>-2.9</v>
      </c>
      <c r="AD55" t="str">
        <f ca="1">IF(AND(ISNUMBER($AD$211),$B$158=1),$AD$211,HLOOKUP(INDIRECT(ADDRESS(2,COLUMN())),OFFSET($BN$2,0,0,ROW()-1,60),ROW()-1,FALSE))</f>
        <v/>
      </c>
      <c r="AE55" t="str">
        <f ca="1">IF(AND(ISNUMBER($AE$211),$B$158=1),$AE$211,HLOOKUP(INDIRECT(ADDRESS(2,COLUMN())),OFFSET($BN$2,0,0,ROW()-1,60),ROW()-1,FALSE))</f>
        <v/>
      </c>
      <c r="AF55" t="str">
        <f ca="1">IF(AND(ISNUMBER($AF$211),$B$158=1),$AF$211,HLOOKUP(INDIRECT(ADDRESS(2,COLUMN())),OFFSET($BN$2,0,0,ROW()-1,60),ROW()-1,FALSE))</f>
        <v/>
      </c>
      <c r="AG55" t="str">
        <f ca="1">IF(AND(ISNUMBER($AG$211),$B$158=1),$AG$211,HLOOKUP(INDIRECT(ADDRESS(2,COLUMN())),OFFSET($BN$2,0,0,ROW()-1,60),ROW()-1,FALSE))</f>
        <v/>
      </c>
      <c r="AH55" t="str">
        <f ca="1">IF(AND(ISNUMBER($AH$211),$B$158=1),$AH$211,HLOOKUP(INDIRECT(ADDRESS(2,COLUMN())),OFFSET($BN$2,0,0,ROW()-1,60),ROW()-1,FALSE))</f>
        <v/>
      </c>
      <c r="AI55" t="str">
        <f ca="1">IF(AND(ISNUMBER($AI$211),$B$158=1),$AI$211,HLOOKUP(INDIRECT(ADDRESS(2,COLUMN())),OFFSET($BN$2,0,0,ROW()-1,60),ROW()-1,FALSE))</f>
        <v/>
      </c>
      <c r="AJ55" t="str">
        <f ca="1">IF(AND(ISNUMBER($AJ$211),$B$158=1),$AJ$211,HLOOKUP(INDIRECT(ADDRESS(2,COLUMN())),OFFSET($BN$2,0,0,ROW()-1,60),ROW()-1,FALSE))</f>
        <v/>
      </c>
      <c r="AK55" t="str">
        <f ca="1">IF(AND(ISNUMBER($AK$211),$B$158=1),$AK$211,HLOOKUP(INDIRECT(ADDRESS(2,COLUMN())),OFFSET($BN$2,0,0,ROW()-1,60),ROW()-1,FALSE))</f>
        <v/>
      </c>
      <c r="AL55" t="str">
        <f ca="1">IF(AND(ISNUMBER($AL$211),$B$158=1),$AL$211,HLOOKUP(INDIRECT(ADDRESS(2,COLUMN())),OFFSET($BN$2,0,0,ROW()-1,60),ROW()-1,FALSE))</f>
        <v/>
      </c>
      <c r="AM55" t="str">
        <f ca="1">IF(AND(ISNUMBER($AM$211),$B$158=1),$AM$211,HLOOKUP(INDIRECT(ADDRESS(2,COLUMN())),OFFSET($BN$2,0,0,ROW()-1,60),ROW()-1,FALSE))</f>
        <v/>
      </c>
      <c r="AN55" t="str">
        <f ca="1">IF(AND(ISNUMBER($AN$211),$B$158=1),$AN$211,HLOOKUP(INDIRECT(ADDRESS(2,COLUMN())),OFFSET($BN$2,0,0,ROW()-1,60),ROW()-1,FALSE))</f>
        <v/>
      </c>
      <c r="AO55" t="str">
        <f ca="1">IF(AND(ISNUMBER($AO$211),$B$158=1),$AO$211,HLOOKUP(INDIRECT(ADDRESS(2,COLUMN())),OFFSET($BN$2,0,0,ROW()-1,60),ROW()-1,FALSE))</f>
        <v/>
      </c>
      <c r="AP55" t="str">
        <f ca="1">IF(AND(ISNUMBER($AP$211),$B$158=1),$AP$211,HLOOKUP(INDIRECT(ADDRESS(2,COLUMN())),OFFSET($BN$2,0,0,ROW()-1,60),ROW()-1,FALSE))</f>
        <v/>
      </c>
      <c r="AQ55" t="str">
        <f ca="1">IF(AND(ISNUMBER($AQ$211),$B$158=1),$AQ$211,HLOOKUP(INDIRECT(ADDRESS(2,COLUMN())),OFFSET($BN$2,0,0,ROW()-1,60),ROW()-1,FALSE))</f>
        <v/>
      </c>
      <c r="AR55" t="str">
        <f ca="1">IF(AND(ISNUMBER($AR$211),$B$158=1),$AR$211,HLOOKUP(INDIRECT(ADDRESS(2,COLUMN())),OFFSET($BN$2,0,0,ROW()-1,60),ROW()-1,FALSE))</f>
        <v/>
      </c>
      <c r="AS55" t="str">
        <f ca="1">IF(AND(ISNUMBER($AS$211),$B$158=1),$AS$211,HLOOKUP(INDIRECT(ADDRESS(2,COLUMN())),OFFSET($BN$2,0,0,ROW()-1,60),ROW()-1,FALSE))</f>
        <v/>
      </c>
      <c r="AT55" t="str">
        <f ca="1">IF(AND(ISNUMBER($AT$211),$B$158=1),$AT$211,HLOOKUP(INDIRECT(ADDRESS(2,COLUMN())),OFFSET($BN$2,0,0,ROW()-1,60),ROW()-1,FALSE))</f>
        <v/>
      </c>
      <c r="AU55" t="str">
        <f ca="1">IF(AND(ISNUMBER($AU$211),$B$158=1),$AU$211,HLOOKUP(INDIRECT(ADDRESS(2,COLUMN())),OFFSET($BN$2,0,0,ROW()-1,60),ROW()-1,FALSE))</f>
        <v/>
      </c>
      <c r="AV55" t="str">
        <f ca="1">IF(AND(ISNUMBER($AV$211),$B$158=1),$AV$211,HLOOKUP(INDIRECT(ADDRESS(2,COLUMN())),OFFSET($BN$2,0,0,ROW()-1,60),ROW()-1,FALSE))</f>
        <v/>
      </c>
      <c r="AW55" t="str">
        <f ca="1">IF(AND(ISNUMBER($AW$211),$B$158=1),$AW$211,HLOOKUP(INDIRECT(ADDRESS(2,COLUMN())),OFFSET($BN$2,0,0,ROW()-1,60),ROW()-1,FALSE))</f>
        <v/>
      </c>
      <c r="AX55" t="str">
        <f ca="1">IF(AND(ISNUMBER($AX$211),$B$158=1),$AX$211,HLOOKUP(INDIRECT(ADDRESS(2,COLUMN())),OFFSET($BN$2,0,0,ROW()-1,60),ROW()-1,FALSE))</f>
        <v/>
      </c>
      <c r="AY55" t="str">
        <f ca="1">IF(AND(ISNUMBER($AY$211),$B$158=1),$AY$211,HLOOKUP(INDIRECT(ADDRESS(2,COLUMN())),OFFSET($BN$2,0,0,ROW()-1,60),ROW()-1,FALSE))</f>
        <v/>
      </c>
      <c r="AZ55" t="str">
        <f ca="1">IF(AND(ISNUMBER($AZ$211),$B$158=1),$AZ$211,HLOOKUP(INDIRECT(ADDRESS(2,COLUMN())),OFFSET($BN$2,0,0,ROW()-1,60),ROW()-1,FALSE))</f>
        <v/>
      </c>
      <c r="BA55" t="str">
        <f ca="1">IF(AND(ISNUMBER($BA$211),$B$158=1),$BA$211,HLOOKUP(INDIRECT(ADDRESS(2,COLUMN())),OFFSET($BN$2,0,0,ROW()-1,60),ROW()-1,FALSE))</f>
        <v/>
      </c>
      <c r="BB55" t="str">
        <f ca="1">IF(AND(ISNUMBER($BB$211),$B$158=1),$BB$211,HLOOKUP(INDIRECT(ADDRESS(2,COLUMN())),OFFSET($BN$2,0,0,ROW()-1,60),ROW()-1,FALSE))</f>
        <v/>
      </c>
      <c r="BC55" t="str">
        <f ca="1">IF(AND(ISNUMBER($BC$211),$B$158=1),$BC$211,HLOOKUP(INDIRECT(ADDRESS(2,COLUMN())),OFFSET($BN$2,0,0,ROW()-1,60),ROW()-1,FALSE))</f>
        <v/>
      </c>
      <c r="BD55" t="str">
        <f ca="1">IF(AND(ISNUMBER($BD$211),$B$158=1),$BD$211,HLOOKUP(INDIRECT(ADDRESS(2,COLUMN())),OFFSET($BN$2,0,0,ROW()-1,60),ROW()-1,FALSE))</f>
        <v/>
      </c>
      <c r="BE55" t="str">
        <f ca="1">IF(AND(ISNUMBER($BE$211),$B$158=1),$BE$211,HLOOKUP(INDIRECT(ADDRESS(2,COLUMN())),OFFSET($BN$2,0,0,ROW()-1,60),ROW()-1,FALSE))</f>
        <v/>
      </c>
      <c r="BF55" t="str">
        <f ca="1">IF(AND(ISNUMBER($BF$211),$B$158=1),$BF$211,HLOOKUP(INDIRECT(ADDRESS(2,COLUMN())),OFFSET($BN$2,0,0,ROW()-1,60),ROW()-1,FALSE))</f>
        <v/>
      </c>
      <c r="BG55" t="str">
        <f ca="1">IF(AND(ISNUMBER($BG$211),$B$158=1),$BG$211,HLOOKUP(INDIRECT(ADDRESS(2,COLUMN())),OFFSET($BN$2,0,0,ROW()-1,60),ROW()-1,FALSE))</f>
        <v/>
      </c>
      <c r="BH55" t="str">
        <f ca="1">IF(AND(ISNUMBER($BH$211),$B$158=1),$BH$211,HLOOKUP(INDIRECT(ADDRESS(2,COLUMN())),OFFSET($BN$2,0,0,ROW()-1,60),ROW()-1,FALSE))</f>
        <v/>
      </c>
      <c r="BI55" t="str">
        <f ca="1">IF(AND(ISNUMBER($BI$211),$B$158=1),$BI$211,HLOOKUP(INDIRECT(ADDRESS(2,COLUMN())),OFFSET($BN$2,0,0,ROW()-1,60),ROW()-1,FALSE))</f>
        <v/>
      </c>
      <c r="BJ55" t="str">
        <f ca="1">IF(AND(ISNUMBER($BJ$211),$B$158=1),$BJ$211,HLOOKUP(INDIRECT(ADDRESS(2,COLUMN())),OFFSET($BN$2,0,0,ROW()-1,60),ROW()-1,FALSE))</f>
        <v/>
      </c>
      <c r="BK55" t="str">
        <f ca="1">IF(AND(ISNUMBER($BK$211),$B$158=1),$BK$211,HLOOKUP(INDIRECT(ADDRESS(2,COLUMN())),OFFSET($BN$2,0,0,ROW()-1,60),ROW()-1,FALSE))</f>
        <v/>
      </c>
      <c r="BL55" t="str">
        <f ca="1">IF(AND(ISNUMBER($BL$211),$B$158=1),$BL$211,HLOOKUP(INDIRECT(ADDRESS(2,COLUMN())),OFFSET($BN$2,0,0,ROW()-1,60),ROW()-1,FALSE))</f>
        <v/>
      </c>
      <c r="BM55" t="str">
        <f ca="1">IF(AND(ISNUMBER($BM$211),$B$158=1),$BM$211,HLOOKUP(INDIRECT(ADDRESS(2,COLUMN())),OFFSET($BN$2,0,0,ROW()-1,60),ROW()-1,FALSE))</f>
        <v/>
      </c>
      <c r="BN55" t="str">
        <f>""</f>
        <v/>
      </c>
      <c r="BO55">
        <f>26.1</f>
        <v>26.1</v>
      </c>
      <c r="BP55">
        <f>108.1</f>
        <v>108.1</v>
      </c>
      <c r="BQ55">
        <f>29.1</f>
        <v>29.1</v>
      </c>
      <c r="BR55">
        <f>-1</f>
        <v>-1</v>
      </c>
      <c r="BS55">
        <f>9.3</f>
        <v>9.3000000000000007</v>
      </c>
      <c r="BT55">
        <f>-43.6</f>
        <v>-43.6</v>
      </c>
      <c r="BU55">
        <f>-4.1</f>
        <v>-4.0999999999999996</v>
      </c>
      <c r="BV55">
        <f>17.2</f>
        <v>17.2</v>
      </c>
      <c r="BW55">
        <f>18.6</f>
        <v>18.600000000000001</v>
      </c>
      <c r="BX55">
        <f>21.5</f>
        <v>21.5</v>
      </c>
      <c r="BY55">
        <f>25</f>
        <v>25</v>
      </c>
      <c r="BZ55">
        <f>26</f>
        <v>26</v>
      </c>
      <c r="CA55">
        <f>32.2</f>
        <v>32.200000000000003</v>
      </c>
      <c r="CB55">
        <f>30.6</f>
        <v>30.6</v>
      </c>
      <c r="CC55">
        <f>31</f>
        <v>31</v>
      </c>
      <c r="CD55">
        <f>14.7</f>
        <v>14.7</v>
      </c>
      <c r="CE55">
        <f>13</f>
        <v>13</v>
      </c>
      <c r="CF55">
        <f>9.2</f>
        <v>9.1999999999999993</v>
      </c>
      <c r="CG55" t="str">
        <f>""</f>
        <v/>
      </c>
      <c r="CH55" t="str">
        <f>""</f>
        <v/>
      </c>
      <c r="CI55" t="str">
        <f>""</f>
        <v/>
      </c>
      <c r="CJ55" t="str">
        <f>""</f>
        <v/>
      </c>
      <c r="CK55">
        <f>-2.9</f>
        <v>-2.9</v>
      </c>
      <c r="CL55" t="str">
        <f>""</f>
        <v/>
      </c>
      <c r="CM55" t="str">
        <f>""</f>
        <v/>
      </c>
      <c r="CN55" t="str">
        <f>""</f>
        <v/>
      </c>
      <c r="CO55" t="str">
        <f>""</f>
        <v/>
      </c>
      <c r="CP55" t="str">
        <f>""</f>
        <v/>
      </c>
      <c r="CQ55" t="str">
        <f>""</f>
        <v/>
      </c>
      <c r="CR55" t="str">
        <f>""</f>
        <v/>
      </c>
      <c r="CS55" t="str">
        <f>""</f>
        <v/>
      </c>
      <c r="CT55" t="str">
        <f>""</f>
        <v/>
      </c>
      <c r="CU55" t="str">
        <f>""</f>
        <v/>
      </c>
      <c r="CV55" t="str">
        <f>""</f>
        <v/>
      </c>
      <c r="CW55" t="str">
        <f>""</f>
        <v/>
      </c>
      <c r="CX55" t="str">
        <f>""</f>
        <v/>
      </c>
      <c r="CY55" t="str">
        <f>""</f>
        <v/>
      </c>
      <c r="CZ55" t="str">
        <f>""</f>
        <v/>
      </c>
      <c r="DA55" t="str">
        <f>""</f>
        <v/>
      </c>
      <c r="DB55" t="str">
        <f>""</f>
        <v/>
      </c>
      <c r="DC55" t="str">
        <f>""</f>
        <v/>
      </c>
      <c r="DD55" t="str">
        <f>""</f>
        <v/>
      </c>
      <c r="DE55" t="str">
        <f>""</f>
        <v/>
      </c>
      <c r="DF55" t="str">
        <f>""</f>
        <v/>
      </c>
      <c r="DG55" t="str">
        <f>""</f>
        <v/>
      </c>
      <c r="DH55" t="str">
        <f>""</f>
        <v/>
      </c>
      <c r="DI55" t="str">
        <f>""</f>
        <v/>
      </c>
      <c r="DJ55" t="str">
        <f>""</f>
        <v/>
      </c>
      <c r="DK55" t="str">
        <f>""</f>
        <v/>
      </c>
      <c r="DL55" t="str">
        <f>""</f>
        <v/>
      </c>
      <c r="DM55" t="str">
        <f>""</f>
        <v/>
      </c>
      <c r="DN55" t="str">
        <f>""</f>
        <v/>
      </c>
      <c r="DO55" t="str">
        <f>""</f>
        <v/>
      </c>
      <c r="DP55" t="str">
        <f>""</f>
        <v/>
      </c>
      <c r="DQ55" t="str">
        <f>""</f>
        <v/>
      </c>
      <c r="DR55" t="str">
        <f>""</f>
        <v/>
      </c>
      <c r="DS55" t="str">
        <f>""</f>
        <v/>
      </c>
      <c r="DT55" t="str">
        <f>""</f>
        <v/>
      </c>
      <c r="DU55" t="str">
        <f>""</f>
        <v/>
      </c>
    </row>
    <row r="56" spans="1:125" x14ac:dyDescent="0.25">
      <c r="A56" t="str">
        <f>"                    Retail"</f>
        <v xml:space="preserve">                    Retail</v>
      </c>
      <c r="B56" t="str">
        <f t="shared" si="20"/>
        <v>KER FP Equity</v>
      </c>
      <c r="C56" t="str">
        <f t="shared" si="21"/>
        <v>BI047</v>
      </c>
      <c r="D56" t="str">
        <f t="shared" si="22"/>
        <v>BICS_SEGMENT_DATA</v>
      </c>
      <c r="E56" t="str">
        <f t="shared" si="23"/>
        <v>Dynamic</v>
      </c>
      <c r="F56" t="str">
        <f ca="1">IF(AND(ISNUMBER($F$212),$B$158=1),$F$212,HLOOKUP(INDIRECT(ADDRESS(2,COLUMN())),OFFSET($BN$2,0,0,ROW()-1,60),ROW()-1,FALSE))</f>
        <v/>
      </c>
      <c r="G56">
        <f ca="1">IF(AND(ISNUMBER($G$212),$B$158=1),$G$212,HLOOKUP(INDIRECT(ADDRESS(2,COLUMN())),OFFSET($BN$2,0,0,ROW()-1,60),ROW()-1,FALSE))</f>
        <v>24</v>
      </c>
      <c r="H56">
        <f ca="1">IF(AND(ISNUMBER($H$212),$B$158=1),$H$212,HLOOKUP(INDIRECT(ADDRESS(2,COLUMN())),OFFSET($BN$2,0,0,ROW()-1,60),ROW()-1,FALSE))</f>
        <v>108</v>
      </c>
      <c r="I56">
        <f ca="1">IF(AND(ISNUMBER($I$212),$B$158=1),$I$212,HLOOKUP(INDIRECT(ADDRESS(2,COLUMN())),OFFSET($BN$2,0,0,ROW()-1,60),ROW()-1,FALSE))</f>
        <v>29</v>
      </c>
      <c r="J56">
        <f ca="1">IF(AND(ISNUMBER($J$212),$B$158=1),$J$212,HLOOKUP(INDIRECT(ADDRESS(2,COLUMN())),OFFSET($BN$2,0,0,ROW()-1,60),ROW()-1,FALSE))</f>
        <v>-5</v>
      </c>
      <c r="K56">
        <f ca="1">IF(AND(ISNUMBER($K$212),$B$158=1),$K$212,HLOOKUP(INDIRECT(ADDRESS(2,COLUMN())),OFFSET($BN$2,0,0,ROW()-1,60),ROW()-1,FALSE))</f>
        <v>10</v>
      </c>
      <c r="L56">
        <f ca="1">IF(AND(ISNUMBER($L$212),$B$158=1),$L$212,HLOOKUP(INDIRECT(ADDRESS(2,COLUMN())),OFFSET($BN$2,0,0,ROW()-1,60),ROW()-1,FALSE))</f>
        <v>-35</v>
      </c>
      <c r="M56">
        <f ca="1">IF(AND(ISNUMBER($M$212),$B$158=1),$M$212,HLOOKUP(INDIRECT(ADDRESS(2,COLUMN())),OFFSET($BN$2,0,0,ROW()-1,60),ROW()-1,FALSE))</f>
        <v>-7</v>
      </c>
      <c r="N56" t="str">
        <f ca="1">IF(AND(ISNUMBER($N$212),$B$158=1),$N$212,HLOOKUP(INDIRECT(ADDRESS(2,COLUMN())),OFFSET($BN$2,0,0,ROW()-1,60),ROW()-1,FALSE))</f>
        <v/>
      </c>
      <c r="O56">
        <f ca="1">IF(AND(ISNUMBER($O$212),$B$158=1),$O$212,HLOOKUP(INDIRECT(ADDRESS(2,COLUMN())),OFFSET($BN$2,0,0,ROW()-1,60),ROW()-1,FALSE))</f>
        <v>24</v>
      </c>
      <c r="P56">
        <f ca="1">IF(AND(ISNUMBER($P$212),$B$158=1),$P$212,HLOOKUP(INDIRECT(ADDRESS(2,COLUMN())),OFFSET($BN$2,0,0,ROW()-1,60),ROW()-1,FALSE))</f>
        <v>34</v>
      </c>
      <c r="Q56">
        <f ca="1">IF(AND(ISNUMBER($Q$212),$B$158=1),$Q$212,HLOOKUP(INDIRECT(ADDRESS(2,COLUMN())),OFFSET($BN$2,0,0,ROW()-1,60),ROW()-1,FALSE))</f>
        <v>31</v>
      </c>
      <c r="R56" t="str">
        <f ca="1">IF(AND(ISNUMBER($R$212),$B$158=1),$R$212,HLOOKUP(INDIRECT(ADDRESS(2,COLUMN())),OFFSET($BN$2,0,0,ROW()-1,60),ROW()-1,FALSE))</f>
        <v/>
      </c>
      <c r="S56">
        <f ca="1">IF(AND(ISNUMBER($S$212),$B$158=1),$S$212,HLOOKUP(INDIRECT(ADDRESS(2,COLUMN())),OFFSET($BN$2,0,0,ROW()-1,60),ROW()-1,FALSE))</f>
        <v>38</v>
      </c>
      <c r="T56" t="str">
        <f ca="1">IF(AND(ISNUMBER($T$212),$B$158=1),$T$212,HLOOKUP(INDIRECT(ADDRESS(2,COLUMN())),OFFSET($BN$2,0,0,ROW()-1,60),ROW()-1,FALSE))</f>
        <v/>
      </c>
      <c r="U56">
        <f ca="1">IF(AND(ISNUMBER($U$212),$B$158=1),$U$212,HLOOKUP(INDIRECT(ADDRESS(2,COLUMN())),OFFSET($BN$2,0,0,ROW()-1,60),ROW()-1,FALSE))</f>
        <v>57</v>
      </c>
      <c r="V56">
        <f ca="1">IF(AND(ISNUMBER($V$212),$B$158=1),$V$212,HLOOKUP(INDIRECT(ADDRESS(2,COLUMN())),OFFSET($BN$2,0,0,ROW()-1,60),ROW()-1,FALSE))</f>
        <v>19</v>
      </c>
      <c r="W56">
        <f ca="1">IF(AND(ISNUMBER($W$212),$B$158=1),$W$212,HLOOKUP(INDIRECT(ADDRESS(2,COLUMN())),OFFSET($BN$2,0,0,ROW()-1,60),ROW()-1,FALSE))</f>
        <v>31</v>
      </c>
      <c r="X56">
        <f ca="1">IF(AND(ISNUMBER($X$212),$B$158=1),$X$212,HLOOKUP(INDIRECT(ADDRESS(2,COLUMN())),OFFSET($BN$2,0,0,ROW()-1,60),ROW()-1,FALSE))</f>
        <v>13</v>
      </c>
      <c r="Y56">
        <f ca="1">IF(AND(ISNUMBER($Y$212),$B$158=1),$Y$212,HLOOKUP(INDIRECT(ADDRESS(2,COLUMN())),OFFSET($BN$2,0,0,ROW()-1,60),ROW()-1,FALSE))</f>
        <v>18</v>
      </c>
      <c r="Z56" t="str">
        <f ca="1">IF(AND(ISNUMBER($Z$212),$B$158=1),$Z$212,HLOOKUP(INDIRECT(ADDRESS(2,COLUMN())),OFFSET($BN$2,0,0,ROW()-1,60),ROW()-1,FALSE))</f>
        <v/>
      </c>
      <c r="AA56">
        <f ca="1">IF(AND(ISNUMBER($AA$212),$B$158=1),$AA$212,HLOOKUP(INDIRECT(ADDRESS(2,COLUMN())),OFFSET($BN$2,0,0,ROW()-1,60),ROW()-1,FALSE))</f>
        <v>7</v>
      </c>
      <c r="AB56" t="str">
        <f ca="1">IF(AND(ISNUMBER($AB$212),$B$158=1),$AB$212,HLOOKUP(INDIRECT(ADDRESS(2,COLUMN())),OFFSET($BN$2,0,0,ROW()-1,60),ROW()-1,FALSE))</f>
        <v/>
      </c>
      <c r="AC56">
        <f ca="1">IF(AND(ISNUMBER($AC$212),$B$158=1),$AC$212,HLOOKUP(INDIRECT(ADDRESS(2,COLUMN())),OFFSET($BN$2,0,0,ROW()-1,60),ROW()-1,FALSE))</f>
        <v>0</v>
      </c>
      <c r="AD56" t="str">
        <f ca="1">IF(AND(ISNUMBER($AD$212),$B$158=1),$AD$212,HLOOKUP(INDIRECT(ADDRESS(2,COLUMN())),OFFSET($BN$2,0,0,ROW()-1,60),ROW()-1,FALSE))</f>
        <v/>
      </c>
      <c r="AE56">
        <f ca="1">IF(AND(ISNUMBER($AE$212),$B$158=1),$AE$212,HLOOKUP(INDIRECT(ADDRESS(2,COLUMN())),OFFSET($BN$2,0,0,ROW()-1,60),ROW()-1,FALSE))</f>
        <v>11</v>
      </c>
      <c r="AF56" t="str">
        <f ca="1">IF(AND(ISNUMBER($AF$212),$B$158=1),$AF$212,HLOOKUP(INDIRECT(ADDRESS(2,COLUMN())),OFFSET($BN$2,0,0,ROW()-1,60),ROW()-1,FALSE))</f>
        <v/>
      </c>
      <c r="AG56">
        <f ca="1">IF(AND(ISNUMBER($AG$212),$B$158=1),$AG$212,HLOOKUP(INDIRECT(ADDRESS(2,COLUMN())),OFFSET($BN$2,0,0,ROW()-1,60),ROW()-1,FALSE))</f>
        <v>8</v>
      </c>
      <c r="AH56" t="str">
        <f ca="1">IF(AND(ISNUMBER($AH$212),$B$158=1),$AH$212,HLOOKUP(INDIRECT(ADDRESS(2,COLUMN())),OFFSET($BN$2,0,0,ROW()-1,60),ROW()-1,FALSE))</f>
        <v/>
      </c>
      <c r="AI56" t="str">
        <f ca="1">IF(AND(ISNUMBER($AI$212),$B$158=1),$AI$212,HLOOKUP(INDIRECT(ADDRESS(2,COLUMN())),OFFSET($BN$2,0,0,ROW()-1,60),ROW()-1,FALSE))</f>
        <v/>
      </c>
      <c r="AJ56" t="str">
        <f ca="1">IF(AND(ISNUMBER($AJ$212),$B$158=1),$AJ$212,HLOOKUP(INDIRECT(ADDRESS(2,COLUMN())),OFFSET($BN$2,0,0,ROW()-1,60),ROW()-1,FALSE))</f>
        <v/>
      </c>
      <c r="AK56">
        <f ca="1">IF(AND(ISNUMBER($AK$212),$B$158=1),$AK$212,HLOOKUP(INDIRECT(ADDRESS(2,COLUMN())),OFFSET($BN$2,0,0,ROW()-1,60),ROW()-1,FALSE))</f>
        <v>17</v>
      </c>
      <c r="AL56" t="str">
        <f ca="1">IF(AND(ISNUMBER($AL$212),$B$158=1),$AL$212,HLOOKUP(INDIRECT(ADDRESS(2,COLUMN())),OFFSET($BN$2,0,0,ROW()-1,60),ROW()-1,FALSE))</f>
        <v/>
      </c>
      <c r="AM56" t="str">
        <f ca="1">IF(AND(ISNUMBER($AM$212),$B$158=1),$AM$212,HLOOKUP(INDIRECT(ADDRESS(2,COLUMN())),OFFSET($BN$2,0,0,ROW()-1,60),ROW()-1,FALSE))</f>
        <v/>
      </c>
      <c r="AN56" t="str">
        <f ca="1">IF(AND(ISNUMBER($AN$212),$B$158=1),$AN$212,HLOOKUP(INDIRECT(ADDRESS(2,COLUMN())),OFFSET($BN$2,0,0,ROW()-1,60),ROW()-1,FALSE))</f>
        <v/>
      </c>
      <c r="AO56" t="str">
        <f ca="1">IF(AND(ISNUMBER($AO$212),$B$158=1),$AO$212,HLOOKUP(INDIRECT(ADDRESS(2,COLUMN())),OFFSET($BN$2,0,0,ROW()-1,60),ROW()-1,FALSE))</f>
        <v/>
      </c>
      <c r="AP56" t="str">
        <f ca="1">IF(AND(ISNUMBER($AP$212),$B$158=1),$AP$212,HLOOKUP(INDIRECT(ADDRESS(2,COLUMN())),OFFSET($BN$2,0,0,ROW()-1,60),ROW()-1,FALSE))</f>
        <v/>
      </c>
      <c r="AQ56" t="str">
        <f ca="1">IF(AND(ISNUMBER($AQ$212),$B$158=1),$AQ$212,HLOOKUP(INDIRECT(ADDRESS(2,COLUMN())),OFFSET($BN$2,0,0,ROW()-1,60),ROW()-1,FALSE))</f>
        <v/>
      </c>
      <c r="AR56" t="str">
        <f ca="1">IF(AND(ISNUMBER($AR$212),$B$158=1),$AR$212,HLOOKUP(INDIRECT(ADDRESS(2,COLUMN())),OFFSET($BN$2,0,0,ROW()-1,60),ROW()-1,FALSE))</f>
        <v/>
      </c>
      <c r="AS56" t="str">
        <f ca="1">IF(AND(ISNUMBER($AS$212),$B$158=1),$AS$212,HLOOKUP(INDIRECT(ADDRESS(2,COLUMN())),OFFSET($BN$2,0,0,ROW()-1,60),ROW()-1,FALSE))</f>
        <v/>
      </c>
      <c r="AT56" t="str">
        <f ca="1">IF(AND(ISNUMBER($AT$212),$B$158=1),$AT$212,HLOOKUP(INDIRECT(ADDRESS(2,COLUMN())),OFFSET($BN$2,0,0,ROW()-1,60),ROW()-1,FALSE))</f>
        <v/>
      </c>
      <c r="AU56" t="str">
        <f ca="1">IF(AND(ISNUMBER($AU$212),$B$158=1),$AU$212,HLOOKUP(INDIRECT(ADDRESS(2,COLUMN())),OFFSET($BN$2,0,0,ROW()-1,60),ROW()-1,FALSE))</f>
        <v/>
      </c>
      <c r="AV56" t="str">
        <f ca="1">IF(AND(ISNUMBER($AV$212),$B$158=1),$AV$212,HLOOKUP(INDIRECT(ADDRESS(2,COLUMN())),OFFSET($BN$2,0,0,ROW()-1,60),ROW()-1,FALSE))</f>
        <v/>
      </c>
      <c r="AW56" t="str">
        <f ca="1">IF(AND(ISNUMBER($AW$212),$B$158=1),$AW$212,HLOOKUP(INDIRECT(ADDRESS(2,COLUMN())),OFFSET($BN$2,0,0,ROW()-1,60),ROW()-1,FALSE))</f>
        <v/>
      </c>
      <c r="AX56" t="str">
        <f ca="1">IF(AND(ISNUMBER($AX$212),$B$158=1),$AX$212,HLOOKUP(INDIRECT(ADDRESS(2,COLUMN())),OFFSET($BN$2,0,0,ROW()-1,60),ROW()-1,FALSE))</f>
        <v/>
      </c>
      <c r="AY56" t="str">
        <f ca="1">IF(AND(ISNUMBER($AY$212),$B$158=1),$AY$212,HLOOKUP(INDIRECT(ADDRESS(2,COLUMN())),OFFSET($BN$2,0,0,ROW()-1,60),ROW()-1,FALSE))</f>
        <v/>
      </c>
      <c r="AZ56" t="str">
        <f ca="1">IF(AND(ISNUMBER($AZ$212),$B$158=1),$AZ$212,HLOOKUP(INDIRECT(ADDRESS(2,COLUMN())),OFFSET($BN$2,0,0,ROW()-1,60),ROW()-1,FALSE))</f>
        <v/>
      </c>
      <c r="BA56" t="str">
        <f ca="1">IF(AND(ISNUMBER($BA$212),$B$158=1),$BA$212,HLOOKUP(INDIRECT(ADDRESS(2,COLUMN())),OFFSET($BN$2,0,0,ROW()-1,60),ROW()-1,FALSE))</f>
        <v/>
      </c>
      <c r="BB56" t="str">
        <f ca="1">IF(AND(ISNUMBER($BB$212),$B$158=1),$BB$212,HLOOKUP(INDIRECT(ADDRESS(2,COLUMN())),OFFSET($BN$2,0,0,ROW()-1,60),ROW()-1,FALSE))</f>
        <v/>
      </c>
      <c r="BC56" t="str">
        <f ca="1">IF(AND(ISNUMBER($BC$212),$B$158=1),$BC$212,HLOOKUP(INDIRECT(ADDRESS(2,COLUMN())),OFFSET($BN$2,0,0,ROW()-1,60),ROW()-1,FALSE))</f>
        <v/>
      </c>
      <c r="BD56" t="str">
        <f ca="1">IF(AND(ISNUMBER($BD$212),$B$158=1),$BD$212,HLOOKUP(INDIRECT(ADDRESS(2,COLUMN())),OFFSET($BN$2,0,0,ROW()-1,60),ROW()-1,FALSE))</f>
        <v/>
      </c>
      <c r="BE56" t="str">
        <f ca="1">IF(AND(ISNUMBER($BE$212),$B$158=1),$BE$212,HLOOKUP(INDIRECT(ADDRESS(2,COLUMN())),OFFSET($BN$2,0,0,ROW()-1,60),ROW()-1,FALSE))</f>
        <v/>
      </c>
      <c r="BF56" t="str">
        <f ca="1">IF(AND(ISNUMBER($BF$212),$B$158=1),$BF$212,HLOOKUP(INDIRECT(ADDRESS(2,COLUMN())),OFFSET($BN$2,0,0,ROW()-1,60),ROW()-1,FALSE))</f>
        <v/>
      </c>
      <c r="BG56" t="str">
        <f ca="1">IF(AND(ISNUMBER($BG$212),$B$158=1),$BG$212,HLOOKUP(INDIRECT(ADDRESS(2,COLUMN())),OFFSET($BN$2,0,0,ROW()-1,60),ROW()-1,FALSE))</f>
        <v/>
      </c>
      <c r="BH56" t="str">
        <f ca="1">IF(AND(ISNUMBER($BH$212),$B$158=1),$BH$212,HLOOKUP(INDIRECT(ADDRESS(2,COLUMN())),OFFSET($BN$2,0,0,ROW()-1,60),ROW()-1,FALSE))</f>
        <v/>
      </c>
      <c r="BI56" t="str">
        <f ca="1">IF(AND(ISNUMBER($BI$212),$B$158=1),$BI$212,HLOOKUP(INDIRECT(ADDRESS(2,COLUMN())),OFFSET($BN$2,0,0,ROW()-1,60),ROW()-1,FALSE))</f>
        <v/>
      </c>
      <c r="BJ56" t="str">
        <f ca="1">IF(AND(ISNUMBER($BJ$212),$B$158=1),$BJ$212,HLOOKUP(INDIRECT(ADDRESS(2,COLUMN())),OFFSET($BN$2,0,0,ROW()-1,60),ROW()-1,FALSE))</f>
        <v/>
      </c>
      <c r="BK56" t="str">
        <f ca="1">IF(AND(ISNUMBER($BK$212),$B$158=1),$BK$212,HLOOKUP(INDIRECT(ADDRESS(2,COLUMN())),OFFSET($BN$2,0,0,ROW()-1,60),ROW()-1,FALSE))</f>
        <v/>
      </c>
      <c r="BL56" t="str">
        <f ca="1">IF(AND(ISNUMBER($BL$212),$B$158=1),$BL$212,HLOOKUP(INDIRECT(ADDRESS(2,COLUMN())),OFFSET($BN$2,0,0,ROW()-1,60),ROW()-1,FALSE))</f>
        <v/>
      </c>
      <c r="BM56" t="str">
        <f ca="1">IF(AND(ISNUMBER($BM$212),$B$158=1),$BM$212,HLOOKUP(INDIRECT(ADDRESS(2,COLUMN())),OFFSET($BN$2,0,0,ROW()-1,60),ROW()-1,FALSE))</f>
        <v/>
      </c>
      <c r="BN56" t="str">
        <f>""</f>
        <v/>
      </c>
      <c r="BO56">
        <f>24</f>
        <v>24</v>
      </c>
      <c r="BP56">
        <f>108</f>
        <v>108</v>
      </c>
      <c r="BQ56">
        <f>29</f>
        <v>29</v>
      </c>
      <c r="BR56">
        <f>-5</f>
        <v>-5</v>
      </c>
      <c r="BS56">
        <f>10</f>
        <v>10</v>
      </c>
      <c r="BT56">
        <f>-35</f>
        <v>-35</v>
      </c>
      <c r="BU56">
        <f>-7</f>
        <v>-7</v>
      </c>
      <c r="BV56" t="str">
        <f>""</f>
        <v/>
      </c>
      <c r="BW56">
        <f>24</f>
        <v>24</v>
      </c>
      <c r="BX56">
        <f>34</f>
        <v>34</v>
      </c>
      <c r="BY56">
        <f>31</f>
        <v>31</v>
      </c>
      <c r="BZ56" t="str">
        <f>""</f>
        <v/>
      </c>
      <c r="CA56">
        <f>38</f>
        <v>38</v>
      </c>
      <c r="CB56" t="str">
        <f>""</f>
        <v/>
      </c>
      <c r="CC56">
        <f>57</f>
        <v>57</v>
      </c>
      <c r="CD56">
        <f>19</f>
        <v>19</v>
      </c>
      <c r="CE56">
        <f>31</f>
        <v>31</v>
      </c>
      <c r="CF56">
        <f>13</f>
        <v>13</v>
      </c>
      <c r="CG56">
        <f>18</f>
        <v>18</v>
      </c>
      <c r="CH56" t="str">
        <f>""</f>
        <v/>
      </c>
      <c r="CI56">
        <f>7</f>
        <v>7</v>
      </c>
      <c r="CJ56" t="str">
        <f>""</f>
        <v/>
      </c>
      <c r="CK56">
        <f>0</f>
        <v>0</v>
      </c>
      <c r="CL56" t="str">
        <f>""</f>
        <v/>
      </c>
      <c r="CM56">
        <f>11</f>
        <v>11</v>
      </c>
      <c r="CN56" t="str">
        <f>""</f>
        <v/>
      </c>
      <c r="CO56">
        <f>8</f>
        <v>8</v>
      </c>
      <c r="CP56" t="str">
        <f>""</f>
        <v/>
      </c>
      <c r="CQ56" t="str">
        <f>""</f>
        <v/>
      </c>
      <c r="CR56" t="str">
        <f>""</f>
        <v/>
      </c>
      <c r="CS56">
        <f>17</f>
        <v>17</v>
      </c>
      <c r="CT56" t="str">
        <f>""</f>
        <v/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 t="str">
        <f>""</f>
        <v/>
      </c>
      <c r="DG56" t="str">
        <f>""</f>
        <v/>
      </c>
      <c r="DH56" t="str">
        <f>""</f>
        <v/>
      </c>
      <c r="DI56" t="str">
        <f>""</f>
        <v/>
      </c>
      <c r="DJ56" t="str">
        <f>""</f>
        <v/>
      </c>
      <c r="DK56" t="str">
        <f>""</f>
        <v/>
      </c>
      <c r="DL56" t="str">
        <f>""</f>
        <v/>
      </c>
      <c r="DM56" t="str">
        <f>""</f>
        <v/>
      </c>
      <c r="DN56" t="str">
        <f>""</f>
        <v/>
      </c>
      <c r="DO56" t="str">
        <f>""</f>
        <v/>
      </c>
      <c r="DP56" t="str">
        <f>""</f>
        <v/>
      </c>
      <c r="DQ56" t="str">
        <f>""</f>
        <v/>
      </c>
      <c r="DR56" t="str">
        <f>""</f>
        <v/>
      </c>
      <c r="DS56" t="str">
        <f>""</f>
        <v/>
      </c>
      <c r="DT56" t="str">
        <f>""</f>
        <v/>
      </c>
      <c r="DU56" t="str">
        <f>""</f>
        <v/>
      </c>
    </row>
    <row r="57" spans="1:125" x14ac:dyDescent="0.25">
      <c r="A57" t="str">
        <f>"                    Wholesale"</f>
        <v xml:space="preserve">                    Wholesale</v>
      </c>
      <c r="B57" t="str">
        <f t="shared" si="20"/>
        <v>KER FP Equity</v>
      </c>
      <c r="C57" t="str">
        <f t="shared" si="21"/>
        <v>BI047</v>
      </c>
      <c r="D57" t="str">
        <f t="shared" si="22"/>
        <v>BICS_SEGMENT_DATA</v>
      </c>
      <c r="E57" t="str">
        <f t="shared" si="23"/>
        <v>Dynamic</v>
      </c>
      <c r="F57" t="str">
        <f ca="1">IF(AND(ISNUMBER($F$213),$B$158=1),$F$213,HLOOKUP(INDIRECT(ADDRESS(2,COLUMN())),OFFSET($BN$2,0,0,ROW()-1,60),ROW()-1,FALSE))</f>
        <v/>
      </c>
      <c r="G57">
        <f ca="1">IF(AND(ISNUMBER($G$213),$B$158=1),$G$213,HLOOKUP(INDIRECT(ADDRESS(2,COLUMN())),OFFSET($BN$2,0,0,ROW()-1,60),ROW()-1,FALSE))</f>
        <v>27</v>
      </c>
      <c r="H57">
        <f ca="1">IF(AND(ISNUMBER($H$213),$B$158=1),$H$213,HLOOKUP(INDIRECT(ADDRESS(2,COLUMN())),OFFSET($BN$2,0,0,ROW()-1,60),ROW()-1,FALSE))</f>
        <v>98</v>
      </c>
      <c r="I57">
        <f ca="1">IF(AND(ISNUMBER($I$213),$B$158=1),$I$213,HLOOKUP(INDIRECT(ADDRESS(2,COLUMN())),OFFSET($BN$2,0,0,ROW()-1,60),ROW()-1,FALSE))</f>
        <v>38</v>
      </c>
      <c r="J57">
        <f ca="1">IF(AND(ISNUMBER($J$213),$B$158=1),$J$213,HLOOKUP(INDIRECT(ADDRESS(2,COLUMN())),OFFSET($BN$2,0,0,ROW()-1,60),ROW()-1,FALSE))</f>
        <v>-13</v>
      </c>
      <c r="K57">
        <f ca="1">IF(AND(ISNUMBER($K$213),$B$158=1),$K$213,HLOOKUP(INDIRECT(ADDRESS(2,COLUMN())),OFFSET($BN$2,0,0,ROW()-1,60),ROW()-1,FALSE))</f>
        <v>17</v>
      </c>
      <c r="L57">
        <f ca="1">IF(AND(ISNUMBER($L$213),$B$158=1),$L$213,HLOOKUP(INDIRECT(ADDRESS(2,COLUMN())),OFFSET($BN$2,0,0,ROW()-1,60),ROW()-1,FALSE))</f>
        <v>-53</v>
      </c>
      <c r="M57">
        <f ca="1">IF(AND(ISNUMBER($M$213),$B$158=1),$M$213,HLOOKUP(INDIRECT(ADDRESS(2,COLUMN())),OFFSET($BN$2,0,0,ROW()-1,60),ROW()-1,FALSE))</f>
        <v>-1</v>
      </c>
      <c r="N57" t="str">
        <f ca="1">IF(AND(ISNUMBER($N$213),$B$158=1),$N$213,HLOOKUP(INDIRECT(ADDRESS(2,COLUMN())),OFFSET($BN$2,0,0,ROW()-1,60),ROW()-1,FALSE))</f>
        <v/>
      </c>
      <c r="O57">
        <f ca="1">IF(AND(ISNUMBER($O$213),$B$158=1),$O$213,HLOOKUP(INDIRECT(ADDRESS(2,COLUMN())),OFFSET($BN$2,0,0,ROW()-1,60),ROW()-1,FALSE))</f>
        <v>8</v>
      </c>
      <c r="P57" t="str">
        <f ca="1">IF(AND(ISNUMBER($P$213),$B$158=1),$P$213,HLOOKUP(INDIRECT(ADDRESS(2,COLUMN())),OFFSET($BN$2,0,0,ROW()-1,60),ROW()-1,FALSE))</f>
        <v/>
      </c>
      <c r="Q57">
        <f ca="1">IF(AND(ISNUMBER($Q$213),$B$158=1),$Q$213,HLOOKUP(INDIRECT(ADDRESS(2,COLUMN())),OFFSET($BN$2,0,0,ROW()-1,60),ROW()-1,FALSE))</f>
        <v>13</v>
      </c>
      <c r="R57" t="str">
        <f ca="1">IF(AND(ISNUMBER($R$213),$B$158=1),$R$213,HLOOKUP(INDIRECT(ADDRESS(2,COLUMN())),OFFSET($BN$2,0,0,ROW()-1,60),ROW()-1,FALSE))</f>
        <v/>
      </c>
      <c r="S57">
        <f ca="1">IF(AND(ISNUMBER($S$213),$B$158=1),$S$213,HLOOKUP(INDIRECT(ADDRESS(2,COLUMN())),OFFSET($BN$2,0,0,ROW()-1,60),ROW()-1,FALSE))</f>
        <v>29</v>
      </c>
      <c r="T57" t="str">
        <f ca="1">IF(AND(ISNUMBER($T$213),$B$158=1),$T$213,HLOOKUP(INDIRECT(ADDRESS(2,COLUMN())),OFFSET($BN$2,0,0,ROW()-1,60),ROW()-1,FALSE))</f>
        <v/>
      </c>
      <c r="U57">
        <f ca="1">IF(AND(ISNUMBER($U$213),$B$158=1),$U$213,HLOOKUP(INDIRECT(ADDRESS(2,COLUMN())),OFFSET($BN$2,0,0,ROW()-1,60),ROW()-1,FALSE))</f>
        <v>24</v>
      </c>
      <c r="V57" t="str">
        <f ca="1">IF(AND(ISNUMBER($V$213),$B$158=1),$V$213,HLOOKUP(INDIRECT(ADDRESS(2,COLUMN())),OFFSET($BN$2,0,0,ROW()-1,60),ROW()-1,FALSE))</f>
        <v/>
      </c>
      <c r="W57">
        <f ca="1">IF(AND(ISNUMBER($W$213),$B$158=1),$W$213,HLOOKUP(INDIRECT(ADDRESS(2,COLUMN())),OFFSET($BN$2,0,0,ROW()-1,60),ROW()-1,FALSE))</f>
        <v>9</v>
      </c>
      <c r="X57" t="str">
        <f ca="1">IF(AND(ISNUMBER($X$213),$B$158=1),$X$213,HLOOKUP(INDIRECT(ADDRESS(2,COLUMN())),OFFSET($BN$2,0,0,ROW()-1,60),ROW()-1,FALSE))</f>
        <v/>
      </c>
      <c r="Y57">
        <f ca="1">IF(AND(ISNUMBER($Y$213),$B$158=1),$Y$213,HLOOKUP(INDIRECT(ADDRESS(2,COLUMN())),OFFSET($BN$2,0,0,ROW()-1,60),ROW()-1,FALSE))</f>
        <v>8</v>
      </c>
      <c r="Z57" t="str">
        <f ca="1">IF(AND(ISNUMBER($Z$213),$B$158=1),$Z$213,HLOOKUP(INDIRECT(ADDRESS(2,COLUMN())),OFFSET($BN$2,0,0,ROW()-1,60),ROW()-1,FALSE))</f>
        <v/>
      </c>
      <c r="AA57">
        <f ca="1">IF(AND(ISNUMBER($AA$213),$B$158=1),$AA$213,HLOOKUP(INDIRECT(ADDRESS(2,COLUMN())),OFFSET($BN$2,0,0,ROW()-1,60),ROW()-1,FALSE))</f>
        <v>0</v>
      </c>
      <c r="AB57" t="str">
        <f ca="1">IF(AND(ISNUMBER($AB$213),$B$158=1),$AB$213,HLOOKUP(INDIRECT(ADDRESS(2,COLUMN())),OFFSET($BN$2,0,0,ROW()-1,60),ROW()-1,FALSE))</f>
        <v/>
      </c>
      <c r="AC57">
        <f ca="1">IF(AND(ISNUMBER($AC$213),$B$158=1),$AC$213,HLOOKUP(INDIRECT(ADDRESS(2,COLUMN())),OFFSET($BN$2,0,0,ROW()-1,60),ROW()-1,FALSE))</f>
        <v>-4</v>
      </c>
      <c r="AD57" t="str">
        <f ca="1">IF(AND(ISNUMBER($AD$213),$B$158=1),$AD$213,HLOOKUP(INDIRECT(ADDRESS(2,COLUMN())),OFFSET($BN$2,0,0,ROW()-1,60),ROW()-1,FALSE))</f>
        <v/>
      </c>
      <c r="AE57">
        <f ca="1">IF(AND(ISNUMBER($AE$213),$B$158=1),$AE$213,HLOOKUP(INDIRECT(ADDRESS(2,COLUMN())),OFFSET($BN$2,0,0,ROW()-1,60),ROW()-1,FALSE))</f>
        <v>-9</v>
      </c>
      <c r="AF57" t="str">
        <f ca="1">IF(AND(ISNUMBER($AF$213),$B$158=1),$AF$213,HLOOKUP(INDIRECT(ADDRESS(2,COLUMN())),OFFSET($BN$2,0,0,ROW()-1,60),ROW()-1,FALSE))</f>
        <v/>
      </c>
      <c r="AG57">
        <f ca="1">IF(AND(ISNUMBER($AG$213),$B$158=1),$AG$213,HLOOKUP(INDIRECT(ADDRESS(2,COLUMN())),OFFSET($BN$2,0,0,ROW()-1,60),ROW()-1,FALSE))</f>
        <v>-13</v>
      </c>
      <c r="AH57" t="str">
        <f ca="1">IF(AND(ISNUMBER($AH$213),$B$158=1),$AH$213,HLOOKUP(INDIRECT(ADDRESS(2,COLUMN())),OFFSET($BN$2,0,0,ROW()-1,60),ROW()-1,FALSE))</f>
        <v/>
      </c>
      <c r="AI57" t="str">
        <f ca="1">IF(AND(ISNUMBER($AI$213),$B$158=1),$AI$213,HLOOKUP(INDIRECT(ADDRESS(2,COLUMN())),OFFSET($BN$2,0,0,ROW()-1,60),ROW()-1,FALSE))</f>
        <v/>
      </c>
      <c r="AJ57" t="str">
        <f ca="1">IF(AND(ISNUMBER($AJ$213),$B$158=1),$AJ$213,HLOOKUP(INDIRECT(ADDRESS(2,COLUMN())),OFFSET($BN$2,0,0,ROW()-1,60),ROW()-1,FALSE))</f>
        <v/>
      </c>
      <c r="AK57">
        <f ca="1">IF(AND(ISNUMBER($AK$213),$B$158=1),$AK$213,HLOOKUP(INDIRECT(ADDRESS(2,COLUMN())),OFFSET($BN$2,0,0,ROW()-1,60),ROW()-1,FALSE))</f>
        <v>2</v>
      </c>
      <c r="AL57" t="str">
        <f ca="1">IF(AND(ISNUMBER($AL$213),$B$158=1),$AL$213,HLOOKUP(INDIRECT(ADDRESS(2,COLUMN())),OFFSET($BN$2,0,0,ROW()-1,60),ROW()-1,FALSE))</f>
        <v/>
      </c>
      <c r="AM57" t="str">
        <f ca="1">IF(AND(ISNUMBER($AM$213),$B$158=1),$AM$213,HLOOKUP(INDIRECT(ADDRESS(2,COLUMN())),OFFSET($BN$2,0,0,ROW()-1,60),ROW()-1,FALSE))</f>
        <v/>
      </c>
      <c r="AN57" t="str">
        <f ca="1">IF(AND(ISNUMBER($AN$213),$B$158=1),$AN$213,HLOOKUP(INDIRECT(ADDRESS(2,COLUMN())),OFFSET($BN$2,0,0,ROW()-1,60),ROW()-1,FALSE))</f>
        <v/>
      </c>
      <c r="AO57" t="str">
        <f ca="1">IF(AND(ISNUMBER($AO$213),$B$158=1),$AO$213,HLOOKUP(INDIRECT(ADDRESS(2,COLUMN())),OFFSET($BN$2,0,0,ROW()-1,60),ROW()-1,FALSE))</f>
        <v/>
      </c>
      <c r="AP57" t="str">
        <f ca="1">IF(AND(ISNUMBER($AP$213),$B$158=1),$AP$213,HLOOKUP(INDIRECT(ADDRESS(2,COLUMN())),OFFSET($BN$2,0,0,ROW()-1,60),ROW()-1,FALSE))</f>
        <v/>
      </c>
      <c r="AQ57" t="str">
        <f ca="1">IF(AND(ISNUMBER($AQ$213),$B$158=1),$AQ$213,HLOOKUP(INDIRECT(ADDRESS(2,COLUMN())),OFFSET($BN$2,0,0,ROW()-1,60),ROW()-1,FALSE))</f>
        <v/>
      </c>
      <c r="AR57" t="str">
        <f ca="1">IF(AND(ISNUMBER($AR$213),$B$158=1),$AR$213,HLOOKUP(INDIRECT(ADDRESS(2,COLUMN())),OFFSET($BN$2,0,0,ROW()-1,60),ROW()-1,FALSE))</f>
        <v/>
      </c>
      <c r="AS57" t="str">
        <f ca="1">IF(AND(ISNUMBER($AS$213),$B$158=1),$AS$213,HLOOKUP(INDIRECT(ADDRESS(2,COLUMN())),OFFSET($BN$2,0,0,ROW()-1,60),ROW()-1,FALSE))</f>
        <v/>
      </c>
      <c r="AT57" t="str">
        <f ca="1">IF(AND(ISNUMBER($AT$213),$B$158=1),$AT$213,HLOOKUP(INDIRECT(ADDRESS(2,COLUMN())),OFFSET($BN$2,0,0,ROW()-1,60),ROW()-1,FALSE))</f>
        <v/>
      </c>
      <c r="AU57" t="str">
        <f ca="1">IF(AND(ISNUMBER($AU$213),$B$158=1),$AU$213,HLOOKUP(INDIRECT(ADDRESS(2,COLUMN())),OFFSET($BN$2,0,0,ROW()-1,60),ROW()-1,FALSE))</f>
        <v/>
      </c>
      <c r="AV57" t="str">
        <f ca="1">IF(AND(ISNUMBER($AV$213),$B$158=1),$AV$213,HLOOKUP(INDIRECT(ADDRESS(2,COLUMN())),OFFSET($BN$2,0,0,ROW()-1,60),ROW()-1,FALSE))</f>
        <v/>
      </c>
      <c r="AW57" t="str">
        <f ca="1">IF(AND(ISNUMBER($AW$213),$B$158=1),$AW$213,HLOOKUP(INDIRECT(ADDRESS(2,COLUMN())),OFFSET($BN$2,0,0,ROW()-1,60),ROW()-1,FALSE))</f>
        <v/>
      </c>
      <c r="AX57" t="str">
        <f ca="1">IF(AND(ISNUMBER($AX$213),$B$158=1),$AX$213,HLOOKUP(INDIRECT(ADDRESS(2,COLUMN())),OFFSET($BN$2,0,0,ROW()-1,60),ROW()-1,FALSE))</f>
        <v/>
      </c>
      <c r="AY57" t="str">
        <f ca="1">IF(AND(ISNUMBER($AY$213),$B$158=1),$AY$213,HLOOKUP(INDIRECT(ADDRESS(2,COLUMN())),OFFSET($BN$2,0,0,ROW()-1,60),ROW()-1,FALSE))</f>
        <v/>
      </c>
      <c r="AZ57" t="str">
        <f ca="1">IF(AND(ISNUMBER($AZ$213),$B$158=1),$AZ$213,HLOOKUP(INDIRECT(ADDRESS(2,COLUMN())),OFFSET($BN$2,0,0,ROW()-1,60),ROW()-1,FALSE))</f>
        <v/>
      </c>
      <c r="BA57" t="str">
        <f ca="1">IF(AND(ISNUMBER($BA$213),$B$158=1),$BA$213,HLOOKUP(INDIRECT(ADDRESS(2,COLUMN())),OFFSET($BN$2,0,0,ROW()-1,60),ROW()-1,FALSE))</f>
        <v/>
      </c>
      <c r="BB57" t="str">
        <f ca="1">IF(AND(ISNUMBER($BB$213),$B$158=1),$BB$213,HLOOKUP(INDIRECT(ADDRESS(2,COLUMN())),OFFSET($BN$2,0,0,ROW()-1,60),ROW()-1,FALSE))</f>
        <v/>
      </c>
      <c r="BC57" t="str">
        <f ca="1">IF(AND(ISNUMBER($BC$213),$B$158=1),$BC$213,HLOOKUP(INDIRECT(ADDRESS(2,COLUMN())),OFFSET($BN$2,0,0,ROW()-1,60),ROW()-1,FALSE))</f>
        <v/>
      </c>
      <c r="BD57" t="str">
        <f ca="1">IF(AND(ISNUMBER($BD$213),$B$158=1),$BD$213,HLOOKUP(INDIRECT(ADDRESS(2,COLUMN())),OFFSET($BN$2,0,0,ROW()-1,60),ROW()-1,FALSE))</f>
        <v/>
      </c>
      <c r="BE57" t="str">
        <f ca="1">IF(AND(ISNUMBER($BE$213),$B$158=1),$BE$213,HLOOKUP(INDIRECT(ADDRESS(2,COLUMN())),OFFSET($BN$2,0,0,ROW()-1,60),ROW()-1,FALSE))</f>
        <v/>
      </c>
      <c r="BF57" t="str">
        <f ca="1">IF(AND(ISNUMBER($BF$213),$B$158=1),$BF$213,HLOOKUP(INDIRECT(ADDRESS(2,COLUMN())),OFFSET($BN$2,0,0,ROW()-1,60),ROW()-1,FALSE))</f>
        <v/>
      </c>
      <c r="BG57" t="str">
        <f ca="1">IF(AND(ISNUMBER($BG$213),$B$158=1),$BG$213,HLOOKUP(INDIRECT(ADDRESS(2,COLUMN())),OFFSET($BN$2,0,0,ROW()-1,60),ROW()-1,FALSE))</f>
        <v/>
      </c>
      <c r="BH57" t="str">
        <f ca="1">IF(AND(ISNUMBER($BH$213),$B$158=1),$BH$213,HLOOKUP(INDIRECT(ADDRESS(2,COLUMN())),OFFSET($BN$2,0,0,ROW()-1,60),ROW()-1,FALSE))</f>
        <v/>
      </c>
      <c r="BI57" t="str">
        <f ca="1">IF(AND(ISNUMBER($BI$213),$B$158=1),$BI$213,HLOOKUP(INDIRECT(ADDRESS(2,COLUMN())),OFFSET($BN$2,0,0,ROW()-1,60),ROW()-1,FALSE))</f>
        <v/>
      </c>
      <c r="BJ57" t="str">
        <f ca="1">IF(AND(ISNUMBER($BJ$213),$B$158=1),$BJ$213,HLOOKUP(INDIRECT(ADDRESS(2,COLUMN())),OFFSET($BN$2,0,0,ROW()-1,60),ROW()-1,FALSE))</f>
        <v/>
      </c>
      <c r="BK57" t="str">
        <f ca="1">IF(AND(ISNUMBER($BK$213),$B$158=1),$BK$213,HLOOKUP(INDIRECT(ADDRESS(2,COLUMN())),OFFSET($BN$2,0,0,ROW()-1,60),ROW()-1,FALSE))</f>
        <v/>
      </c>
      <c r="BL57" t="str">
        <f ca="1">IF(AND(ISNUMBER($BL$213),$B$158=1),$BL$213,HLOOKUP(INDIRECT(ADDRESS(2,COLUMN())),OFFSET($BN$2,0,0,ROW()-1,60),ROW()-1,FALSE))</f>
        <v/>
      </c>
      <c r="BM57" t="str">
        <f ca="1">IF(AND(ISNUMBER($BM$213),$B$158=1),$BM$213,HLOOKUP(INDIRECT(ADDRESS(2,COLUMN())),OFFSET($BN$2,0,0,ROW()-1,60),ROW()-1,FALSE))</f>
        <v/>
      </c>
      <c r="BN57" t="str">
        <f>""</f>
        <v/>
      </c>
      <c r="BO57">
        <f>27</f>
        <v>27</v>
      </c>
      <c r="BP57">
        <f>98</f>
        <v>98</v>
      </c>
      <c r="BQ57">
        <f>38</f>
        <v>38</v>
      </c>
      <c r="BR57">
        <f>-13</f>
        <v>-13</v>
      </c>
      <c r="BS57">
        <f>17</f>
        <v>17</v>
      </c>
      <c r="BT57">
        <f>-53</f>
        <v>-53</v>
      </c>
      <c r="BU57">
        <f>-1</f>
        <v>-1</v>
      </c>
      <c r="BV57" t="str">
        <f>""</f>
        <v/>
      </c>
      <c r="BW57">
        <f>8</f>
        <v>8</v>
      </c>
      <c r="BX57" t="str">
        <f>""</f>
        <v/>
      </c>
      <c r="BY57">
        <f>13</f>
        <v>13</v>
      </c>
      <c r="BZ57" t="str">
        <f>""</f>
        <v/>
      </c>
      <c r="CA57">
        <f>29</f>
        <v>29</v>
      </c>
      <c r="CB57" t="str">
        <f>""</f>
        <v/>
      </c>
      <c r="CC57">
        <f>24</f>
        <v>24</v>
      </c>
      <c r="CD57" t="str">
        <f>""</f>
        <v/>
      </c>
      <c r="CE57">
        <f>9</f>
        <v>9</v>
      </c>
      <c r="CF57" t="str">
        <f>""</f>
        <v/>
      </c>
      <c r="CG57">
        <f>8</f>
        <v>8</v>
      </c>
      <c r="CH57" t="str">
        <f>""</f>
        <v/>
      </c>
      <c r="CI57">
        <f>0</f>
        <v>0</v>
      </c>
      <c r="CJ57" t="str">
        <f>""</f>
        <v/>
      </c>
      <c r="CK57">
        <f>-4</f>
        <v>-4</v>
      </c>
      <c r="CL57" t="str">
        <f>""</f>
        <v/>
      </c>
      <c r="CM57">
        <f>-9</f>
        <v>-9</v>
      </c>
      <c r="CN57" t="str">
        <f>""</f>
        <v/>
      </c>
      <c r="CO57">
        <f>-13</f>
        <v>-13</v>
      </c>
      <c r="CP57" t="str">
        <f>""</f>
        <v/>
      </c>
      <c r="CQ57" t="str">
        <f>""</f>
        <v/>
      </c>
      <c r="CR57" t="str">
        <f>""</f>
        <v/>
      </c>
      <c r="CS57">
        <f>2</f>
        <v>2</v>
      </c>
      <c r="CT57" t="str">
        <f>""</f>
        <v/>
      </c>
      <c r="CU57" t="str">
        <f>""</f>
        <v/>
      </c>
      <c r="CV57" t="str">
        <f>""</f>
        <v/>
      </c>
      <c r="CW57" t="str">
        <f>""</f>
        <v/>
      </c>
      <c r="CX57" t="str">
        <f>""</f>
        <v/>
      </c>
      <c r="CY57" t="str">
        <f>""</f>
        <v/>
      </c>
      <c r="CZ57" t="str">
        <f>""</f>
        <v/>
      </c>
      <c r="DA57" t="str">
        <f>""</f>
        <v/>
      </c>
      <c r="DB57" t="str">
        <f>""</f>
        <v/>
      </c>
      <c r="DC57" t="str">
        <f>""</f>
        <v/>
      </c>
      <c r="DD57" t="str">
        <f>""</f>
        <v/>
      </c>
      <c r="DE57" t="str">
        <f>""</f>
        <v/>
      </c>
      <c r="DF57" t="str">
        <f>""</f>
        <v/>
      </c>
      <c r="DG57" t="str">
        <f>""</f>
        <v/>
      </c>
      <c r="DH57" t="str">
        <f>""</f>
        <v/>
      </c>
      <c r="DI57" t="str">
        <f>""</f>
        <v/>
      </c>
      <c r="DJ57" t="str">
        <f>""</f>
        <v/>
      </c>
      <c r="DK57" t="str">
        <f>""</f>
        <v/>
      </c>
      <c r="DL57" t="str">
        <f>""</f>
        <v/>
      </c>
      <c r="DM57" t="str">
        <f>""</f>
        <v/>
      </c>
      <c r="DN57" t="str">
        <f>""</f>
        <v/>
      </c>
      <c r="DO57" t="str">
        <f>""</f>
        <v/>
      </c>
      <c r="DP57" t="str">
        <f>""</f>
        <v/>
      </c>
      <c r="DQ57" t="str">
        <f>""</f>
        <v/>
      </c>
      <c r="DR57" t="str">
        <f>""</f>
        <v/>
      </c>
      <c r="DS57" t="str">
        <f>""</f>
        <v/>
      </c>
      <c r="DT57" t="str">
        <f>""</f>
        <v/>
      </c>
      <c r="DU57" t="str">
        <f>""</f>
        <v/>
      </c>
    </row>
    <row r="58" spans="1:125" x14ac:dyDescent="0.25">
      <c r="A58" t="str">
        <f>"                    Royalties and Others"</f>
        <v xml:space="preserve">                    Royalties and Others</v>
      </c>
      <c r="B58" t="str">
        <f t="shared" si="20"/>
        <v>KER FP Equity</v>
      </c>
      <c r="C58" t="str">
        <f t="shared" si="21"/>
        <v>BI047</v>
      </c>
      <c r="D58" t="str">
        <f t="shared" si="22"/>
        <v>BICS_SEGMENT_DATA</v>
      </c>
      <c r="E58" t="str">
        <f t="shared" si="23"/>
        <v>Dynamic</v>
      </c>
      <c r="F58" t="str">
        <f ca="1">IF(AND(ISNUMBER($F$214),$B$158=1),$F$214,HLOOKUP(INDIRECT(ADDRESS(2,COLUMN())),OFFSET($BN$2,0,0,ROW()-1,60),ROW()-1,FALSE))</f>
        <v/>
      </c>
      <c r="G58">
        <f ca="1">IF(AND(ISNUMBER($G$214),$B$158=1),$G$214,HLOOKUP(INDIRECT(ADDRESS(2,COLUMN())),OFFSET($BN$2,0,0,ROW()-1,60),ROW()-1,FALSE))</f>
        <v>84</v>
      </c>
      <c r="H58">
        <f ca="1">IF(AND(ISNUMBER($H$214),$B$158=1),$H$214,HLOOKUP(INDIRECT(ADDRESS(2,COLUMN())),OFFSET($BN$2,0,0,ROW()-1,60),ROW()-1,FALSE))</f>
        <v>89</v>
      </c>
      <c r="I58">
        <f ca="1">IF(AND(ISNUMBER($I$214),$B$158=1),$I$214,HLOOKUP(INDIRECT(ADDRESS(2,COLUMN())),OFFSET($BN$2,0,0,ROW()-1,60),ROW()-1,FALSE))</f>
        <v>13</v>
      </c>
      <c r="J58">
        <f ca="1">IF(AND(ISNUMBER($J$214),$B$158=1),$J$214,HLOOKUP(INDIRECT(ADDRESS(2,COLUMN())),OFFSET($BN$2,0,0,ROW()-1,60),ROW()-1,FALSE))</f>
        <v>-49</v>
      </c>
      <c r="K58">
        <f ca="1">IF(AND(ISNUMBER($K$214),$B$158=1),$K$214,HLOOKUP(INDIRECT(ADDRESS(2,COLUMN())),OFFSET($BN$2,0,0,ROW()-1,60),ROW()-1,FALSE))</f>
        <v>-41</v>
      </c>
      <c r="L58" t="str">
        <f ca="1">IF(AND(ISNUMBER($L$214),$B$158=1),$L$214,HLOOKUP(INDIRECT(ADDRESS(2,COLUMN())),OFFSET($BN$2,0,0,ROW()-1,60),ROW()-1,FALSE))</f>
        <v/>
      </c>
      <c r="M58">
        <f ca="1">IF(AND(ISNUMBER($M$214),$B$158=1),$M$214,HLOOKUP(INDIRECT(ADDRESS(2,COLUMN())),OFFSET($BN$2,0,0,ROW()-1,60),ROW()-1,FALSE))</f>
        <v>-49</v>
      </c>
      <c r="N58" t="str">
        <f ca="1">IF(AND(ISNUMBER($N$214),$B$158=1),$N$214,HLOOKUP(INDIRECT(ADDRESS(2,COLUMN())),OFFSET($BN$2,0,0,ROW()-1,60),ROW()-1,FALSE))</f>
        <v/>
      </c>
      <c r="O58">
        <f ca="1">IF(AND(ISNUMBER($O$214),$B$158=1),$O$214,HLOOKUP(INDIRECT(ADDRESS(2,COLUMN())),OFFSET($BN$2,0,0,ROW()-1,60),ROW()-1,FALSE))</f>
        <v>-3</v>
      </c>
      <c r="P58" t="str">
        <f ca="1">IF(AND(ISNUMBER($P$214),$B$158=1),$P$214,HLOOKUP(INDIRECT(ADDRESS(2,COLUMN())),OFFSET($BN$2,0,0,ROW()-1,60),ROW()-1,FALSE))</f>
        <v/>
      </c>
      <c r="Q58">
        <f ca="1">IF(AND(ISNUMBER($Q$214),$B$158=1),$Q$214,HLOOKUP(INDIRECT(ADDRESS(2,COLUMN())),OFFSET($BN$2,0,0,ROW()-1,60),ROW()-1,FALSE))</f>
        <v>8</v>
      </c>
      <c r="R58" t="str">
        <f ca="1">IF(AND(ISNUMBER($R$214),$B$158=1),$R$214,HLOOKUP(INDIRECT(ADDRESS(2,COLUMN())),OFFSET($BN$2,0,0,ROW()-1,60),ROW()-1,FALSE))</f>
        <v/>
      </c>
      <c r="S58">
        <f ca="1">IF(AND(ISNUMBER($S$214),$B$158=1),$S$214,HLOOKUP(INDIRECT(ADDRESS(2,COLUMN())),OFFSET($BN$2,0,0,ROW()-1,60),ROW()-1,FALSE))</f>
        <v>4</v>
      </c>
      <c r="T58" t="str">
        <f ca="1">IF(AND(ISNUMBER($T$214),$B$158=1),$T$214,HLOOKUP(INDIRECT(ADDRESS(2,COLUMN())),OFFSET($BN$2,0,0,ROW()-1,60),ROW()-1,FALSE))</f>
        <v/>
      </c>
      <c r="U58">
        <f ca="1">IF(AND(ISNUMBER($U$214),$B$158=1),$U$214,HLOOKUP(INDIRECT(ADDRESS(2,COLUMN())),OFFSET($BN$2,0,0,ROW()-1,60),ROW()-1,FALSE))</f>
        <v>7</v>
      </c>
      <c r="V58" t="str">
        <f ca="1">IF(AND(ISNUMBER($V$214),$B$158=1),$V$214,HLOOKUP(INDIRECT(ADDRESS(2,COLUMN())),OFFSET($BN$2,0,0,ROW()-1,60),ROW()-1,FALSE))</f>
        <v/>
      </c>
      <c r="W58">
        <f ca="1">IF(AND(ISNUMBER($W$214),$B$158=1),$W$214,HLOOKUP(INDIRECT(ADDRESS(2,COLUMN())),OFFSET($BN$2,0,0,ROW()-1,60),ROW()-1,FALSE))</f>
        <v>-11</v>
      </c>
      <c r="X58" t="str">
        <f ca="1">IF(AND(ISNUMBER($X$214),$B$158=1),$X$214,HLOOKUP(INDIRECT(ADDRESS(2,COLUMN())),OFFSET($BN$2,0,0,ROW()-1,60),ROW()-1,FALSE))</f>
        <v/>
      </c>
      <c r="Y58">
        <f ca="1">IF(AND(ISNUMBER($Y$214),$B$158=1),$Y$214,HLOOKUP(INDIRECT(ADDRESS(2,COLUMN())),OFFSET($BN$2,0,0,ROW()-1,60),ROW()-1,FALSE))</f>
        <v>-7</v>
      </c>
      <c r="Z58" t="str">
        <f ca="1">IF(AND(ISNUMBER($Z$214),$B$158=1),$Z$214,HLOOKUP(INDIRECT(ADDRESS(2,COLUMN())),OFFSET($BN$2,0,0,ROW()-1,60),ROW()-1,FALSE))</f>
        <v/>
      </c>
      <c r="AA58">
        <f ca="1">IF(AND(ISNUMBER($AA$214),$B$158=1),$AA$214,HLOOKUP(INDIRECT(ADDRESS(2,COLUMN())),OFFSET($BN$2,0,0,ROW()-1,60),ROW()-1,FALSE))</f>
        <v>-3</v>
      </c>
      <c r="AB58" t="str">
        <f ca="1">IF(AND(ISNUMBER($AB$214),$B$158=1),$AB$214,HLOOKUP(INDIRECT(ADDRESS(2,COLUMN())),OFFSET($BN$2,0,0,ROW()-1,60),ROW()-1,FALSE))</f>
        <v/>
      </c>
      <c r="AC58">
        <f ca="1">IF(AND(ISNUMBER($AC$214),$B$158=1),$AC$214,HLOOKUP(INDIRECT(ADDRESS(2,COLUMN())),OFFSET($BN$2,0,0,ROW()-1,60),ROW()-1,FALSE))</f>
        <v>-20</v>
      </c>
      <c r="AD58" t="str">
        <f ca="1">IF(AND(ISNUMBER($AD$214),$B$158=1),$AD$214,HLOOKUP(INDIRECT(ADDRESS(2,COLUMN())),OFFSET($BN$2,0,0,ROW()-1,60),ROW()-1,FALSE))</f>
        <v/>
      </c>
      <c r="AE58">
        <f ca="1">IF(AND(ISNUMBER($AE$214),$B$158=1),$AE$214,HLOOKUP(INDIRECT(ADDRESS(2,COLUMN())),OFFSET($BN$2,0,0,ROW()-1,60),ROW()-1,FALSE))</f>
        <v>18</v>
      </c>
      <c r="AF58" t="str">
        <f ca="1">IF(AND(ISNUMBER($AF$214),$B$158=1),$AF$214,HLOOKUP(INDIRECT(ADDRESS(2,COLUMN())),OFFSET($BN$2,0,0,ROW()-1,60),ROW()-1,FALSE))</f>
        <v/>
      </c>
      <c r="AG58">
        <f ca="1">IF(AND(ISNUMBER($AG$214),$B$158=1),$AG$214,HLOOKUP(INDIRECT(ADDRESS(2,COLUMN())),OFFSET($BN$2,0,0,ROW()-1,60),ROW()-1,FALSE))</f>
        <v>7</v>
      </c>
      <c r="AH58" t="str">
        <f ca="1">IF(AND(ISNUMBER($AH$214),$B$158=1),$AH$214,HLOOKUP(INDIRECT(ADDRESS(2,COLUMN())),OFFSET($BN$2,0,0,ROW()-1,60),ROW()-1,FALSE))</f>
        <v/>
      </c>
      <c r="AI58" t="str">
        <f ca="1">IF(AND(ISNUMBER($AI$214),$B$158=1),$AI$214,HLOOKUP(INDIRECT(ADDRESS(2,COLUMN())),OFFSET($BN$2,0,0,ROW()-1,60),ROW()-1,FALSE))</f>
        <v/>
      </c>
      <c r="AJ58" t="str">
        <f ca="1">IF(AND(ISNUMBER($AJ$214),$B$158=1),$AJ$214,HLOOKUP(INDIRECT(ADDRESS(2,COLUMN())),OFFSET($BN$2,0,0,ROW()-1,60),ROW()-1,FALSE))</f>
        <v/>
      </c>
      <c r="AK58" t="str">
        <f ca="1">IF(AND(ISNUMBER($AK$214),$B$158=1),$AK$214,HLOOKUP(INDIRECT(ADDRESS(2,COLUMN())),OFFSET($BN$2,0,0,ROW()-1,60),ROW()-1,FALSE))</f>
        <v/>
      </c>
      <c r="AL58" t="str">
        <f ca="1">IF(AND(ISNUMBER($AL$214),$B$158=1),$AL$214,HLOOKUP(INDIRECT(ADDRESS(2,COLUMN())),OFFSET($BN$2,0,0,ROW()-1,60),ROW()-1,FALSE))</f>
        <v/>
      </c>
      <c r="AM58" t="str">
        <f ca="1">IF(AND(ISNUMBER($AM$214),$B$158=1),$AM$214,HLOOKUP(INDIRECT(ADDRESS(2,COLUMN())),OFFSET($BN$2,0,0,ROW()-1,60),ROW()-1,FALSE))</f>
        <v/>
      </c>
      <c r="AN58" t="str">
        <f ca="1">IF(AND(ISNUMBER($AN$214),$B$158=1),$AN$214,HLOOKUP(INDIRECT(ADDRESS(2,COLUMN())),OFFSET($BN$2,0,0,ROW()-1,60),ROW()-1,FALSE))</f>
        <v/>
      </c>
      <c r="AO58" t="str">
        <f ca="1">IF(AND(ISNUMBER($AO$214),$B$158=1),$AO$214,HLOOKUP(INDIRECT(ADDRESS(2,COLUMN())),OFFSET($BN$2,0,0,ROW()-1,60),ROW()-1,FALSE))</f>
        <v/>
      </c>
      <c r="AP58" t="str">
        <f ca="1">IF(AND(ISNUMBER($AP$214),$B$158=1),$AP$214,HLOOKUP(INDIRECT(ADDRESS(2,COLUMN())),OFFSET($BN$2,0,0,ROW()-1,60),ROW()-1,FALSE))</f>
        <v/>
      </c>
      <c r="AQ58" t="str">
        <f ca="1">IF(AND(ISNUMBER($AQ$214),$B$158=1),$AQ$214,HLOOKUP(INDIRECT(ADDRESS(2,COLUMN())),OFFSET($BN$2,0,0,ROW()-1,60),ROW()-1,FALSE))</f>
        <v/>
      </c>
      <c r="AR58" t="str">
        <f ca="1">IF(AND(ISNUMBER($AR$214),$B$158=1),$AR$214,HLOOKUP(INDIRECT(ADDRESS(2,COLUMN())),OFFSET($BN$2,0,0,ROW()-1,60),ROW()-1,FALSE))</f>
        <v/>
      </c>
      <c r="AS58" t="str">
        <f ca="1">IF(AND(ISNUMBER($AS$214),$B$158=1),$AS$214,HLOOKUP(INDIRECT(ADDRESS(2,COLUMN())),OFFSET($BN$2,0,0,ROW()-1,60),ROW()-1,FALSE))</f>
        <v/>
      </c>
      <c r="AT58" t="str">
        <f ca="1">IF(AND(ISNUMBER($AT$214),$B$158=1),$AT$214,HLOOKUP(INDIRECT(ADDRESS(2,COLUMN())),OFFSET($BN$2,0,0,ROW()-1,60),ROW()-1,FALSE))</f>
        <v/>
      </c>
      <c r="AU58" t="str">
        <f ca="1">IF(AND(ISNUMBER($AU$214),$B$158=1),$AU$214,HLOOKUP(INDIRECT(ADDRESS(2,COLUMN())),OFFSET($BN$2,0,0,ROW()-1,60),ROW()-1,FALSE))</f>
        <v/>
      </c>
      <c r="AV58" t="str">
        <f ca="1">IF(AND(ISNUMBER($AV$214),$B$158=1),$AV$214,HLOOKUP(INDIRECT(ADDRESS(2,COLUMN())),OFFSET($BN$2,0,0,ROW()-1,60),ROW()-1,FALSE))</f>
        <v/>
      </c>
      <c r="AW58" t="str">
        <f ca="1">IF(AND(ISNUMBER($AW$214),$B$158=1),$AW$214,HLOOKUP(INDIRECT(ADDRESS(2,COLUMN())),OFFSET($BN$2,0,0,ROW()-1,60),ROW()-1,FALSE))</f>
        <v/>
      </c>
      <c r="AX58" t="str">
        <f ca="1">IF(AND(ISNUMBER($AX$214),$B$158=1),$AX$214,HLOOKUP(INDIRECT(ADDRESS(2,COLUMN())),OFFSET($BN$2,0,0,ROW()-1,60),ROW()-1,FALSE))</f>
        <v/>
      </c>
      <c r="AY58" t="str">
        <f ca="1">IF(AND(ISNUMBER($AY$214),$B$158=1),$AY$214,HLOOKUP(INDIRECT(ADDRESS(2,COLUMN())),OFFSET($BN$2,0,0,ROW()-1,60),ROW()-1,FALSE))</f>
        <v/>
      </c>
      <c r="AZ58" t="str">
        <f ca="1">IF(AND(ISNUMBER($AZ$214),$B$158=1),$AZ$214,HLOOKUP(INDIRECT(ADDRESS(2,COLUMN())),OFFSET($BN$2,0,0,ROW()-1,60),ROW()-1,FALSE))</f>
        <v/>
      </c>
      <c r="BA58" t="str">
        <f ca="1">IF(AND(ISNUMBER($BA$214),$B$158=1),$BA$214,HLOOKUP(INDIRECT(ADDRESS(2,COLUMN())),OFFSET($BN$2,0,0,ROW()-1,60),ROW()-1,FALSE))</f>
        <v/>
      </c>
      <c r="BB58" t="str">
        <f ca="1">IF(AND(ISNUMBER($BB$214),$B$158=1),$BB$214,HLOOKUP(INDIRECT(ADDRESS(2,COLUMN())),OFFSET($BN$2,0,0,ROW()-1,60),ROW()-1,FALSE))</f>
        <v/>
      </c>
      <c r="BC58" t="str">
        <f ca="1">IF(AND(ISNUMBER($BC$214),$B$158=1),$BC$214,HLOOKUP(INDIRECT(ADDRESS(2,COLUMN())),OFFSET($BN$2,0,0,ROW()-1,60),ROW()-1,FALSE))</f>
        <v/>
      </c>
      <c r="BD58" t="str">
        <f ca="1">IF(AND(ISNUMBER($BD$214),$B$158=1),$BD$214,HLOOKUP(INDIRECT(ADDRESS(2,COLUMN())),OFFSET($BN$2,0,0,ROW()-1,60),ROW()-1,FALSE))</f>
        <v/>
      </c>
      <c r="BE58" t="str">
        <f ca="1">IF(AND(ISNUMBER($BE$214),$B$158=1),$BE$214,HLOOKUP(INDIRECT(ADDRESS(2,COLUMN())),OFFSET($BN$2,0,0,ROW()-1,60),ROW()-1,FALSE))</f>
        <v/>
      </c>
      <c r="BF58" t="str">
        <f ca="1">IF(AND(ISNUMBER($BF$214),$B$158=1),$BF$214,HLOOKUP(INDIRECT(ADDRESS(2,COLUMN())),OFFSET($BN$2,0,0,ROW()-1,60),ROW()-1,FALSE))</f>
        <v/>
      </c>
      <c r="BG58" t="str">
        <f ca="1">IF(AND(ISNUMBER($BG$214),$B$158=1),$BG$214,HLOOKUP(INDIRECT(ADDRESS(2,COLUMN())),OFFSET($BN$2,0,0,ROW()-1,60),ROW()-1,FALSE))</f>
        <v/>
      </c>
      <c r="BH58" t="str">
        <f ca="1">IF(AND(ISNUMBER($BH$214),$B$158=1),$BH$214,HLOOKUP(INDIRECT(ADDRESS(2,COLUMN())),OFFSET($BN$2,0,0,ROW()-1,60),ROW()-1,FALSE))</f>
        <v/>
      </c>
      <c r="BI58" t="str">
        <f ca="1">IF(AND(ISNUMBER($BI$214),$B$158=1),$BI$214,HLOOKUP(INDIRECT(ADDRESS(2,COLUMN())),OFFSET($BN$2,0,0,ROW()-1,60),ROW()-1,FALSE))</f>
        <v/>
      </c>
      <c r="BJ58" t="str">
        <f ca="1">IF(AND(ISNUMBER($BJ$214),$B$158=1),$BJ$214,HLOOKUP(INDIRECT(ADDRESS(2,COLUMN())),OFFSET($BN$2,0,0,ROW()-1,60),ROW()-1,FALSE))</f>
        <v/>
      </c>
      <c r="BK58" t="str">
        <f ca="1">IF(AND(ISNUMBER($BK$214),$B$158=1),$BK$214,HLOOKUP(INDIRECT(ADDRESS(2,COLUMN())),OFFSET($BN$2,0,0,ROW()-1,60),ROW()-1,FALSE))</f>
        <v/>
      </c>
      <c r="BL58" t="str">
        <f ca="1">IF(AND(ISNUMBER($BL$214),$B$158=1),$BL$214,HLOOKUP(INDIRECT(ADDRESS(2,COLUMN())),OFFSET($BN$2,0,0,ROW()-1,60),ROW()-1,FALSE))</f>
        <v/>
      </c>
      <c r="BM58" t="str">
        <f ca="1">IF(AND(ISNUMBER($BM$214),$B$158=1),$BM$214,HLOOKUP(INDIRECT(ADDRESS(2,COLUMN())),OFFSET($BN$2,0,0,ROW()-1,60),ROW()-1,FALSE))</f>
        <v/>
      </c>
      <c r="BN58" t="str">
        <f>""</f>
        <v/>
      </c>
      <c r="BO58">
        <f>84</f>
        <v>84</v>
      </c>
      <c r="BP58">
        <f>89</f>
        <v>89</v>
      </c>
      <c r="BQ58">
        <f>13</f>
        <v>13</v>
      </c>
      <c r="BR58">
        <f>-49</f>
        <v>-49</v>
      </c>
      <c r="BS58">
        <f>-41</f>
        <v>-41</v>
      </c>
      <c r="BT58" t="str">
        <f>""</f>
        <v/>
      </c>
      <c r="BU58">
        <f>-49</f>
        <v>-49</v>
      </c>
      <c r="BV58" t="str">
        <f>""</f>
        <v/>
      </c>
      <c r="BW58">
        <f>-3</f>
        <v>-3</v>
      </c>
      <c r="BX58" t="str">
        <f>""</f>
        <v/>
      </c>
      <c r="BY58">
        <f>8</f>
        <v>8</v>
      </c>
      <c r="BZ58" t="str">
        <f>""</f>
        <v/>
      </c>
      <c r="CA58">
        <f>4</f>
        <v>4</v>
      </c>
      <c r="CB58" t="str">
        <f>""</f>
        <v/>
      </c>
      <c r="CC58">
        <f>7</f>
        <v>7</v>
      </c>
      <c r="CD58" t="str">
        <f>""</f>
        <v/>
      </c>
      <c r="CE58">
        <f>-11</f>
        <v>-11</v>
      </c>
      <c r="CF58" t="str">
        <f>""</f>
        <v/>
      </c>
      <c r="CG58">
        <f>-7</f>
        <v>-7</v>
      </c>
      <c r="CH58" t="str">
        <f>""</f>
        <v/>
      </c>
      <c r="CI58">
        <f>-3</f>
        <v>-3</v>
      </c>
      <c r="CJ58" t="str">
        <f>""</f>
        <v/>
      </c>
      <c r="CK58">
        <f>-20</f>
        <v>-20</v>
      </c>
      <c r="CL58" t="str">
        <f>""</f>
        <v/>
      </c>
      <c r="CM58">
        <f>18</f>
        <v>18</v>
      </c>
      <c r="CN58" t="str">
        <f>""</f>
        <v/>
      </c>
      <c r="CO58">
        <f>7</f>
        <v>7</v>
      </c>
      <c r="CP58" t="str">
        <f>""</f>
        <v/>
      </c>
      <c r="CQ58" t="str">
        <f>""</f>
        <v/>
      </c>
      <c r="CR58" t="str">
        <f>""</f>
        <v/>
      </c>
      <c r="CS58" t="str">
        <f>""</f>
        <v/>
      </c>
      <c r="CT58" t="str">
        <f>""</f>
        <v/>
      </c>
      <c r="CU58" t="str">
        <f>""</f>
        <v/>
      </c>
      <c r="CV58" t="str">
        <f>""</f>
        <v/>
      </c>
      <c r="CW58" t="str">
        <f>""</f>
        <v/>
      </c>
      <c r="CX58" t="str">
        <f>""</f>
        <v/>
      </c>
      <c r="CY58" t="str">
        <f>""</f>
        <v/>
      </c>
      <c r="CZ58" t="str">
        <f>""</f>
        <v/>
      </c>
      <c r="DA58" t="str">
        <f>""</f>
        <v/>
      </c>
      <c r="DB58" t="str">
        <f>""</f>
        <v/>
      </c>
      <c r="DC58" t="str">
        <f>""</f>
        <v/>
      </c>
      <c r="DD58" t="str">
        <f>""</f>
        <v/>
      </c>
      <c r="DE58" t="str">
        <f>""</f>
        <v/>
      </c>
      <c r="DF58" t="str">
        <f>""</f>
        <v/>
      </c>
      <c r="DG58" t="str">
        <f>""</f>
        <v/>
      </c>
      <c r="DH58" t="str">
        <f>""</f>
        <v/>
      </c>
      <c r="DI58" t="str">
        <f>""</f>
        <v/>
      </c>
      <c r="DJ58" t="str">
        <f>""</f>
        <v/>
      </c>
      <c r="DK58" t="str">
        <f>""</f>
        <v/>
      </c>
      <c r="DL58" t="str">
        <f>""</f>
        <v/>
      </c>
      <c r="DM58" t="str">
        <f>""</f>
        <v/>
      </c>
      <c r="DN58" t="str">
        <f>""</f>
        <v/>
      </c>
      <c r="DO58" t="str">
        <f>""</f>
        <v/>
      </c>
      <c r="DP58" t="str">
        <f>""</f>
        <v/>
      </c>
      <c r="DQ58" t="str">
        <f>""</f>
        <v/>
      </c>
      <c r="DR58" t="str">
        <f>""</f>
        <v/>
      </c>
      <c r="DS58" t="str">
        <f>""</f>
        <v/>
      </c>
      <c r="DT58" t="str">
        <f>""</f>
        <v/>
      </c>
      <c r="DU58" t="str">
        <f>""</f>
        <v/>
      </c>
    </row>
    <row r="59" spans="1:125" x14ac:dyDescent="0.25">
      <c r="A59" t="str">
        <f>"        "</f>
        <v xml:space="preserve">        </v>
      </c>
      <c r="B59" t="str">
        <f>""</f>
        <v/>
      </c>
      <c r="E59" t="str">
        <f>"Static"</f>
        <v>Static</v>
      </c>
      <c r="F59" t="str">
        <f t="shared" ref="F59:AK59" ca="1" si="24">HLOOKUP(INDIRECT(ADDRESS(2,COLUMN())),OFFSET($BN$2,0,0,ROW()-1,60),ROW()-1,FALSE)</f>
        <v/>
      </c>
      <c r="G59" t="str">
        <f t="shared" ca="1" si="24"/>
        <v/>
      </c>
      <c r="H59" t="str">
        <f t="shared" ca="1" si="24"/>
        <v/>
      </c>
      <c r="I59" t="str">
        <f t="shared" ca="1" si="24"/>
        <v/>
      </c>
      <c r="J59" t="str">
        <f t="shared" ca="1" si="24"/>
        <v/>
      </c>
      <c r="K59" t="str">
        <f t="shared" ca="1" si="24"/>
        <v/>
      </c>
      <c r="L59" t="str">
        <f t="shared" ca="1" si="24"/>
        <v/>
      </c>
      <c r="M59" t="str">
        <f t="shared" ca="1" si="24"/>
        <v/>
      </c>
      <c r="N59" t="str">
        <f t="shared" ca="1" si="24"/>
        <v/>
      </c>
      <c r="O59" t="str">
        <f t="shared" ca="1" si="24"/>
        <v/>
      </c>
      <c r="P59" t="str">
        <f t="shared" ca="1" si="24"/>
        <v/>
      </c>
      <c r="Q59" t="str">
        <f t="shared" ca="1" si="24"/>
        <v/>
      </c>
      <c r="R59" t="str">
        <f t="shared" ca="1" si="24"/>
        <v/>
      </c>
      <c r="S59" t="str">
        <f t="shared" ca="1" si="24"/>
        <v/>
      </c>
      <c r="T59" t="str">
        <f t="shared" ca="1" si="24"/>
        <v/>
      </c>
      <c r="U59" t="str">
        <f t="shared" ca="1" si="24"/>
        <v/>
      </c>
      <c r="V59" t="str">
        <f t="shared" ca="1" si="24"/>
        <v/>
      </c>
      <c r="W59" t="str">
        <f t="shared" ca="1" si="24"/>
        <v/>
      </c>
      <c r="X59" t="str">
        <f t="shared" ca="1" si="24"/>
        <v/>
      </c>
      <c r="Y59" t="str">
        <f t="shared" ca="1" si="24"/>
        <v/>
      </c>
      <c r="Z59" t="str">
        <f t="shared" ca="1" si="24"/>
        <v/>
      </c>
      <c r="AA59" t="str">
        <f t="shared" ca="1" si="24"/>
        <v/>
      </c>
      <c r="AB59" t="str">
        <f t="shared" ca="1" si="24"/>
        <v/>
      </c>
      <c r="AC59" t="str">
        <f t="shared" ca="1" si="24"/>
        <v/>
      </c>
      <c r="AD59" t="str">
        <f t="shared" ca="1" si="24"/>
        <v/>
      </c>
      <c r="AE59" t="str">
        <f t="shared" ca="1" si="24"/>
        <v/>
      </c>
      <c r="AF59" t="str">
        <f t="shared" ca="1" si="24"/>
        <v/>
      </c>
      <c r="AG59" t="str">
        <f t="shared" ca="1" si="24"/>
        <v/>
      </c>
      <c r="AH59" t="str">
        <f t="shared" ca="1" si="24"/>
        <v/>
      </c>
      <c r="AI59" t="str">
        <f t="shared" ca="1" si="24"/>
        <v/>
      </c>
      <c r="AJ59" t="str">
        <f t="shared" ca="1" si="24"/>
        <v/>
      </c>
      <c r="AK59" t="str">
        <f t="shared" ca="1" si="24"/>
        <v/>
      </c>
      <c r="AL59" t="str">
        <f t="shared" ref="AL59:BM59" ca="1" si="25">HLOOKUP(INDIRECT(ADDRESS(2,COLUMN())),OFFSET($BN$2,0,0,ROW()-1,60),ROW()-1,FALSE)</f>
        <v/>
      </c>
      <c r="AM59" t="str">
        <f t="shared" ca="1" si="25"/>
        <v/>
      </c>
      <c r="AN59" t="str">
        <f t="shared" ca="1" si="25"/>
        <v/>
      </c>
      <c r="AO59" t="str">
        <f t="shared" ca="1" si="25"/>
        <v/>
      </c>
      <c r="AP59" t="str">
        <f t="shared" ca="1" si="25"/>
        <v/>
      </c>
      <c r="AQ59" t="str">
        <f t="shared" ca="1" si="25"/>
        <v/>
      </c>
      <c r="AR59" t="str">
        <f t="shared" ca="1" si="25"/>
        <v/>
      </c>
      <c r="AS59" t="str">
        <f t="shared" ca="1" si="25"/>
        <v/>
      </c>
      <c r="AT59" t="str">
        <f t="shared" ca="1" si="25"/>
        <v/>
      </c>
      <c r="AU59" t="str">
        <f t="shared" ca="1" si="25"/>
        <v/>
      </c>
      <c r="AV59" t="str">
        <f t="shared" ca="1" si="25"/>
        <v/>
      </c>
      <c r="AW59" t="str">
        <f t="shared" ca="1" si="25"/>
        <v/>
      </c>
      <c r="AX59" t="str">
        <f t="shared" ca="1" si="25"/>
        <v/>
      </c>
      <c r="AY59" t="str">
        <f t="shared" ca="1" si="25"/>
        <v/>
      </c>
      <c r="AZ59" t="str">
        <f t="shared" ca="1" si="25"/>
        <v/>
      </c>
      <c r="BA59" t="str">
        <f t="shared" ca="1" si="25"/>
        <v/>
      </c>
      <c r="BB59" t="str">
        <f t="shared" ca="1" si="25"/>
        <v/>
      </c>
      <c r="BC59" t="str">
        <f t="shared" ca="1" si="25"/>
        <v/>
      </c>
      <c r="BD59" t="str">
        <f t="shared" ca="1" si="25"/>
        <v/>
      </c>
      <c r="BE59" t="str">
        <f t="shared" ca="1" si="25"/>
        <v/>
      </c>
      <c r="BF59" t="str">
        <f t="shared" ca="1" si="25"/>
        <v/>
      </c>
      <c r="BG59" t="str">
        <f t="shared" ca="1" si="25"/>
        <v/>
      </c>
      <c r="BH59" t="str">
        <f t="shared" ca="1" si="25"/>
        <v/>
      </c>
      <c r="BI59" t="str">
        <f t="shared" ca="1" si="25"/>
        <v/>
      </c>
      <c r="BJ59" t="str">
        <f t="shared" ca="1" si="25"/>
        <v/>
      </c>
      <c r="BK59" t="str">
        <f t="shared" ca="1" si="25"/>
        <v/>
      </c>
      <c r="BL59" t="str">
        <f t="shared" ca="1" si="25"/>
        <v/>
      </c>
      <c r="BM59" t="str">
        <f t="shared" ca="1" si="25"/>
        <v/>
      </c>
      <c r="BN59" t="str">
        <f>""</f>
        <v/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  <c r="BT59" t="str">
        <f>""</f>
        <v/>
      </c>
      <c r="BU59" t="str">
        <f>""</f>
        <v/>
      </c>
      <c r="BV59" t="str">
        <f>""</f>
        <v/>
      </c>
      <c r="BW59" t="str">
        <f>""</f>
        <v/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  <c r="CH59" t="str">
        <f>""</f>
        <v/>
      </c>
      <c r="CI59" t="str">
        <f>""</f>
        <v/>
      </c>
      <c r="CJ59" t="str">
        <f>""</f>
        <v/>
      </c>
      <c r="CK59" t="str">
        <f>""</f>
        <v/>
      </c>
      <c r="CL59" t="str">
        <f>""</f>
        <v/>
      </c>
      <c r="CM59" t="str">
        <f>""</f>
        <v/>
      </c>
      <c r="CN59" t="str">
        <f>""</f>
        <v/>
      </c>
      <c r="CO59" t="str">
        <f>""</f>
        <v/>
      </c>
      <c r="CP59" t="str">
        <f>""</f>
        <v/>
      </c>
      <c r="CQ59" t="str">
        <f>""</f>
        <v/>
      </c>
      <c r="CR59" t="str">
        <f>""</f>
        <v/>
      </c>
      <c r="CS59" t="str">
        <f>""</f>
        <v/>
      </c>
      <c r="CT59" t="str">
        <f>""</f>
        <v/>
      </c>
      <c r="CU59" t="str">
        <f>""</f>
        <v/>
      </c>
      <c r="CV59" t="str">
        <f>""</f>
        <v/>
      </c>
      <c r="CW59" t="str">
        <f>""</f>
        <v/>
      </c>
      <c r="CX59" t="str">
        <f>""</f>
        <v/>
      </c>
      <c r="CY59" t="str">
        <f>""</f>
        <v/>
      </c>
      <c r="CZ59" t="str">
        <f>""</f>
        <v/>
      </c>
      <c r="DA59" t="str">
        <f>""</f>
        <v/>
      </c>
      <c r="DB59" t="str">
        <f>""</f>
        <v/>
      </c>
      <c r="DC59" t="str">
        <f>""</f>
        <v/>
      </c>
      <c r="DD59" t="str">
        <f>""</f>
        <v/>
      </c>
      <c r="DE59" t="str">
        <f>""</f>
        <v/>
      </c>
      <c r="DF59" t="str">
        <f>""</f>
        <v/>
      </c>
      <c r="DG59" t="str">
        <f>""</f>
        <v/>
      </c>
      <c r="DH59" t="str">
        <f>""</f>
        <v/>
      </c>
      <c r="DI59" t="str">
        <f>""</f>
        <v/>
      </c>
      <c r="DJ59" t="str">
        <f>""</f>
        <v/>
      </c>
      <c r="DK59" t="str">
        <f>""</f>
        <v/>
      </c>
      <c r="DL59" t="str">
        <f>""</f>
        <v/>
      </c>
      <c r="DM59" t="str">
        <f>""</f>
        <v/>
      </c>
      <c r="DN59" t="str">
        <f>""</f>
        <v/>
      </c>
      <c r="DO59" t="str">
        <f>""</f>
        <v/>
      </c>
      <c r="DP59" t="str">
        <f>""</f>
        <v/>
      </c>
      <c r="DQ59" t="str">
        <f>""</f>
        <v/>
      </c>
      <c r="DR59" t="str">
        <f>""</f>
        <v/>
      </c>
      <c r="DS59" t="str">
        <f>""</f>
        <v/>
      </c>
      <c r="DT59" t="str">
        <f>""</f>
        <v/>
      </c>
      <c r="DU59" t="str">
        <f>""</f>
        <v/>
      </c>
    </row>
    <row r="60" spans="1:125" x14ac:dyDescent="0.25">
      <c r="A60" t="str">
        <f>"        Organic Growth (%)"</f>
        <v xml:space="preserve">        Organic Growth (%)</v>
      </c>
      <c r="B60" t="str">
        <f t="shared" ref="B60:B67" si="26">"KER FP Equity"</f>
        <v>KER FP Equity</v>
      </c>
      <c r="C60" t="str">
        <f>"IS950"</f>
        <v>IS950</v>
      </c>
      <c r="D60" t="str">
        <f>"IS_ORGANIC_GROWTH_RATE"</f>
        <v>IS_ORGANIC_GROWTH_RATE</v>
      </c>
      <c r="E60" t="str">
        <f t="shared" ref="E60:E67" si="27">"Dynamic"</f>
        <v>Dynamic</v>
      </c>
      <c r="F60" t="str">
        <f ca="1">IF(AND(ISNUMBER($F$215),$B$158=1),$F$215,HLOOKUP(INDIRECT(ADDRESS(2,COLUMN())),OFFSET($BN$2,0,0,ROW()-1,60),ROW()-1,FALSE))</f>
        <v/>
      </c>
      <c r="G60">
        <f ca="1">IF(AND(ISNUMBER($G$215),$B$158=1),$G$215,HLOOKUP(INDIRECT(ADDRESS(2,COLUMN())),OFFSET($BN$2,0,0,ROW()-1,60),ROW()-1,FALSE))</f>
        <v>12.2</v>
      </c>
      <c r="H60">
        <f ca="1">IF(AND(ISNUMBER($H$215),$B$158=1),$H$215,HLOOKUP(INDIRECT(ADDRESS(2,COLUMN())),OFFSET($BN$2,0,0,ROW()-1,60),ROW()-1,FALSE))</f>
        <v>95</v>
      </c>
      <c r="I60">
        <f ca="1">IF(AND(ISNUMBER($I$215),$B$158=1),$I$215,HLOOKUP(INDIRECT(ADDRESS(2,COLUMN())),OFFSET($BN$2,0,0,ROW()-1,60),ROW()-1,FALSE))</f>
        <v>25.8</v>
      </c>
      <c r="J60" t="str">
        <f ca="1">IF(AND(ISNUMBER($J$215),$B$158=1),$J$215,HLOOKUP(INDIRECT(ADDRESS(2,COLUMN())),OFFSET($BN$2,0,0,ROW()-1,60),ROW()-1,FALSE))</f>
        <v/>
      </c>
      <c r="K60">
        <f ca="1">IF(AND(ISNUMBER($K$215),$B$158=1),$K$215,HLOOKUP(INDIRECT(ADDRESS(2,COLUMN())),OFFSET($BN$2,0,0,ROW()-1,60),ROW()-1,FALSE))</f>
        <v>-1.2</v>
      </c>
      <c r="L60">
        <f ca="1">IF(AND(ISNUMBER($L$215),$B$158=1),$L$215,HLOOKUP(INDIRECT(ADDRESS(2,COLUMN())),OFFSET($BN$2,0,0,ROW()-1,60),ROW()-1,FALSE))</f>
        <v>-43.7</v>
      </c>
      <c r="M60">
        <f ca="1">IF(AND(ISNUMBER($M$215),$B$158=1),$M$215,HLOOKUP(INDIRECT(ADDRESS(2,COLUMN())),OFFSET($BN$2,0,0,ROW()-1,60),ROW()-1,FALSE))</f>
        <v>-16.399999999999999</v>
      </c>
      <c r="N60">
        <f ca="1">IF(AND(ISNUMBER($N$215),$B$158=1),$N$215,HLOOKUP(INDIRECT(ADDRESS(2,COLUMN())),OFFSET($BN$2,0,0,ROW()-1,60),ROW()-1,FALSE))</f>
        <v>33.1</v>
      </c>
      <c r="O60">
        <f ca="1">IF(AND(ISNUMBER($O$215),$B$158=1),$O$215,HLOOKUP(INDIRECT(ADDRESS(2,COLUMN())),OFFSET($BN$2,0,0,ROW()-1,60),ROW()-1,FALSE))</f>
        <v>11.6</v>
      </c>
      <c r="P60">
        <f ca="1">IF(AND(ISNUMBER($P$215),$B$158=1),$P$215,HLOOKUP(INDIRECT(ADDRESS(2,COLUMN())),OFFSET($BN$2,0,0,ROW()-1,60),ROW()-1,FALSE))</f>
        <v>13.1</v>
      </c>
      <c r="Q60">
        <f ca="1">IF(AND(ISNUMBER($Q$215),$B$158=1),$Q$215,HLOOKUP(INDIRECT(ADDRESS(2,COLUMN())),OFFSET($BN$2,0,0,ROW()-1,60),ROW()-1,FALSE))</f>
        <v>17.5</v>
      </c>
      <c r="R60">
        <f ca="1">IF(AND(ISNUMBER($R$215),$B$158=1),$R$215,HLOOKUP(INDIRECT(ADDRESS(2,COLUMN())),OFFSET($BN$2,0,0,ROW()-1,60),ROW()-1,FALSE))</f>
        <v>24.2</v>
      </c>
      <c r="S60">
        <f ca="1">IF(AND(ISNUMBER($S$215),$B$158=1),$S$215,HLOOKUP(INDIRECT(ADDRESS(2,COLUMN())),OFFSET($BN$2,0,0,ROW()-1,60),ROW()-1,FALSE))</f>
        <v>27.5</v>
      </c>
      <c r="T60">
        <f ca="1">IF(AND(ISNUMBER($T$215),$B$158=1),$T$215,HLOOKUP(INDIRECT(ADDRESS(2,COLUMN())),OFFSET($BN$2,0,0,ROW()-1,60),ROW()-1,FALSE))</f>
        <v>31.5</v>
      </c>
      <c r="U60">
        <f ca="1">IF(AND(ISNUMBER($U$215),$B$158=1),$U$215,HLOOKUP(INDIRECT(ADDRESS(2,COLUMN())),OFFSET($BN$2,0,0,ROW()-1,60),ROW()-1,FALSE))</f>
        <v>36.5</v>
      </c>
      <c r="V60">
        <f ca="1">IF(AND(ISNUMBER($V$215),$B$158=1),$V$215,HLOOKUP(INDIRECT(ADDRESS(2,COLUMN())),OFFSET($BN$2,0,0,ROW()-1,60),ROW()-1,FALSE))</f>
        <v>27.4</v>
      </c>
      <c r="W60">
        <f ca="1">IF(AND(ISNUMBER($W$215),$B$158=1),$W$215,HLOOKUP(INDIRECT(ADDRESS(2,COLUMN())),OFFSET($BN$2,0,0,ROW()-1,60),ROW()-1,FALSE))</f>
        <v>28.4</v>
      </c>
      <c r="X60">
        <f ca="1">IF(AND(ISNUMBER($X$215),$B$158=1),$X$215,HLOOKUP(INDIRECT(ADDRESS(2,COLUMN())),OFFSET($BN$2,0,0,ROW()-1,60),ROW()-1,FALSE))</f>
        <v>24.6</v>
      </c>
      <c r="Y60">
        <f ca="1">IF(AND(ISNUMBER($Y$215),$B$158=1),$Y$215,HLOOKUP(INDIRECT(ADDRESS(2,COLUMN())),OFFSET($BN$2,0,0,ROW()-1,60),ROW()-1,FALSE))</f>
        <v>28.6</v>
      </c>
      <c r="Z60">
        <f ca="1">IF(AND(ISNUMBER($Z$215),$B$158=1),$Z$215,HLOOKUP(INDIRECT(ADDRESS(2,COLUMN())),OFFSET($BN$2,0,0,ROW()-1,60),ROW()-1,FALSE))</f>
        <v>10.4</v>
      </c>
      <c r="AA60">
        <f ca="1">IF(AND(ISNUMBER($AA$215),$B$158=1),$AA$215,HLOOKUP(INDIRECT(ADDRESS(2,COLUMN())),OFFSET($BN$2,0,0,ROW()-1,60),ROW()-1,FALSE))</f>
        <v>10.5</v>
      </c>
      <c r="AB60">
        <f ca="1">IF(AND(ISNUMBER($AB$215),$B$158=1),$AB$215,HLOOKUP(INDIRECT(ADDRESS(2,COLUMN())),OFFSET($BN$2,0,0,ROW()-1,60),ROW()-1,FALSE))</f>
        <v>6.9</v>
      </c>
      <c r="AC60">
        <f ca="1">IF(AND(ISNUMBER($AC$215),$B$158=1),$AC$215,HLOOKUP(INDIRECT(ADDRESS(2,COLUMN())),OFFSET($BN$2,0,0,ROW()-1,60),ROW()-1,FALSE))</f>
        <v>4</v>
      </c>
      <c r="AD60" t="str">
        <f ca="1">IF(AND(ISNUMBER($AD$215),$B$158=1),$AD$215,HLOOKUP(INDIRECT(ADDRESS(2,COLUMN())),OFFSET($BN$2,0,0,ROW()-1,60),ROW()-1,FALSE))</f>
        <v/>
      </c>
      <c r="AE60">
        <f ca="1">IF(AND(ISNUMBER($AE$215),$B$158=1),$AE$215,HLOOKUP(INDIRECT(ADDRESS(2,COLUMN())),OFFSET($BN$2,0,0,ROW()-1,60),ROW()-1,FALSE))</f>
        <v>3.1</v>
      </c>
      <c r="AF60">
        <f ca="1">IF(AND(ISNUMBER($AF$215),$B$158=1),$AF$215,HLOOKUP(INDIRECT(ADDRESS(2,COLUMN())),OFFSET($BN$2,0,0,ROW()-1,60),ROW()-1,FALSE))</f>
        <v>7.7</v>
      </c>
      <c r="AG60">
        <f ca="1">IF(AND(ISNUMBER($AG$215),$B$158=1),$AG$215,HLOOKUP(INDIRECT(ADDRESS(2,COLUMN())),OFFSET($BN$2,0,0,ROW()-1,60),ROW()-1,FALSE))</f>
        <v>-0.6</v>
      </c>
      <c r="AH60">
        <f ca="1">IF(AND(ISNUMBER($AH$215),$B$158=1),$AH$215,HLOOKUP(INDIRECT(ADDRESS(2,COLUMN())),OFFSET($BN$2,0,0,ROW()-1,60),ROW()-1,FALSE))</f>
        <v>4.9000000000000004</v>
      </c>
      <c r="AI60">
        <f ca="1">IF(AND(ISNUMBER($AI$215),$B$158=1),$AI$215,HLOOKUP(INDIRECT(ADDRESS(2,COLUMN())),OFFSET($BN$2,0,0,ROW()-1,60),ROW()-1,FALSE))</f>
        <v>4.4000000000000004</v>
      </c>
      <c r="AJ60">
        <f ca="1">IF(AND(ISNUMBER($AJ$215),$B$158=1),$AJ$215,HLOOKUP(INDIRECT(ADDRESS(2,COLUMN())),OFFSET($BN$2,0,0,ROW()-1,60),ROW()-1,FALSE))</f>
        <v>4</v>
      </c>
      <c r="AK60">
        <f ca="1">IF(AND(ISNUMBER($AK$215),$B$158=1),$AK$215,HLOOKUP(INDIRECT(ADDRESS(2,COLUMN())),OFFSET($BN$2,0,0,ROW()-1,60),ROW()-1,FALSE))</f>
        <v>4.0999999999999996</v>
      </c>
      <c r="AL60">
        <f ca="1">IF(AND(ISNUMBER($AL$215),$B$158=1),$AL$215,HLOOKUP(INDIRECT(ADDRESS(2,COLUMN())),OFFSET($BN$2,0,0,ROW()-1,60),ROW()-1,FALSE))</f>
        <v>4</v>
      </c>
      <c r="AM60">
        <f ca="1">IF(AND(ISNUMBER($AM$215),$B$158=1),$AM$215,HLOOKUP(INDIRECT(ADDRESS(2,COLUMN())),OFFSET($BN$2,0,0,ROW()-1,60),ROW()-1,FALSE))</f>
        <v>3.4</v>
      </c>
      <c r="AN60">
        <f ca="1">IF(AND(ISNUMBER($AN$215),$B$158=1),$AN$215,HLOOKUP(INDIRECT(ADDRESS(2,COLUMN())),OFFSET($BN$2,0,0,ROW()-1,60),ROW()-1,FALSE))</f>
        <v>5.2</v>
      </c>
      <c r="AO60">
        <f ca="1">IF(AND(ISNUMBER($AO$215),$B$158=1),$AO$215,HLOOKUP(INDIRECT(ADDRESS(2,COLUMN())),OFFSET($BN$2,0,0,ROW()-1,60),ROW()-1,FALSE))</f>
        <v>3.3</v>
      </c>
      <c r="AP60" t="str">
        <f ca="1">IF(AND(ISNUMBER($AP$215),$B$158=1),$AP$215,HLOOKUP(INDIRECT(ADDRESS(2,COLUMN())),OFFSET($BN$2,0,0,ROW()-1,60),ROW()-1,FALSE))</f>
        <v/>
      </c>
      <c r="AQ60" t="str">
        <f ca="1">IF(AND(ISNUMBER($AQ$215),$B$158=1),$AQ$215,HLOOKUP(INDIRECT(ADDRESS(2,COLUMN())),OFFSET($BN$2,0,0,ROW()-1,60),ROW()-1,FALSE))</f>
        <v/>
      </c>
      <c r="AR60" t="str">
        <f ca="1">IF(AND(ISNUMBER($AR$215),$B$158=1),$AR$215,HLOOKUP(INDIRECT(ADDRESS(2,COLUMN())),OFFSET($BN$2,0,0,ROW()-1,60),ROW()-1,FALSE))</f>
        <v/>
      </c>
      <c r="AS60" t="str">
        <f ca="1">IF(AND(ISNUMBER($AS$215),$B$158=1),$AS$215,HLOOKUP(INDIRECT(ADDRESS(2,COLUMN())),OFFSET($BN$2,0,0,ROW()-1,60),ROW()-1,FALSE))</f>
        <v/>
      </c>
      <c r="AT60" t="str">
        <f ca="1">IF(AND(ISNUMBER($AT$215),$B$158=1),$AT$215,HLOOKUP(INDIRECT(ADDRESS(2,COLUMN())),OFFSET($BN$2,0,0,ROW()-1,60),ROW()-1,FALSE))</f>
        <v/>
      </c>
      <c r="AU60" t="str">
        <f ca="1">IF(AND(ISNUMBER($AU$215),$B$158=1),$AU$215,HLOOKUP(INDIRECT(ADDRESS(2,COLUMN())),OFFSET($BN$2,0,0,ROW()-1,60),ROW()-1,FALSE))</f>
        <v/>
      </c>
      <c r="AV60" t="str">
        <f ca="1">IF(AND(ISNUMBER($AV$215),$B$158=1),$AV$215,HLOOKUP(INDIRECT(ADDRESS(2,COLUMN())),OFFSET($BN$2,0,0,ROW()-1,60),ROW()-1,FALSE))</f>
        <v/>
      </c>
      <c r="AW60" t="str">
        <f ca="1">IF(AND(ISNUMBER($AW$215),$B$158=1),$AW$215,HLOOKUP(INDIRECT(ADDRESS(2,COLUMN())),OFFSET($BN$2,0,0,ROW()-1,60),ROW()-1,FALSE))</f>
        <v/>
      </c>
      <c r="AX60" t="str">
        <f ca="1">IF(AND(ISNUMBER($AX$215),$B$158=1),$AX$215,HLOOKUP(INDIRECT(ADDRESS(2,COLUMN())),OFFSET($BN$2,0,0,ROW()-1,60),ROW()-1,FALSE))</f>
        <v/>
      </c>
      <c r="AY60" t="str">
        <f ca="1">IF(AND(ISNUMBER($AY$215),$B$158=1),$AY$215,HLOOKUP(INDIRECT(ADDRESS(2,COLUMN())),OFFSET($BN$2,0,0,ROW()-1,60),ROW()-1,FALSE))</f>
        <v/>
      </c>
      <c r="AZ60" t="str">
        <f ca="1">IF(AND(ISNUMBER($AZ$215),$B$158=1),$AZ$215,HLOOKUP(INDIRECT(ADDRESS(2,COLUMN())),OFFSET($BN$2,0,0,ROW()-1,60),ROW()-1,FALSE))</f>
        <v/>
      </c>
      <c r="BA60" t="str">
        <f ca="1">IF(AND(ISNUMBER($BA$215),$B$158=1),$BA$215,HLOOKUP(INDIRECT(ADDRESS(2,COLUMN())),OFFSET($BN$2,0,0,ROW()-1,60),ROW()-1,FALSE))</f>
        <v/>
      </c>
      <c r="BB60" t="str">
        <f ca="1">IF(AND(ISNUMBER($BB$215),$B$158=1),$BB$215,HLOOKUP(INDIRECT(ADDRESS(2,COLUMN())),OFFSET($BN$2,0,0,ROW()-1,60),ROW()-1,FALSE))</f>
        <v/>
      </c>
      <c r="BC60" t="str">
        <f ca="1">IF(AND(ISNUMBER($BC$215),$B$158=1),$BC$215,HLOOKUP(INDIRECT(ADDRESS(2,COLUMN())),OFFSET($BN$2,0,0,ROW()-1,60),ROW()-1,FALSE))</f>
        <v/>
      </c>
      <c r="BD60" t="str">
        <f ca="1">IF(AND(ISNUMBER($BD$215),$B$158=1),$BD$215,HLOOKUP(INDIRECT(ADDRESS(2,COLUMN())),OFFSET($BN$2,0,0,ROW()-1,60),ROW()-1,FALSE))</f>
        <v/>
      </c>
      <c r="BE60" t="str">
        <f ca="1">IF(AND(ISNUMBER($BE$215),$B$158=1),$BE$215,HLOOKUP(INDIRECT(ADDRESS(2,COLUMN())),OFFSET($BN$2,0,0,ROW()-1,60),ROW()-1,FALSE))</f>
        <v/>
      </c>
      <c r="BF60" t="str">
        <f ca="1">IF(AND(ISNUMBER($BF$215),$B$158=1),$BF$215,HLOOKUP(INDIRECT(ADDRESS(2,COLUMN())),OFFSET($BN$2,0,0,ROW()-1,60),ROW()-1,FALSE))</f>
        <v/>
      </c>
      <c r="BG60" t="str">
        <f ca="1">IF(AND(ISNUMBER($BG$215),$B$158=1),$BG$215,HLOOKUP(INDIRECT(ADDRESS(2,COLUMN())),OFFSET($BN$2,0,0,ROW()-1,60),ROW()-1,FALSE))</f>
        <v/>
      </c>
      <c r="BH60" t="str">
        <f ca="1">IF(AND(ISNUMBER($BH$215),$B$158=1),$BH$215,HLOOKUP(INDIRECT(ADDRESS(2,COLUMN())),OFFSET($BN$2,0,0,ROW()-1,60),ROW()-1,FALSE))</f>
        <v/>
      </c>
      <c r="BI60" t="str">
        <f ca="1">IF(AND(ISNUMBER($BI$215),$B$158=1),$BI$215,HLOOKUP(INDIRECT(ADDRESS(2,COLUMN())),OFFSET($BN$2,0,0,ROW()-1,60),ROW()-1,FALSE))</f>
        <v/>
      </c>
      <c r="BJ60" t="str">
        <f ca="1">IF(AND(ISNUMBER($BJ$215),$B$158=1),$BJ$215,HLOOKUP(INDIRECT(ADDRESS(2,COLUMN())),OFFSET($BN$2,0,0,ROW()-1,60),ROW()-1,FALSE))</f>
        <v/>
      </c>
      <c r="BK60" t="str">
        <f ca="1">IF(AND(ISNUMBER($BK$215),$B$158=1),$BK$215,HLOOKUP(INDIRECT(ADDRESS(2,COLUMN())),OFFSET($BN$2,0,0,ROW()-1,60),ROW()-1,FALSE))</f>
        <v/>
      </c>
      <c r="BL60" t="str">
        <f ca="1">IF(AND(ISNUMBER($BL$215),$B$158=1),$BL$215,HLOOKUP(INDIRECT(ADDRESS(2,COLUMN())),OFFSET($BN$2,0,0,ROW()-1,60),ROW()-1,FALSE))</f>
        <v/>
      </c>
      <c r="BM60" t="str">
        <f ca="1">IF(AND(ISNUMBER($BM$215),$B$158=1),$BM$215,HLOOKUP(INDIRECT(ADDRESS(2,COLUMN())),OFFSET($BN$2,0,0,ROW()-1,60),ROW()-1,FALSE))</f>
        <v/>
      </c>
      <c r="BN60" t="str">
        <f>""</f>
        <v/>
      </c>
      <c r="BO60">
        <f>12.2</f>
        <v>12.2</v>
      </c>
      <c r="BP60">
        <f>95</f>
        <v>95</v>
      </c>
      <c r="BQ60">
        <f>25.8</f>
        <v>25.8</v>
      </c>
      <c r="BR60" t="str">
        <f>""</f>
        <v/>
      </c>
      <c r="BS60">
        <f>-1.2</f>
        <v>-1.2</v>
      </c>
      <c r="BT60">
        <f>-43.7</f>
        <v>-43.7</v>
      </c>
      <c r="BU60">
        <f>-16.4</f>
        <v>-16.399999999999999</v>
      </c>
      <c r="BV60">
        <f>33.1</f>
        <v>33.1</v>
      </c>
      <c r="BW60">
        <f>11.6</f>
        <v>11.6</v>
      </c>
      <c r="BX60">
        <f>13.1</f>
        <v>13.1</v>
      </c>
      <c r="BY60">
        <f>17.5</f>
        <v>17.5</v>
      </c>
      <c r="BZ60">
        <f>24.2</f>
        <v>24.2</v>
      </c>
      <c r="CA60">
        <f>27.5</f>
        <v>27.5</v>
      </c>
      <c r="CB60">
        <f>31.5</f>
        <v>31.5</v>
      </c>
      <c r="CC60">
        <f>36.5</f>
        <v>36.5</v>
      </c>
      <c r="CD60">
        <f>27.4</f>
        <v>27.4</v>
      </c>
      <c r="CE60">
        <f>28.4</f>
        <v>28.4</v>
      </c>
      <c r="CF60">
        <f>24.6</f>
        <v>24.6</v>
      </c>
      <c r="CG60">
        <f>28.6</f>
        <v>28.6</v>
      </c>
      <c r="CH60">
        <f>10.4</f>
        <v>10.4</v>
      </c>
      <c r="CI60">
        <f>10.5</f>
        <v>10.5</v>
      </c>
      <c r="CJ60">
        <f>6.9</f>
        <v>6.9</v>
      </c>
      <c r="CK60">
        <f>4</f>
        <v>4</v>
      </c>
      <c r="CL60" t="str">
        <f>""</f>
        <v/>
      </c>
      <c r="CM60">
        <f>3.1</f>
        <v>3.1</v>
      </c>
      <c r="CN60">
        <f>7.7</f>
        <v>7.7</v>
      </c>
      <c r="CO60">
        <f>-0.6</f>
        <v>-0.6</v>
      </c>
      <c r="CP60">
        <f>4.9</f>
        <v>4.9000000000000004</v>
      </c>
      <c r="CQ60">
        <f>4.4</f>
        <v>4.4000000000000004</v>
      </c>
      <c r="CR60">
        <f>4</f>
        <v>4</v>
      </c>
      <c r="CS60">
        <f>4.1</f>
        <v>4.0999999999999996</v>
      </c>
      <c r="CT60">
        <f>4</f>
        <v>4</v>
      </c>
      <c r="CU60">
        <f>3.4</f>
        <v>3.4</v>
      </c>
      <c r="CV60">
        <f>5.2</f>
        <v>5.2</v>
      </c>
      <c r="CW60">
        <f>3.3</f>
        <v>3.3</v>
      </c>
      <c r="CX60" t="str">
        <f>""</f>
        <v/>
      </c>
      <c r="CY60" t="str">
        <f>""</f>
        <v/>
      </c>
      <c r="CZ60" t="str">
        <f>""</f>
        <v/>
      </c>
      <c r="DA60" t="str">
        <f>""</f>
        <v/>
      </c>
      <c r="DB60" t="str">
        <f>""</f>
        <v/>
      </c>
      <c r="DC60" t="str">
        <f>""</f>
        <v/>
      </c>
      <c r="DD60" t="str">
        <f>""</f>
        <v/>
      </c>
      <c r="DE60" t="str">
        <f>""</f>
        <v/>
      </c>
      <c r="DF60" t="str">
        <f>""</f>
        <v/>
      </c>
      <c r="DG60" t="str">
        <f>""</f>
        <v/>
      </c>
      <c r="DH60" t="str">
        <f>""</f>
        <v/>
      </c>
      <c r="DI60" t="str">
        <f>""</f>
        <v/>
      </c>
      <c r="DJ60" t="str">
        <f>""</f>
        <v/>
      </c>
      <c r="DK60" t="str">
        <f>""</f>
        <v/>
      </c>
      <c r="DL60" t="str">
        <f>""</f>
        <v/>
      </c>
      <c r="DM60" t="str">
        <f>""</f>
        <v/>
      </c>
      <c r="DN60" t="str">
        <f>""</f>
        <v/>
      </c>
      <c r="DO60" t="str">
        <f>""</f>
        <v/>
      </c>
      <c r="DP60" t="str">
        <f>""</f>
        <v/>
      </c>
      <c r="DQ60" t="str">
        <f>""</f>
        <v/>
      </c>
      <c r="DR60" t="str">
        <f>""</f>
        <v/>
      </c>
      <c r="DS60" t="str">
        <f>""</f>
        <v/>
      </c>
      <c r="DT60" t="str">
        <f>""</f>
        <v/>
      </c>
      <c r="DU60" t="str">
        <f>""</f>
        <v/>
      </c>
    </row>
    <row r="61" spans="1:125" x14ac:dyDescent="0.25">
      <c r="A61" t="str">
        <f>"            Luxury Division"</f>
        <v xml:space="preserve">            Luxury Division</v>
      </c>
      <c r="B61" t="str">
        <f t="shared" si="26"/>
        <v>KER FP Equity</v>
      </c>
      <c r="C61" t="str">
        <f t="shared" ref="C61:C67" si="28">"BI047"</f>
        <v>BI047</v>
      </c>
      <c r="D61" t="str">
        <f t="shared" ref="D61:D67" si="29">"BICS_SEGMENT_DATA"</f>
        <v>BICS_SEGMENT_DATA</v>
      </c>
      <c r="E61" t="str">
        <f t="shared" si="27"/>
        <v>Dynamic</v>
      </c>
      <c r="F61" t="str">
        <f ca="1">IF(AND(ISNUMBER($F$216),$B$158=1),$F$216,HLOOKUP(INDIRECT(ADDRESS(2,COLUMN())),OFFSET($BN$2,0,0,ROW()-1,60),ROW()-1,FALSE))</f>
        <v/>
      </c>
      <c r="G61">
        <f ca="1">IF(AND(ISNUMBER($G$216),$B$158=1),$G$216,HLOOKUP(INDIRECT(ADDRESS(2,COLUMN())),OFFSET($BN$2,0,0,ROW()-1,60),ROW()-1,FALSE))</f>
        <v>11.8</v>
      </c>
      <c r="H61">
        <f ca="1">IF(AND(ISNUMBER($H$216),$B$158=1),$H$216,HLOOKUP(INDIRECT(ADDRESS(2,COLUMN())),OFFSET($BN$2,0,0,ROW()-1,60),ROW()-1,FALSE))</f>
        <v>92.5</v>
      </c>
      <c r="I61">
        <f ca="1">IF(AND(ISNUMBER($I$216),$B$158=1),$I$216,HLOOKUP(INDIRECT(ADDRESS(2,COLUMN())),OFFSET($BN$2,0,0,ROW()-1,60),ROW()-1,FALSE))</f>
        <v>26</v>
      </c>
      <c r="J61">
        <f ca="1">IF(AND(ISNUMBER($J$216),$B$158=1),$J$216,HLOOKUP(INDIRECT(ADDRESS(2,COLUMN())),OFFSET($BN$2,0,0,ROW()-1,60),ROW()-1,FALSE))</f>
        <v>-4.8</v>
      </c>
      <c r="K61">
        <f ca="1">IF(AND(ISNUMBER($K$216),$B$158=1),$K$216,HLOOKUP(INDIRECT(ADDRESS(2,COLUMN())),OFFSET($BN$2,0,0,ROW()-1,60),ROW()-1,FALSE))</f>
        <v>-1.6</v>
      </c>
      <c r="L61">
        <f ca="1">IF(AND(ISNUMBER($L$216),$B$158=1),$L$216,HLOOKUP(INDIRECT(ADDRESS(2,COLUMN())),OFFSET($BN$2,0,0,ROW()-1,60),ROW()-1,FALSE))</f>
        <v>-43.4</v>
      </c>
      <c r="M61">
        <f ca="1">IF(AND(ISNUMBER($M$216),$B$158=1),$M$216,HLOOKUP(INDIRECT(ADDRESS(2,COLUMN())),OFFSET($BN$2,0,0,ROW()-1,60),ROW()-1,FALSE))</f>
        <v>-16.899999999999999</v>
      </c>
      <c r="N61">
        <f ca="1">IF(AND(ISNUMBER($N$216),$B$158=1),$N$216,HLOOKUP(INDIRECT(ADDRESS(2,COLUMN())),OFFSET($BN$2,0,0,ROW()-1,60),ROW()-1,FALSE))</f>
        <v>11.6</v>
      </c>
      <c r="O61">
        <f ca="1">IF(AND(ISNUMBER($O$216),$B$158=1),$O$216,HLOOKUP(INDIRECT(ADDRESS(2,COLUMN())),OFFSET($BN$2,0,0,ROW()-1,60),ROW()-1,FALSE))</f>
        <v>11.3</v>
      </c>
      <c r="P61">
        <f ca="1">IF(AND(ISNUMBER($P$216),$B$158=1),$P$216,HLOOKUP(INDIRECT(ADDRESS(2,COLUMN())),OFFSET($BN$2,0,0,ROW()-1,60),ROW()-1,FALSE))</f>
        <v>13.1</v>
      </c>
      <c r="Q61">
        <f ca="1">IF(AND(ISNUMBER($Q$216),$B$158=1),$Q$216,HLOOKUP(INDIRECT(ADDRESS(2,COLUMN())),OFFSET($BN$2,0,0,ROW()-1,60),ROW()-1,FALSE))</f>
        <v>17.399999999999999</v>
      </c>
      <c r="R61">
        <f ca="1">IF(AND(ISNUMBER($R$216),$B$158=1),$R$216,HLOOKUP(INDIRECT(ADDRESS(2,COLUMN())),OFFSET($BN$2,0,0,ROW()-1,60),ROW()-1,FALSE))</f>
        <v>23.3</v>
      </c>
      <c r="S61">
        <f ca="1">IF(AND(ISNUMBER($S$216),$B$158=1),$S$216,HLOOKUP(INDIRECT(ADDRESS(2,COLUMN())),OFFSET($BN$2,0,0,ROW()-1,60),ROW()-1,FALSE))</f>
        <v>27.1</v>
      </c>
      <c r="T61">
        <f ca="1">IF(AND(ISNUMBER($T$216),$B$158=1),$T$216,HLOOKUP(INDIRECT(ADDRESS(2,COLUMN())),OFFSET($BN$2,0,0,ROW()-1,60),ROW()-1,FALSE))</f>
        <v>31.3</v>
      </c>
      <c r="U61">
        <f ca="1">IF(AND(ISNUMBER($U$216),$B$158=1),$U$216,HLOOKUP(INDIRECT(ADDRESS(2,COLUMN())),OFFSET($BN$2,0,0,ROW()-1,60),ROW()-1,FALSE))</f>
        <v>36.799999999999997</v>
      </c>
      <c r="V61">
        <f ca="1">IF(AND(ISNUMBER($V$216),$B$158=1),$V$216,HLOOKUP(INDIRECT(ADDRESS(2,COLUMN())),OFFSET($BN$2,0,0,ROW()-1,60),ROW()-1,FALSE))</f>
        <v>30.5</v>
      </c>
      <c r="W61">
        <f ca="1">IF(AND(ISNUMBER($W$216),$B$158=1),$W$216,HLOOKUP(INDIRECT(ADDRESS(2,COLUMN())),OFFSET($BN$2,0,0,ROW()-1,60),ROW()-1,FALSE))</f>
        <v>32.299999999999997</v>
      </c>
      <c r="X61">
        <f ca="1">IF(AND(ISNUMBER($X$216),$B$158=1),$X$216,HLOOKUP(INDIRECT(ADDRESS(2,COLUMN())),OFFSET($BN$2,0,0,ROW()-1,60),ROW()-1,FALSE))</f>
        <v>25.3</v>
      </c>
      <c r="Y61">
        <f ca="1">IF(AND(ISNUMBER($Y$216),$B$158=1),$Y$216,HLOOKUP(INDIRECT(ADDRESS(2,COLUMN())),OFFSET($BN$2,0,0,ROW()-1,60),ROW()-1,FALSE))</f>
        <v>31.6</v>
      </c>
      <c r="Z61">
        <f ca="1">IF(AND(ISNUMBER($Z$216),$B$158=1),$Z$216,HLOOKUP(INDIRECT(ADDRESS(2,COLUMN())),OFFSET($BN$2,0,0,ROW()-1,60),ROW()-1,FALSE))</f>
        <v>11.3</v>
      </c>
      <c r="AA61">
        <f ca="1">IF(AND(ISNUMBER($AA$216),$B$158=1),$AA$216,HLOOKUP(INDIRECT(ADDRESS(2,COLUMN())),OFFSET($BN$2,0,0,ROW()-1,60),ROW()-1,FALSE))</f>
        <v>11.3</v>
      </c>
      <c r="AB61">
        <f ca="1">IF(AND(ISNUMBER($AB$216),$B$158=1),$AB$216,HLOOKUP(INDIRECT(ADDRESS(2,COLUMN())),OFFSET($BN$2,0,0,ROW()-1,60),ROW()-1,FALSE))</f>
        <v>5.2</v>
      </c>
      <c r="AC61">
        <f ca="1">IF(AND(ISNUMBER($AC$216),$B$158=1),$AC$216,HLOOKUP(INDIRECT(ADDRESS(2,COLUMN())),OFFSET($BN$2,0,0,ROW()-1,60),ROW()-1,FALSE))</f>
        <v>2.6</v>
      </c>
      <c r="AD61">
        <f ca="1">IF(AND(ISNUMBER($AD$216),$B$158=1),$AD$216,HLOOKUP(INDIRECT(ADDRESS(2,COLUMN())),OFFSET($BN$2,0,0,ROW()-1,60),ROW()-1,FALSE))</f>
        <v>7.2</v>
      </c>
      <c r="AE61">
        <f ca="1">IF(AND(ISNUMBER($AE$216),$B$158=1),$AE$216,HLOOKUP(INDIRECT(ADDRESS(2,COLUMN())),OFFSET($BN$2,0,0,ROW()-1,60),ROW()-1,FALSE))</f>
        <v>3.1</v>
      </c>
      <c r="AF61">
        <f ca="1">IF(AND(ISNUMBER($AF$216),$B$158=1),$AF$216,HLOOKUP(INDIRECT(ADDRESS(2,COLUMN())),OFFSET($BN$2,0,0,ROW()-1,60),ROW()-1,FALSE))</f>
        <v>8</v>
      </c>
      <c r="AG61">
        <f ca="1">IF(AND(ISNUMBER($AG$216),$B$158=1),$AG$216,HLOOKUP(INDIRECT(ADDRESS(2,COLUMN())),OFFSET($BN$2,0,0,ROW()-1,60),ROW()-1,FALSE))</f>
        <v>-2.6</v>
      </c>
      <c r="AH61">
        <f ca="1">IF(AND(ISNUMBER($AH$216),$B$158=1),$AH$216,HLOOKUP(INDIRECT(ADDRESS(2,COLUMN())),OFFSET($BN$2,0,0,ROW()-1,60),ROW()-1,FALSE))</f>
        <v>4.3</v>
      </c>
      <c r="AI61">
        <f ca="1">IF(AND(ISNUMBER($AI$216),$B$158=1),$AI$216,HLOOKUP(INDIRECT(ADDRESS(2,COLUMN())),OFFSET($BN$2,0,0,ROW()-1,60),ROW()-1,FALSE))</f>
        <v>3.5</v>
      </c>
      <c r="AJ61">
        <f ca="1">IF(AND(ISNUMBER($AJ$216),$B$158=1),$AJ$216,HLOOKUP(INDIRECT(ADDRESS(2,COLUMN())),OFFSET($BN$2,0,0,ROW()-1,60),ROW()-1,FALSE))</f>
        <v>5.2</v>
      </c>
      <c r="AK61">
        <f ca="1">IF(AND(ISNUMBER($AK$216),$B$158=1),$AK$216,HLOOKUP(INDIRECT(ADDRESS(2,COLUMN())),OFFSET($BN$2,0,0,ROW()-1,60),ROW()-1,FALSE))</f>
        <v>6.3</v>
      </c>
      <c r="AL61">
        <f ca="1">IF(AND(ISNUMBER($AL$216),$B$158=1),$AL$216,HLOOKUP(INDIRECT(ADDRESS(2,COLUMN())),OFFSET($BN$2,0,0,ROW()-1,60),ROW()-1,FALSE))</f>
        <v>7.4</v>
      </c>
      <c r="AM61">
        <f ca="1">IF(AND(ISNUMBER($AM$216),$B$158=1),$AM$216,HLOOKUP(INDIRECT(ADDRESS(2,COLUMN())),OFFSET($BN$2,0,0,ROW()-1,60),ROW()-1,FALSE))</f>
        <v>5.6</v>
      </c>
      <c r="AN61">
        <f ca="1">IF(AND(ISNUMBER($AN$216),$B$158=1),$AN$216,HLOOKUP(INDIRECT(ADDRESS(2,COLUMN())),OFFSET($BN$2,0,0,ROW()-1,60),ROW()-1,FALSE))</f>
        <v>9.4</v>
      </c>
      <c r="AO61">
        <f ca="1">IF(AND(ISNUMBER($AO$216),$B$158=1),$AO$216,HLOOKUP(INDIRECT(ADDRESS(2,COLUMN())),OFFSET($BN$2,0,0,ROW()-1,60),ROW()-1,FALSE))</f>
        <v>6.4</v>
      </c>
      <c r="AP61" t="str">
        <f ca="1">IF(AND(ISNUMBER($AP$216),$B$158=1),$AP$216,HLOOKUP(INDIRECT(ADDRESS(2,COLUMN())),OFFSET($BN$2,0,0,ROW()-1,60),ROW()-1,FALSE))</f>
        <v/>
      </c>
      <c r="AQ61" t="str">
        <f ca="1">IF(AND(ISNUMBER($AQ$216),$B$158=1),$AQ$216,HLOOKUP(INDIRECT(ADDRESS(2,COLUMN())),OFFSET($BN$2,0,0,ROW()-1,60),ROW()-1,FALSE))</f>
        <v/>
      </c>
      <c r="AR61" t="str">
        <f ca="1">IF(AND(ISNUMBER($AR$216),$B$158=1),$AR$216,HLOOKUP(INDIRECT(ADDRESS(2,COLUMN())),OFFSET($BN$2,0,0,ROW()-1,60),ROW()-1,FALSE))</f>
        <v/>
      </c>
      <c r="AS61" t="str">
        <f ca="1">IF(AND(ISNUMBER($AS$216),$B$158=1),$AS$216,HLOOKUP(INDIRECT(ADDRESS(2,COLUMN())),OFFSET($BN$2,0,0,ROW()-1,60),ROW()-1,FALSE))</f>
        <v/>
      </c>
      <c r="AT61" t="str">
        <f ca="1">IF(AND(ISNUMBER($AT$216),$B$158=1),$AT$216,HLOOKUP(INDIRECT(ADDRESS(2,COLUMN())),OFFSET($BN$2,0,0,ROW()-1,60),ROW()-1,FALSE))</f>
        <v/>
      </c>
      <c r="AU61" t="str">
        <f ca="1">IF(AND(ISNUMBER($AU$216),$B$158=1),$AU$216,HLOOKUP(INDIRECT(ADDRESS(2,COLUMN())),OFFSET($BN$2,0,0,ROW()-1,60),ROW()-1,FALSE))</f>
        <v/>
      </c>
      <c r="AV61" t="str">
        <f ca="1">IF(AND(ISNUMBER($AV$216),$B$158=1),$AV$216,HLOOKUP(INDIRECT(ADDRESS(2,COLUMN())),OFFSET($BN$2,0,0,ROW()-1,60),ROW()-1,FALSE))</f>
        <v/>
      </c>
      <c r="AW61" t="str">
        <f ca="1">IF(AND(ISNUMBER($AW$216),$B$158=1),$AW$216,HLOOKUP(INDIRECT(ADDRESS(2,COLUMN())),OFFSET($BN$2,0,0,ROW()-1,60),ROW()-1,FALSE))</f>
        <v/>
      </c>
      <c r="AX61" t="str">
        <f ca="1">IF(AND(ISNUMBER($AX$216),$B$158=1),$AX$216,HLOOKUP(INDIRECT(ADDRESS(2,COLUMN())),OFFSET($BN$2,0,0,ROW()-1,60),ROW()-1,FALSE))</f>
        <v/>
      </c>
      <c r="AY61" t="str">
        <f ca="1">IF(AND(ISNUMBER($AY$216),$B$158=1),$AY$216,HLOOKUP(INDIRECT(ADDRESS(2,COLUMN())),OFFSET($BN$2,0,0,ROW()-1,60),ROW()-1,FALSE))</f>
        <v/>
      </c>
      <c r="AZ61" t="str">
        <f ca="1">IF(AND(ISNUMBER($AZ$216),$B$158=1),$AZ$216,HLOOKUP(INDIRECT(ADDRESS(2,COLUMN())),OFFSET($BN$2,0,0,ROW()-1,60),ROW()-1,FALSE))</f>
        <v/>
      </c>
      <c r="BA61" t="str">
        <f ca="1">IF(AND(ISNUMBER($BA$216),$B$158=1),$BA$216,HLOOKUP(INDIRECT(ADDRESS(2,COLUMN())),OFFSET($BN$2,0,0,ROW()-1,60),ROW()-1,FALSE))</f>
        <v/>
      </c>
      <c r="BB61" t="str">
        <f ca="1">IF(AND(ISNUMBER($BB$216),$B$158=1),$BB$216,HLOOKUP(INDIRECT(ADDRESS(2,COLUMN())),OFFSET($BN$2,0,0,ROW()-1,60),ROW()-1,FALSE))</f>
        <v/>
      </c>
      <c r="BC61" t="str">
        <f ca="1">IF(AND(ISNUMBER($BC$216),$B$158=1),$BC$216,HLOOKUP(INDIRECT(ADDRESS(2,COLUMN())),OFFSET($BN$2,0,0,ROW()-1,60),ROW()-1,FALSE))</f>
        <v/>
      </c>
      <c r="BD61" t="str">
        <f ca="1">IF(AND(ISNUMBER($BD$216),$B$158=1),$BD$216,HLOOKUP(INDIRECT(ADDRESS(2,COLUMN())),OFFSET($BN$2,0,0,ROW()-1,60),ROW()-1,FALSE))</f>
        <v/>
      </c>
      <c r="BE61" t="str">
        <f ca="1">IF(AND(ISNUMBER($BE$216),$B$158=1),$BE$216,HLOOKUP(INDIRECT(ADDRESS(2,COLUMN())),OFFSET($BN$2,0,0,ROW()-1,60),ROW()-1,FALSE))</f>
        <v/>
      </c>
      <c r="BF61" t="str">
        <f ca="1">IF(AND(ISNUMBER($BF$216),$B$158=1),$BF$216,HLOOKUP(INDIRECT(ADDRESS(2,COLUMN())),OFFSET($BN$2,0,0,ROW()-1,60),ROW()-1,FALSE))</f>
        <v/>
      </c>
      <c r="BG61" t="str">
        <f ca="1">IF(AND(ISNUMBER($BG$216),$B$158=1),$BG$216,HLOOKUP(INDIRECT(ADDRESS(2,COLUMN())),OFFSET($BN$2,0,0,ROW()-1,60),ROW()-1,FALSE))</f>
        <v/>
      </c>
      <c r="BH61" t="str">
        <f ca="1">IF(AND(ISNUMBER($BH$216),$B$158=1),$BH$216,HLOOKUP(INDIRECT(ADDRESS(2,COLUMN())),OFFSET($BN$2,0,0,ROW()-1,60),ROW()-1,FALSE))</f>
        <v/>
      </c>
      <c r="BI61" t="str">
        <f ca="1">IF(AND(ISNUMBER($BI$216),$B$158=1),$BI$216,HLOOKUP(INDIRECT(ADDRESS(2,COLUMN())),OFFSET($BN$2,0,0,ROW()-1,60),ROW()-1,FALSE))</f>
        <v/>
      </c>
      <c r="BJ61" t="str">
        <f ca="1">IF(AND(ISNUMBER($BJ$216),$B$158=1),$BJ$216,HLOOKUP(INDIRECT(ADDRESS(2,COLUMN())),OFFSET($BN$2,0,0,ROW()-1,60),ROW()-1,FALSE))</f>
        <v/>
      </c>
      <c r="BK61" t="str">
        <f ca="1">IF(AND(ISNUMBER($BK$216),$B$158=1),$BK$216,HLOOKUP(INDIRECT(ADDRESS(2,COLUMN())),OFFSET($BN$2,0,0,ROW()-1,60),ROW()-1,FALSE))</f>
        <v/>
      </c>
      <c r="BL61" t="str">
        <f ca="1">IF(AND(ISNUMBER($BL$216),$B$158=1),$BL$216,HLOOKUP(INDIRECT(ADDRESS(2,COLUMN())),OFFSET($BN$2,0,0,ROW()-1,60),ROW()-1,FALSE))</f>
        <v/>
      </c>
      <c r="BM61" t="str">
        <f ca="1">IF(AND(ISNUMBER($BM$216),$B$158=1),$BM$216,HLOOKUP(INDIRECT(ADDRESS(2,COLUMN())),OFFSET($BN$2,0,0,ROW()-1,60),ROW()-1,FALSE))</f>
        <v/>
      </c>
      <c r="BN61" t="str">
        <f>""</f>
        <v/>
      </c>
      <c r="BO61">
        <f>11.8</f>
        <v>11.8</v>
      </c>
      <c r="BP61">
        <f>92.5</f>
        <v>92.5</v>
      </c>
      <c r="BQ61">
        <f>26</f>
        <v>26</v>
      </c>
      <c r="BR61">
        <f>-4.8</f>
        <v>-4.8</v>
      </c>
      <c r="BS61">
        <f>-1.6</f>
        <v>-1.6</v>
      </c>
      <c r="BT61">
        <f>-43.4</f>
        <v>-43.4</v>
      </c>
      <c r="BU61">
        <f>-16.9</f>
        <v>-16.899999999999999</v>
      </c>
      <c r="BV61">
        <f>11.6</f>
        <v>11.6</v>
      </c>
      <c r="BW61">
        <f>11.3</f>
        <v>11.3</v>
      </c>
      <c r="BX61">
        <f>13.1</f>
        <v>13.1</v>
      </c>
      <c r="BY61">
        <f>17.4</f>
        <v>17.399999999999999</v>
      </c>
      <c r="BZ61">
        <f>23.3</f>
        <v>23.3</v>
      </c>
      <c r="CA61">
        <f>27.1</f>
        <v>27.1</v>
      </c>
      <c r="CB61">
        <f>31.3</f>
        <v>31.3</v>
      </c>
      <c r="CC61">
        <f>36.8</f>
        <v>36.799999999999997</v>
      </c>
      <c r="CD61">
        <f>30.5</f>
        <v>30.5</v>
      </c>
      <c r="CE61">
        <f>32.3</f>
        <v>32.299999999999997</v>
      </c>
      <c r="CF61">
        <f>25.3</f>
        <v>25.3</v>
      </c>
      <c r="CG61">
        <f>31.6</f>
        <v>31.6</v>
      </c>
      <c r="CH61">
        <f>11.3</f>
        <v>11.3</v>
      </c>
      <c r="CI61">
        <f>11.3</f>
        <v>11.3</v>
      </c>
      <c r="CJ61">
        <f>5.2</f>
        <v>5.2</v>
      </c>
      <c r="CK61">
        <f>2.6</f>
        <v>2.6</v>
      </c>
      <c r="CL61">
        <f>7.2</f>
        <v>7.2</v>
      </c>
      <c r="CM61">
        <f>3.1</f>
        <v>3.1</v>
      </c>
      <c r="CN61">
        <f>8</f>
        <v>8</v>
      </c>
      <c r="CO61">
        <f>-2.6</f>
        <v>-2.6</v>
      </c>
      <c r="CP61">
        <f>4.3</f>
        <v>4.3</v>
      </c>
      <c r="CQ61">
        <f>3.5</f>
        <v>3.5</v>
      </c>
      <c r="CR61">
        <f>5.2</f>
        <v>5.2</v>
      </c>
      <c r="CS61">
        <f>6.3</f>
        <v>6.3</v>
      </c>
      <c r="CT61">
        <f>7.4</f>
        <v>7.4</v>
      </c>
      <c r="CU61">
        <f>5.6</f>
        <v>5.6</v>
      </c>
      <c r="CV61">
        <f>9.4</f>
        <v>9.4</v>
      </c>
      <c r="CW61">
        <f>6.4</f>
        <v>6.4</v>
      </c>
      <c r="CX61" t="str">
        <f>""</f>
        <v/>
      </c>
      <c r="CY61" t="str">
        <f>""</f>
        <v/>
      </c>
      <c r="CZ61" t="str">
        <f>""</f>
        <v/>
      </c>
      <c r="DA61" t="str">
        <f>""</f>
        <v/>
      </c>
      <c r="DB61" t="str">
        <f>""</f>
        <v/>
      </c>
      <c r="DC61" t="str">
        <f>""</f>
        <v/>
      </c>
      <c r="DD61" t="str">
        <f>""</f>
        <v/>
      </c>
      <c r="DE61" t="str">
        <f>""</f>
        <v/>
      </c>
      <c r="DF61" t="str">
        <f>""</f>
        <v/>
      </c>
      <c r="DG61" t="str">
        <f>""</f>
        <v/>
      </c>
      <c r="DH61" t="str">
        <f>""</f>
        <v/>
      </c>
      <c r="DI61" t="str">
        <f>""</f>
        <v/>
      </c>
      <c r="DJ61" t="str">
        <f>""</f>
        <v/>
      </c>
      <c r="DK61" t="str">
        <f>""</f>
        <v/>
      </c>
      <c r="DL61" t="str">
        <f>""</f>
        <v/>
      </c>
      <c r="DM61" t="str">
        <f>""</f>
        <v/>
      </c>
      <c r="DN61" t="str">
        <f>""</f>
        <v/>
      </c>
      <c r="DO61" t="str">
        <f>""</f>
        <v/>
      </c>
      <c r="DP61" t="str">
        <f>""</f>
        <v/>
      </c>
      <c r="DQ61" t="str">
        <f>""</f>
        <v/>
      </c>
      <c r="DR61" t="str">
        <f>""</f>
        <v/>
      </c>
      <c r="DS61" t="str">
        <f>""</f>
        <v/>
      </c>
      <c r="DT61" t="str">
        <f>""</f>
        <v/>
      </c>
      <c r="DU61" t="str">
        <f>""</f>
        <v/>
      </c>
    </row>
    <row r="62" spans="1:125" x14ac:dyDescent="0.25">
      <c r="A62" t="str">
        <f>"                Retail - Regional Breakdown"</f>
        <v xml:space="preserve">                Retail - Regional Breakdown</v>
      </c>
      <c r="B62" t="str">
        <f t="shared" si="26"/>
        <v>KER FP Equity</v>
      </c>
      <c r="C62" t="str">
        <f t="shared" si="28"/>
        <v>BI047</v>
      </c>
      <c r="D62" t="str">
        <f t="shared" si="29"/>
        <v>BICS_SEGMENT_DATA</v>
      </c>
      <c r="E62" t="str">
        <f t="shared" si="27"/>
        <v>Dynamic</v>
      </c>
      <c r="F62" t="str">
        <f ca="1">IF(AND(ISNUMBER($F$217),$B$158=1),$F$217,HLOOKUP(INDIRECT(ADDRESS(2,COLUMN())),OFFSET($BN$2,0,0,ROW()-1,60),ROW()-1,FALSE))</f>
        <v/>
      </c>
      <c r="G62" t="str">
        <f ca="1">IF(AND(ISNUMBER($G$217),$B$158=1),$G$217,HLOOKUP(INDIRECT(ADDRESS(2,COLUMN())),OFFSET($BN$2,0,0,ROW()-1,60),ROW()-1,FALSE))</f>
        <v/>
      </c>
      <c r="H62" t="str">
        <f ca="1">IF(AND(ISNUMBER($H$217),$B$158=1),$H$217,HLOOKUP(INDIRECT(ADDRESS(2,COLUMN())),OFFSET($BN$2,0,0,ROW()-1,60),ROW()-1,FALSE))</f>
        <v/>
      </c>
      <c r="I62" t="str">
        <f ca="1">IF(AND(ISNUMBER($I$217),$B$158=1),$I$217,HLOOKUP(INDIRECT(ADDRESS(2,COLUMN())),OFFSET($BN$2,0,0,ROW()-1,60),ROW()-1,FALSE))</f>
        <v/>
      </c>
      <c r="J62" t="str">
        <f ca="1">IF(AND(ISNUMBER($J$217),$B$158=1),$J$217,HLOOKUP(INDIRECT(ADDRESS(2,COLUMN())),OFFSET($BN$2,0,0,ROW()-1,60),ROW()-1,FALSE))</f>
        <v/>
      </c>
      <c r="K62" t="str">
        <f ca="1">IF(AND(ISNUMBER($K$217),$B$158=1),$K$217,HLOOKUP(INDIRECT(ADDRESS(2,COLUMN())),OFFSET($BN$2,0,0,ROW()-1,60),ROW()-1,FALSE))</f>
        <v/>
      </c>
      <c r="L62" t="str">
        <f ca="1">IF(AND(ISNUMBER($L$217),$B$158=1),$L$217,HLOOKUP(INDIRECT(ADDRESS(2,COLUMN())),OFFSET($BN$2,0,0,ROW()-1,60),ROW()-1,FALSE))</f>
        <v/>
      </c>
      <c r="M62" t="str">
        <f ca="1">IF(AND(ISNUMBER($M$217),$B$158=1),$M$217,HLOOKUP(INDIRECT(ADDRESS(2,COLUMN())),OFFSET($BN$2,0,0,ROW()-1,60),ROW()-1,FALSE))</f>
        <v/>
      </c>
      <c r="N62" t="str">
        <f ca="1">IF(AND(ISNUMBER($N$217),$B$158=1),$N$217,HLOOKUP(INDIRECT(ADDRESS(2,COLUMN())),OFFSET($BN$2,0,0,ROW()-1,60),ROW()-1,FALSE))</f>
        <v/>
      </c>
      <c r="O62" t="str">
        <f ca="1">IF(AND(ISNUMBER($O$217),$B$158=1),$O$217,HLOOKUP(INDIRECT(ADDRESS(2,COLUMN())),OFFSET($BN$2,0,0,ROW()-1,60),ROW()-1,FALSE))</f>
        <v/>
      </c>
      <c r="P62" t="str">
        <f ca="1">IF(AND(ISNUMBER($P$217),$B$158=1),$P$217,HLOOKUP(INDIRECT(ADDRESS(2,COLUMN())),OFFSET($BN$2,0,0,ROW()-1,60),ROW()-1,FALSE))</f>
        <v/>
      </c>
      <c r="Q62" t="str">
        <f ca="1">IF(AND(ISNUMBER($Q$217),$B$158=1),$Q$217,HLOOKUP(INDIRECT(ADDRESS(2,COLUMN())),OFFSET($BN$2,0,0,ROW()-1,60),ROW()-1,FALSE))</f>
        <v/>
      </c>
      <c r="R62" t="str">
        <f ca="1">IF(AND(ISNUMBER($R$217),$B$158=1),$R$217,HLOOKUP(INDIRECT(ADDRESS(2,COLUMN())),OFFSET($BN$2,0,0,ROW()-1,60),ROW()-1,FALSE))</f>
        <v/>
      </c>
      <c r="S62" t="str">
        <f ca="1">IF(AND(ISNUMBER($S$217),$B$158=1),$S$217,HLOOKUP(INDIRECT(ADDRESS(2,COLUMN())),OFFSET($BN$2,0,0,ROW()-1,60),ROW()-1,FALSE))</f>
        <v/>
      </c>
      <c r="T62" t="str">
        <f ca="1">IF(AND(ISNUMBER($T$217),$B$158=1),$T$217,HLOOKUP(INDIRECT(ADDRESS(2,COLUMN())),OFFSET($BN$2,0,0,ROW()-1,60),ROW()-1,FALSE))</f>
        <v/>
      </c>
      <c r="U62" t="str">
        <f ca="1">IF(AND(ISNUMBER($U$217),$B$158=1),$U$217,HLOOKUP(INDIRECT(ADDRESS(2,COLUMN())),OFFSET($BN$2,0,0,ROW()-1,60),ROW()-1,FALSE))</f>
        <v/>
      </c>
      <c r="V62" t="str">
        <f ca="1">IF(AND(ISNUMBER($V$217),$B$158=1),$V$217,HLOOKUP(INDIRECT(ADDRESS(2,COLUMN())),OFFSET($BN$2,0,0,ROW()-1,60),ROW()-1,FALSE))</f>
        <v/>
      </c>
      <c r="W62" t="str">
        <f ca="1">IF(AND(ISNUMBER($W$217),$B$158=1),$W$217,HLOOKUP(INDIRECT(ADDRESS(2,COLUMN())),OFFSET($BN$2,0,0,ROW()-1,60),ROW()-1,FALSE))</f>
        <v/>
      </c>
      <c r="X62" t="str">
        <f ca="1">IF(AND(ISNUMBER($X$217),$B$158=1),$X$217,HLOOKUP(INDIRECT(ADDRESS(2,COLUMN())),OFFSET($BN$2,0,0,ROW()-1,60),ROW()-1,FALSE))</f>
        <v/>
      </c>
      <c r="Y62" t="str">
        <f ca="1">IF(AND(ISNUMBER($Y$217),$B$158=1),$Y$217,HLOOKUP(INDIRECT(ADDRESS(2,COLUMN())),OFFSET($BN$2,0,0,ROW()-1,60),ROW()-1,FALSE))</f>
        <v/>
      </c>
      <c r="Z62" t="str">
        <f ca="1">IF(AND(ISNUMBER($Z$217),$B$158=1),$Z$217,HLOOKUP(INDIRECT(ADDRESS(2,COLUMN())),OFFSET($BN$2,0,0,ROW()-1,60),ROW()-1,FALSE))</f>
        <v/>
      </c>
      <c r="AA62" t="str">
        <f ca="1">IF(AND(ISNUMBER($AA$217),$B$158=1),$AA$217,HLOOKUP(INDIRECT(ADDRESS(2,COLUMN())),OFFSET($BN$2,0,0,ROW()-1,60),ROW()-1,FALSE))</f>
        <v/>
      </c>
      <c r="AB62" t="str">
        <f ca="1">IF(AND(ISNUMBER($AB$217),$B$158=1),$AB$217,HLOOKUP(INDIRECT(ADDRESS(2,COLUMN())),OFFSET($BN$2,0,0,ROW()-1,60),ROW()-1,FALSE))</f>
        <v/>
      </c>
      <c r="AC62" t="str">
        <f ca="1">IF(AND(ISNUMBER($AC$217),$B$158=1),$AC$217,HLOOKUP(INDIRECT(ADDRESS(2,COLUMN())),OFFSET($BN$2,0,0,ROW()-1,60),ROW()-1,FALSE))</f>
        <v/>
      </c>
      <c r="AD62" t="str">
        <f ca="1">IF(AND(ISNUMBER($AD$217),$B$158=1),$AD$217,HLOOKUP(INDIRECT(ADDRESS(2,COLUMN())),OFFSET($BN$2,0,0,ROW()-1,60),ROW()-1,FALSE))</f>
        <v/>
      </c>
      <c r="AE62" t="str">
        <f ca="1">IF(AND(ISNUMBER($AE$217),$B$158=1),$AE$217,HLOOKUP(INDIRECT(ADDRESS(2,COLUMN())),OFFSET($BN$2,0,0,ROW()-1,60),ROW()-1,FALSE))</f>
        <v/>
      </c>
      <c r="AF62" t="str">
        <f ca="1">IF(AND(ISNUMBER($AF$217),$B$158=1),$AF$217,HLOOKUP(INDIRECT(ADDRESS(2,COLUMN())),OFFSET($BN$2,0,0,ROW()-1,60),ROW()-1,FALSE))</f>
        <v/>
      </c>
      <c r="AG62" t="str">
        <f ca="1">IF(AND(ISNUMBER($AG$217),$B$158=1),$AG$217,HLOOKUP(INDIRECT(ADDRESS(2,COLUMN())),OFFSET($BN$2,0,0,ROW()-1,60),ROW()-1,FALSE))</f>
        <v/>
      </c>
      <c r="AH62" t="str">
        <f ca="1">IF(AND(ISNUMBER($AH$217),$B$158=1),$AH$217,HLOOKUP(INDIRECT(ADDRESS(2,COLUMN())),OFFSET($BN$2,0,0,ROW()-1,60),ROW()-1,FALSE))</f>
        <v/>
      </c>
      <c r="AI62" t="str">
        <f ca="1">IF(AND(ISNUMBER($AI$217),$B$158=1),$AI$217,HLOOKUP(INDIRECT(ADDRESS(2,COLUMN())),OFFSET($BN$2,0,0,ROW()-1,60),ROW()-1,FALSE))</f>
        <v/>
      </c>
      <c r="AJ62" t="str">
        <f ca="1">IF(AND(ISNUMBER($AJ$217),$B$158=1),$AJ$217,HLOOKUP(INDIRECT(ADDRESS(2,COLUMN())),OFFSET($BN$2,0,0,ROW()-1,60),ROW()-1,FALSE))</f>
        <v/>
      </c>
      <c r="AK62" t="str">
        <f ca="1">IF(AND(ISNUMBER($AK$217),$B$158=1),$AK$217,HLOOKUP(INDIRECT(ADDRESS(2,COLUMN())),OFFSET($BN$2,0,0,ROW()-1,60),ROW()-1,FALSE))</f>
        <v/>
      </c>
      <c r="AL62" t="str">
        <f ca="1">IF(AND(ISNUMBER($AL$217),$B$158=1),$AL$217,HLOOKUP(INDIRECT(ADDRESS(2,COLUMN())),OFFSET($BN$2,0,0,ROW()-1,60),ROW()-1,FALSE))</f>
        <v/>
      </c>
      <c r="AM62" t="str">
        <f ca="1">IF(AND(ISNUMBER($AM$217),$B$158=1),$AM$217,HLOOKUP(INDIRECT(ADDRESS(2,COLUMN())),OFFSET($BN$2,0,0,ROW()-1,60),ROW()-1,FALSE))</f>
        <v/>
      </c>
      <c r="AN62" t="str">
        <f ca="1">IF(AND(ISNUMBER($AN$217),$B$158=1),$AN$217,HLOOKUP(INDIRECT(ADDRESS(2,COLUMN())),OFFSET($BN$2,0,0,ROW()-1,60),ROW()-1,FALSE))</f>
        <v/>
      </c>
      <c r="AO62" t="str">
        <f ca="1">IF(AND(ISNUMBER($AO$217),$B$158=1),$AO$217,HLOOKUP(INDIRECT(ADDRESS(2,COLUMN())),OFFSET($BN$2,0,0,ROW()-1,60),ROW()-1,FALSE))</f>
        <v/>
      </c>
      <c r="AP62" t="str">
        <f ca="1">IF(AND(ISNUMBER($AP$217),$B$158=1),$AP$217,HLOOKUP(INDIRECT(ADDRESS(2,COLUMN())),OFFSET($BN$2,0,0,ROW()-1,60),ROW()-1,FALSE))</f>
        <v/>
      </c>
      <c r="AQ62" t="str">
        <f ca="1">IF(AND(ISNUMBER($AQ$217),$B$158=1),$AQ$217,HLOOKUP(INDIRECT(ADDRESS(2,COLUMN())),OFFSET($BN$2,0,0,ROW()-1,60),ROW()-1,FALSE))</f>
        <v/>
      </c>
      <c r="AR62" t="str">
        <f ca="1">IF(AND(ISNUMBER($AR$217),$B$158=1),$AR$217,HLOOKUP(INDIRECT(ADDRESS(2,COLUMN())),OFFSET($BN$2,0,0,ROW()-1,60),ROW()-1,FALSE))</f>
        <v/>
      </c>
      <c r="AS62" t="str">
        <f ca="1">IF(AND(ISNUMBER($AS$217),$B$158=1),$AS$217,HLOOKUP(INDIRECT(ADDRESS(2,COLUMN())),OFFSET($BN$2,0,0,ROW()-1,60),ROW()-1,FALSE))</f>
        <v/>
      </c>
      <c r="AT62" t="str">
        <f ca="1">IF(AND(ISNUMBER($AT$217),$B$158=1),$AT$217,HLOOKUP(INDIRECT(ADDRESS(2,COLUMN())),OFFSET($BN$2,0,0,ROW()-1,60),ROW()-1,FALSE))</f>
        <v/>
      </c>
      <c r="AU62" t="str">
        <f ca="1">IF(AND(ISNUMBER($AU$217),$B$158=1),$AU$217,HLOOKUP(INDIRECT(ADDRESS(2,COLUMN())),OFFSET($BN$2,0,0,ROW()-1,60),ROW()-1,FALSE))</f>
        <v/>
      </c>
      <c r="AV62" t="str">
        <f ca="1">IF(AND(ISNUMBER($AV$217),$B$158=1),$AV$217,HLOOKUP(INDIRECT(ADDRESS(2,COLUMN())),OFFSET($BN$2,0,0,ROW()-1,60),ROW()-1,FALSE))</f>
        <v/>
      </c>
      <c r="AW62" t="str">
        <f ca="1">IF(AND(ISNUMBER($AW$217),$B$158=1),$AW$217,HLOOKUP(INDIRECT(ADDRESS(2,COLUMN())),OFFSET($BN$2,0,0,ROW()-1,60),ROW()-1,FALSE))</f>
        <v/>
      </c>
      <c r="AX62" t="str">
        <f ca="1">IF(AND(ISNUMBER($AX$217),$B$158=1),$AX$217,HLOOKUP(INDIRECT(ADDRESS(2,COLUMN())),OFFSET($BN$2,0,0,ROW()-1,60),ROW()-1,FALSE))</f>
        <v/>
      </c>
      <c r="AY62" t="str">
        <f ca="1">IF(AND(ISNUMBER($AY$217),$B$158=1),$AY$217,HLOOKUP(INDIRECT(ADDRESS(2,COLUMN())),OFFSET($BN$2,0,0,ROW()-1,60),ROW()-1,FALSE))</f>
        <v/>
      </c>
      <c r="AZ62" t="str">
        <f ca="1">IF(AND(ISNUMBER($AZ$217),$B$158=1),$AZ$217,HLOOKUP(INDIRECT(ADDRESS(2,COLUMN())),OFFSET($BN$2,0,0,ROW()-1,60),ROW()-1,FALSE))</f>
        <v/>
      </c>
      <c r="BA62" t="str">
        <f ca="1">IF(AND(ISNUMBER($BA$217),$B$158=1),$BA$217,HLOOKUP(INDIRECT(ADDRESS(2,COLUMN())),OFFSET($BN$2,0,0,ROW()-1,60),ROW()-1,FALSE))</f>
        <v/>
      </c>
      <c r="BB62" t="str">
        <f ca="1">IF(AND(ISNUMBER($BB$217),$B$158=1),$BB$217,HLOOKUP(INDIRECT(ADDRESS(2,COLUMN())),OFFSET($BN$2,0,0,ROW()-1,60),ROW()-1,FALSE))</f>
        <v/>
      </c>
      <c r="BC62" t="str">
        <f ca="1">IF(AND(ISNUMBER($BC$217),$B$158=1),$BC$217,HLOOKUP(INDIRECT(ADDRESS(2,COLUMN())),OFFSET($BN$2,0,0,ROW()-1,60),ROW()-1,FALSE))</f>
        <v/>
      </c>
      <c r="BD62" t="str">
        <f ca="1">IF(AND(ISNUMBER($BD$217),$B$158=1),$BD$217,HLOOKUP(INDIRECT(ADDRESS(2,COLUMN())),OFFSET($BN$2,0,0,ROW()-1,60),ROW()-1,FALSE))</f>
        <v/>
      </c>
      <c r="BE62" t="str">
        <f ca="1">IF(AND(ISNUMBER($BE$217),$B$158=1),$BE$217,HLOOKUP(INDIRECT(ADDRESS(2,COLUMN())),OFFSET($BN$2,0,0,ROW()-1,60),ROW()-1,FALSE))</f>
        <v/>
      </c>
      <c r="BF62" t="str">
        <f ca="1">IF(AND(ISNUMBER($BF$217),$B$158=1),$BF$217,HLOOKUP(INDIRECT(ADDRESS(2,COLUMN())),OFFSET($BN$2,0,0,ROW()-1,60),ROW()-1,FALSE))</f>
        <v/>
      </c>
      <c r="BG62" t="str">
        <f ca="1">IF(AND(ISNUMBER($BG$217),$B$158=1),$BG$217,HLOOKUP(INDIRECT(ADDRESS(2,COLUMN())),OFFSET($BN$2,0,0,ROW()-1,60),ROW()-1,FALSE))</f>
        <v/>
      </c>
      <c r="BH62" t="str">
        <f ca="1">IF(AND(ISNUMBER($BH$217),$B$158=1),$BH$217,HLOOKUP(INDIRECT(ADDRESS(2,COLUMN())),OFFSET($BN$2,0,0,ROW()-1,60),ROW()-1,FALSE))</f>
        <v/>
      </c>
      <c r="BI62" t="str">
        <f ca="1">IF(AND(ISNUMBER($BI$217),$B$158=1),$BI$217,HLOOKUP(INDIRECT(ADDRESS(2,COLUMN())),OFFSET($BN$2,0,0,ROW()-1,60),ROW()-1,FALSE))</f>
        <v/>
      </c>
      <c r="BJ62" t="str">
        <f ca="1">IF(AND(ISNUMBER($BJ$217),$B$158=1),$BJ$217,HLOOKUP(INDIRECT(ADDRESS(2,COLUMN())),OFFSET($BN$2,0,0,ROW()-1,60),ROW()-1,FALSE))</f>
        <v/>
      </c>
      <c r="BK62" t="str">
        <f ca="1">IF(AND(ISNUMBER($BK$217),$B$158=1),$BK$217,HLOOKUP(INDIRECT(ADDRESS(2,COLUMN())),OFFSET($BN$2,0,0,ROW()-1,60),ROW()-1,FALSE))</f>
        <v/>
      </c>
      <c r="BL62" t="str">
        <f ca="1">IF(AND(ISNUMBER($BL$217),$B$158=1),$BL$217,HLOOKUP(INDIRECT(ADDRESS(2,COLUMN())),OFFSET($BN$2,0,0,ROW()-1,60),ROW()-1,FALSE))</f>
        <v/>
      </c>
      <c r="BM62" t="str">
        <f ca="1">IF(AND(ISNUMBER($BM$217),$B$158=1),$BM$217,HLOOKUP(INDIRECT(ADDRESS(2,COLUMN())),OFFSET($BN$2,0,0,ROW()-1,60),ROW()-1,FALSE))</f>
        <v/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  <c r="CH62" t="str">
        <f>""</f>
        <v/>
      </c>
      <c r="CI62" t="str">
        <f>""</f>
        <v/>
      </c>
      <c r="CJ62" t="str">
        <f>""</f>
        <v/>
      </c>
      <c r="CK62" t="str">
        <f>""</f>
        <v/>
      </c>
      <c r="CL62" t="str">
        <f>""</f>
        <v/>
      </c>
      <c r="CM62" t="str">
        <f>""</f>
        <v/>
      </c>
      <c r="CN62" t="str">
        <f>""</f>
        <v/>
      </c>
      <c r="CO62" t="str">
        <f>""</f>
        <v/>
      </c>
      <c r="CP62" t="str">
        <f>""</f>
        <v/>
      </c>
      <c r="CQ62" t="str">
        <f>""</f>
        <v/>
      </c>
      <c r="CR62" t="str">
        <f>""</f>
        <v/>
      </c>
      <c r="CS62" t="str">
        <f>""</f>
        <v/>
      </c>
      <c r="CT62" t="str">
        <f>""</f>
        <v/>
      </c>
      <c r="CU62" t="str">
        <f>""</f>
        <v/>
      </c>
      <c r="CV62" t="str">
        <f>""</f>
        <v/>
      </c>
      <c r="CW62" t="str">
        <f>""</f>
        <v/>
      </c>
      <c r="CX62" t="str">
        <f>""</f>
        <v/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 t="str">
        <f>""</f>
        <v/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</row>
    <row r="63" spans="1:125" x14ac:dyDescent="0.25">
      <c r="A63" t="str">
        <f>"                    Asia Pacific (excl. Japan)"</f>
        <v xml:space="preserve">                    Asia Pacific (excl. Japan)</v>
      </c>
      <c r="B63" t="str">
        <f t="shared" si="26"/>
        <v>KER FP Equity</v>
      </c>
      <c r="C63" t="str">
        <f t="shared" si="28"/>
        <v>BI047</v>
      </c>
      <c r="D63" t="str">
        <f t="shared" si="29"/>
        <v>BICS_SEGMENT_DATA</v>
      </c>
      <c r="E63" t="str">
        <f t="shared" si="27"/>
        <v>Dynamic</v>
      </c>
      <c r="F63" t="str">
        <f ca="1">IF(AND(ISNUMBER($F$218),$B$158=1),$F$218,HLOOKUP(INDIRECT(ADDRESS(2,COLUMN())),OFFSET($BN$2,0,0,ROW()-1,60),ROW()-1,FALSE))</f>
        <v/>
      </c>
      <c r="G63">
        <f ca="1">IF(AND(ISNUMBER($G$218),$B$158=1),$G$218,HLOOKUP(INDIRECT(ADDRESS(2,COLUMN())),OFFSET($BN$2,0,0,ROW()-1,60),ROW()-1,FALSE))</f>
        <v>1</v>
      </c>
      <c r="H63">
        <f ca="1">IF(AND(ISNUMBER($H$218),$B$158=1),$H$218,HLOOKUP(INDIRECT(ADDRESS(2,COLUMN())),OFFSET($BN$2,0,0,ROW()-1,60),ROW()-1,FALSE))</f>
        <v>53</v>
      </c>
      <c r="I63">
        <f ca="1">IF(AND(ISNUMBER($I$218),$B$158=1),$I$218,HLOOKUP(INDIRECT(ADDRESS(2,COLUMN())),OFFSET($BN$2,0,0,ROW()-1,60),ROW()-1,FALSE))</f>
        <v>83</v>
      </c>
      <c r="J63">
        <f ca="1">IF(AND(ISNUMBER($J$218),$B$158=1),$J$218,HLOOKUP(INDIRECT(ADDRESS(2,COLUMN())),OFFSET($BN$2,0,0,ROW()-1,60),ROW()-1,FALSE))</f>
        <v>-2</v>
      </c>
      <c r="K63">
        <f ca="1">IF(AND(ISNUMBER($K$218),$B$158=1),$K$218,HLOOKUP(INDIRECT(ADDRESS(2,COLUMN())),OFFSET($BN$2,0,0,ROW()-1,60),ROW()-1,FALSE))</f>
        <v>18</v>
      </c>
      <c r="L63">
        <f ca="1">IF(AND(ISNUMBER($L$218),$B$158=1),$L$218,HLOOKUP(INDIRECT(ADDRESS(2,COLUMN())),OFFSET($BN$2,0,0,ROW()-1,60),ROW()-1,FALSE))</f>
        <v>-12</v>
      </c>
      <c r="M63">
        <f ca="1">IF(AND(ISNUMBER($M$218),$B$158=1),$M$218,HLOOKUP(INDIRECT(ADDRESS(2,COLUMN())),OFFSET($BN$2,0,0,ROW()-1,60),ROW()-1,FALSE))</f>
        <v>30</v>
      </c>
      <c r="N63">
        <f ca="1">IF(AND(ISNUMBER($N$218),$B$158=1),$N$218,HLOOKUP(INDIRECT(ADDRESS(2,COLUMN())),OFFSET($BN$2,0,0,ROW()-1,60),ROW()-1,FALSE))</f>
        <v>14</v>
      </c>
      <c r="O63">
        <f ca="1">IF(AND(ISNUMBER($O$218),$B$158=1),$O$218,HLOOKUP(INDIRECT(ADDRESS(2,COLUMN())),OFFSET($BN$2,0,0,ROW()-1,60),ROW()-1,FALSE))</f>
        <v>17</v>
      </c>
      <c r="P63">
        <f ca="1">IF(AND(ISNUMBER($P$218),$B$158=1),$P$218,HLOOKUP(INDIRECT(ADDRESS(2,COLUMN())),OFFSET($BN$2,0,0,ROW()-1,60),ROW()-1,FALSE))</f>
        <v>22</v>
      </c>
      <c r="Q63">
        <f ca="1">IF(AND(ISNUMBER($Q$218),$B$158=1),$Q$218,HLOOKUP(INDIRECT(ADDRESS(2,COLUMN())),OFFSET($BN$2,0,0,ROW()-1,60),ROW()-1,FALSE))</f>
        <v>30</v>
      </c>
      <c r="R63">
        <f ca="1">IF(AND(ISNUMBER($R$218),$B$158=1),$R$218,HLOOKUP(INDIRECT(ADDRESS(2,COLUMN())),OFFSET($BN$2,0,0,ROW()-1,60),ROW()-1,FALSE))</f>
        <v>35</v>
      </c>
      <c r="S63">
        <f ca="1">IF(AND(ISNUMBER($S$218),$B$158=1),$S$218,HLOOKUP(INDIRECT(ADDRESS(2,COLUMN())),OFFSET($BN$2,0,0,ROW()-1,60),ROW()-1,FALSE))</f>
        <v>33</v>
      </c>
      <c r="T63">
        <f ca="1">IF(AND(ISNUMBER($T$218),$B$158=1),$T$218,HLOOKUP(INDIRECT(ADDRESS(2,COLUMN())),OFFSET($BN$2,0,0,ROW()-1,60),ROW()-1,FALSE))</f>
        <v>38</v>
      </c>
      <c r="U63">
        <f ca="1">IF(AND(ISNUMBER($U$218),$B$158=1),$U$218,HLOOKUP(INDIRECT(ADDRESS(2,COLUMN())),OFFSET($BN$2,0,0,ROW()-1,60),ROW()-1,FALSE))</f>
        <v>42</v>
      </c>
      <c r="V63">
        <f ca="1">IF(AND(ISNUMBER($V$218),$B$158=1),$V$218,HLOOKUP(INDIRECT(ADDRESS(2,COLUMN())),OFFSET($BN$2,0,0,ROW()-1,60),ROW()-1,FALSE))</f>
        <v>33</v>
      </c>
      <c r="W63">
        <f ca="1">IF(AND(ISNUMBER($W$218),$B$158=1),$W$218,HLOOKUP(INDIRECT(ADDRESS(2,COLUMN())),OFFSET($BN$2,0,0,ROW()-1,60),ROW()-1,FALSE))</f>
        <v>42</v>
      </c>
      <c r="X63" t="str">
        <f ca="1">IF(AND(ISNUMBER($X$218),$B$158=1),$X$218,HLOOKUP(INDIRECT(ADDRESS(2,COLUMN())),OFFSET($BN$2,0,0,ROW()-1,60),ROW()-1,FALSE))</f>
        <v/>
      </c>
      <c r="Y63">
        <f ca="1">IF(AND(ISNUMBER($Y$218),$B$158=1),$Y$218,HLOOKUP(INDIRECT(ADDRESS(2,COLUMN())),OFFSET($BN$2,0,0,ROW()-1,60),ROW()-1,FALSE))</f>
        <v>47</v>
      </c>
      <c r="Z63">
        <f ca="1">IF(AND(ISNUMBER($Z$218),$B$158=1),$Z$218,HLOOKUP(INDIRECT(ADDRESS(2,COLUMN())),OFFSET($BN$2,0,0,ROW()-1,60),ROW()-1,FALSE))</f>
        <v>14</v>
      </c>
      <c r="AA63">
        <f ca="1">IF(AND(ISNUMBER($AA$218),$B$158=1),$AA$218,HLOOKUP(INDIRECT(ADDRESS(2,COLUMN())),OFFSET($BN$2,0,0,ROW()-1,60),ROW()-1,FALSE))</f>
        <v>24</v>
      </c>
      <c r="AB63">
        <f ca="1">IF(AND(ISNUMBER($AB$218),$B$158=1),$AB$218,HLOOKUP(INDIRECT(ADDRESS(2,COLUMN())),OFFSET($BN$2,0,0,ROW()-1,60),ROW()-1,FALSE))</f>
        <v>6</v>
      </c>
      <c r="AC63">
        <f ca="1">IF(AND(ISNUMBER($AC$218),$B$158=1),$AC$218,HLOOKUP(INDIRECT(ADDRESS(2,COLUMN())),OFFSET($BN$2,0,0,ROW()-1,60),ROW()-1,FALSE))</f>
        <v>0</v>
      </c>
      <c r="AD63" t="str">
        <f ca="1">IF(AND(ISNUMBER($AD$218),$B$158=1),$AD$218,HLOOKUP(INDIRECT(ADDRESS(2,COLUMN())),OFFSET($BN$2,0,0,ROW()-1,60),ROW()-1,FALSE))</f>
        <v/>
      </c>
      <c r="AE63" t="str">
        <f ca="1">IF(AND(ISNUMBER($AE$218),$B$158=1),$AE$218,HLOOKUP(INDIRECT(ADDRESS(2,COLUMN())),OFFSET($BN$2,0,0,ROW()-1,60),ROW()-1,FALSE))</f>
        <v/>
      </c>
      <c r="AF63" t="str">
        <f ca="1">IF(AND(ISNUMBER($AF$218),$B$158=1),$AF$218,HLOOKUP(INDIRECT(ADDRESS(2,COLUMN())),OFFSET($BN$2,0,0,ROW()-1,60),ROW()-1,FALSE))</f>
        <v/>
      </c>
      <c r="AG63" t="str">
        <f ca="1">IF(AND(ISNUMBER($AG$218),$B$158=1),$AG$218,HLOOKUP(INDIRECT(ADDRESS(2,COLUMN())),OFFSET($BN$2,0,0,ROW()-1,60),ROW()-1,FALSE))</f>
        <v/>
      </c>
      <c r="AH63" t="str">
        <f ca="1">IF(AND(ISNUMBER($AH$218),$B$158=1),$AH$218,HLOOKUP(INDIRECT(ADDRESS(2,COLUMN())),OFFSET($BN$2,0,0,ROW()-1,60),ROW()-1,FALSE))</f>
        <v/>
      </c>
      <c r="AI63" t="str">
        <f ca="1">IF(AND(ISNUMBER($AI$218),$B$158=1),$AI$218,HLOOKUP(INDIRECT(ADDRESS(2,COLUMN())),OFFSET($BN$2,0,0,ROW()-1,60),ROW()-1,FALSE))</f>
        <v/>
      </c>
      <c r="AJ63" t="str">
        <f ca="1">IF(AND(ISNUMBER($AJ$218),$B$158=1),$AJ$218,HLOOKUP(INDIRECT(ADDRESS(2,COLUMN())),OFFSET($BN$2,0,0,ROW()-1,60),ROW()-1,FALSE))</f>
        <v/>
      </c>
      <c r="AK63" t="str">
        <f ca="1">IF(AND(ISNUMBER($AK$218),$B$158=1),$AK$218,HLOOKUP(INDIRECT(ADDRESS(2,COLUMN())),OFFSET($BN$2,0,0,ROW()-1,60),ROW()-1,FALSE))</f>
        <v/>
      </c>
      <c r="AL63" t="str">
        <f ca="1">IF(AND(ISNUMBER($AL$218),$B$158=1),$AL$218,HLOOKUP(INDIRECT(ADDRESS(2,COLUMN())),OFFSET($BN$2,0,0,ROW()-1,60),ROW()-1,FALSE))</f>
        <v/>
      </c>
      <c r="AM63" t="str">
        <f ca="1">IF(AND(ISNUMBER($AM$218),$B$158=1),$AM$218,HLOOKUP(INDIRECT(ADDRESS(2,COLUMN())),OFFSET($BN$2,0,0,ROW()-1,60),ROW()-1,FALSE))</f>
        <v/>
      </c>
      <c r="AN63" t="str">
        <f ca="1">IF(AND(ISNUMBER($AN$218),$B$158=1),$AN$218,HLOOKUP(INDIRECT(ADDRESS(2,COLUMN())),OFFSET($BN$2,0,0,ROW()-1,60),ROW()-1,FALSE))</f>
        <v/>
      </c>
      <c r="AO63" t="str">
        <f ca="1">IF(AND(ISNUMBER($AO$218),$B$158=1),$AO$218,HLOOKUP(INDIRECT(ADDRESS(2,COLUMN())),OFFSET($BN$2,0,0,ROW()-1,60),ROW()-1,FALSE))</f>
        <v/>
      </c>
      <c r="AP63" t="str">
        <f ca="1">IF(AND(ISNUMBER($AP$218),$B$158=1),$AP$218,HLOOKUP(INDIRECT(ADDRESS(2,COLUMN())),OFFSET($BN$2,0,0,ROW()-1,60),ROW()-1,FALSE))</f>
        <v/>
      </c>
      <c r="AQ63" t="str">
        <f ca="1">IF(AND(ISNUMBER($AQ$218),$B$158=1),$AQ$218,HLOOKUP(INDIRECT(ADDRESS(2,COLUMN())),OFFSET($BN$2,0,0,ROW()-1,60),ROW()-1,FALSE))</f>
        <v/>
      </c>
      <c r="AR63" t="str">
        <f ca="1">IF(AND(ISNUMBER($AR$218),$B$158=1),$AR$218,HLOOKUP(INDIRECT(ADDRESS(2,COLUMN())),OFFSET($BN$2,0,0,ROW()-1,60),ROW()-1,FALSE))</f>
        <v/>
      </c>
      <c r="AS63" t="str">
        <f ca="1">IF(AND(ISNUMBER($AS$218),$B$158=1),$AS$218,HLOOKUP(INDIRECT(ADDRESS(2,COLUMN())),OFFSET($BN$2,0,0,ROW()-1,60),ROW()-1,FALSE))</f>
        <v/>
      </c>
      <c r="AT63" t="str">
        <f ca="1">IF(AND(ISNUMBER($AT$218),$B$158=1),$AT$218,HLOOKUP(INDIRECT(ADDRESS(2,COLUMN())),OFFSET($BN$2,0,0,ROW()-1,60),ROW()-1,FALSE))</f>
        <v/>
      </c>
      <c r="AU63" t="str">
        <f ca="1">IF(AND(ISNUMBER($AU$218),$B$158=1),$AU$218,HLOOKUP(INDIRECT(ADDRESS(2,COLUMN())),OFFSET($BN$2,0,0,ROW()-1,60),ROW()-1,FALSE))</f>
        <v/>
      </c>
      <c r="AV63" t="str">
        <f ca="1">IF(AND(ISNUMBER($AV$218),$B$158=1),$AV$218,HLOOKUP(INDIRECT(ADDRESS(2,COLUMN())),OFFSET($BN$2,0,0,ROW()-1,60),ROW()-1,FALSE))</f>
        <v/>
      </c>
      <c r="AW63" t="str">
        <f ca="1">IF(AND(ISNUMBER($AW$218),$B$158=1),$AW$218,HLOOKUP(INDIRECT(ADDRESS(2,COLUMN())),OFFSET($BN$2,0,0,ROW()-1,60),ROW()-1,FALSE))</f>
        <v/>
      </c>
      <c r="AX63" t="str">
        <f ca="1">IF(AND(ISNUMBER($AX$218),$B$158=1),$AX$218,HLOOKUP(INDIRECT(ADDRESS(2,COLUMN())),OFFSET($BN$2,0,0,ROW()-1,60),ROW()-1,FALSE))</f>
        <v/>
      </c>
      <c r="AY63" t="str">
        <f ca="1">IF(AND(ISNUMBER($AY$218),$B$158=1),$AY$218,HLOOKUP(INDIRECT(ADDRESS(2,COLUMN())),OFFSET($BN$2,0,0,ROW()-1,60),ROW()-1,FALSE))</f>
        <v/>
      </c>
      <c r="AZ63" t="str">
        <f ca="1">IF(AND(ISNUMBER($AZ$218),$B$158=1),$AZ$218,HLOOKUP(INDIRECT(ADDRESS(2,COLUMN())),OFFSET($BN$2,0,0,ROW()-1,60),ROW()-1,FALSE))</f>
        <v/>
      </c>
      <c r="BA63" t="str">
        <f ca="1">IF(AND(ISNUMBER($BA$218),$B$158=1),$BA$218,HLOOKUP(INDIRECT(ADDRESS(2,COLUMN())),OFFSET($BN$2,0,0,ROW()-1,60),ROW()-1,FALSE))</f>
        <v/>
      </c>
      <c r="BB63" t="str">
        <f ca="1">IF(AND(ISNUMBER($BB$218),$B$158=1),$BB$218,HLOOKUP(INDIRECT(ADDRESS(2,COLUMN())),OFFSET($BN$2,0,0,ROW()-1,60),ROW()-1,FALSE))</f>
        <v/>
      </c>
      <c r="BC63" t="str">
        <f ca="1">IF(AND(ISNUMBER($BC$218),$B$158=1),$BC$218,HLOOKUP(INDIRECT(ADDRESS(2,COLUMN())),OFFSET($BN$2,0,0,ROW()-1,60),ROW()-1,FALSE))</f>
        <v/>
      </c>
      <c r="BD63" t="str">
        <f ca="1">IF(AND(ISNUMBER($BD$218),$B$158=1),$BD$218,HLOOKUP(INDIRECT(ADDRESS(2,COLUMN())),OFFSET($BN$2,0,0,ROW()-1,60),ROW()-1,FALSE))</f>
        <v/>
      </c>
      <c r="BE63" t="str">
        <f ca="1">IF(AND(ISNUMBER($BE$218),$B$158=1),$BE$218,HLOOKUP(INDIRECT(ADDRESS(2,COLUMN())),OFFSET($BN$2,0,0,ROW()-1,60),ROW()-1,FALSE))</f>
        <v/>
      </c>
      <c r="BF63" t="str">
        <f ca="1">IF(AND(ISNUMBER($BF$218),$B$158=1),$BF$218,HLOOKUP(INDIRECT(ADDRESS(2,COLUMN())),OFFSET($BN$2,0,0,ROW()-1,60),ROW()-1,FALSE))</f>
        <v/>
      </c>
      <c r="BG63" t="str">
        <f ca="1">IF(AND(ISNUMBER($BG$218),$B$158=1),$BG$218,HLOOKUP(INDIRECT(ADDRESS(2,COLUMN())),OFFSET($BN$2,0,0,ROW()-1,60),ROW()-1,FALSE))</f>
        <v/>
      </c>
      <c r="BH63" t="str">
        <f ca="1">IF(AND(ISNUMBER($BH$218),$B$158=1),$BH$218,HLOOKUP(INDIRECT(ADDRESS(2,COLUMN())),OFFSET($BN$2,0,0,ROW()-1,60),ROW()-1,FALSE))</f>
        <v/>
      </c>
      <c r="BI63" t="str">
        <f ca="1">IF(AND(ISNUMBER($BI$218),$B$158=1),$BI$218,HLOOKUP(INDIRECT(ADDRESS(2,COLUMN())),OFFSET($BN$2,0,0,ROW()-1,60),ROW()-1,FALSE))</f>
        <v/>
      </c>
      <c r="BJ63" t="str">
        <f ca="1">IF(AND(ISNUMBER($BJ$218),$B$158=1),$BJ$218,HLOOKUP(INDIRECT(ADDRESS(2,COLUMN())),OFFSET($BN$2,0,0,ROW()-1,60),ROW()-1,FALSE))</f>
        <v/>
      </c>
      <c r="BK63" t="str">
        <f ca="1">IF(AND(ISNUMBER($BK$218),$B$158=1),$BK$218,HLOOKUP(INDIRECT(ADDRESS(2,COLUMN())),OFFSET($BN$2,0,0,ROW()-1,60),ROW()-1,FALSE))</f>
        <v/>
      </c>
      <c r="BL63" t="str">
        <f ca="1">IF(AND(ISNUMBER($BL$218),$B$158=1),$BL$218,HLOOKUP(INDIRECT(ADDRESS(2,COLUMN())),OFFSET($BN$2,0,0,ROW()-1,60),ROW()-1,FALSE))</f>
        <v/>
      </c>
      <c r="BM63" t="str">
        <f ca="1">IF(AND(ISNUMBER($BM$218),$B$158=1),$BM$218,HLOOKUP(INDIRECT(ADDRESS(2,COLUMN())),OFFSET($BN$2,0,0,ROW()-1,60),ROW()-1,FALSE))</f>
        <v/>
      </c>
      <c r="BN63" t="str">
        <f>""</f>
        <v/>
      </c>
      <c r="BO63">
        <f>1</f>
        <v>1</v>
      </c>
      <c r="BP63">
        <f>53</f>
        <v>53</v>
      </c>
      <c r="BQ63">
        <f>83</f>
        <v>83</v>
      </c>
      <c r="BR63">
        <f>-2</f>
        <v>-2</v>
      </c>
      <c r="BS63">
        <f>18</f>
        <v>18</v>
      </c>
      <c r="BT63">
        <f>-12</f>
        <v>-12</v>
      </c>
      <c r="BU63">
        <f>30</f>
        <v>30</v>
      </c>
      <c r="BV63">
        <f>14</f>
        <v>14</v>
      </c>
      <c r="BW63">
        <f>17</f>
        <v>17</v>
      </c>
      <c r="BX63">
        <f>22</f>
        <v>22</v>
      </c>
      <c r="BY63">
        <f>30</f>
        <v>30</v>
      </c>
      <c r="BZ63">
        <f>35</f>
        <v>35</v>
      </c>
      <c r="CA63">
        <f>33</f>
        <v>33</v>
      </c>
      <c r="CB63">
        <f>38</f>
        <v>38</v>
      </c>
      <c r="CC63">
        <f>42</f>
        <v>42</v>
      </c>
      <c r="CD63">
        <f>33</f>
        <v>33</v>
      </c>
      <c r="CE63">
        <f>42</f>
        <v>42</v>
      </c>
      <c r="CF63" t="str">
        <f>""</f>
        <v/>
      </c>
      <c r="CG63">
        <f>47</f>
        <v>47</v>
      </c>
      <c r="CH63">
        <f>14</f>
        <v>14</v>
      </c>
      <c r="CI63">
        <f>24</f>
        <v>24</v>
      </c>
      <c r="CJ63">
        <f>6</f>
        <v>6</v>
      </c>
      <c r="CK63">
        <f>0</f>
        <v>0</v>
      </c>
      <c r="CL63" t="str">
        <f>""</f>
        <v/>
      </c>
      <c r="CM63" t="str">
        <f>""</f>
        <v/>
      </c>
      <c r="CN63" t="str">
        <f>""</f>
        <v/>
      </c>
      <c r="CO63" t="str">
        <f>""</f>
        <v/>
      </c>
      <c r="CP63" t="str">
        <f>""</f>
        <v/>
      </c>
      <c r="CQ63" t="str">
        <f>""</f>
        <v/>
      </c>
      <c r="CR63" t="str">
        <f>""</f>
        <v/>
      </c>
      <c r="CS63" t="str">
        <f>""</f>
        <v/>
      </c>
      <c r="CT63" t="str">
        <f>""</f>
        <v/>
      </c>
      <c r="CU63" t="str">
        <f>""</f>
        <v/>
      </c>
      <c r="CV63" t="str">
        <f>""</f>
        <v/>
      </c>
      <c r="CW63" t="str">
        <f>""</f>
        <v/>
      </c>
      <c r="CX63" t="str">
        <f>""</f>
        <v/>
      </c>
      <c r="CY63" t="str">
        <f>""</f>
        <v/>
      </c>
      <c r="CZ63" t="str">
        <f>""</f>
        <v/>
      </c>
      <c r="DA63" t="str">
        <f>""</f>
        <v/>
      </c>
      <c r="DB63" t="str">
        <f>""</f>
        <v/>
      </c>
      <c r="DC63" t="str">
        <f>""</f>
        <v/>
      </c>
      <c r="DD63" t="str">
        <f>""</f>
        <v/>
      </c>
      <c r="DE63" t="str">
        <f>""</f>
        <v/>
      </c>
      <c r="DF63" t="str">
        <f>""</f>
        <v/>
      </c>
      <c r="DG63" t="str">
        <f>""</f>
        <v/>
      </c>
      <c r="DH63" t="str">
        <f>""</f>
        <v/>
      </c>
      <c r="DI63" t="str">
        <f>""</f>
        <v/>
      </c>
      <c r="DJ63" t="str">
        <f>""</f>
        <v/>
      </c>
      <c r="DK63" t="str">
        <f>""</f>
        <v/>
      </c>
      <c r="DL63" t="str">
        <f>""</f>
        <v/>
      </c>
      <c r="DM63" t="str">
        <f>""</f>
        <v/>
      </c>
      <c r="DN63" t="str">
        <f>""</f>
        <v/>
      </c>
      <c r="DO63" t="str">
        <f>""</f>
        <v/>
      </c>
      <c r="DP63" t="str">
        <f>""</f>
        <v/>
      </c>
      <c r="DQ63" t="str">
        <f>""</f>
        <v/>
      </c>
      <c r="DR63" t="str">
        <f>""</f>
        <v/>
      </c>
      <c r="DS63" t="str">
        <f>""</f>
        <v/>
      </c>
      <c r="DT63" t="str">
        <f>""</f>
        <v/>
      </c>
      <c r="DU63" t="str">
        <f>""</f>
        <v/>
      </c>
    </row>
    <row r="64" spans="1:125" x14ac:dyDescent="0.25">
      <c r="A64" t="str">
        <f>"                    Japan"</f>
        <v xml:space="preserve">                    Japan</v>
      </c>
      <c r="B64" t="str">
        <f t="shared" si="26"/>
        <v>KER FP Equity</v>
      </c>
      <c r="C64" t="str">
        <f t="shared" si="28"/>
        <v>BI047</v>
      </c>
      <c r="D64" t="str">
        <f t="shared" si="29"/>
        <v>BICS_SEGMENT_DATA</v>
      </c>
      <c r="E64" t="str">
        <f t="shared" si="27"/>
        <v>Dynamic</v>
      </c>
      <c r="F64" t="str">
        <f ca="1">IF(AND(ISNUMBER($F$219),$B$158=1),$F$219,HLOOKUP(INDIRECT(ADDRESS(2,COLUMN())),OFFSET($BN$2,0,0,ROW()-1,60),ROW()-1,FALSE))</f>
        <v/>
      </c>
      <c r="G64">
        <f ca="1">IF(AND(ISNUMBER($G$219),$B$158=1),$G$219,HLOOKUP(INDIRECT(ADDRESS(2,COLUMN())),OFFSET($BN$2,0,0,ROW()-1,60),ROW()-1,FALSE))</f>
        <v>3</v>
      </c>
      <c r="H64">
        <f ca="1">IF(AND(ISNUMBER($H$219),$B$158=1),$H$219,HLOOKUP(INDIRECT(ADDRESS(2,COLUMN())),OFFSET($BN$2,0,0,ROW()-1,60),ROW()-1,FALSE))</f>
        <v>53</v>
      </c>
      <c r="I64">
        <f ca="1">IF(AND(ISNUMBER($I$219),$B$158=1),$I$219,HLOOKUP(INDIRECT(ADDRESS(2,COLUMN())),OFFSET($BN$2,0,0,ROW()-1,60),ROW()-1,FALSE))</f>
        <v>-3</v>
      </c>
      <c r="J64">
        <f ca="1">IF(AND(ISNUMBER($J$219),$B$158=1),$J$219,HLOOKUP(INDIRECT(ADDRESS(2,COLUMN())),OFFSET($BN$2,0,0,ROW()-1,60),ROW()-1,FALSE))</f>
        <v>-28</v>
      </c>
      <c r="K64">
        <f ca="1">IF(AND(ISNUMBER($K$219),$B$158=1),$K$219,HLOOKUP(INDIRECT(ADDRESS(2,COLUMN())),OFFSET($BN$2,0,0,ROW()-1,60),ROW()-1,FALSE))</f>
        <v>-23</v>
      </c>
      <c r="L64">
        <f ca="1">IF(AND(ISNUMBER($L$219),$B$158=1),$L$219,HLOOKUP(INDIRECT(ADDRESS(2,COLUMN())),OFFSET($BN$2,0,0,ROW()-1,60),ROW()-1,FALSE))</f>
        <v>-62</v>
      </c>
      <c r="M64">
        <f ca="1">IF(AND(ISNUMBER($M$219),$B$158=1),$M$219,HLOOKUP(INDIRECT(ADDRESS(2,COLUMN())),OFFSET($BN$2,0,0,ROW()-1,60),ROW()-1,FALSE))</f>
        <v>17</v>
      </c>
      <c r="N64">
        <f ca="1">IF(AND(ISNUMBER($N$219),$B$158=1),$N$219,HLOOKUP(INDIRECT(ADDRESS(2,COLUMN())),OFFSET($BN$2,0,0,ROW()-1,60),ROW()-1,FALSE))</f>
        <v>-6</v>
      </c>
      <c r="O64">
        <f ca="1">IF(AND(ISNUMBER($O$219),$B$158=1),$O$219,HLOOKUP(INDIRECT(ADDRESS(2,COLUMN())),OFFSET($BN$2,0,0,ROW()-1,60),ROW()-1,FALSE))</f>
        <v>12</v>
      </c>
      <c r="P64">
        <f ca="1">IF(AND(ISNUMBER($P$219),$B$158=1),$P$219,HLOOKUP(INDIRECT(ADDRESS(2,COLUMN())),OFFSET($BN$2,0,0,ROW()-1,60),ROW()-1,FALSE))</f>
        <v>9</v>
      </c>
      <c r="Q64">
        <f ca="1">IF(AND(ISNUMBER($Q$219),$B$158=1),$Q$219,HLOOKUP(INDIRECT(ADDRESS(2,COLUMN())),OFFSET($BN$2,0,0,ROW()-1,60),ROW()-1,FALSE))</f>
        <v>12</v>
      </c>
      <c r="R64">
        <f ca="1">IF(AND(ISNUMBER($R$219),$B$158=1),$R$219,HLOOKUP(INDIRECT(ADDRESS(2,COLUMN())),OFFSET($BN$2,0,0,ROW()-1,60),ROW()-1,FALSE))</f>
        <v>21</v>
      </c>
      <c r="S64">
        <f ca="1">IF(AND(ISNUMBER($S$219),$B$158=1),$S$219,HLOOKUP(INDIRECT(ADDRESS(2,COLUMN())),OFFSET($BN$2,0,0,ROW()-1,60),ROW()-1,FALSE))</f>
        <v>22</v>
      </c>
      <c r="T64">
        <f ca="1">IF(AND(ISNUMBER($T$219),$B$158=1),$T$219,HLOOKUP(INDIRECT(ADDRESS(2,COLUMN())),OFFSET($BN$2,0,0,ROW()-1,60),ROW()-1,FALSE))</f>
        <v>33</v>
      </c>
      <c r="U64">
        <f ca="1">IF(AND(ISNUMBER($U$219),$B$158=1),$U$219,HLOOKUP(INDIRECT(ADDRESS(2,COLUMN())),OFFSET($BN$2,0,0,ROW()-1,60),ROW()-1,FALSE))</f>
        <v>33</v>
      </c>
      <c r="V64">
        <f ca="1">IF(AND(ISNUMBER($V$219),$B$158=1),$V$219,HLOOKUP(INDIRECT(ADDRESS(2,COLUMN())),OFFSET($BN$2,0,0,ROW()-1,60),ROW()-1,FALSE))</f>
        <v>27</v>
      </c>
      <c r="W64">
        <f ca="1">IF(AND(ISNUMBER($W$219),$B$158=1),$W$219,HLOOKUP(INDIRECT(ADDRESS(2,COLUMN())),OFFSET($BN$2,0,0,ROW()-1,60),ROW()-1,FALSE))</f>
        <v>24</v>
      </c>
      <c r="X64" t="str">
        <f ca="1">IF(AND(ISNUMBER($X$219),$B$158=1),$X$219,HLOOKUP(INDIRECT(ADDRESS(2,COLUMN())),OFFSET($BN$2,0,0,ROW()-1,60),ROW()-1,FALSE))</f>
        <v/>
      </c>
      <c r="Y64">
        <f ca="1">IF(AND(ISNUMBER($Y$219),$B$158=1),$Y$219,HLOOKUP(INDIRECT(ADDRESS(2,COLUMN())),OFFSET($BN$2,0,0,ROW()-1,60),ROW()-1,FALSE))</f>
        <v>4</v>
      </c>
      <c r="Z64">
        <f ca="1">IF(AND(ISNUMBER($Z$219),$B$158=1),$Z$219,HLOOKUP(INDIRECT(ADDRESS(2,COLUMN())),OFFSET($BN$2,0,0,ROW()-1,60),ROW()-1,FALSE))</f>
        <v>-1</v>
      </c>
      <c r="AA64">
        <f ca="1">IF(AND(ISNUMBER($AA$219),$B$158=1),$AA$219,HLOOKUP(INDIRECT(ADDRESS(2,COLUMN())),OFFSET($BN$2,0,0,ROW()-1,60),ROW()-1,FALSE))</f>
        <v>7</v>
      </c>
      <c r="AB64">
        <f ca="1">IF(AND(ISNUMBER($AB$219),$B$158=1),$AB$219,HLOOKUP(INDIRECT(ADDRESS(2,COLUMN())),OFFSET($BN$2,0,0,ROW()-1,60),ROW()-1,FALSE))</f>
        <v>2</v>
      </c>
      <c r="AC64">
        <f ca="1">IF(AND(ISNUMBER($AC$219),$B$158=1),$AC$219,HLOOKUP(INDIRECT(ADDRESS(2,COLUMN())),OFFSET($BN$2,0,0,ROW()-1,60),ROW()-1,FALSE))</f>
        <v>5</v>
      </c>
      <c r="AD64" t="str">
        <f ca="1">IF(AND(ISNUMBER($AD$219),$B$158=1),$AD$219,HLOOKUP(INDIRECT(ADDRESS(2,COLUMN())),OFFSET($BN$2,0,0,ROW()-1,60),ROW()-1,FALSE))</f>
        <v/>
      </c>
      <c r="AE64" t="str">
        <f ca="1">IF(AND(ISNUMBER($AE$219),$B$158=1),$AE$219,HLOOKUP(INDIRECT(ADDRESS(2,COLUMN())),OFFSET($BN$2,0,0,ROW()-1,60),ROW()-1,FALSE))</f>
        <v/>
      </c>
      <c r="AF64" t="str">
        <f ca="1">IF(AND(ISNUMBER($AF$219),$B$158=1),$AF$219,HLOOKUP(INDIRECT(ADDRESS(2,COLUMN())),OFFSET($BN$2,0,0,ROW()-1,60),ROW()-1,FALSE))</f>
        <v/>
      </c>
      <c r="AG64" t="str">
        <f ca="1">IF(AND(ISNUMBER($AG$219),$B$158=1),$AG$219,HLOOKUP(INDIRECT(ADDRESS(2,COLUMN())),OFFSET($BN$2,0,0,ROW()-1,60),ROW()-1,FALSE))</f>
        <v/>
      </c>
      <c r="AH64" t="str">
        <f ca="1">IF(AND(ISNUMBER($AH$219),$B$158=1),$AH$219,HLOOKUP(INDIRECT(ADDRESS(2,COLUMN())),OFFSET($BN$2,0,0,ROW()-1,60),ROW()-1,FALSE))</f>
        <v/>
      </c>
      <c r="AI64" t="str">
        <f ca="1">IF(AND(ISNUMBER($AI$219),$B$158=1),$AI$219,HLOOKUP(INDIRECT(ADDRESS(2,COLUMN())),OFFSET($BN$2,0,0,ROW()-1,60),ROW()-1,FALSE))</f>
        <v/>
      </c>
      <c r="AJ64" t="str">
        <f ca="1">IF(AND(ISNUMBER($AJ$219),$B$158=1),$AJ$219,HLOOKUP(INDIRECT(ADDRESS(2,COLUMN())),OFFSET($BN$2,0,0,ROW()-1,60),ROW()-1,FALSE))</f>
        <v/>
      </c>
      <c r="AK64" t="str">
        <f ca="1">IF(AND(ISNUMBER($AK$219),$B$158=1),$AK$219,HLOOKUP(INDIRECT(ADDRESS(2,COLUMN())),OFFSET($BN$2,0,0,ROW()-1,60),ROW()-1,FALSE))</f>
        <v/>
      </c>
      <c r="AL64" t="str">
        <f ca="1">IF(AND(ISNUMBER($AL$219),$B$158=1),$AL$219,HLOOKUP(INDIRECT(ADDRESS(2,COLUMN())),OFFSET($BN$2,0,0,ROW()-1,60),ROW()-1,FALSE))</f>
        <v/>
      </c>
      <c r="AM64" t="str">
        <f ca="1">IF(AND(ISNUMBER($AM$219),$B$158=1),$AM$219,HLOOKUP(INDIRECT(ADDRESS(2,COLUMN())),OFFSET($BN$2,0,0,ROW()-1,60),ROW()-1,FALSE))</f>
        <v/>
      </c>
      <c r="AN64" t="str">
        <f ca="1">IF(AND(ISNUMBER($AN$219),$B$158=1),$AN$219,HLOOKUP(INDIRECT(ADDRESS(2,COLUMN())),OFFSET($BN$2,0,0,ROW()-1,60),ROW()-1,FALSE))</f>
        <v/>
      </c>
      <c r="AO64" t="str">
        <f ca="1">IF(AND(ISNUMBER($AO$219),$B$158=1),$AO$219,HLOOKUP(INDIRECT(ADDRESS(2,COLUMN())),OFFSET($BN$2,0,0,ROW()-1,60),ROW()-1,FALSE))</f>
        <v/>
      </c>
      <c r="AP64" t="str">
        <f ca="1">IF(AND(ISNUMBER($AP$219),$B$158=1),$AP$219,HLOOKUP(INDIRECT(ADDRESS(2,COLUMN())),OFFSET($BN$2,0,0,ROW()-1,60),ROW()-1,FALSE))</f>
        <v/>
      </c>
      <c r="AQ64" t="str">
        <f ca="1">IF(AND(ISNUMBER($AQ$219),$B$158=1),$AQ$219,HLOOKUP(INDIRECT(ADDRESS(2,COLUMN())),OFFSET($BN$2,0,0,ROW()-1,60),ROW()-1,FALSE))</f>
        <v/>
      </c>
      <c r="AR64" t="str">
        <f ca="1">IF(AND(ISNUMBER($AR$219),$B$158=1),$AR$219,HLOOKUP(INDIRECT(ADDRESS(2,COLUMN())),OFFSET($BN$2,0,0,ROW()-1,60),ROW()-1,FALSE))</f>
        <v/>
      </c>
      <c r="AS64" t="str">
        <f ca="1">IF(AND(ISNUMBER($AS$219),$B$158=1),$AS$219,HLOOKUP(INDIRECT(ADDRESS(2,COLUMN())),OFFSET($BN$2,0,0,ROW()-1,60),ROW()-1,FALSE))</f>
        <v/>
      </c>
      <c r="AT64" t="str">
        <f ca="1">IF(AND(ISNUMBER($AT$219),$B$158=1),$AT$219,HLOOKUP(INDIRECT(ADDRESS(2,COLUMN())),OFFSET($BN$2,0,0,ROW()-1,60),ROW()-1,FALSE))</f>
        <v/>
      </c>
      <c r="AU64" t="str">
        <f ca="1">IF(AND(ISNUMBER($AU$219),$B$158=1),$AU$219,HLOOKUP(INDIRECT(ADDRESS(2,COLUMN())),OFFSET($BN$2,0,0,ROW()-1,60),ROW()-1,FALSE))</f>
        <v/>
      </c>
      <c r="AV64" t="str">
        <f ca="1">IF(AND(ISNUMBER($AV$219),$B$158=1),$AV$219,HLOOKUP(INDIRECT(ADDRESS(2,COLUMN())),OFFSET($BN$2,0,0,ROW()-1,60),ROW()-1,FALSE))</f>
        <v/>
      </c>
      <c r="AW64" t="str">
        <f ca="1">IF(AND(ISNUMBER($AW$219),$B$158=1),$AW$219,HLOOKUP(INDIRECT(ADDRESS(2,COLUMN())),OFFSET($BN$2,0,0,ROW()-1,60),ROW()-1,FALSE))</f>
        <v/>
      </c>
      <c r="AX64" t="str">
        <f ca="1">IF(AND(ISNUMBER($AX$219),$B$158=1),$AX$219,HLOOKUP(INDIRECT(ADDRESS(2,COLUMN())),OFFSET($BN$2,0,0,ROW()-1,60),ROW()-1,FALSE))</f>
        <v/>
      </c>
      <c r="AY64" t="str">
        <f ca="1">IF(AND(ISNUMBER($AY$219),$B$158=1),$AY$219,HLOOKUP(INDIRECT(ADDRESS(2,COLUMN())),OFFSET($BN$2,0,0,ROW()-1,60),ROW()-1,FALSE))</f>
        <v/>
      </c>
      <c r="AZ64" t="str">
        <f ca="1">IF(AND(ISNUMBER($AZ$219),$B$158=1),$AZ$219,HLOOKUP(INDIRECT(ADDRESS(2,COLUMN())),OFFSET($BN$2,0,0,ROW()-1,60),ROW()-1,FALSE))</f>
        <v/>
      </c>
      <c r="BA64" t="str">
        <f ca="1">IF(AND(ISNUMBER($BA$219),$B$158=1),$BA$219,HLOOKUP(INDIRECT(ADDRESS(2,COLUMN())),OFFSET($BN$2,0,0,ROW()-1,60),ROW()-1,FALSE))</f>
        <v/>
      </c>
      <c r="BB64" t="str">
        <f ca="1">IF(AND(ISNUMBER($BB$219),$B$158=1),$BB$219,HLOOKUP(INDIRECT(ADDRESS(2,COLUMN())),OFFSET($BN$2,0,0,ROW()-1,60),ROW()-1,FALSE))</f>
        <v/>
      </c>
      <c r="BC64" t="str">
        <f ca="1">IF(AND(ISNUMBER($BC$219),$B$158=1),$BC$219,HLOOKUP(INDIRECT(ADDRESS(2,COLUMN())),OFFSET($BN$2,0,0,ROW()-1,60),ROW()-1,FALSE))</f>
        <v/>
      </c>
      <c r="BD64" t="str">
        <f ca="1">IF(AND(ISNUMBER($BD$219),$B$158=1),$BD$219,HLOOKUP(INDIRECT(ADDRESS(2,COLUMN())),OFFSET($BN$2,0,0,ROW()-1,60),ROW()-1,FALSE))</f>
        <v/>
      </c>
      <c r="BE64" t="str">
        <f ca="1">IF(AND(ISNUMBER($BE$219),$B$158=1),$BE$219,HLOOKUP(INDIRECT(ADDRESS(2,COLUMN())),OFFSET($BN$2,0,0,ROW()-1,60),ROW()-1,FALSE))</f>
        <v/>
      </c>
      <c r="BF64" t="str">
        <f ca="1">IF(AND(ISNUMBER($BF$219),$B$158=1),$BF$219,HLOOKUP(INDIRECT(ADDRESS(2,COLUMN())),OFFSET($BN$2,0,0,ROW()-1,60),ROW()-1,FALSE))</f>
        <v/>
      </c>
      <c r="BG64" t="str">
        <f ca="1">IF(AND(ISNUMBER($BG$219),$B$158=1),$BG$219,HLOOKUP(INDIRECT(ADDRESS(2,COLUMN())),OFFSET($BN$2,0,0,ROW()-1,60),ROW()-1,FALSE))</f>
        <v/>
      </c>
      <c r="BH64" t="str">
        <f ca="1">IF(AND(ISNUMBER($BH$219),$B$158=1),$BH$219,HLOOKUP(INDIRECT(ADDRESS(2,COLUMN())),OFFSET($BN$2,0,0,ROW()-1,60),ROW()-1,FALSE))</f>
        <v/>
      </c>
      <c r="BI64" t="str">
        <f ca="1">IF(AND(ISNUMBER($BI$219),$B$158=1),$BI$219,HLOOKUP(INDIRECT(ADDRESS(2,COLUMN())),OFFSET($BN$2,0,0,ROW()-1,60),ROW()-1,FALSE))</f>
        <v/>
      </c>
      <c r="BJ64" t="str">
        <f ca="1">IF(AND(ISNUMBER($BJ$219),$B$158=1),$BJ$219,HLOOKUP(INDIRECT(ADDRESS(2,COLUMN())),OFFSET($BN$2,0,0,ROW()-1,60),ROW()-1,FALSE))</f>
        <v/>
      </c>
      <c r="BK64" t="str">
        <f ca="1">IF(AND(ISNUMBER($BK$219),$B$158=1),$BK$219,HLOOKUP(INDIRECT(ADDRESS(2,COLUMN())),OFFSET($BN$2,0,0,ROW()-1,60),ROW()-1,FALSE))</f>
        <v/>
      </c>
      <c r="BL64" t="str">
        <f ca="1">IF(AND(ISNUMBER($BL$219),$B$158=1),$BL$219,HLOOKUP(INDIRECT(ADDRESS(2,COLUMN())),OFFSET($BN$2,0,0,ROW()-1,60),ROW()-1,FALSE))</f>
        <v/>
      </c>
      <c r="BM64" t="str">
        <f ca="1">IF(AND(ISNUMBER($BM$219),$B$158=1),$BM$219,HLOOKUP(INDIRECT(ADDRESS(2,COLUMN())),OFFSET($BN$2,0,0,ROW()-1,60),ROW()-1,FALSE))</f>
        <v/>
      </c>
      <c r="BN64" t="str">
        <f>""</f>
        <v/>
      </c>
      <c r="BO64">
        <f>3</f>
        <v>3</v>
      </c>
      <c r="BP64">
        <f>53</f>
        <v>53</v>
      </c>
      <c r="BQ64">
        <f>-3</f>
        <v>-3</v>
      </c>
      <c r="BR64">
        <f>-28</f>
        <v>-28</v>
      </c>
      <c r="BS64">
        <f>-23</f>
        <v>-23</v>
      </c>
      <c r="BT64">
        <f>-62</f>
        <v>-62</v>
      </c>
      <c r="BU64">
        <f>17</f>
        <v>17</v>
      </c>
      <c r="BV64">
        <f>-6</f>
        <v>-6</v>
      </c>
      <c r="BW64">
        <f>12</f>
        <v>12</v>
      </c>
      <c r="BX64">
        <f>9</f>
        <v>9</v>
      </c>
      <c r="BY64">
        <f>12</f>
        <v>12</v>
      </c>
      <c r="BZ64">
        <f>21</f>
        <v>21</v>
      </c>
      <c r="CA64">
        <f>22</f>
        <v>22</v>
      </c>
      <c r="CB64">
        <f>33</f>
        <v>33</v>
      </c>
      <c r="CC64">
        <f>33</f>
        <v>33</v>
      </c>
      <c r="CD64">
        <f>27</f>
        <v>27</v>
      </c>
      <c r="CE64">
        <f>24</f>
        <v>24</v>
      </c>
      <c r="CF64" t="str">
        <f>""</f>
        <v/>
      </c>
      <c r="CG64">
        <f>4</f>
        <v>4</v>
      </c>
      <c r="CH64">
        <f>-1</f>
        <v>-1</v>
      </c>
      <c r="CI64">
        <f>7</f>
        <v>7</v>
      </c>
      <c r="CJ64">
        <f>2</f>
        <v>2</v>
      </c>
      <c r="CK64">
        <f>5</f>
        <v>5</v>
      </c>
      <c r="CL64" t="str">
        <f>""</f>
        <v/>
      </c>
      <c r="CM64" t="str">
        <f>""</f>
        <v/>
      </c>
      <c r="CN64" t="str">
        <f>""</f>
        <v/>
      </c>
      <c r="CO64" t="str">
        <f>""</f>
        <v/>
      </c>
      <c r="CP64" t="str">
        <f>""</f>
        <v/>
      </c>
      <c r="CQ64" t="str">
        <f>""</f>
        <v/>
      </c>
      <c r="CR64" t="str">
        <f>""</f>
        <v/>
      </c>
      <c r="CS64" t="str">
        <f>""</f>
        <v/>
      </c>
      <c r="CT64" t="str">
        <f>""</f>
        <v/>
      </c>
      <c r="CU64" t="str">
        <f>""</f>
        <v/>
      </c>
      <c r="CV64" t="str">
        <f>""</f>
        <v/>
      </c>
      <c r="CW64" t="str">
        <f>""</f>
        <v/>
      </c>
      <c r="CX64" t="str">
        <f>""</f>
        <v/>
      </c>
      <c r="CY64" t="str">
        <f>""</f>
        <v/>
      </c>
      <c r="CZ64" t="str">
        <f>""</f>
        <v/>
      </c>
      <c r="DA64" t="str">
        <f>""</f>
        <v/>
      </c>
      <c r="DB64" t="str">
        <f>""</f>
        <v/>
      </c>
      <c r="DC64" t="str">
        <f>""</f>
        <v/>
      </c>
      <c r="DD64" t="str">
        <f>""</f>
        <v/>
      </c>
      <c r="DE64" t="str">
        <f>""</f>
        <v/>
      </c>
      <c r="DF64" t="str">
        <f>""</f>
        <v/>
      </c>
      <c r="DG64" t="str">
        <f>""</f>
        <v/>
      </c>
      <c r="DH64" t="str">
        <f>""</f>
        <v/>
      </c>
      <c r="DI64" t="str">
        <f>""</f>
        <v/>
      </c>
      <c r="DJ64" t="str">
        <f>""</f>
        <v/>
      </c>
      <c r="DK64" t="str">
        <f>""</f>
        <v/>
      </c>
      <c r="DL64" t="str">
        <f>""</f>
        <v/>
      </c>
      <c r="DM64" t="str">
        <f>""</f>
        <v/>
      </c>
      <c r="DN64" t="str">
        <f>""</f>
        <v/>
      </c>
      <c r="DO64" t="str">
        <f>""</f>
        <v/>
      </c>
      <c r="DP64" t="str">
        <f>""</f>
        <v/>
      </c>
      <c r="DQ64" t="str">
        <f>""</f>
        <v/>
      </c>
      <c r="DR64" t="str">
        <f>""</f>
        <v/>
      </c>
      <c r="DS64" t="str">
        <f>""</f>
        <v/>
      </c>
      <c r="DT64" t="str">
        <f>""</f>
        <v/>
      </c>
      <c r="DU64" t="str">
        <f>""</f>
        <v/>
      </c>
    </row>
    <row r="65" spans="1:125" x14ac:dyDescent="0.25">
      <c r="A65" t="str">
        <f>"                    Western Europe"</f>
        <v xml:space="preserve">                    Western Europe</v>
      </c>
      <c r="B65" t="str">
        <f t="shared" si="26"/>
        <v>KER FP Equity</v>
      </c>
      <c r="C65" t="str">
        <f t="shared" si="28"/>
        <v>BI047</v>
      </c>
      <c r="D65" t="str">
        <f t="shared" si="29"/>
        <v>BICS_SEGMENT_DATA</v>
      </c>
      <c r="E65" t="str">
        <f t="shared" si="27"/>
        <v>Dynamic</v>
      </c>
      <c r="F65" t="str">
        <f ca="1">IF(AND(ISNUMBER($F$220),$B$158=1),$F$220,HLOOKUP(INDIRECT(ADDRESS(2,COLUMN())),OFFSET($BN$2,0,0,ROW()-1,60),ROW()-1,FALSE))</f>
        <v/>
      </c>
      <c r="G65">
        <f ca="1">IF(AND(ISNUMBER($G$220),$B$158=1),$G$220,HLOOKUP(INDIRECT(ADDRESS(2,COLUMN())),OFFSET($BN$2,0,0,ROW()-1,60),ROW()-1,FALSE))</f>
        <v>15</v>
      </c>
      <c r="H65">
        <f ca="1">IF(AND(ISNUMBER($H$220),$B$158=1),$H$220,HLOOKUP(INDIRECT(ADDRESS(2,COLUMN())),OFFSET($BN$2,0,0,ROW()-1,60),ROW()-1,FALSE))</f>
        <v>38</v>
      </c>
      <c r="I65">
        <f ca="1">IF(AND(ISNUMBER($I$220),$B$158=1),$I$220,HLOOKUP(INDIRECT(ADDRESS(2,COLUMN())),OFFSET($BN$2,0,0,ROW()-1,60),ROW()-1,FALSE))</f>
        <v>-34</v>
      </c>
      <c r="J65">
        <f ca="1">IF(AND(ISNUMBER($J$220),$B$158=1),$J$220,HLOOKUP(INDIRECT(ADDRESS(2,COLUMN())),OFFSET($BN$2,0,0,ROW()-1,60),ROW()-1,FALSE))</f>
        <v>-41</v>
      </c>
      <c r="K65">
        <f ca="1">IF(AND(ISNUMBER($K$220),$B$158=1),$K$220,HLOOKUP(INDIRECT(ADDRESS(2,COLUMN())),OFFSET($BN$2,0,0,ROW()-1,60),ROW()-1,FALSE))</f>
        <v>-41</v>
      </c>
      <c r="L65">
        <f ca="1">IF(AND(ISNUMBER($L$220),$B$158=1),$L$220,HLOOKUP(INDIRECT(ADDRESS(2,COLUMN())),OFFSET($BN$2,0,0,ROW()-1,60),ROW()-1,FALSE))</f>
        <v>-66</v>
      </c>
      <c r="M65">
        <f ca="1">IF(AND(ISNUMBER($M$220),$B$158=1),$M$220,HLOOKUP(INDIRECT(ADDRESS(2,COLUMN())),OFFSET($BN$2,0,0,ROW()-1,60),ROW()-1,FALSE))</f>
        <v>14</v>
      </c>
      <c r="N65">
        <f ca="1">IF(AND(ISNUMBER($N$220),$B$158=1),$N$220,HLOOKUP(INDIRECT(ADDRESS(2,COLUMN())),OFFSET($BN$2,0,0,ROW()-1,60),ROW()-1,FALSE))</f>
        <v>17</v>
      </c>
      <c r="O65">
        <f ca="1">IF(AND(ISNUMBER($O$220),$B$158=1),$O$220,HLOOKUP(INDIRECT(ADDRESS(2,COLUMN())),OFFSET($BN$2,0,0,ROW()-1,60),ROW()-1,FALSE))</f>
        <v>12</v>
      </c>
      <c r="P65">
        <f ca="1">IF(AND(ISNUMBER($P$220),$B$158=1),$P$220,HLOOKUP(INDIRECT(ADDRESS(2,COLUMN())),OFFSET($BN$2,0,0,ROW()-1,60),ROW()-1,FALSE))</f>
        <v>15</v>
      </c>
      <c r="Q65">
        <f ca="1">IF(AND(ISNUMBER($Q$220),$B$158=1),$Q$220,HLOOKUP(INDIRECT(ADDRESS(2,COLUMN())),OFFSET($BN$2,0,0,ROW()-1,60),ROW()-1,FALSE))</f>
        <v>14</v>
      </c>
      <c r="R65">
        <f ca="1">IF(AND(ISNUMBER($R$220),$B$158=1),$R$220,HLOOKUP(INDIRECT(ADDRESS(2,COLUMN())),OFFSET($BN$2,0,0,ROW()-1,60),ROW()-1,FALSE))</f>
        <v>18</v>
      </c>
      <c r="S65">
        <f ca="1">IF(AND(ISNUMBER($S$220),$B$158=1),$S$220,HLOOKUP(INDIRECT(ADDRESS(2,COLUMN())),OFFSET($BN$2,0,0,ROW()-1,60),ROW()-1,FALSE))</f>
        <v>19</v>
      </c>
      <c r="T65">
        <f ca="1">IF(AND(ISNUMBER($T$220),$B$158=1),$T$220,HLOOKUP(INDIRECT(ADDRESS(2,COLUMN())),OFFSET($BN$2,0,0,ROW()-1,60),ROW()-1,FALSE))</f>
        <v>23</v>
      </c>
      <c r="U65">
        <f ca="1">IF(AND(ISNUMBER($U$220),$B$158=1),$U$220,HLOOKUP(INDIRECT(ADDRESS(2,COLUMN())),OFFSET($BN$2,0,0,ROW()-1,60),ROW()-1,FALSE))</f>
        <v>30</v>
      </c>
      <c r="V65">
        <f ca="1">IF(AND(ISNUMBER($V$220),$B$158=1),$V$220,HLOOKUP(INDIRECT(ADDRESS(2,COLUMN())),OFFSET($BN$2,0,0,ROW()-1,60),ROW()-1,FALSE))</f>
        <v>35</v>
      </c>
      <c r="W65">
        <f ca="1">IF(AND(ISNUMBER($W$220),$B$158=1),$W$220,HLOOKUP(INDIRECT(ADDRESS(2,COLUMN())),OFFSET($BN$2,0,0,ROW()-1,60),ROW()-1,FALSE))</f>
        <v>36</v>
      </c>
      <c r="X65" t="str">
        <f ca="1">IF(AND(ISNUMBER($X$220),$B$158=1),$X$220,HLOOKUP(INDIRECT(ADDRESS(2,COLUMN())),OFFSET($BN$2,0,0,ROW()-1,60),ROW()-1,FALSE))</f>
        <v/>
      </c>
      <c r="Y65">
        <f ca="1">IF(AND(ISNUMBER($Y$220),$B$158=1),$Y$220,HLOOKUP(INDIRECT(ADDRESS(2,COLUMN())),OFFSET($BN$2,0,0,ROW()-1,60),ROW()-1,FALSE))</f>
        <v>50</v>
      </c>
      <c r="Z65">
        <f ca="1">IF(AND(ISNUMBER($Z$220),$B$158=1),$Z$220,HLOOKUP(INDIRECT(ADDRESS(2,COLUMN())),OFFSET($BN$2,0,0,ROW()-1,60),ROW()-1,FALSE))</f>
        <v>13</v>
      </c>
      <c r="AA65">
        <f ca="1">IF(AND(ISNUMBER($AA$220),$B$158=1),$AA$220,HLOOKUP(INDIRECT(ADDRESS(2,COLUMN())),OFFSET($BN$2,0,0,ROW()-1,60),ROW()-1,FALSE))</f>
        <v>12</v>
      </c>
      <c r="AB65">
        <f ca="1">IF(AND(ISNUMBER($AB$220),$B$158=1),$AB$220,HLOOKUP(INDIRECT(ADDRESS(2,COLUMN())),OFFSET($BN$2,0,0,ROW()-1,60),ROW()-1,FALSE))</f>
        <v>5</v>
      </c>
      <c r="AC65">
        <f ca="1">IF(AND(ISNUMBER($AC$220),$B$158=1),$AC$220,HLOOKUP(INDIRECT(ADDRESS(2,COLUMN())),OFFSET($BN$2,0,0,ROW()-1,60),ROW()-1,FALSE))</f>
        <v>10</v>
      </c>
      <c r="AD65" t="str">
        <f ca="1">IF(AND(ISNUMBER($AD$220),$B$158=1),$AD$220,HLOOKUP(INDIRECT(ADDRESS(2,COLUMN())),OFFSET($BN$2,0,0,ROW()-1,60),ROW()-1,FALSE))</f>
        <v/>
      </c>
      <c r="AE65" t="str">
        <f ca="1">IF(AND(ISNUMBER($AE$220),$B$158=1),$AE$220,HLOOKUP(INDIRECT(ADDRESS(2,COLUMN())),OFFSET($BN$2,0,0,ROW()-1,60),ROW()-1,FALSE))</f>
        <v/>
      </c>
      <c r="AF65" t="str">
        <f ca="1">IF(AND(ISNUMBER($AF$220),$B$158=1),$AF$220,HLOOKUP(INDIRECT(ADDRESS(2,COLUMN())),OFFSET($BN$2,0,0,ROW()-1,60),ROW()-1,FALSE))</f>
        <v/>
      </c>
      <c r="AG65" t="str">
        <f ca="1">IF(AND(ISNUMBER($AG$220),$B$158=1),$AG$220,HLOOKUP(INDIRECT(ADDRESS(2,COLUMN())),OFFSET($BN$2,0,0,ROW()-1,60),ROW()-1,FALSE))</f>
        <v/>
      </c>
      <c r="AH65" t="str">
        <f ca="1">IF(AND(ISNUMBER($AH$220),$B$158=1),$AH$220,HLOOKUP(INDIRECT(ADDRESS(2,COLUMN())),OFFSET($BN$2,0,0,ROW()-1,60),ROW()-1,FALSE))</f>
        <v/>
      </c>
      <c r="AI65" t="str">
        <f ca="1">IF(AND(ISNUMBER($AI$220),$B$158=1),$AI$220,HLOOKUP(INDIRECT(ADDRESS(2,COLUMN())),OFFSET($BN$2,0,0,ROW()-1,60),ROW()-1,FALSE))</f>
        <v/>
      </c>
      <c r="AJ65" t="str">
        <f ca="1">IF(AND(ISNUMBER($AJ$220),$B$158=1),$AJ$220,HLOOKUP(INDIRECT(ADDRESS(2,COLUMN())),OFFSET($BN$2,0,0,ROW()-1,60),ROW()-1,FALSE))</f>
        <v/>
      </c>
      <c r="AK65" t="str">
        <f ca="1">IF(AND(ISNUMBER($AK$220),$B$158=1),$AK$220,HLOOKUP(INDIRECT(ADDRESS(2,COLUMN())),OFFSET($BN$2,0,0,ROW()-1,60),ROW()-1,FALSE))</f>
        <v/>
      </c>
      <c r="AL65" t="str">
        <f ca="1">IF(AND(ISNUMBER($AL$220),$B$158=1),$AL$220,HLOOKUP(INDIRECT(ADDRESS(2,COLUMN())),OFFSET($BN$2,0,0,ROW()-1,60),ROW()-1,FALSE))</f>
        <v/>
      </c>
      <c r="AM65" t="str">
        <f ca="1">IF(AND(ISNUMBER($AM$220),$B$158=1),$AM$220,HLOOKUP(INDIRECT(ADDRESS(2,COLUMN())),OFFSET($BN$2,0,0,ROW()-1,60),ROW()-1,FALSE))</f>
        <v/>
      </c>
      <c r="AN65" t="str">
        <f ca="1">IF(AND(ISNUMBER($AN$220),$B$158=1),$AN$220,HLOOKUP(INDIRECT(ADDRESS(2,COLUMN())),OFFSET($BN$2,0,0,ROW()-1,60),ROW()-1,FALSE))</f>
        <v/>
      </c>
      <c r="AO65" t="str">
        <f ca="1">IF(AND(ISNUMBER($AO$220),$B$158=1),$AO$220,HLOOKUP(INDIRECT(ADDRESS(2,COLUMN())),OFFSET($BN$2,0,0,ROW()-1,60),ROW()-1,FALSE))</f>
        <v/>
      </c>
      <c r="AP65" t="str">
        <f ca="1">IF(AND(ISNUMBER($AP$220),$B$158=1),$AP$220,HLOOKUP(INDIRECT(ADDRESS(2,COLUMN())),OFFSET($BN$2,0,0,ROW()-1,60),ROW()-1,FALSE))</f>
        <v/>
      </c>
      <c r="AQ65" t="str">
        <f ca="1">IF(AND(ISNUMBER($AQ$220),$B$158=1),$AQ$220,HLOOKUP(INDIRECT(ADDRESS(2,COLUMN())),OFFSET($BN$2,0,0,ROW()-1,60),ROW()-1,FALSE))</f>
        <v/>
      </c>
      <c r="AR65" t="str">
        <f ca="1">IF(AND(ISNUMBER($AR$220),$B$158=1),$AR$220,HLOOKUP(INDIRECT(ADDRESS(2,COLUMN())),OFFSET($BN$2,0,0,ROW()-1,60),ROW()-1,FALSE))</f>
        <v/>
      </c>
      <c r="AS65" t="str">
        <f ca="1">IF(AND(ISNUMBER($AS$220),$B$158=1),$AS$220,HLOOKUP(INDIRECT(ADDRESS(2,COLUMN())),OFFSET($BN$2,0,0,ROW()-1,60),ROW()-1,FALSE))</f>
        <v/>
      </c>
      <c r="AT65" t="str">
        <f ca="1">IF(AND(ISNUMBER($AT$220),$B$158=1),$AT$220,HLOOKUP(INDIRECT(ADDRESS(2,COLUMN())),OFFSET($BN$2,0,0,ROW()-1,60),ROW()-1,FALSE))</f>
        <v/>
      </c>
      <c r="AU65" t="str">
        <f ca="1">IF(AND(ISNUMBER($AU$220),$B$158=1),$AU$220,HLOOKUP(INDIRECT(ADDRESS(2,COLUMN())),OFFSET($BN$2,0,0,ROW()-1,60),ROW()-1,FALSE))</f>
        <v/>
      </c>
      <c r="AV65" t="str">
        <f ca="1">IF(AND(ISNUMBER($AV$220),$B$158=1),$AV$220,HLOOKUP(INDIRECT(ADDRESS(2,COLUMN())),OFFSET($BN$2,0,0,ROW()-1,60),ROW()-1,FALSE))</f>
        <v/>
      </c>
      <c r="AW65" t="str">
        <f ca="1">IF(AND(ISNUMBER($AW$220),$B$158=1),$AW$220,HLOOKUP(INDIRECT(ADDRESS(2,COLUMN())),OFFSET($BN$2,0,0,ROW()-1,60),ROW()-1,FALSE))</f>
        <v/>
      </c>
      <c r="AX65" t="str">
        <f ca="1">IF(AND(ISNUMBER($AX$220),$B$158=1),$AX$220,HLOOKUP(INDIRECT(ADDRESS(2,COLUMN())),OFFSET($BN$2,0,0,ROW()-1,60),ROW()-1,FALSE))</f>
        <v/>
      </c>
      <c r="AY65" t="str">
        <f ca="1">IF(AND(ISNUMBER($AY$220),$B$158=1),$AY$220,HLOOKUP(INDIRECT(ADDRESS(2,COLUMN())),OFFSET($BN$2,0,0,ROW()-1,60),ROW()-1,FALSE))</f>
        <v/>
      </c>
      <c r="AZ65" t="str">
        <f ca="1">IF(AND(ISNUMBER($AZ$220),$B$158=1),$AZ$220,HLOOKUP(INDIRECT(ADDRESS(2,COLUMN())),OFFSET($BN$2,0,0,ROW()-1,60),ROW()-1,FALSE))</f>
        <v/>
      </c>
      <c r="BA65" t="str">
        <f ca="1">IF(AND(ISNUMBER($BA$220),$B$158=1),$BA$220,HLOOKUP(INDIRECT(ADDRESS(2,COLUMN())),OFFSET($BN$2,0,0,ROW()-1,60),ROW()-1,FALSE))</f>
        <v/>
      </c>
      <c r="BB65" t="str">
        <f ca="1">IF(AND(ISNUMBER($BB$220),$B$158=1),$BB$220,HLOOKUP(INDIRECT(ADDRESS(2,COLUMN())),OFFSET($BN$2,0,0,ROW()-1,60),ROW()-1,FALSE))</f>
        <v/>
      </c>
      <c r="BC65" t="str">
        <f ca="1">IF(AND(ISNUMBER($BC$220),$B$158=1),$BC$220,HLOOKUP(INDIRECT(ADDRESS(2,COLUMN())),OFFSET($BN$2,0,0,ROW()-1,60),ROW()-1,FALSE))</f>
        <v/>
      </c>
      <c r="BD65" t="str">
        <f ca="1">IF(AND(ISNUMBER($BD$220),$B$158=1),$BD$220,HLOOKUP(INDIRECT(ADDRESS(2,COLUMN())),OFFSET($BN$2,0,0,ROW()-1,60),ROW()-1,FALSE))</f>
        <v/>
      </c>
      <c r="BE65" t="str">
        <f ca="1">IF(AND(ISNUMBER($BE$220),$B$158=1),$BE$220,HLOOKUP(INDIRECT(ADDRESS(2,COLUMN())),OFFSET($BN$2,0,0,ROW()-1,60),ROW()-1,FALSE))</f>
        <v/>
      </c>
      <c r="BF65" t="str">
        <f ca="1">IF(AND(ISNUMBER($BF$220),$B$158=1),$BF$220,HLOOKUP(INDIRECT(ADDRESS(2,COLUMN())),OFFSET($BN$2,0,0,ROW()-1,60),ROW()-1,FALSE))</f>
        <v/>
      </c>
      <c r="BG65" t="str">
        <f ca="1">IF(AND(ISNUMBER($BG$220),$B$158=1),$BG$220,HLOOKUP(INDIRECT(ADDRESS(2,COLUMN())),OFFSET($BN$2,0,0,ROW()-1,60),ROW()-1,FALSE))</f>
        <v/>
      </c>
      <c r="BH65" t="str">
        <f ca="1">IF(AND(ISNUMBER($BH$220),$B$158=1),$BH$220,HLOOKUP(INDIRECT(ADDRESS(2,COLUMN())),OFFSET($BN$2,0,0,ROW()-1,60),ROW()-1,FALSE))</f>
        <v/>
      </c>
      <c r="BI65" t="str">
        <f ca="1">IF(AND(ISNUMBER($BI$220),$B$158=1),$BI$220,HLOOKUP(INDIRECT(ADDRESS(2,COLUMN())),OFFSET($BN$2,0,0,ROW()-1,60),ROW()-1,FALSE))</f>
        <v/>
      </c>
      <c r="BJ65" t="str">
        <f ca="1">IF(AND(ISNUMBER($BJ$220),$B$158=1),$BJ$220,HLOOKUP(INDIRECT(ADDRESS(2,COLUMN())),OFFSET($BN$2,0,0,ROW()-1,60),ROW()-1,FALSE))</f>
        <v/>
      </c>
      <c r="BK65" t="str">
        <f ca="1">IF(AND(ISNUMBER($BK$220),$B$158=1),$BK$220,HLOOKUP(INDIRECT(ADDRESS(2,COLUMN())),OFFSET($BN$2,0,0,ROW()-1,60),ROW()-1,FALSE))</f>
        <v/>
      </c>
      <c r="BL65" t="str">
        <f ca="1">IF(AND(ISNUMBER($BL$220),$B$158=1),$BL$220,HLOOKUP(INDIRECT(ADDRESS(2,COLUMN())),OFFSET($BN$2,0,0,ROW()-1,60),ROW()-1,FALSE))</f>
        <v/>
      </c>
      <c r="BM65" t="str">
        <f ca="1">IF(AND(ISNUMBER($BM$220),$B$158=1),$BM$220,HLOOKUP(INDIRECT(ADDRESS(2,COLUMN())),OFFSET($BN$2,0,0,ROW()-1,60),ROW()-1,FALSE))</f>
        <v/>
      </c>
      <c r="BN65" t="str">
        <f>""</f>
        <v/>
      </c>
      <c r="BO65">
        <f>15</f>
        <v>15</v>
      </c>
      <c r="BP65">
        <f>38</f>
        <v>38</v>
      </c>
      <c r="BQ65">
        <f>-34</f>
        <v>-34</v>
      </c>
      <c r="BR65">
        <f>-41</f>
        <v>-41</v>
      </c>
      <c r="BS65">
        <f>-41</f>
        <v>-41</v>
      </c>
      <c r="BT65">
        <f>-66</f>
        <v>-66</v>
      </c>
      <c r="BU65">
        <f>14</f>
        <v>14</v>
      </c>
      <c r="BV65">
        <f>17</f>
        <v>17</v>
      </c>
      <c r="BW65">
        <f>12</f>
        <v>12</v>
      </c>
      <c r="BX65">
        <f>15</f>
        <v>15</v>
      </c>
      <c r="BY65">
        <f>14</f>
        <v>14</v>
      </c>
      <c r="BZ65">
        <f>18</f>
        <v>18</v>
      </c>
      <c r="CA65">
        <f>19</f>
        <v>19</v>
      </c>
      <c r="CB65">
        <f>23</f>
        <v>23</v>
      </c>
      <c r="CC65">
        <f>30</f>
        <v>30</v>
      </c>
      <c r="CD65">
        <f>35</f>
        <v>35</v>
      </c>
      <c r="CE65">
        <f>36</f>
        <v>36</v>
      </c>
      <c r="CF65" t="str">
        <f>""</f>
        <v/>
      </c>
      <c r="CG65">
        <f>50</f>
        <v>50</v>
      </c>
      <c r="CH65">
        <f>13</f>
        <v>13</v>
      </c>
      <c r="CI65">
        <f>12</f>
        <v>12</v>
      </c>
      <c r="CJ65">
        <f>5</f>
        <v>5</v>
      </c>
      <c r="CK65">
        <f>10</f>
        <v>10</v>
      </c>
      <c r="CL65" t="str">
        <f>""</f>
        <v/>
      </c>
      <c r="CM65" t="str">
        <f>""</f>
        <v/>
      </c>
      <c r="CN65" t="str">
        <f>""</f>
        <v/>
      </c>
      <c r="CO65" t="str">
        <f>""</f>
        <v/>
      </c>
      <c r="CP65" t="str">
        <f>""</f>
        <v/>
      </c>
      <c r="CQ65" t="str">
        <f>""</f>
        <v/>
      </c>
      <c r="CR65" t="str">
        <f>""</f>
        <v/>
      </c>
      <c r="CS65" t="str">
        <f>""</f>
        <v/>
      </c>
      <c r="CT65" t="str">
        <f>""</f>
        <v/>
      </c>
      <c r="CU65" t="str">
        <f>""</f>
        <v/>
      </c>
      <c r="CV65" t="str">
        <f>""</f>
        <v/>
      </c>
      <c r="CW65" t="str">
        <f>""</f>
        <v/>
      </c>
      <c r="CX65" t="str">
        <f>""</f>
        <v/>
      </c>
      <c r="CY65" t="str">
        <f>""</f>
        <v/>
      </c>
      <c r="CZ65" t="str">
        <f>""</f>
        <v/>
      </c>
      <c r="DA65" t="str">
        <f>""</f>
        <v/>
      </c>
      <c r="DB65" t="str">
        <f>""</f>
        <v/>
      </c>
      <c r="DC65" t="str">
        <f>""</f>
        <v/>
      </c>
      <c r="DD65" t="str">
        <f>""</f>
        <v/>
      </c>
      <c r="DE65" t="str">
        <f>""</f>
        <v/>
      </c>
      <c r="DF65" t="str">
        <f>""</f>
        <v/>
      </c>
      <c r="DG65" t="str">
        <f>""</f>
        <v/>
      </c>
      <c r="DH65" t="str">
        <f>""</f>
        <v/>
      </c>
      <c r="DI65" t="str">
        <f>""</f>
        <v/>
      </c>
      <c r="DJ65" t="str">
        <f>""</f>
        <v/>
      </c>
      <c r="DK65" t="str">
        <f>""</f>
        <v/>
      </c>
      <c r="DL65" t="str">
        <f>""</f>
        <v/>
      </c>
      <c r="DM65" t="str">
        <f>""</f>
        <v/>
      </c>
      <c r="DN65" t="str">
        <f>""</f>
        <v/>
      </c>
      <c r="DO65" t="str">
        <f>""</f>
        <v/>
      </c>
      <c r="DP65" t="str">
        <f>""</f>
        <v/>
      </c>
      <c r="DQ65" t="str">
        <f>""</f>
        <v/>
      </c>
      <c r="DR65" t="str">
        <f>""</f>
        <v/>
      </c>
      <c r="DS65" t="str">
        <f>""</f>
        <v/>
      </c>
      <c r="DT65" t="str">
        <f>""</f>
        <v/>
      </c>
      <c r="DU65" t="str">
        <f>""</f>
        <v/>
      </c>
    </row>
    <row r="66" spans="1:125" x14ac:dyDescent="0.25">
      <c r="A66" t="str">
        <f>"                    North America"</f>
        <v xml:space="preserve">                    North America</v>
      </c>
      <c r="B66" t="str">
        <f t="shared" si="26"/>
        <v>KER FP Equity</v>
      </c>
      <c r="C66" t="str">
        <f t="shared" si="28"/>
        <v>BI047</v>
      </c>
      <c r="D66" t="str">
        <f t="shared" si="29"/>
        <v>BICS_SEGMENT_DATA</v>
      </c>
      <c r="E66" t="str">
        <f t="shared" si="27"/>
        <v>Dynamic</v>
      </c>
      <c r="F66" t="str">
        <f ca="1">IF(AND(ISNUMBER($F$221),$B$158=1),$F$221,HLOOKUP(INDIRECT(ADDRESS(2,COLUMN())),OFFSET($BN$2,0,0,ROW()-1,60),ROW()-1,FALSE))</f>
        <v/>
      </c>
      <c r="G66">
        <f ca="1">IF(AND(ISNUMBER($G$221),$B$158=1),$G$221,HLOOKUP(INDIRECT(ADDRESS(2,COLUMN())),OFFSET($BN$2,0,0,ROW()-1,60),ROW()-1,FALSE))</f>
        <v>31</v>
      </c>
      <c r="H66">
        <f ca="1">IF(AND(ISNUMBER($H$221),$B$158=1),$H$221,HLOOKUP(INDIRECT(ADDRESS(2,COLUMN())),OFFSET($BN$2,0,0,ROW()-1,60),ROW()-1,FALSE))</f>
        <v>204</v>
      </c>
      <c r="I66">
        <f ca="1">IF(AND(ISNUMBER($I$221),$B$158=1),$I$221,HLOOKUP(INDIRECT(ADDRESS(2,COLUMN())),OFFSET($BN$2,0,0,ROW()-1,60),ROW()-1,FALSE))</f>
        <v>46</v>
      </c>
      <c r="J66">
        <f ca="1">IF(AND(ISNUMBER($J$221),$B$158=1),$J$221,HLOOKUP(INDIRECT(ADDRESS(2,COLUMN())),OFFSET($BN$2,0,0,ROW()-1,60),ROW()-1,FALSE))</f>
        <v>0</v>
      </c>
      <c r="K66">
        <f ca="1">IF(AND(ISNUMBER($K$221),$B$158=1),$K$221,HLOOKUP(INDIRECT(ADDRESS(2,COLUMN())),OFFSET($BN$2,0,0,ROW()-1,60),ROW()-1,FALSE))</f>
        <v>44</v>
      </c>
      <c r="L66">
        <f ca="1">IF(AND(ISNUMBER($L$221),$B$158=1),$L$221,HLOOKUP(INDIRECT(ADDRESS(2,COLUMN())),OFFSET($BN$2,0,0,ROW()-1,60),ROW()-1,FALSE))</f>
        <v>-49</v>
      </c>
      <c r="M66">
        <f ca="1">IF(AND(ISNUMBER($M$221),$B$158=1),$M$221,HLOOKUP(INDIRECT(ADDRESS(2,COLUMN())),OFFSET($BN$2,0,0,ROW()-1,60),ROW()-1,FALSE))</f>
        <v>7</v>
      </c>
      <c r="N66">
        <f ca="1">IF(AND(ISNUMBER($N$221),$B$158=1),$N$221,HLOOKUP(INDIRECT(ADDRESS(2,COLUMN())),OFFSET($BN$2,0,0,ROW()-1,60),ROW()-1,FALSE))</f>
        <v>11</v>
      </c>
      <c r="O66">
        <f ca="1">IF(AND(ISNUMBER($O$221),$B$158=1),$O$221,HLOOKUP(INDIRECT(ADDRESS(2,COLUMN())),OFFSET($BN$2,0,0,ROW()-1,60),ROW()-1,FALSE))</f>
        <v>3</v>
      </c>
      <c r="P66">
        <f ca="1">IF(AND(ISNUMBER($P$221),$B$158=1),$P$221,HLOOKUP(INDIRECT(ADDRESS(2,COLUMN())),OFFSET($BN$2,0,0,ROW()-1,60),ROW()-1,FALSE))</f>
        <v>2</v>
      </c>
      <c r="Q66">
        <f ca="1">IF(AND(ISNUMBER($Q$221),$B$158=1),$Q$221,HLOOKUP(INDIRECT(ADDRESS(2,COLUMN())),OFFSET($BN$2,0,0,ROW()-1,60),ROW()-1,FALSE))</f>
        <v>7</v>
      </c>
      <c r="R66">
        <f ca="1">IF(AND(ISNUMBER($R$221),$B$158=1),$R$221,HLOOKUP(INDIRECT(ADDRESS(2,COLUMN())),OFFSET($BN$2,0,0,ROW()-1,60),ROW()-1,FALSE))</f>
        <v>26</v>
      </c>
      <c r="S66">
        <f ca="1">IF(AND(ISNUMBER($S$221),$B$158=1),$S$221,HLOOKUP(INDIRECT(ADDRESS(2,COLUMN())),OFFSET($BN$2,0,0,ROW()-1,60),ROW()-1,FALSE))</f>
        <v>36</v>
      </c>
      <c r="T66">
        <f ca="1">IF(AND(ISNUMBER($T$221),$B$158=1),$T$221,HLOOKUP(INDIRECT(ADDRESS(2,COLUMN())),OFFSET($BN$2,0,0,ROW()-1,60),ROW()-1,FALSE))</f>
        <v>45</v>
      </c>
      <c r="U66">
        <f ca="1">IF(AND(ISNUMBER($U$221),$B$158=1),$U$221,HLOOKUP(INDIRECT(ADDRESS(2,COLUMN())),OFFSET($BN$2,0,0,ROW()-1,60),ROW()-1,FALSE))</f>
        <v>54</v>
      </c>
      <c r="V66">
        <f ca="1">IF(AND(ISNUMBER($V$221),$B$158=1),$V$221,HLOOKUP(INDIRECT(ADDRESS(2,COLUMN())),OFFSET($BN$2,0,0,ROW()-1,60),ROW()-1,FALSE))</f>
        <v>43</v>
      </c>
      <c r="W66">
        <f ca="1">IF(AND(ISNUMBER($W$221),$B$158=1),$W$221,HLOOKUP(INDIRECT(ADDRESS(2,COLUMN())),OFFSET($BN$2,0,0,ROW()-1,60),ROW()-1,FALSE))</f>
        <v>33</v>
      </c>
      <c r="X66" t="str">
        <f ca="1">IF(AND(ISNUMBER($X$221),$B$158=1),$X$221,HLOOKUP(INDIRECT(ADDRESS(2,COLUMN())),OFFSET($BN$2,0,0,ROW()-1,60),ROW()-1,FALSE))</f>
        <v/>
      </c>
      <c r="Y66">
        <f ca="1">IF(AND(ISNUMBER($Y$221),$B$158=1),$Y$221,HLOOKUP(INDIRECT(ADDRESS(2,COLUMN())),OFFSET($BN$2,0,0,ROW()-1,60),ROW()-1,FALSE))</f>
        <v>30</v>
      </c>
      <c r="Z66">
        <f ca="1">IF(AND(ISNUMBER($Z$221),$B$158=1),$Z$221,HLOOKUP(INDIRECT(ADDRESS(2,COLUMN())),OFFSET($BN$2,0,0,ROW()-1,60),ROW()-1,FALSE))</f>
        <v>6</v>
      </c>
      <c r="AA66">
        <f ca="1">IF(AND(ISNUMBER($AA$221),$B$158=1),$AA$221,HLOOKUP(INDIRECT(ADDRESS(2,COLUMN())),OFFSET($BN$2,0,0,ROW()-1,60),ROW()-1,FALSE))</f>
        <v>17</v>
      </c>
      <c r="AB66">
        <f ca="1">IF(AND(ISNUMBER($AB$221),$B$158=1),$AB$221,HLOOKUP(INDIRECT(ADDRESS(2,COLUMN())),OFFSET($BN$2,0,0,ROW()-1,60),ROW()-1,FALSE))</f>
        <v>1</v>
      </c>
      <c r="AC66">
        <f ca="1">IF(AND(ISNUMBER($AC$221),$B$158=1),$AC$221,HLOOKUP(INDIRECT(ADDRESS(2,COLUMN())),OFFSET($BN$2,0,0,ROW()-1,60),ROW()-1,FALSE))</f>
        <v>-5</v>
      </c>
      <c r="AD66" t="str">
        <f ca="1">IF(AND(ISNUMBER($AD$221),$B$158=1),$AD$221,HLOOKUP(INDIRECT(ADDRESS(2,COLUMN())),OFFSET($BN$2,0,0,ROW()-1,60),ROW()-1,FALSE))</f>
        <v/>
      </c>
      <c r="AE66" t="str">
        <f ca="1">IF(AND(ISNUMBER($AE$221),$B$158=1),$AE$221,HLOOKUP(INDIRECT(ADDRESS(2,COLUMN())),OFFSET($BN$2,0,0,ROW()-1,60),ROW()-1,FALSE))</f>
        <v/>
      </c>
      <c r="AF66" t="str">
        <f ca="1">IF(AND(ISNUMBER($AF$221),$B$158=1),$AF$221,HLOOKUP(INDIRECT(ADDRESS(2,COLUMN())),OFFSET($BN$2,0,0,ROW()-1,60),ROW()-1,FALSE))</f>
        <v/>
      </c>
      <c r="AG66" t="str">
        <f ca="1">IF(AND(ISNUMBER($AG$221),$B$158=1),$AG$221,HLOOKUP(INDIRECT(ADDRESS(2,COLUMN())),OFFSET($BN$2,0,0,ROW()-1,60),ROW()-1,FALSE))</f>
        <v/>
      </c>
      <c r="AH66" t="str">
        <f ca="1">IF(AND(ISNUMBER($AH$221),$B$158=1),$AH$221,HLOOKUP(INDIRECT(ADDRESS(2,COLUMN())),OFFSET($BN$2,0,0,ROW()-1,60),ROW()-1,FALSE))</f>
        <v/>
      </c>
      <c r="AI66" t="str">
        <f ca="1">IF(AND(ISNUMBER($AI$221),$B$158=1),$AI$221,HLOOKUP(INDIRECT(ADDRESS(2,COLUMN())),OFFSET($BN$2,0,0,ROW()-1,60),ROW()-1,FALSE))</f>
        <v/>
      </c>
      <c r="AJ66" t="str">
        <f ca="1">IF(AND(ISNUMBER($AJ$221),$B$158=1),$AJ$221,HLOOKUP(INDIRECT(ADDRESS(2,COLUMN())),OFFSET($BN$2,0,0,ROW()-1,60),ROW()-1,FALSE))</f>
        <v/>
      </c>
      <c r="AK66" t="str">
        <f ca="1">IF(AND(ISNUMBER($AK$221),$B$158=1),$AK$221,HLOOKUP(INDIRECT(ADDRESS(2,COLUMN())),OFFSET($BN$2,0,0,ROW()-1,60),ROW()-1,FALSE))</f>
        <v/>
      </c>
      <c r="AL66" t="str">
        <f ca="1">IF(AND(ISNUMBER($AL$221),$B$158=1),$AL$221,HLOOKUP(INDIRECT(ADDRESS(2,COLUMN())),OFFSET($BN$2,0,0,ROW()-1,60),ROW()-1,FALSE))</f>
        <v/>
      </c>
      <c r="AM66" t="str">
        <f ca="1">IF(AND(ISNUMBER($AM$221),$B$158=1),$AM$221,HLOOKUP(INDIRECT(ADDRESS(2,COLUMN())),OFFSET($BN$2,0,0,ROW()-1,60),ROW()-1,FALSE))</f>
        <v/>
      </c>
      <c r="AN66" t="str">
        <f ca="1">IF(AND(ISNUMBER($AN$221),$B$158=1),$AN$221,HLOOKUP(INDIRECT(ADDRESS(2,COLUMN())),OFFSET($BN$2,0,0,ROW()-1,60),ROW()-1,FALSE))</f>
        <v/>
      </c>
      <c r="AO66" t="str">
        <f ca="1">IF(AND(ISNUMBER($AO$221),$B$158=1),$AO$221,HLOOKUP(INDIRECT(ADDRESS(2,COLUMN())),OFFSET($BN$2,0,0,ROW()-1,60),ROW()-1,FALSE))</f>
        <v/>
      </c>
      <c r="AP66" t="str">
        <f ca="1">IF(AND(ISNUMBER($AP$221),$B$158=1),$AP$221,HLOOKUP(INDIRECT(ADDRESS(2,COLUMN())),OFFSET($BN$2,0,0,ROW()-1,60),ROW()-1,FALSE))</f>
        <v/>
      </c>
      <c r="AQ66" t="str">
        <f ca="1">IF(AND(ISNUMBER($AQ$221),$B$158=1),$AQ$221,HLOOKUP(INDIRECT(ADDRESS(2,COLUMN())),OFFSET($BN$2,0,0,ROW()-1,60),ROW()-1,FALSE))</f>
        <v/>
      </c>
      <c r="AR66" t="str">
        <f ca="1">IF(AND(ISNUMBER($AR$221),$B$158=1),$AR$221,HLOOKUP(INDIRECT(ADDRESS(2,COLUMN())),OFFSET($BN$2,0,0,ROW()-1,60),ROW()-1,FALSE))</f>
        <v/>
      </c>
      <c r="AS66" t="str">
        <f ca="1">IF(AND(ISNUMBER($AS$221),$B$158=1),$AS$221,HLOOKUP(INDIRECT(ADDRESS(2,COLUMN())),OFFSET($BN$2,0,0,ROW()-1,60),ROW()-1,FALSE))</f>
        <v/>
      </c>
      <c r="AT66" t="str">
        <f ca="1">IF(AND(ISNUMBER($AT$221),$B$158=1),$AT$221,HLOOKUP(INDIRECT(ADDRESS(2,COLUMN())),OFFSET($BN$2,0,0,ROW()-1,60),ROW()-1,FALSE))</f>
        <v/>
      </c>
      <c r="AU66" t="str">
        <f ca="1">IF(AND(ISNUMBER($AU$221),$B$158=1),$AU$221,HLOOKUP(INDIRECT(ADDRESS(2,COLUMN())),OFFSET($BN$2,0,0,ROW()-1,60),ROW()-1,FALSE))</f>
        <v/>
      </c>
      <c r="AV66" t="str">
        <f ca="1">IF(AND(ISNUMBER($AV$221),$B$158=1),$AV$221,HLOOKUP(INDIRECT(ADDRESS(2,COLUMN())),OFFSET($BN$2,0,0,ROW()-1,60),ROW()-1,FALSE))</f>
        <v/>
      </c>
      <c r="AW66" t="str">
        <f ca="1">IF(AND(ISNUMBER($AW$221),$B$158=1),$AW$221,HLOOKUP(INDIRECT(ADDRESS(2,COLUMN())),OFFSET($BN$2,0,0,ROW()-1,60),ROW()-1,FALSE))</f>
        <v/>
      </c>
      <c r="AX66" t="str">
        <f ca="1">IF(AND(ISNUMBER($AX$221),$B$158=1),$AX$221,HLOOKUP(INDIRECT(ADDRESS(2,COLUMN())),OFFSET($BN$2,0,0,ROW()-1,60),ROW()-1,FALSE))</f>
        <v/>
      </c>
      <c r="AY66" t="str">
        <f ca="1">IF(AND(ISNUMBER($AY$221),$B$158=1),$AY$221,HLOOKUP(INDIRECT(ADDRESS(2,COLUMN())),OFFSET($BN$2,0,0,ROW()-1,60),ROW()-1,FALSE))</f>
        <v/>
      </c>
      <c r="AZ66" t="str">
        <f ca="1">IF(AND(ISNUMBER($AZ$221),$B$158=1),$AZ$221,HLOOKUP(INDIRECT(ADDRESS(2,COLUMN())),OFFSET($BN$2,0,0,ROW()-1,60),ROW()-1,FALSE))</f>
        <v/>
      </c>
      <c r="BA66" t="str">
        <f ca="1">IF(AND(ISNUMBER($BA$221),$B$158=1),$BA$221,HLOOKUP(INDIRECT(ADDRESS(2,COLUMN())),OFFSET($BN$2,0,0,ROW()-1,60),ROW()-1,FALSE))</f>
        <v/>
      </c>
      <c r="BB66" t="str">
        <f ca="1">IF(AND(ISNUMBER($BB$221),$B$158=1),$BB$221,HLOOKUP(INDIRECT(ADDRESS(2,COLUMN())),OFFSET($BN$2,0,0,ROW()-1,60),ROW()-1,FALSE))</f>
        <v/>
      </c>
      <c r="BC66" t="str">
        <f ca="1">IF(AND(ISNUMBER($BC$221),$B$158=1),$BC$221,HLOOKUP(INDIRECT(ADDRESS(2,COLUMN())),OFFSET($BN$2,0,0,ROW()-1,60),ROW()-1,FALSE))</f>
        <v/>
      </c>
      <c r="BD66" t="str">
        <f ca="1">IF(AND(ISNUMBER($BD$221),$B$158=1),$BD$221,HLOOKUP(INDIRECT(ADDRESS(2,COLUMN())),OFFSET($BN$2,0,0,ROW()-1,60),ROW()-1,FALSE))</f>
        <v/>
      </c>
      <c r="BE66" t="str">
        <f ca="1">IF(AND(ISNUMBER($BE$221),$B$158=1),$BE$221,HLOOKUP(INDIRECT(ADDRESS(2,COLUMN())),OFFSET($BN$2,0,0,ROW()-1,60),ROW()-1,FALSE))</f>
        <v/>
      </c>
      <c r="BF66" t="str">
        <f ca="1">IF(AND(ISNUMBER($BF$221),$B$158=1),$BF$221,HLOOKUP(INDIRECT(ADDRESS(2,COLUMN())),OFFSET($BN$2,0,0,ROW()-1,60),ROW()-1,FALSE))</f>
        <v/>
      </c>
      <c r="BG66" t="str">
        <f ca="1">IF(AND(ISNUMBER($BG$221),$B$158=1),$BG$221,HLOOKUP(INDIRECT(ADDRESS(2,COLUMN())),OFFSET($BN$2,0,0,ROW()-1,60),ROW()-1,FALSE))</f>
        <v/>
      </c>
      <c r="BH66" t="str">
        <f ca="1">IF(AND(ISNUMBER($BH$221),$B$158=1),$BH$221,HLOOKUP(INDIRECT(ADDRESS(2,COLUMN())),OFFSET($BN$2,0,0,ROW()-1,60),ROW()-1,FALSE))</f>
        <v/>
      </c>
      <c r="BI66" t="str">
        <f ca="1">IF(AND(ISNUMBER($BI$221),$B$158=1),$BI$221,HLOOKUP(INDIRECT(ADDRESS(2,COLUMN())),OFFSET($BN$2,0,0,ROW()-1,60),ROW()-1,FALSE))</f>
        <v/>
      </c>
      <c r="BJ66" t="str">
        <f ca="1">IF(AND(ISNUMBER($BJ$221),$B$158=1),$BJ$221,HLOOKUP(INDIRECT(ADDRESS(2,COLUMN())),OFFSET($BN$2,0,0,ROW()-1,60),ROW()-1,FALSE))</f>
        <v/>
      </c>
      <c r="BK66" t="str">
        <f ca="1">IF(AND(ISNUMBER($BK$221),$B$158=1),$BK$221,HLOOKUP(INDIRECT(ADDRESS(2,COLUMN())),OFFSET($BN$2,0,0,ROW()-1,60),ROW()-1,FALSE))</f>
        <v/>
      </c>
      <c r="BL66" t="str">
        <f ca="1">IF(AND(ISNUMBER($BL$221),$B$158=1),$BL$221,HLOOKUP(INDIRECT(ADDRESS(2,COLUMN())),OFFSET($BN$2,0,0,ROW()-1,60),ROW()-1,FALSE))</f>
        <v/>
      </c>
      <c r="BM66" t="str">
        <f ca="1">IF(AND(ISNUMBER($BM$221),$B$158=1),$BM$221,HLOOKUP(INDIRECT(ADDRESS(2,COLUMN())),OFFSET($BN$2,0,0,ROW()-1,60),ROW()-1,FALSE))</f>
        <v/>
      </c>
      <c r="BN66" t="str">
        <f>""</f>
        <v/>
      </c>
      <c r="BO66">
        <f>31</f>
        <v>31</v>
      </c>
      <c r="BP66">
        <f>204</f>
        <v>204</v>
      </c>
      <c r="BQ66">
        <f>46</f>
        <v>46</v>
      </c>
      <c r="BR66">
        <f>0</f>
        <v>0</v>
      </c>
      <c r="BS66">
        <f>44</f>
        <v>44</v>
      </c>
      <c r="BT66">
        <f>-49</f>
        <v>-49</v>
      </c>
      <c r="BU66">
        <f>7</f>
        <v>7</v>
      </c>
      <c r="BV66">
        <f>11</f>
        <v>11</v>
      </c>
      <c r="BW66">
        <f>3</f>
        <v>3</v>
      </c>
      <c r="BX66">
        <f>2</f>
        <v>2</v>
      </c>
      <c r="BY66">
        <f>7</f>
        <v>7</v>
      </c>
      <c r="BZ66">
        <f>26</f>
        <v>26</v>
      </c>
      <c r="CA66">
        <f>36</f>
        <v>36</v>
      </c>
      <c r="CB66">
        <f>45</f>
        <v>45</v>
      </c>
      <c r="CC66">
        <f>54</f>
        <v>54</v>
      </c>
      <c r="CD66">
        <f>43</f>
        <v>43</v>
      </c>
      <c r="CE66">
        <f>33</f>
        <v>33</v>
      </c>
      <c r="CF66" t="str">
        <f>""</f>
        <v/>
      </c>
      <c r="CG66">
        <f>30</f>
        <v>30</v>
      </c>
      <c r="CH66">
        <f>6</f>
        <v>6</v>
      </c>
      <c r="CI66">
        <f>17</f>
        <v>17</v>
      </c>
      <c r="CJ66">
        <f>1</f>
        <v>1</v>
      </c>
      <c r="CK66">
        <f>-5</f>
        <v>-5</v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</row>
    <row r="67" spans="1:125" x14ac:dyDescent="0.25">
      <c r="A67" t="str">
        <f>"                    Rest of World"</f>
        <v xml:space="preserve">                    Rest of World</v>
      </c>
      <c r="B67" t="str">
        <f t="shared" si="26"/>
        <v>KER FP Equity</v>
      </c>
      <c r="C67" t="str">
        <f t="shared" si="28"/>
        <v>BI047</v>
      </c>
      <c r="D67" t="str">
        <f t="shared" si="29"/>
        <v>BICS_SEGMENT_DATA</v>
      </c>
      <c r="E67" t="str">
        <f t="shared" si="27"/>
        <v>Dynamic</v>
      </c>
      <c r="F67" t="str">
        <f ca="1">IF(AND(ISNUMBER($F$222),$B$158=1),$F$222,HLOOKUP(INDIRECT(ADDRESS(2,COLUMN())),OFFSET($BN$2,0,0,ROW()-1,60),ROW()-1,FALSE))</f>
        <v/>
      </c>
      <c r="G67">
        <f ca="1">IF(AND(ISNUMBER($G$222),$B$158=1),$G$222,HLOOKUP(INDIRECT(ADDRESS(2,COLUMN())),OFFSET($BN$2,0,0,ROW()-1,60),ROW()-1,FALSE))</f>
        <v>24</v>
      </c>
      <c r="H67">
        <f ca="1">IF(AND(ISNUMBER($H$222),$B$158=1),$H$222,HLOOKUP(INDIRECT(ADDRESS(2,COLUMN())),OFFSET($BN$2,0,0,ROW()-1,60),ROW()-1,FALSE))</f>
        <v>142</v>
      </c>
      <c r="I67">
        <f ca="1">IF(AND(ISNUMBER($I$222),$B$158=1),$I$222,HLOOKUP(INDIRECT(ADDRESS(2,COLUMN())),OFFSET($BN$2,0,0,ROW()-1,60),ROW()-1,FALSE))</f>
        <v>24</v>
      </c>
      <c r="J67">
        <f ca="1">IF(AND(ISNUMBER($J$222),$B$158=1),$J$222,HLOOKUP(INDIRECT(ADDRESS(2,COLUMN())),OFFSET($BN$2,0,0,ROW()-1,60),ROW()-1,FALSE))</f>
        <v>-13</v>
      </c>
      <c r="K67">
        <f ca="1">IF(AND(ISNUMBER($K$222),$B$158=1),$K$222,HLOOKUP(INDIRECT(ADDRESS(2,COLUMN())),OFFSET($BN$2,0,0,ROW()-1,60),ROW()-1,FALSE))</f>
        <v>20</v>
      </c>
      <c r="L67">
        <f ca="1">IF(AND(ISNUMBER($L$222),$B$158=1),$L$222,HLOOKUP(INDIRECT(ADDRESS(2,COLUMN())),OFFSET($BN$2,0,0,ROW()-1,60),ROW()-1,FALSE))</f>
        <v>-70</v>
      </c>
      <c r="M67">
        <f ca="1">IF(AND(ISNUMBER($M$222),$B$158=1),$M$222,HLOOKUP(INDIRECT(ADDRESS(2,COLUMN())),OFFSET($BN$2,0,0,ROW()-1,60),ROW()-1,FALSE))</f>
        <v>9</v>
      </c>
      <c r="N67">
        <f ca="1">IF(AND(ISNUMBER($N$222),$B$158=1),$N$222,HLOOKUP(INDIRECT(ADDRESS(2,COLUMN())),OFFSET($BN$2,0,0,ROW()-1,60),ROW()-1,FALSE))</f>
        <v>22</v>
      </c>
      <c r="O67">
        <f ca="1">IF(AND(ISNUMBER($O$222),$B$158=1),$O$222,HLOOKUP(INDIRECT(ADDRESS(2,COLUMN())),OFFSET($BN$2,0,0,ROW()-1,60),ROW()-1,FALSE))</f>
        <v>12</v>
      </c>
      <c r="P67">
        <f ca="1">IF(AND(ISNUMBER($P$222),$B$158=1),$P$222,HLOOKUP(INDIRECT(ADDRESS(2,COLUMN())),OFFSET($BN$2,0,0,ROW()-1,60),ROW()-1,FALSE))</f>
        <v>7</v>
      </c>
      <c r="Q67">
        <f ca="1">IF(AND(ISNUMBER($Q$222),$B$158=1),$Q$222,HLOOKUP(INDIRECT(ADDRESS(2,COLUMN())),OFFSET($BN$2,0,0,ROW()-1,60),ROW()-1,FALSE))</f>
        <v>14</v>
      </c>
      <c r="R67">
        <f ca="1">IF(AND(ISNUMBER($R$222),$B$158=1),$R$222,HLOOKUP(INDIRECT(ADDRESS(2,COLUMN())),OFFSET($BN$2,0,0,ROW()-1,60),ROW()-1,FALSE))</f>
        <v>11</v>
      </c>
      <c r="S67">
        <f ca="1">IF(AND(ISNUMBER($S$222),$B$158=1),$S$222,HLOOKUP(INDIRECT(ADDRESS(2,COLUMN())),OFFSET($BN$2,0,0,ROW()-1,60),ROW()-1,FALSE))</f>
        <v>24</v>
      </c>
      <c r="T67">
        <f ca="1">IF(AND(ISNUMBER($T$222),$B$158=1),$T$222,HLOOKUP(INDIRECT(ADDRESS(2,COLUMN())),OFFSET($BN$2,0,0,ROW()-1,60),ROW()-1,FALSE))</f>
        <v>32</v>
      </c>
      <c r="U67">
        <f ca="1">IF(AND(ISNUMBER($U$222),$B$158=1),$U$222,HLOOKUP(INDIRECT(ADDRESS(2,COLUMN())),OFFSET($BN$2,0,0,ROW()-1,60),ROW()-1,FALSE))</f>
        <v>48</v>
      </c>
      <c r="V67">
        <f ca="1">IF(AND(ISNUMBER($V$222),$B$158=1),$V$222,HLOOKUP(INDIRECT(ADDRESS(2,COLUMN())),OFFSET($BN$2,0,0,ROW()-1,60),ROW()-1,FALSE))</f>
        <v>57</v>
      </c>
      <c r="W67">
        <f ca="1">IF(AND(ISNUMBER($W$222),$B$158=1),$W$222,HLOOKUP(INDIRECT(ADDRESS(2,COLUMN())),OFFSET($BN$2,0,0,ROW()-1,60),ROW()-1,FALSE))</f>
        <v>48</v>
      </c>
      <c r="X67" t="str">
        <f ca="1">IF(AND(ISNUMBER($X$222),$B$158=1),$X$222,HLOOKUP(INDIRECT(ADDRESS(2,COLUMN())),OFFSET($BN$2,0,0,ROW()-1,60),ROW()-1,FALSE))</f>
        <v/>
      </c>
      <c r="Y67">
        <f ca="1">IF(AND(ISNUMBER($Y$222),$B$158=1),$Y$222,HLOOKUP(INDIRECT(ADDRESS(2,COLUMN())),OFFSET($BN$2,0,0,ROW()-1,60),ROW()-1,FALSE))</f>
        <v>28</v>
      </c>
      <c r="Z67">
        <f ca="1">IF(AND(ISNUMBER($Z$222),$B$158=1),$Z$222,HLOOKUP(INDIRECT(ADDRESS(2,COLUMN())),OFFSET($BN$2,0,0,ROW()-1,60),ROW()-1,FALSE))</f>
        <v>25</v>
      </c>
      <c r="AA67">
        <f ca="1">IF(AND(ISNUMBER($AA$222),$B$158=1),$AA$222,HLOOKUP(INDIRECT(ADDRESS(2,COLUMN())),OFFSET($BN$2,0,0,ROW()-1,60),ROW()-1,FALSE))</f>
        <v>25</v>
      </c>
      <c r="AB67">
        <f ca="1">IF(AND(ISNUMBER($AB$222),$B$158=1),$AB$222,HLOOKUP(INDIRECT(ADDRESS(2,COLUMN())),OFFSET($BN$2,0,0,ROW()-1,60),ROW()-1,FALSE))</f>
        <v>30</v>
      </c>
      <c r="AC67">
        <f ca="1">IF(AND(ISNUMBER($AC$222),$B$158=1),$AC$222,HLOOKUP(INDIRECT(ADDRESS(2,COLUMN())),OFFSET($BN$2,0,0,ROW()-1,60),ROW()-1,FALSE))</f>
        <v>21</v>
      </c>
      <c r="AD67" t="str">
        <f ca="1">IF(AND(ISNUMBER($AD$222),$B$158=1),$AD$222,HLOOKUP(INDIRECT(ADDRESS(2,COLUMN())),OFFSET($BN$2,0,0,ROW()-1,60),ROW()-1,FALSE))</f>
        <v/>
      </c>
      <c r="AE67" t="str">
        <f ca="1">IF(AND(ISNUMBER($AE$222),$B$158=1),$AE$222,HLOOKUP(INDIRECT(ADDRESS(2,COLUMN())),OFFSET($BN$2,0,0,ROW()-1,60),ROW()-1,FALSE))</f>
        <v/>
      </c>
      <c r="AF67" t="str">
        <f ca="1">IF(AND(ISNUMBER($AF$222),$B$158=1),$AF$222,HLOOKUP(INDIRECT(ADDRESS(2,COLUMN())),OFFSET($BN$2,0,0,ROW()-1,60),ROW()-1,FALSE))</f>
        <v/>
      </c>
      <c r="AG67" t="str">
        <f ca="1">IF(AND(ISNUMBER($AG$222),$B$158=1),$AG$222,HLOOKUP(INDIRECT(ADDRESS(2,COLUMN())),OFFSET($BN$2,0,0,ROW()-1,60),ROW()-1,FALSE))</f>
        <v/>
      </c>
      <c r="AH67" t="str">
        <f ca="1">IF(AND(ISNUMBER($AH$222),$B$158=1),$AH$222,HLOOKUP(INDIRECT(ADDRESS(2,COLUMN())),OFFSET($BN$2,0,0,ROW()-1,60),ROW()-1,FALSE))</f>
        <v/>
      </c>
      <c r="AI67" t="str">
        <f ca="1">IF(AND(ISNUMBER($AI$222),$B$158=1),$AI$222,HLOOKUP(INDIRECT(ADDRESS(2,COLUMN())),OFFSET($BN$2,0,0,ROW()-1,60),ROW()-1,FALSE))</f>
        <v/>
      </c>
      <c r="AJ67" t="str">
        <f ca="1">IF(AND(ISNUMBER($AJ$222),$B$158=1),$AJ$222,HLOOKUP(INDIRECT(ADDRESS(2,COLUMN())),OFFSET($BN$2,0,0,ROW()-1,60),ROW()-1,FALSE))</f>
        <v/>
      </c>
      <c r="AK67" t="str">
        <f ca="1">IF(AND(ISNUMBER($AK$222),$B$158=1),$AK$222,HLOOKUP(INDIRECT(ADDRESS(2,COLUMN())),OFFSET($BN$2,0,0,ROW()-1,60),ROW()-1,FALSE))</f>
        <v/>
      </c>
      <c r="AL67" t="str">
        <f ca="1">IF(AND(ISNUMBER($AL$222),$B$158=1),$AL$222,HLOOKUP(INDIRECT(ADDRESS(2,COLUMN())),OFFSET($BN$2,0,0,ROW()-1,60),ROW()-1,FALSE))</f>
        <v/>
      </c>
      <c r="AM67" t="str">
        <f ca="1">IF(AND(ISNUMBER($AM$222),$B$158=1),$AM$222,HLOOKUP(INDIRECT(ADDRESS(2,COLUMN())),OFFSET($BN$2,0,0,ROW()-1,60),ROW()-1,FALSE))</f>
        <v/>
      </c>
      <c r="AN67" t="str">
        <f ca="1">IF(AND(ISNUMBER($AN$222),$B$158=1),$AN$222,HLOOKUP(INDIRECT(ADDRESS(2,COLUMN())),OFFSET($BN$2,0,0,ROW()-1,60),ROW()-1,FALSE))</f>
        <v/>
      </c>
      <c r="AO67" t="str">
        <f ca="1">IF(AND(ISNUMBER($AO$222),$B$158=1),$AO$222,HLOOKUP(INDIRECT(ADDRESS(2,COLUMN())),OFFSET($BN$2,0,0,ROW()-1,60),ROW()-1,FALSE))</f>
        <v/>
      </c>
      <c r="AP67" t="str">
        <f ca="1">IF(AND(ISNUMBER($AP$222),$B$158=1),$AP$222,HLOOKUP(INDIRECT(ADDRESS(2,COLUMN())),OFFSET($BN$2,0,0,ROW()-1,60),ROW()-1,FALSE))</f>
        <v/>
      </c>
      <c r="AQ67" t="str">
        <f ca="1">IF(AND(ISNUMBER($AQ$222),$B$158=1),$AQ$222,HLOOKUP(INDIRECT(ADDRESS(2,COLUMN())),OFFSET($BN$2,0,0,ROW()-1,60),ROW()-1,FALSE))</f>
        <v/>
      </c>
      <c r="AR67" t="str">
        <f ca="1">IF(AND(ISNUMBER($AR$222),$B$158=1),$AR$222,HLOOKUP(INDIRECT(ADDRESS(2,COLUMN())),OFFSET($BN$2,0,0,ROW()-1,60),ROW()-1,FALSE))</f>
        <v/>
      </c>
      <c r="AS67" t="str">
        <f ca="1">IF(AND(ISNUMBER($AS$222),$B$158=1),$AS$222,HLOOKUP(INDIRECT(ADDRESS(2,COLUMN())),OFFSET($BN$2,0,0,ROW()-1,60),ROW()-1,FALSE))</f>
        <v/>
      </c>
      <c r="AT67" t="str">
        <f ca="1">IF(AND(ISNUMBER($AT$222),$B$158=1),$AT$222,HLOOKUP(INDIRECT(ADDRESS(2,COLUMN())),OFFSET($BN$2,0,0,ROW()-1,60),ROW()-1,FALSE))</f>
        <v/>
      </c>
      <c r="AU67" t="str">
        <f ca="1">IF(AND(ISNUMBER($AU$222),$B$158=1),$AU$222,HLOOKUP(INDIRECT(ADDRESS(2,COLUMN())),OFFSET($BN$2,0,0,ROW()-1,60),ROW()-1,FALSE))</f>
        <v/>
      </c>
      <c r="AV67" t="str">
        <f ca="1">IF(AND(ISNUMBER($AV$222),$B$158=1),$AV$222,HLOOKUP(INDIRECT(ADDRESS(2,COLUMN())),OFFSET($BN$2,0,0,ROW()-1,60),ROW()-1,FALSE))</f>
        <v/>
      </c>
      <c r="AW67" t="str">
        <f ca="1">IF(AND(ISNUMBER($AW$222),$B$158=1),$AW$222,HLOOKUP(INDIRECT(ADDRESS(2,COLUMN())),OFFSET($BN$2,0,0,ROW()-1,60),ROW()-1,FALSE))</f>
        <v/>
      </c>
      <c r="AX67" t="str">
        <f ca="1">IF(AND(ISNUMBER($AX$222),$B$158=1),$AX$222,HLOOKUP(INDIRECT(ADDRESS(2,COLUMN())),OFFSET($BN$2,0,0,ROW()-1,60),ROW()-1,FALSE))</f>
        <v/>
      </c>
      <c r="AY67" t="str">
        <f ca="1">IF(AND(ISNUMBER($AY$222),$B$158=1),$AY$222,HLOOKUP(INDIRECT(ADDRESS(2,COLUMN())),OFFSET($BN$2,0,0,ROW()-1,60),ROW()-1,FALSE))</f>
        <v/>
      </c>
      <c r="AZ67" t="str">
        <f ca="1">IF(AND(ISNUMBER($AZ$222),$B$158=1),$AZ$222,HLOOKUP(INDIRECT(ADDRESS(2,COLUMN())),OFFSET($BN$2,0,0,ROW()-1,60),ROW()-1,FALSE))</f>
        <v/>
      </c>
      <c r="BA67" t="str">
        <f ca="1">IF(AND(ISNUMBER($BA$222),$B$158=1),$BA$222,HLOOKUP(INDIRECT(ADDRESS(2,COLUMN())),OFFSET($BN$2,0,0,ROW()-1,60),ROW()-1,FALSE))</f>
        <v/>
      </c>
      <c r="BB67" t="str">
        <f ca="1">IF(AND(ISNUMBER($BB$222),$B$158=1),$BB$222,HLOOKUP(INDIRECT(ADDRESS(2,COLUMN())),OFFSET($BN$2,0,0,ROW()-1,60),ROW()-1,FALSE))</f>
        <v/>
      </c>
      <c r="BC67" t="str">
        <f ca="1">IF(AND(ISNUMBER($BC$222),$B$158=1),$BC$222,HLOOKUP(INDIRECT(ADDRESS(2,COLUMN())),OFFSET($BN$2,0,0,ROW()-1,60),ROW()-1,FALSE))</f>
        <v/>
      </c>
      <c r="BD67" t="str">
        <f ca="1">IF(AND(ISNUMBER($BD$222),$B$158=1),$BD$222,HLOOKUP(INDIRECT(ADDRESS(2,COLUMN())),OFFSET($BN$2,0,0,ROW()-1,60),ROW()-1,FALSE))</f>
        <v/>
      </c>
      <c r="BE67" t="str">
        <f ca="1">IF(AND(ISNUMBER($BE$222),$B$158=1),$BE$222,HLOOKUP(INDIRECT(ADDRESS(2,COLUMN())),OFFSET($BN$2,0,0,ROW()-1,60),ROW()-1,FALSE))</f>
        <v/>
      </c>
      <c r="BF67" t="str">
        <f ca="1">IF(AND(ISNUMBER($BF$222),$B$158=1),$BF$222,HLOOKUP(INDIRECT(ADDRESS(2,COLUMN())),OFFSET($BN$2,0,0,ROW()-1,60),ROW()-1,FALSE))</f>
        <v/>
      </c>
      <c r="BG67" t="str">
        <f ca="1">IF(AND(ISNUMBER($BG$222),$B$158=1),$BG$222,HLOOKUP(INDIRECT(ADDRESS(2,COLUMN())),OFFSET($BN$2,0,0,ROW()-1,60),ROW()-1,FALSE))</f>
        <v/>
      </c>
      <c r="BH67" t="str">
        <f ca="1">IF(AND(ISNUMBER($BH$222),$B$158=1),$BH$222,HLOOKUP(INDIRECT(ADDRESS(2,COLUMN())),OFFSET($BN$2,0,0,ROW()-1,60),ROW()-1,FALSE))</f>
        <v/>
      </c>
      <c r="BI67" t="str">
        <f ca="1">IF(AND(ISNUMBER($BI$222),$B$158=1),$BI$222,HLOOKUP(INDIRECT(ADDRESS(2,COLUMN())),OFFSET($BN$2,0,0,ROW()-1,60),ROW()-1,FALSE))</f>
        <v/>
      </c>
      <c r="BJ67" t="str">
        <f ca="1">IF(AND(ISNUMBER($BJ$222),$B$158=1),$BJ$222,HLOOKUP(INDIRECT(ADDRESS(2,COLUMN())),OFFSET($BN$2,0,0,ROW()-1,60),ROW()-1,FALSE))</f>
        <v/>
      </c>
      <c r="BK67" t="str">
        <f ca="1">IF(AND(ISNUMBER($BK$222),$B$158=1),$BK$222,HLOOKUP(INDIRECT(ADDRESS(2,COLUMN())),OFFSET($BN$2,0,0,ROW()-1,60),ROW()-1,FALSE))</f>
        <v/>
      </c>
      <c r="BL67" t="str">
        <f ca="1">IF(AND(ISNUMBER($BL$222),$B$158=1),$BL$222,HLOOKUP(INDIRECT(ADDRESS(2,COLUMN())),OFFSET($BN$2,0,0,ROW()-1,60),ROW()-1,FALSE))</f>
        <v/>
      </c>
      <c r="BM67" t="str">
        <f ca="1">IF(AND(ISNUMBER($BM$222),$B$158=1),$BM$222,HLOOKUP(INDIRECT(ADDRESS(2,COLUMN())),OFFSET($BN$2,0,0,ROW()-1,60),ROW()-1,FALSE))</f>
        <v/>
      </c>
      <c r="BN67" t="str">
        <f>""</f>
        <v/>
      </c>
      <c r="BO67">
        <f>24</f>
        <v>24</v>
      </c>
      <c r="BP67">
        <f>142</f>
        <v>142</v>
      </c>
      <c r="BQ67">
        <f>24</f>
        <v>24</v>
      </c>
      <c r="BR67">
        <f>-13</f>
        <v>-13</v>
      </c>
      <c r="BS67">
        <f>20</f>
        <v>20</v>
      </c>
      <c r="BT67">
        <f>-70</f>
        <v>-70</v>
      </c>
      <c r="BU67">
        <f>9</f>
        <v>9</v>
      </c>
      <c r="BV67">
        <f>22</f>
        <v>22</v>
      </c>
      <c r="BW67">
        <f>12</f>
        <v>12</v>
      </c>
      <c r="BX67">
        <f>7</f>
        <v>7</v>
      </c>
      <c r="BY67">
        <f>14</f>
        <v>14</v>
      </c>
      <c r="BZ67">
        <f>11</f>
        <v>11</v>
      </c>
      <c r="CA67">
        <f>24</f>
        <v>24</v>
      </c>
      <c r="CB67">
        <f>32</f>
        <v>32</v>
      </c>
      <c r="CC67">
        <f>48</f>
        <v>48</v>
      </c>
      <c r="CD67">
        <f>57</f>
        <v>57</v>
      </c>
      <c r="CE67">
        <f>48</f>
        <v>48</v>
      </c>
      <c r="CF67" t="str">
        <f>""</f>
        <v/>
      </c>
      <c r="CG67">
        <f>28</f>
        <v>28</v>
      </c>
      <c r="CH67">
        <f>25</f>
        <v>25</v>
      </c>
      <c r="CI67">
        <f>25</f>
        <v>25</v>
      </c>
      <c r="CJ67">
        <f>30</f>
        <v>30</v>
      </c>
      <c r="CK67">
        <f>21</f>
        <v>21</v>
      </c>
      <c r="CL67" t="str">
        <f>""</f>
        <v/>
      </c>
      <c r="CM67" t="str">
        <f>""</f>
        <v/>
      </c>
      <c r="CN67" t="str">
        <f>""</f>
        <v/>
      </c>
      <c r="CO67" t="str">
        <f>""</f>
        <v/>
      </c>
      <c r="CP67" t="str">
        <f>""</f>
        <v/>
      </c>
      <c r="CQ67" t="str">
        <f>""</f>
        <v/>
      </c>
      <c r="CR67" t="str">
        <f>""</f>
        <v/>
      </c>
      <c r="CS67" t="str">
        <f>""</f>
        <v/>
      </c>
      <c r="CT67" t="str">
        <f>""</f>
        <v/>
      </c>
      <c r="CU67" t="str">
        <f>""</f>
        <v/>
      </c>
      <c r="CV67" t="str">
        <f>""</f>
        <v/>
      </c>
      <c r="CW67" t="str">
        <f>""</f>
        <v/>
      </c>
      <c r="CX67" t="str">
        <f>""</f>
        <v/>
      </c>
      <c r="CY67" t="str">
        <f>""</f>
        <v/>
      </c>
      <c r="CZ67" t="str">
        <f>""</f>
        <v/>
      </c>
      <c r="DA67" t="str">
        <f>""</f>
        <v/>
      </c>
      <c r="DB67" t="str">
        <f>""</f>
        <v/>
      </c>
      <c r="DC67" t="str">
        <f>""</f>
        <v/>
      </c>
      <c r="DD67" t="str">
        <f>""</f>
        <v/>
      </c>
      <c r="DE67" t="str">
        <f>""</f>
        <v/>
      </c>
      <c r="DF67" t="str">
        <f>""</f>
        <v/>
      </c>
      <c r="DG67" t="str">
        <f>""</f>
        <v/>
      </c>
      <c r="DH67" t="str">
        <f>""</f>
        <v/>
      </c>
      <c r="DI67" t="str">
        <f>""</f>
        <v/>
      </c>
      <c r="DJ67" t="str">
        <f>""</f>
        <v/>
      </c>
      <c r="DK67" t="str">
        <f>""</f>
        <v/>
      </c>
      <c r="DL67" t="str">
        <f>""</f>
        <v/>
      </c>
      <c r="DM67" t="str">
        <f>""</f>
        <v/>
      </c>
      <c r="DN67" t="str">
        <f>""</f>
        <v/>
      </c>
      <c r="DO67" t="str">
        <f>""</f>
        <v/>
      </c>
      <c r="DP67" t="str">
        <f>""</f>
        <v/>
      </c>
      <c r="DQ67" t="str">
        <f>""</f>
        <v/>
      </c>
      <c r="DR67" t="str">
        <f>""</f>
        <v/>
      </c>
      <c r="DS67" t="str">
        <f>""</f>
        <v/>
      </c>
      <c r="DT67" t="str">
        <f>""</f>
        <v/>
      </c>
      <c r="DU67" t="str">
        <f>""</f>
        <v/>
      </c>
    </row>
    <row r="68" spans="1:125" x14ac:dyDescent="0.25">
      <c r="A68" t="str">
        <f>"            Brand Breakdown"</f>
        <v xml:space="preserve">            Brand Breakdown</v>
      </c>
      <c r="B68" t="str">
        <f>""</f>
        <v/>
      </c>
      <c r="E68" t="str">
        <f>"Static"</f>
        <v>Static</v>
      </c>
      <c r="F68" t="str">
        <f t="shared" ref="F68:AK68" ca="1" si="30">HLOOKUP(INDIRECT(ADDRESS(2,COLUMN())),OFFSET($BN$2,0,0,ROW()-1,60),ROW()-1,FALSE)</f>
        <v/>
      </c>
      <c r="G68" t="str">
        <f t="shared" ca="1" si="30"/>
        <v/>
      </c>
      <c r="H68" t="str">
        <f t="shared" ca="1" si="30"/>
        <v/>
      </c>
      <c r="I68" t="str">
        <f t="shared" ca="1" si="30"/>
        <v/>
      </c>
      <c r="J68" t="str">
        <f t="shared" ca="1" si="30"/>
        <v/>
      </c>
      <c r="K68" t="str">
        <f t="shared" ca="1" si="30"/>
        <v/>
      </c>
      <c r="L68" t="str">
        <f t="shared" ca="1" si="30"/>
        <v/>
      </c>
      <c r="M68" t="str">
        <f t="shared" ca="1" si="30"/>
        <v/>
      </c>
      <c r="N68" t="str">
        <f t="shared" ca="1" si="30"/>
        <v/>
      </c>
      <c r="O68" t="str">
        <f t="shared" ca="1" si="30"/>
        <v/>
      </c>
      <c r="P68" t="str">
        <f t="shared" ca="1" si="30"/>
        <v/>
      </c>
      <c r="Q68" t="str">
        <f t="shared" ca="1" si="30"/>
        <v/>
      </c>
      <c r="R68" t="str">
        <f t="shared" ca="1" si="30"/>
        <v/>
      </c>
      <c r="S68" t="str">
        <f t="shared" ca="1" si="30"/>
        <v/>
      </c>
      <c r="T68" t="str">
        <f t="shared" ca="1" si="30"/>
        <v/>
      </c>
      <c r="U68" t="str">
        <f t="shared" ca="1" si="30"/>
        <v/>
      </c>
      <c r="V68" t="str">
        <f t="shared" ca="1" si="30"/>
        <v/>
      </c>
      <c r="W68" t="str">
        <f t="shared" ca="1" si="30"/>
        <v/>
      </c>
      <c r="X68" t="str">
        <f t="shared" ca="1" si="30"/>
        <v/>
      </c>
      <c r="Y68" t="str">
        <f t="shared" ca="1" si="30"/>
        <v/>
      </c>
      <c r="Z68" t="str">
        <f t="shared" ca="1" si="30"/>
        <v/>
      </c>
      <c r="AA68" t="str">
        <f t="shared" ca="1" si="30"/>
        <v/>
      </c>
      <c r="AB68" t="str">
        <f t="shared" ca="1" si="30"/>
        <v/>
      </c>
      <c r="AC68" t="str">
        <f t="shared" ca="1" si="30"/>
        <v/>
      </c>
      <c r="AD68" t="str">
        <f t="shared" ca="1" si="30"/>
        <v/>
      </c>
      <c r="AE68" t="str">
        <f t="shared" ca="1" si="30"/>
        <v/>
      </c>
      <c r="AF68" t="str">
        <f t="shared" ca="1" si="30"/>
        <v/>
      </c>
      <c r="AG68" t="str">
        <f t="shared" ca="1" si="30"/>
        <v/>
      </c>
      <c r="AH68" t="str">
        <f t="shared" ca="1" si="30"/>
        <v/>
      </c>
      <c r="AI68" t="str">
        <f t="shared" ca="1" si="30"/>
        <v/>
      </c>
      <c r="AJ68" t="str">
        <f t="shared" ca="1" si="30"/>
        <v/>
      </c>
      <c r="AK68" t="str">
        <f t="shared" ca="1" si="30"/>
        <v/>
      </c>
      <c r="AL68" t="str">
        <f t="shared" ref="AL68:BM68" ca="1" si="31">HLOOKUP(INDIRECT(ADDRESS(2,COLUMN())),OFFSET($BN$2,0,0,ROW()-1,60),ROW()-1,FALSE)</f>
        <v/>
      </c>
      <c r="AM68" t="str">
        <f t="shared" ca="1" si="31"/>
        <v/>
      </c>
      <c r="AN68" t="str">
        <f t="shared" ca="1" si="31"/>
        <v/>
      </c>
      <c r="AO68" t="str">
        <f t="shared" ca="1" si="31"/>
        <v/>
      </c>
      <c r="AP68" t="str">
        <f t="shared" ca="1" si="31"/>
        <v/>
      </c>
      <c r="AQ68" t="str">
        <f t="shared" ca="1" si="31"/>
        <v/>
      </c>
      <c r="AR68" t="str">
        <f t="shared" ca="1" si="31"/>
        <v/>
      </c>
      <c r="AS68" t="str">
        <f t="shared" ca="1" si="31"/>
        <v/>
      </c>
      <c r="AT68" t="str">
        <f t="shared" ca="1" si="31"/>
        <v/>
      </c>
      <c r="AU68" t="str">
        <f t="shared" ca="1" si="31"/>
        <v/>
      </c>
      <c r="AV68" t="str">
        <f t="shared" ca="1" si="31"/>
        <v/>
      </c>
      <c r="AW68" t="str">
        <f t="shared" ca="1" si="31"/>
        <v/>
      </c>
      <c r="AX68" t="str">
        <f t="shared" ca="1" si="31"/>
        <v/>
      </c>
      <c r="AY68" t="str">
        <f t="shared" ca="1" si="31"/>
        <v/>
      </c>
      <c r="AZ68" t="str">
        <f t="shared" ca="1" si="31"/>
        <v/>
      </c>
      <c r="BA68" t="str">
        <f t="shared" ca="1" si="31"/>
        <v/>
      </c>
      <c r="BB68" t="str">
        <f t="shared" ca="1" si="31"/>
        <v/>
      </c>
      <c r="BC68" t="str">
        <f t="shared" ca="1" si="31"/>
        <v/>
      </c>
      <c r="BD68" t="str">
        <f t="shared" ca="1" si="31"/>
        <v/>
      </c>
      <c r="BE68" t="str">
        <f t="shared" ca="1" si="31"/>
        <v/>
      </c>
      <c r="BF68" t="str">
        <f t="shared" ca="1" si="31"/>
        <v/>
      </c>
      <c r="BG68" t="str">
        <f t="shared" ca="1" si="31"/>
        <v/>
      </c>
      <c r="BH68" t="str">
        <f t="shared" ca="1" si="31"/>
        <v/>
      </c>
      <c r="BI68" t="str">
        <f t="shared" ca="1" si="31"/>
        <v/>
      </c>
      <c r="BJ68" t="str">
        <f t="shared" ca="1" si="31"/>
        <v/>
      </c>
      <c r="BK68" t="str">
        <f t="shared" ca="1" si="31"/>
        <v/>
      </c>
      <c r="BL68" t="str">
        <f t="shared" ca="1" si="31"/>
        <v/>
      </c>
      <c r="BM68" t="str">
        <f t="shared" ca="1" si="31"/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  <c r="BT68" t="str">
        <f>""</f>
        <v/>
      </c>
      <c r="BU68" t="str">
        <f>""</f>
        <v/>
      </c>
      <c r="BV68" t="str">
        <f>""</f>
        <v/>
      </c>
      <c r="BW68" t="str">
        <f>""</f>
        <v/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  <c r="CH68" t="str">
        <f>""</f>
        <v/>
      </c>
      <c r="CI68" t="str">
        <f>""</f>
        <v/>
      </c>
      <c r="CJ68" t="str">
        <f>""</f>
        <v/>
      </c>
      <c r="CK68" t="str">
        <f>""</f>
        <v/>
      </c>
      <c r="CL68" t="str">
        <f>""</f>
        <v/>
      </c>
      <c r="CM68" t="str">
        <f>""</f>
        <v/>
      </c>
      <c r="CN68" t="str">
        <f>""</f>
        <v/>
      </c>
      <c r="CO68" t="str">
        <f>""</f>
        <v/>
      </c>
      <c r="CP68" t="str">
        <f>""</f>
        <v/>
      </c>
      <c r="CQ68" t="str">
        <f>""</f>
        <v/>
      </c>
      <c r="CR68" t="str">
        <f>""</f>
        <v/>
      </c>
      <c r="CS68" t="str">
        <f>""</f>
        <v/>
      </c>
      <c r="CT68" t="str">
        <f>""</f>
        <v/>
      </c>
      <c r="CU68" t="str">
        <f>""</f>
        <v/>
      </c>
      <c r="CV68" t="str">
        <f>""</f>
        <v/>
      </c>
      <c r="CW68" t="str">
        <f>""</f>
        <v/>
      </c>
      <c r="CX68" t="str">
        <f>""</f>
        <v/>
      </c>
      <c r="CY68" t="str">
        <f>""</f>
        <v/>
      </c>
      <c r="CZ68" t="str">
        <f>""</f>
        <v/>
      </c>
      <c r="DA68" t="str">
        <f>""</f>
        <v/>
      </c>
      <c r="DB68" t="str">
        <f>""</f>
        <v/>
      </c>
      <c r="DC68" t="str">
        <f>""</f>
        <v/>
      </c>
      <c r="DD68" t="str">
        <f>""</f>
        <v/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  <c r="DT68" t="str">
        <f>""</f>
        <v/>
      </c>
      <c r="DU68" t="str">
        <f>""</f>
        <v/>
      </c>
    </row>
    <row r="69" spans="1:125" x14ac:dyDescent="0.25">
      <c r="A69" t="str">
        <f>"                Gucci"</f>
        <v xml:space="preserve">                Gucci</v>
      </c>
      <c r="B69" t="str">
        <f>"KER FP Equity"</f>
        <v>KER FP Equity</v>
      </c>
      <c r="C69" t="str">
        <f>"BI047"</f>
        <v>BI047</v>
      </c>
      <c r="D69" t="str">
        <f>"BICS_SEGMENT_DATA"</f>
        <v>BICS_SEGMENT_DATA</v>
      </c>
      <c r="E69" t="str">
        <f>"Dynamic"</f>
        <v>Dynamic</v>
      </c>
      <c r="F69" t="str">
        <f ca="1">IF(AND(ISNUMBER($F$223),$B$158=1),$F$223,HLOOKUP(INDIRECT(ADDRESS(2,COLUMN())),OFFSET($BN$2,0,0,ROW()-1,60),ROW()-1,FALSE))</f>
        <v/>
      </c>
      <c r="G69">
        <f ca="1">IF(AND(ISNUMBER($G$223),$B$158=1),$G$223,HLOOKUP(INDIRECT(ADDRESS(2,COLUMN())),OFFSET($BN$2,0,0,ROW()-1,60),ROW()-1,FALSE))</f>
        <v>3.8</v>
      </c>
      <c r="H69">
        <f ca="1">IF(AND(ISNUMBER($H$223),$B$158=1),$H$223,HLOOKUP(INDIRECT(ADDRESS(2,COLUMN())),OFFSET($BN$2,0,0,ROW()-1,60),ROW()-1,FALSE))</f>
        <v>86.1</v>
      </c>
      <c r="I69">
        <f ca="1">IF(AND(ISNUMBER($I$223),$B$158=1),$I$223,HLOOKUP(INDIRECT(ADDRESS(2,COLUMN())),OFFSET($BN$2,0,0,ROW()-1,60),ROW()-1,FALSE))</f>
        <v>24.6</v>
      </c>
      <c r="J69">
        <f ca="1">IF(AND(ISNUMBER($J$223),$B$158=1),$J$223,HLOOKUP(INDIRECT(ADDRESS(2,COLUMN())),OFFSET($BN$2,0,0,ROW()-1,60),ROW()-1,FALSE))</f>
        <v>-10.3</v>
      </c>
      <c r="K69">
        <f ca="1">IF(AND(ISNUMBER($K$223),$B$158=1),$K$223,HLOOKUP(INDIRECT(ADDRESS(2,COLUMN())),OFFSET($BN$2,0,0,ROW()-1,60),ROW()-1,FALSE))</f>
        <v>-8.9</v>
      </c>
      <c r="L69">
        <f ca="1">IF(AND(ISNUMBER($L$223),$B$158=1),$L$223,HLOOKUP(INDIRECT(ADDRESS(2,COLUMN())),OFFSET($BN$2,0,0,ROW()-1,60),ROW()-1,FALSE))</f>
        <v>-44.7</v>
      </c>
      <c r="M69">
        <f ca="1">IF(AND(ISNUMBER($M$223),$B$158=1),$M$223,HLOOKUP(INDIRECT(ADDRESS(2,COLUMN())),OFFSET($BN$2,0,0,ROW()-1,60),ROW()-1,FALSE))</f>
        <v>-23.2</v>
      </c>
      <c r="N69">
        <f ca="1">IF(AND(ISNUMBER($N$223),$B$158=1),$N$223,HLOOKUP(INDIRECT(ADDRESS(2,COLUMN())),OFFSET($BN$2,0,0,ROW()-1,60),ROW()-1,FALSE))</f>
        <v>10.5</v>
      </c>
      <c r="O69">
        <f ca="1">IF(AND(ISNUMBER($O$223),$B$158=1),$O$223,HLOOKUP(INDIRECT(ADDRESS(2,COLUMN())),OFFSET($BN$2,0,0,ROW()-1,60),ROW()-1,FALSE))</f>
        <v>10.7</v>
      </c>
      <c r="P69">
        <f ca="1">IF(AND(ISNUMBER($P$223),$B$158=1),$P$223,HLOOKUP(INDIRECT(ADDRESS(2,COLUMN())),OFFSET($BN$2,0,0,ROW()-1,60),ROW()-1,FALSE))</f>
        <v>12.7</v>
      </c>
      <c r="Q69">
        <f ca="1">IF(AND(ISNUMBER($Q$223),$B$158=1),$Q$223,HLOOKUP(INDIRECT(ADDRESS(2,COLUMN())),OFFSET($BN$2,0,0,ROW()-1,60),ROW()-1,FALSE))</f>
        <v>20</v>
      </c>
      <c r="R69">
        <f ca="1">IF(AND(ISNUMBER($R$223),$B$158=1),$R$223,HLOOKUP(INDIRECT(ADDRESS(2,COLUMN())),OFFSET($BN$2,0,0,ROW()-1,60),ROW()-1,FALSE))</f>
        <v>28.1</v>
      </c>
      <c r="S69">
        <f ca="1">IF(AND(ISNUMBER($S$223),$B$158=1),$S$223,HLOOKUP(INDIRECT(ADDRESS(2,COLUMN())),OFFSET($BN$2,0,0,ROW()-1,60),ROW()-1,FALSE))</f>
        <v>35.1</v>
      </c>
      <c r="T69">
        <f ca="1">IF(AND(ISNUMBER($T$223),$B$158=1),$T$223,HLOOKUP(INDIRECT(ADDRESS(2,COLUMN())),OFFSET($BN$2,0,0,ROW()-1,60),ROW()-1,FALSE))</f>
        <v>40.1</v>
      </c>
      <c r="U69">
        <f ca="1">IF(AND(ISNUMBER($U$223),$B$158=1),$U$223,HLOOKUP(INDIRECT(ADDRESS(2,COLUMN())),OFFSET($BN$2,0,0,ROW()-1,60),ROW()-1,FALSE))</f>
        <v>48.7</v>
      </c>
      <c r="V69">
        <f ca="1">IF(AND(ISNUMBER($V$223),$B$158=1),$V$223,HLOOKUP(INDIRECT(ADDRESS(2,COLUMN())),OFFSET($BN$2,0,0,ROW()-1,60),ROW()-1,FALSE))</f>
        <v>42.6</v>
      </c>
      <c r="W69">
        <f ca="1">IF(AND(ISNUMBER($W$223),$B$158=1),$W$223,HLOOKUP(INDIRECT(ADDRESS(2,COLUMN())),OFFSET($BN$2,0,0,ROW()-1,60),ROW()-1,FALSE))</f>
        <v>49.4</v>
      </c>
      <c r="X69">
        <f ca="1">IF(AND(ISNUMBER($X$223),$B$158=1),$X$223,HLOOKUP(INDIRECT(ADDRESS(2,COLUMN())),OFFSET($BN$2,0,0,ROW()-1,60),ROW()-1,FALSE))</f>
        <v>39.299999999999997</v>
      </c>
      <c r="Y69">
        <f ca="1">IF(AND(ISNUMBER($Y$223),$B$158=1),$Y$223,HLOOKUP(INDIRECT(ADDRESS(2,COLUMN())),OFFSET($BN$2,0,0,ROW()-1,60),ROW()-1,FALSE))</f>
        <v>48.3</v>
      </c>
      <c r="Z69">
        <f ca="1">IF(AND(ISNUMBER($Z$223),$B$158=1),$Z$223,HLOOKUP(INDIRECT(ADDRESS(2,COLUMN())),OFFSET($BN$2,0,0,ROW()-1,60),ROW()-1,FALSE))</f>
        <v>21.4</v>
      </c>
      <c r="AA69">
        <f ca="1">IF(AND(ISNUMBER($AA$223),$B$158=1),$AA$223,HLOOKUP(INDIRECT(ADDRESS(2,COLUMN())),OFFSET($BN$2,0,0,ROW()-1,60),ROW()-1,FALSE))</f>
        <v>17</v>
      </c>
      <c r="AB69">
        <f ca="1">IF(AND(ISNUMBER($AB$223),$B$158=1),$AB$223,HLOOKUP(INDIRECT(ADDRESS(2,COLUMN())),OFFSET($BN$2,0,0,ROW()-1,60),ROW()-1,FALSE))</f>
        <v>7.4</v>
      </c>
      <c r="AC69">
        <f ca="1">IF(AND(ISNUMBER($AC$223),$B$158=1),$AC$223,HLOOKUP(INDIRECT(ADDRESS(2,COLUMN())),OFFSET($BN$2,0,0,ROW()-1,60),ROW()-1,FALSE))</f>
        <v>3.1</v>
      </c>
      <c r="AD69">
        <f ca="1">IF(AND(ISNUMBER($AD$223),$B$158=1),$AD$223,HLOOKUP(INDIRECT(ADDRESS(2,COLUMN())),OFFSET($BN$2,0,0,ROW()-1,60),ROW()-1,FALSE))</f>
        <v>4.8</v>
      </c>
      <c r="AE69">
        <f ca="1">IF(AND(ISNUMBER($AE$223),$B$158=1),$AE$223,HLOOKUP(INDIRECT(ADDRESS(2,COLUMN())),OFFSET($BN$2,0,0,ROW()-1,60),ROW()-1,FALSE))</f>
        <v>-0.4</v>
      </c>
      <c r="AF69">
        <f ca="1">IF(AND(ISNUMBER($AF$223),$B$158=1),$AF$223,HLOOKUP(INDIRECT(ADDRESS(2,COLUMN())),OFFSET($BN$2,0,0,ROW()-1,60),ROW()-1,FALSE))</f>
        <v>4.5999999999999996</v>
      </c>
      <c r="AG69">
        <f ca="1">IF(AND(ISNUMBER($AG$223),$B$158=1),$AG$223,HLOOKUP(INDIRECT(ADDRESS(2,COLUMN())),OFFSET($BN$2,0,0,ROW()-1,60),ROW()-1,FALSE))</f>
        <v>-7.9</v>
      </c>
      <c r="AH69">
        <f ca="1">IF(AND(ISNUMBER($AH$223),$B$158=1),$AH$223,HLOOKUP(INDIRECT(ADDRESS(2,COLUMN())),OFFSET($BN$2,0,0,ROW()-1,60),ROW()-1,FALSE))</f>
        <v>-0.5</v>
      </c>
      <c r="AI69">
        <f ca="1">IF(AND(ISNUMBER($AI$223),$B$158=1),$AI$223,HLOOKUP(INDIRECT(ADDRESS(2,COLUMN())),OFFSET($BN$2,0,0,ROW()-1,60),ROW()-1,FALSE))</f>
        <v>-1.9</v>
      </c>
      <c r="AJ69">
        <f ca="1">IF(AND(ISNUMBER($AJ$223),$B$158=1),$AJ$223,HLOOKUP(INDIRECT(ADDRESS(2,COLUMN())),OFFSET($BN$2,0,0,ROW()-1,60),ROW()-1,FALSE))</f>
        <v>-2.4</v>
      </c>
      <c r="AK69">
        <f ca="1">IF(AND(ISNUMBER($AK$223),$B$158=1),$AK$223,HLOOKUP(INDIRECT(ADDRESS(2,COLUMN())),OFFSET($BN$2,0,0,ROW()-1,60),ROW()-1,FALSE))</f>
        <v>0.3</v>
      </c>
      <c r="AL69">
        <f ca="1">IF(AND(ISNUMBER($AL$223),$B$158=1),$AL$223,HLOOKUP(INDIRECT(ADDRESS(2,COLUMN())),OFFSET($BN$2,0,0,ROW()-1,60),ROW()-1,FALSE))</f>
        <v>0.2</v>
      </c>
      <c r="AM69">
        <f ca="1">IF(AND(ISNUMBER($AM$223),$B$158=1),$AM$223,HLOOKUP(INDIRECT(ADDRESS(2,COLUMN())),OFFSET($BN$2,0,0,ROW()-1,60),ROW()-1,FALSE))</f>
        <v>0.6</v>
      </c>
      <c r="AN69">
        <f ca="1">IF(AND(ISNUMBER($AN$223),$B$158=1),$AN$223,HLOOKUP(INDIRECT(ADDRESS(2,COLUMN())),OFFSET($BN$2,0,0,ROW()-1,60),ROW()-1,FALSE))</f>
        <v>4.0999999999999996</v>
      </c>
      <c r="AO69">
        <f ca="1">IF(AND(ISNUMBER($AO$223),$B$158=1),$AO$223,HLOOKUP(INDIRECT(ADDRESS(2,COLUMN())),OFFSET($BN$2,0,0,ROW()-1,60),ROW()-1,FALSE))</f>
        <v>4</v>
      </c>
      <c r="AP69" t="str">
        <f ca="1">IF(AND(ISNUMBER($AP$223),$B$158=1),$AP$223,HLOOKUP(INDIRECT(ADDRESS(2,COLUMN())),OFFSET($BN$2,0,0,ROW()-1,60),ROW()-1,FALSE))</f>
        <v/>
      </c>
      <c r="AQ69" t="str">
        <f ca="1">IF(AND(ISNUMBER($AQ$223),$B$158=1),$AQ$223,HLOOKUP(INDIRECT(ADDRESS(2,COLUMN())),OFFSET($BN$2,0,0,ROW()-1,60),ROW()-1,FALSE))</f>
        <v/>
      </c>
      <c r="AR69" t="str">
        <f ca="1">IF(AND(ISNUMBER($AR$223),$B$158=1),$AR$223,HLOOKUP(INDIRECT(ADDRESS(2,COLUMN())),OFFSET($BN$2,0,0,ROW()-1,60),ROW()-1,FALSE))</f>
        <v/>
      </c>
      <c r="AS69" t="str">
        <f ca="1">IF(AND(ISNUMBER($AS$223),$B$158=1),$AS$223,HLOOKUP(INDIRECT(ADDRESS(2,COLUMN())),OFFSET($BN$2,0,0,ROW()-1,60),ROW()-1,FALSE))</f>
        <v/>
      </c>
      <c r="AT69" t="str">
        <f ca="1">IF(AND(ISNUMBER($AT$223),$B$158=1),$AT$223,HLOOKUP(INDIRECT(ADDRESS(2,COLUMN())),OFFSET($BN$2,0,0,ROW()-1,60),ROW()-1,FALSE))</f>
        <v/>
      </c>
      <c r="AU69" t="str">
        <f ca="1">IF(AND(ISNUMBER($AU$223),$B$158=1),$AU$223,HLOOKUP(INDIRECT(ADDRESS(2,COLUMN())),OFFSET($BN$2,0,0,ROW()-1,60),ROW()-1,FALSE))</f>
        <v/>
      </c>
      <c r="AV69" t="str">
        <f ca="1">IF(AND(ISNUMBER($AV$223),$B$158=1),$AV$223,HLOOKUP(INDIRECT(ADDRESS(2,COLUMN())),OFFSET($BN$2,0,0,ROW()-1,60),ROW()-1,FALSE))</f>
        <v/>
      </c>
      <c r="AW69" t="str">
        <f ca="1">IF(AND(ISNUMBER($AW$223),$B$158=1),$AW$223,HLOOKUP(INDIRECT(ADDRESS(2,COLUMN())),OFFSET($BN$2,0,0,ROW()-1,60),ROW()-1,FALSE))</f>
        <v/>
      </c>
      <c r="AX69" t="str">
        <f ca="1">IF(AND(ISNUMBER($AX$223),$B$158=1),$AX$223,HLOOKUP(INDIRECT(ADDRESS(2,COLUMN())),OFFSET($BN$2,0,0,ROW()-1,60),ROW()-1,FALSE))</f>
        <v/>
      </c>
      <c r="AY69" t="str">
        <f ca="1">IF(AND(ISNUMBER($AY$223),$B$158=1),$AY$223,HLOOKUP(INDIRECT(ADDRESS(2,COLUMN())),OFFSET($BN$2,0,0,ROW()-1,60),ROW()-1,FALSE))</f>
        <v/>
      </c>
      <c r="AZ69" t="str">
        <f ca="1">IF(AND(ISNUMBER($AZ$223),$B$158=1),$AZ$223,HLOOKUP(INDIRECT(ADDRESS(2,COLUMN())),OFFSET($BN$2,0,0,ROW()-1,60),ROW()-1,FALSE))</f>
        <v/>
      </c>
      <c r="BA69" t="str">
        <f ca="1">IF(AND(ISNUMBER($BA$223),$B$158=1),$BA$223,HLOOKUP(INDIRECT(ADDRESS(2,COLUMN())),OFFSET($BN$2,0,0,ROW()-1,60),ROW()-1,FALSE))</f>
        <v/>
      </c>
      <c r="BB69" t="str">
        <f ca="1">IF(AND(ISNUMBER($BB$223),$B$158=1),$BB$223,HLOOKUP(INDIRECT(ADDRESS(2,COLUMN())),OFFSET($BN$2,0,0,ROW()-1,60),ROW()-1,FALSE))</f>
        <v/>
      </c>
      <c r="BC69" t="str">
        <f ca="1">IF(AND(ISNUMBER($BC$223),$B$158=1),$BC$223,HLOOKUP(INDIRECT(ADDRESS(2,COLUMN())),OFFSET($BN$2,0,0,ROW()-1,60),ROW()-1,FALSE))</f>
        <v/>
      </c>
      <c r="BD69" t="str">
        <f ca="1">IF(AND(ISNUMBER($BD$223),$B$158=1),$BD$223,HLOOKUP(INDIRECT(ADDRESS(2,COLUMN())),OFFSET($BN$2,0,0,ROW()-1,60),ROW()-1,FALSE))</f>
        <v/>
      </c>
      <c r="BE69" t="str">
        <f ca="1">IF(AND(ISNUMBER($BE$223),$B$158=1),$BE$223,HLOOKUP(INDIRECT(ADDRESS(2,COLUMN())),OFFSET($BN$2,0,0,ROW()-1,60),ROW()-1,FALSE))</f>
        <v/>
      </c>
      <c r="BF69" t="str">
        <f ca="1">IF(AND(ISNUMBER($BF$223),$B$158=1),$BF$223,HLOOKUP(INDIRECT(ADDRESS(2,COLUMN())),OFFSET($BN$2,0,0,ROW()-1,60),ROW()-1,FALSE))</f>
        <v/>
      </c>
      <c r="BG69" t="str">
        <f ca="1">IF(AND(ISNUMBER($BG$223),$B$158=1),$BG$223,HLOOKUP(INDIRECT(ADDRESS(2,COLUMN())),OFFSET($BN$2,0,0,ROW()-1,60),ROW()-1,FALSE))</f>
        <v/>
      </c>
      <c r="BH69" t="str">
        <f ca="1">IF(AND(ISNUMBER($BH$223),$B$158=1),$BH$223,HLOOKUP(INDIRECT(ADDRESS(2,COLUMN())),OFFSET($BN$2,0,0,ROW()-1,60),ROW()-1,FALSE))</f>
        <v/>
      </c>
      <c r="BI69" t="str">
        <f ca="1">IF(AND(ISNUMBER($BI$223),$B$158=1),$BI$223,HLOOKUP(INDIRECT(ADDRESS(2,COLUMN())),OFFSET($BN$2,0,0,ROW()-1,60),ROW()-1,FALSE))</f>
        <v/>
      </c>
      <c r="BJ69" t="str">
        <f ca="1">IF(AND(ISNUMBER($BJ$223),$B$158=1),$BJ$223,HLOOKUP(INDIRECT(ADDRESS(2,COLUMN())),OFFSET($BN$2,0,0,ROW()-1,60),ROW()-1,FALSE))</f>
        <v/>
      </c>
      <c r="BK69" t="str">
        <f ca="1">IF(AND(ISNUMBER($BK$223),$B$158=1),$BK$223,HLOOKUP(INDIRECT(ADDRESS(2,COLUMN())),OFFSET($BN$2,0,0,ROW()-1,60),ROW()-1,FALSE))</f>
        <v/>
      </c>
      <c r="BL69" t="str">
        <f ca="1">IF(AND(ISNUMBER($BL$223),$B$158=1),$BL$223,HLOOKUP(INDIRECT(ADDRESS(2,COLUMN())),OFFSET($BN$2,0,0,ROW()-1,60),ROW()-1,FALSE))</f>
        <v/>
      </c>
      <c r="BM69" t="str">
        <f ca="1">IF(AND(ISNUMBER($BM$223),$B$158=1),$BM$223,HLOOKUP(INDIRECT(ADDRESS(2,COLUMN())),OFFSET($BN$2,0,0,ROW()-1,60),ROW()-1,FALSE))</f>
        <v/>
      </c>
      <c r="BN69" t="str">
        <f>""</f>
        <v/>
      </c>
      <c r="BO69">
        <f>3.8</f>
        <v>3.8</v>
      </c>
      <c r="BP69">
        <f>86.1</f>
        <v>86.1</v>
      </c>
      <c r="BQ69">
        <f>24.6</f>
        <v>24.6</v>
      </c>
      <c r="BR69">
        <f>-10.3</f>
        <v>-10.3</v>
      </c>
      <c r="BS69">
        <f>-8.9</f>
        <v>-8.9</v>
      </c>
      <c r="BT69">
        <f>-44.7</f>
        <v>-44.7</v>
      </c>
      <c r="BU69">
        <f>-23.2</f>
        <v>-23.2</v>
      </c>
      <c r="BV69">
        <f>10.5</f>
        <v>10.5</v>
      </c>
      <c r="BW69">
        <f>10.7</f>
        <v>10.7</v>
      </c>
      <c r="BX69">
        <f>12.7</f>
        <v>12.7</v>
      </c>
      <c r="BY69">
        <f>20</f>
        <v>20</v>
      </c>
      <c r="BZ69">
        <f>28.1</f>
        <v>28.1</v>
      </c>
      <c r="CA69">
        <f>35.1</f>
        <v>35.1</v>
      </c>
      <c r="CB69">
        <f>40.1</f>
        <v>40.1</v>
      </c>
      <c r="CC69">
        <f>48.7</f>
        <v>48.7</v>
      </c>
      <c r="CD69">
        <f>42.6</f>
        <v>42.6</v>
      </c>
      <c r="CE69">
        <f>49.4</f>
        <v>49.4</v>
      </c>
      <c r="CF69">
        <f>39.3</f>
        <v>39.299999999999997</v>
      </c>
      <c r="CG69">
        <f>48.3</f>
        <v>48.3</v>
      </c>
      <c r="CH69">
        <f>21.4</f>
        <v>21.4</v>
      </c>
      <c r="CI69">
        <f>17</f>
        <v>17</v>
      </c>
      <c r="CJ69">
        <f>7.4</f>
        <v>7.4</v>
      </c>
      <c r="CK69">
        <f>3.1</f>
        <v>3.1</v>
      </c>
      <c r="CL69">
        <f>4.8</f>
        <v>4.8</v>
      </c>
      <c r="CM69">
        <f>-0.4</f>
        <v>-0.4</v>
      </c>
      <c r="CN69">
        <f>4.6</f>
        <v>4.5999999999999996</v>
      </c>
      <c r="CO69">
        <f>-7.9</f>
        <v>-7.9</v>
      </c>
      <c r="CP69">
        <f>-0.5</f>
        <v>-0.5</v>
      </c>
      <c r="CQ69">
        <f>-1.9</f>
        <v>-1.9</v>
      </c>
      <c r="CR69">
        <f>-2.4</f>
        <v>-2.4</v>
      </c>
      <c r="CS69">
        <f>0.3</f>
        <v>0.3</v>
      </c>
      <c r="CT69">
        <f>0.2</f>
        <v>0.2</v>
      </c>
      <c r="CU69">
        <f>0.6</f>
        <v>0.6</v>
      </c>
      <c r="CV69">
        <f>4.1</f>
        <v>4.0999999999999996</v>
      </c>
      <c r="CW69">
        <f>4</f>
        <v>4</v>
      </c>
      <c r="CX69" t="str">
        <f>""</f>
        <v/>
      </c>
      <c r="CY69" t="str">
        <f>""</f>
        <v/>
      </c>
      <c r="CZ69" t="str">
        <f>""</f>
        <v/>
      </c>
      <c r="DA69" t="str">
        <f>""</f>
        <v/>
      </c>
      <c r="DB69" t="str">
        <f>""</f>
        <v/>
      </c>
      <c r="DC69" t="str">
        <f>""</f>
        <v/>
      </c>
      <c r="DD69" t="str">
        <f>""</f>
        <v/>
      </c>
      <c r="DE69" t="str">
        <f>""</f>
        <v/>
      </c>
      <c r="DF69" t="str">
        <f>""</f>
        <v/>
      </c>
      <c r="DG69" t="str">
        <f>""</f>
        <v/>
      </c>
      <c r="DH69" t="str">
        <f>""</f>
        <v/>
      </c>
      <c r="DI69" t="str">
        <f>""</f>
        <v/>
      </c>
      <c r="DJ69" t="str">
        <f>""</f>
        <v/>
      </c>
      <c r="DK69" t="str">
        <f>""</f>
        <v/>
      </c>
      <c r="DL69" t="str">
        <f>""</f>
        <v/>
      </c>
      <c r="DM69" t="str">
        <f>""</f>
        <v/>
      </c>
      <c r="DN69" t="str">
        <f>""</f>
        <v/>
      </c>
      <c r="DO69" t="str">
        <f>""</f>
        <v/>
      </c>
      <c r="DP69" t="str">
        <f>""</f>
        <v/>
      </c>
      <c r="DQ69" t="str">
        <f>""</f>
        <v/>
      </c>
      <c r="DR69" t="str">
        <f>""</f>
        <v/>
      </c>
      <c r="DS69" t="str">
        <f>""</f>
        <v/>
      </c>
      <c r="DT69" t="str">
        <f>""</f>
        <v/>
      </c>
      <c r="DU69" t="str">
        <f>""</f>
        <v/>
      </c>
    </row>
    <row r="70" spans="1:125" x14ac:dyDescent="0.25">
      <c r="A70" t="str">
        <f>"                Saint Laurent"</f>
        <v xml:space="preserve">                Saint Laurent</v>
      </c>
      <c r="B70" t="str">
        <f>"KER FP Equity"</f>
        <v>KER FP Equity</v>
      </c>
      <c r="C70" t="str">
        <f>"BI047"</f>
        <v>BI047</v>
      </c>
      <c r="D70" t="str">
        <f>"BICS_SEGMENT_DATA"</f>
        <v>BICS_SEGMENT_DATA</v>
      </c>
      <c r="E70" t="str">
        <f>"Dynamic"</f>
        <v>Dynamic</v>
      </c>
      <c r="F70" t="str">
        <f ca="1">IF(AND(ISNUMBER($F$224),$B$158=1),$F$224,HLOOKUP(INDIRECT(ADDRESS(2,COLUMN())),OFFSET($BN$2,0,0,ROW()-1,60),ROW()-1,FALSE))</f>
        <v/>
      </c>
      <c r="G70">
        <f ca="1">IF(AND(ISNUMBER($G$224),$B$158=1),$G$224,HLOOKUP(INDIRECT(ADDRESS(2,COLUMN())),OFFSET($BN$2,0,0,ROW()-1,60),ROW()-1,FALSE))</f>
        <v>28.1</v>
      </c>
      <c r="H70">
        <f ca="1">IF(AND(ISNUMBER($H$224),$B$158=1),$H$224,HLOOKUP(INDIRECT(ADDRESS(2,COLUMN())),OFFSET($BN$2,0,0,ROW()-1,60),ROW()-1,FALSE))</f>
        <v>118.5</v>
      </c>
      <c r="I70">
        <f ca="1">IF(AND(ISNUMBER($I$224),$B$158=1),$I$224,HLOOKUP(INDIRECT(ADDRESS(2,COLUMN())),OFFSET($BN$2,0,0,ROW()-1,60),ROW()-1,FALSE))</f>
        <v>23.4</v>
      </c>
      <c r="J70">
        <f ca="1">IF(AND(ISNUMBER($J$224),$B$158=1),$J$224,HLOOKUP(INDIRECT(ADDRESS(2,COLUMN())),OFFSET($BN$2,0,0,ROW()-1,60),ROW()-1,FALSE))</f>
        <v>0.5</v>
      </c>
      <c r="K70">
        <f ca="1">IF(AND(ISNUMBER($K$224),$B$158=1),$K$224,HLOOKUP(INDIRECT(ADDRESS(2,COLUMN())),OFFSET($BN$2,0,0,ROW()-1,60),ROW()-1,FALSE))</f>
        <v>3.9</v>
      </c>
      <c r="L70">
        <f ca="1">IF(AND(ISNUMBER($L$224),$B$158=1),$L$224,HLOOKUP(INDIRECT(ADDRESS(2,COLUMN())),OFFSET($BN$2,0,0,ROW()-1,60),ROW()-1,FALSE))</f>
        <v>-48.4</v>
      </c>
      <c r="M70">
        <f ca="1">IF(AND(ISNUMBER($M$224),$B$158=1),$M$224,HLOOKUP(INDIRECT(ADDRESS(2,COLUMN())),OFFSET($BN$2,0,0,ROW()-1,60),ROW()-1,FALSE))</f>
        <v>-13.8</v>
      </c>
      <c r="N70">
        <f ca="1">IF(AND(ISNUMBER($N$224),$B$158=1),$N$224,HLOOKUP(INDIRECT(ADDRESS(2,COLUMN())),OFFSET($BN$2,0,0,ROW()-1,60),ROW()-1,FALSE))</f>
        <v>14</v>
      </c>
      <c r="O70">
        <f ca="1">IF(AND(ISNUMBER($O$224),$B$158=1),$O$224,HLOOKUP(INDIRECT(ADDRESS(2,COLUMN())),OFFSET($BN$2,0,0,ROW()-1,60),ROW()-1,FALSE))</f>
        <v>10.8</v>
      </c>
      <c r="P70">
        <f ca="1">IF(AND(ISNUMBER($P$224),$B$158=1),$P$224,HLOOKUP(INDIRECT(ADDRESS(2,COLUMN())),OFFSET($BN$2,0,0,ROW()-1,60),ROW()-1,FALSE))</f>
        <v>15.8</v>
      </c>
      <c r="Q70">
        <f ca="1">IF(AND(ISNUMBER($Q$224),$B$158=1),$Q$224,HLOOKUP(INDIRECT(ADDRESS(2,COLUMN())),OFFSET($BN$2,0,0,ROW()-1,60),ROW()-1,FALSE))</f>
        <v>17.5</v>
      </c>
      <c r="R70">
        <f ca="1">IF(AND(ISNUMBER($R$224),$B$158=1),$R$224,HLOOKUP(INDIRECT(ADDRESS(2,COLUMN())),OFFSET($BN$2,0,0,ROW()-1,60),ROW()-1,FALSE))</f>
        <v>19.399999999999999</v>
      </c>
      <c r="S70">
        <f ca="1">IF(AND(ISNUMBER($S$224),$B$158=1),$S$224,HLOOKUP(INDIRECT(ADDRESS(2,COLUMN())),OFFSET($BN$2,0,0,ROW()-1,60),ROW()-1,FALSE))</f>
        <v>16.100000000000001</v>
      </c>
      <c r="T70">
        <f ca="1">IF(AND(ISNUMBER($T$224),$B$158=1),$T$224,HLOOKUP(INDIRECT(ADDRESS(2,COLUMN())),OFFSET($BN$2,0,0,ROW()-1,60),ROW()-1,FALSE))</f>
        <v>19.8</v>
      </c>
      <c r="U70">
        <f ca="1">IF(AND(ISNUMBER($U$224),$B$158=1),$U$224,HLOOKUP(INDIRECT(ADDRESS(2,COLUMN())),OFFSET($BN$2,0,0,ROW()-1,60),ROW()-1,FALSE))</f>
        <v>19.600000000000001</v>
      </c>
      <c r="V70">
        <f ca="1">IF(AND(ISNUMBER($V$224),$B$158=1),$V$224,HLOOKUP(INDIRECT(ADDRESS(2,COLUMN())),OFFSET($BN$2,0,0,ROW()-1,60),ROW()-1,FALSE))</f>
        <v>22.9</v>
      </c>
      <c r="W70">
        <f ca="1">IF(AND(ISNUMBER($W$224),$B$158=1),$W$224,HLOOKUP(INDIRECT(ADDRESS(2,COLUMN())),OFFSET($BN$2,0,0,ROW()-1,60),ROW()-1,FALSE))</f>
        <v>22.2</v>
      </c>
      <c r="X70">
        <f ca="1">IF(AND(ISNUMBER($X$224),$B$158=1),$X$224,HLOOKUP(INDIRECT(ADDRESS(2,COLUMN())),OFFSET($BN$2,0,0,ROW()-1,60),ROW()-1,FALSE))</f>
        <v>23.7</v>
      </c>
      <c r="Y70">
        <f ca="1">IF(AND(ISNUMBER($Y$224),$B$158=1),$Y$224,HLOOKUP(INDIRECT(ADDRESS(2,COLUMN())),OFFSET($BN$2,0,0,ROW()-1,60),ROW()-1,FALSE))</f>
        <v>33.4</v>
      </c>
      <c r="Z70">
        <f ca="1">IF(AND(ISNUMBER($Z$224),$B$158=1),$Z$224,HLOOKUP(INDIRECT(ADDRESS(2,COLUMN())),OFFSET($BN$2,0,0,ROW()-1,60),ROW()-1,FALSE))</f>
        <v>20.5</v>
      </c>
      <c r="AA70">
        <f ca="1">IF(AND(ISNUMBER($AA$224),$B$158=1),$AA$224,HLOOKUP(INDIRECT(ADDRESS(2,COLUMN())),OFFSET($BN$2,0,0,ROW()-1,60),ROW()-1,FALSE))</f>
        <v>33.9</v>
      </c>
      <c r="AB70">
        <f ca="1">IF(AND(ISNUMBER($AB$224),$B$158=1),$AB$224,HLOOKUP(INDIRECT(ADDRESS(2,COLUMN())),OFFSET($BN$2,0,0,ROW()-1,60),ROW()-1,FALSE))</f>
        <v>22.1</v>
      </c>
      <c r="AC70">
        <f ca="1">IF(AND(ISNUMBER($AC$224),$B$158=1),$AC$224,HLOOKUP(INDIRECT(ADDRESS(2,COLUMN())),OFFSET($BN$2,0,0,ROW()-1,60),ROW()-1,FALSE))</f>
        <v>26.5</v>
      </c>
      <c r="AD70" t="str">
        <f ca="1">IF(AND(ISNUMBER($AD$224),$B$158=1),$AD$224,HLOOKUP(INDIRECT(ADDRESS(2,COLUMN())),OFFSET($BN$2,0,0,ROW()-1,60),ROW()-1,FALSE))</f>
        <v/>
      </c>
      <c r="AE70">
        <f ca="1">IF(AND(ISNUMBER($AE$224),$B$158=1),$AE$224,HLOOKUP(INDIRECT(ADDRESS(2,COLUMN())),OFFSET($BN$2,0,0,ROW()-1,60),ROW()-1,FALSE))</f>
        <v>26.6</v>
      </c>
      <c r="AF70">
        <f ca="1">IF(AND(ISNUMBER($AF$224),$B$158=1),$AF$224,HLOOKUP(INDIRECT(ADDRESS(2,COLUMN())),OFFSET($BN$2,0,0,ROW()-1,60),ROW()-1,FALSE))</f>
        <v>27.3</v>
      </c>
      <c r="AG70">
        <f ca="1">IF(AND(ISNUMBER($AG$224),$B$158=1),$AG$224,HLOOKUP(INDIRECT(ADDRESS(2,COLUMN())),OFFSET($BN$2,0,0,ROW()-1,60),ROW()-1,FALSE))</f>
        <v>21.2</v>
      </c>
      <c r="AH70">
        <f ca="1">IF(AND(ISNUMBER($AH$224),$B$158=1),$AH$224,HLOOKUP(INDIRECT(ADDRESS(2,COLUMN())),OFFSET($BN$2,0,0,ROW()-1,60),ROW()-1,FALSE))</f>
        <v>25.3</v>
      </c>
      <c r="AI70">
        <f ca="1">IF(AND(ISNUMBER($AI$224),$B$158=1),$AI$224,HLOOKUP(INDIRECT(ADDRESS(2,COLUMN())),OFFSET($BN$2,0,0,ROW()-1,60),ROW()-1,FALSE))</f>
        <v>27.5</v>
      </c>
      <c r="AJ70">
        <f ca="1">IF(AND(ISNUMBER($AJ$224),$B$158=1),$AJ$224,HLOOKUP(INDIRECT(ADDRESS(2,COLUMN())),OFFSET($BN$2,0,0,ROW()-1,60),ROW()-1,FALSE))</f>
        <v>29.4</v>
      </c>
      <c r="AK70" t="str">
        <f ca="1">IF(AND(ISNUMBER($AK$224),$B$158=1),$AK$224,HLOOKUP(INDIRECT(ADDRESS(2,COLUMN())),OFFSET($BN$2,0,0,ROW()-1,60),ROW()-1,FALSE))</f>
        <v/>
      </c>
      <c r="AL70">
        <f ca="1">IF(AND(ISNUMBER($AL$224),$B$158=1),$AL$224,HLOOKUP(INDIRECT(ADDRESS(2,COLUMN())),OFFSET($BN$2,0,0,ROW()-1,60),ROW()-1,FALSE))</f>
        <v>42</v>
      </c>
      <c r="AM70">
        <f ca="1">IF(AND(ISNUMBER($AM$224),$B$158=1),$AM$224,HLOOKUP(INDIRECT(ADDRESS(2,COLUMN())),OFFSET($BN$2,0,0,ROW()-1,60),ROW()-1,FALSE))</f>
        <v>12</v>
      </c>
      <c r="AN70">
        <f ca="1">IF(AND(ISNUMBER($AN$224),$B$158=1),$AN$224,HLOOKUP(INDIRECT(ADDRESS(2,COLUMN())),OFFSET($BN$2,0,0,ROW()-1,60),ROW()-1,FALSE))</f>
        <v>14.4</v>
      </c>
      <c r="AO70" t="str">
        <f ca="1">IF(AND(ISNUMBER($AO$224),$B$158=1),$AO$224,HLOOKUP(INDIRECT(ADDRESS(2,COLUMN())),OFFSET($BN$2,0,0,ROW()-1,60),ROW()-1,FALSE))</f>
        <v/>
      </c>
      <c r="AP70" t="str">
        <f ca="1">IF(AND(ISNUMBER($AP$224),$B$158=1),$AP$224,HLOOKUP(INDIRECT(ADDRESS(2,COLUMN())),OFFSET($BN$2,0,0,ROW()-1,60),ROW()-1,FALSE))</f>
        <v/>
      </c>
      <c r="AQ70" t="str">
        <f ca="1">IF(AND(ISNUMBER($AQ$224),$B$158=1),$AQ$224,HLOOKUP(INDIRECT(ADDRESS(2,COLUMN())),OFFSET($BN$2,0,0,ROW()-1,60),ROW()-1,FALSE))</f>
        <v/>
      </c>
      <c r="AR70" t="str">
        <f ca="1">IF(AND(ISNUMBER($AR$224),$B$158=1),$AR$224,HLOOKUP(INDIRECT(ADDRESS(2,COLUMN())),OFFSET($BN$2,0,0,ROW()-1,60),ROW()-1,FALSE))</f>
        <v/>
      </c>
      <c r="AS70" t="str">
        <f ca="1">IF(AND(ISNUMBER($AS$224),$B$158=1),$AS$224,HLOOKUP(INDIRECT(ADDRESS(2,COLUMN())),OFFSET($BN$2,0,0,ROW()-1,60),ROW()-1,FALSE))</f>
        <v/>
      </c>
      <c r="AT70" t="str">
        <f ca="1">IF(AND(ISNUMBER($AT$224),$B$158=1),$AT$224,HLOOKUP(INDIRECT(ADDRESS(2,COLUMN())),OFFSET($BN$2,0,0,ROW()-1,60),ROW()-1,FALSE))</f>
        <v/>
      </c>
      <c r="AU70" t="str">
        <f ca="1">IF(AND(ISNUMBER($AU$224),$B$158=1),$AU$224,HLOOKUP(INDIRECT(ADDRESS(2,COLUMN())),OFFSET($BN$2,0,0,ROW()-1,60),ROW()-1,FALSE))</f>
        <v/>
      </c>
      <c r="AV70" t="str">
        <f ca="1">IF(AND(ISNUMBER($AV$224),$B$158=1),$AV$224,HLOOKUP(INDIRECT(ADDRESS(2,COLUMN())),OFFSET($BN$2,0,0,ROW()-1,60),ROW()-1,FALSE))</f>
        <v/>
      </c>
      <c r="AW70" t="str">
        <f ca="1">IF(AND(ISNUMBER($AW$224),$B$158=1),$AW$224,HLOOKUP(INDIRECT(ADDRESS(2,COLUMN())),OFFSET($BN$2,0,0,ROW()-1,60),ROW()-1,FALSE))</f>
        <v/>
      </c>
      <c r="AX70" t="str">
        <f ca="1">IF(AND(ISNUMBER($AX$224),$B$158=1),$AX$224,HLOOKUP(INDIRECT(ADDRESS(2,COLUMN())),OFFSET($BN$2,0,0,ROW()-1,60),ROW()-1,FALSE))</f>
        <v/>
      </c>
      <c r="AY70" t="str">
        <f ca="1">IF(AND(ISNUMBER($AY$224),$B$158=1),$AY$224,HLOOKUP(INDIRECT(ADDRESS(2,COLUMN())),OFFSET($BN$2,0,0,ROW()-1,60),ROW()-1,FALSE))</f>
        <v/>
      </c>
      <c r="AZ70" t="str">
        <f ca="1">IF(AND(ISNUMBER($AZ$224),$B$158=1),$AZ$224,HLOOKUP(INDIRECT(ADDRESS(2,COLUMN())),OFFSET($BN$2,0,0,ROW()-1,60),ROW()-1,FALSE))</f>
        <v/>
      </c>
      <c r="BA70" t="str">
        <f ca="1">IF(AND(ISNUMBER($BA$224),$B$158=1),$BA$224,HLOOKUP(INDIRECT(ADDRESS(2,COLUMN())),OFFSET($BN$2,0,0,ROW()-1,60),ROW()-1,FALSE))</f>
        <v/>
      </c>
      <c r="BB70" t="str">
        <f ca="1">IF(AND(ISNUMBER($BB$224),$B$158=1),$BB$224,HLOOKUP(INDIRECT(ADDRESS(2,COLUMN())),OFFSET($BN$2,0,0,ROW()-1,60),ROW()-1,FALSE))</f>
        <v/>
      </c>
      <c r="BC70" t="str">
        <f ca="1">IF(AND(ISNUMBER($BC$224),$B$158=1),$BC$224,HLOOKUP(INDIRECT(ADDRESS(2,COLUMN())),OFFSET($BN$2,0,0,ROW()-1,60),ROW()-1,FALSE))</f>
        <v/>
      </c>
      <c r="BD70" t="str">
        <f ca="1">IF(AND(ISNUMBER($BD$224),$B$158=1),$BD$224,HLOOKUP(INDIRECT(ADDRESS(2,COLUMN())),OFFSET($BN$2,0,0,ROW()-1,60),ROW()-1,FALSE))</f>
        <v/>
      </c>
      <c r="BE70" t="str">
        <f ca="1">IF(AND(ISNUMBER($BE$224),$B$158=1),$BE$224,HLOOKUP(INDIRECT(ADDRESS(2,COLUMN())),OFFSET($BN$2,0,0,ROW()-1,60),ROW()-1,FALSE))</f>
        <v/>
      </c>
      <c r="BF70" t="str">
        <f ca="1">IF(AND(ISNUMBER($BF$224),$B$158=1),$BF$224,HLOOKUP(INDIRECT(ADDRESS(2,COLUMN())),OFFSET($BN$2,0,0,ROW()-1,60),ROW()-1,FALSE))</f>
        <v/>
      </c>
      <c r="BG70" t="str">
        <f ca="1">IF(AND(ISNUMBER($BG$224),$B$158=1),$BG$224,HLOOKUP(INDIRECT(ADDRESS(2,COLUMN())),OFFSET($BN$2,0,0,ROW()-1,60),ROW()-1,FALSE))</f>
        <v/>
      </c>
      <c r="BH70" t="str">
        <f ca="1">IF(AND(ISNUMBER($BH$224),$B$158=1),$BH$224,HLOOKUP(INDIRECT(ADDRESS(2,COLUMN())),OFFSET($BN$2,0,0,ROW()-1,60),ROW()-1,FALSE))</f>
        <v/>
      </c>
      <c r="BI70" t="str">
        <f ca="1">IF(AND(ISNUMBER($BI$224),$B$158=1),$BI$224,HLOOKUP(INDIRECT(ADDRESS(2,COLUMN())),OFFSET($BN$2,0,0,ROW()-1,60),ROW()-1,FALSE))</f>
        <v/>
      </c>
      <c r="BJ70" t="str">
        <f ca="1">IF(AND(ISNUMBER($BJ$224),$B$158=1),$BJ$224,HLOOKUP(INDIRECT(ADDRESS(2,COLUMN())),OFFSET($BN$2,0,0,ROW()-1,60),ROW()-1,FALSE))</f>
        <v/>
      </c>
      <c r="BK70" t="str">
        <f ca="1">IF(AND(ISNUMBER($BK$224),$B$158=1),$BK$224,HLOOKUP(INDIRECT(ADDRESS(2,COLUMN())),OFFSET($BN$2,0,0,ROW()-1,60),ROW()-1,FALSE))</f>
        <v/>
      </c>
      <c r="BL70" t="str">
        <f ca="1">IF(AND(ISNUMBER($BL$224),$B$158=1),$BL$224,HLOOKUP(INDIRECT(ADDRESS(2,COLUMN())),OFFSET($BN$2,0,0,ROW()-1,60),ROW()-1,FALSE))</f>
        <v/>
      </c>
      <c r="BM70" t="str">
        <f ca="1">IF(AND(ISNUMBER($BM$224),$B$158=1),$BM$224,HLOOKUP(INDIRECT(ADDRESS(2,COLUMN())),OFFSET($BN$2,0,0,ROW()-1,60),ROW()-1,FALSE))</f>
        <v/>
      </c>
      <c r="BN70" t="str">
        <f>""</f>
        <v/>
      </c>
      <c r="BO70">
        <f>28.1</f>
        <v>28.1</v>
      </c>
      <c r="BP70">
        <f>118.5</f>
        <v>118.5</v>
      </c>
      <c r="BQ70">
        <f>23.4</f>
        <v>23.4</v>
      </c>
      <c r="BR70">
        <f>0.5</f>
        <v>0.5</v>
      </c>
      <c r="BS70">
        <f>3.9</f>
        <v>3.9</v>
      </c>
      <c r="BT70">
        <f>-48.4</f>
        <v>-48.4</v>
      </c>
      <c r="BU70">
        <f>-13.8</f>
        <v>-13.8</v>
      </c>
      <c r="BV70">
        <f>14</f>
        <v>14</v>
      </c>
      <c r="BW70">
        <f>10.8</f>
        <v>10.8</v>
      </c>
      <c r="BX70">
        <f>15.8</f>
        <v>15.8</v>
      </c>
      <c r="BY70">
        <f>17.5</f>
        <v>17.5</v>
      </c>
      <c r="BZ70">
        <f>19.4</f>
        <v>19.399999999999999</v>
      </c>
      <c r="CA70">
        <f>16.1</f>
        <v>16.100000000000001</v>
      </c>
      <c r="CB70">
        <f>19.8</f>
        <v>19.8</v>
      </c>
      <c r="CC70">
        <f>19.6</f>
        <v>19.600000000000001</v>
      </c>
      <c r="CD70">
        <f>22.9</f>
        <v>22.9</v>
      </c>
      <c r="CE70">
        <f>22.2</f>
        <v>22.2</v>
      </c>
      <c r="CF70">
        <f>23.7</f>
        <v>23.7</v>
      </c>
      <c r="CG70">
        <f>33.4</f>
        <v>33.4</v>
      </c>
      <c r="CH70">
        <f>20.5</f>
        <v>20.5</v>
      </c>
      <c r="CI70">
        <f>33.9</f>
        <v>33.9</v>
      </c>
      <c r="CJ70">
        <f>22.1</f>
        <v>22.1</v>
      </c>
      <c r="CK70">
        <f>26.5</f>
        <v>26.5</v>
      </c>
      <c r="CL70" t="str">
        <f>""</f>
        <v/>
      </c>
      <c r="CM70">
        <f>26.6</f>
        <v>26.6</v>
      </c>
      <c r="CN70">
        <f>27.3</f>
        <v>27.3</v>
      </c>
      <c r="CO70">
        <f>21.2</f>
        <v>21.2</v>
      </c>
      <c r="CP70">
        <f>25.3</f>
        <v>25.3</v>
      </c>
      <c r="CQ70">
        <f>27.5</f>
        <v>27.5</v>
      </c>
      <c r="CR70">
        <f>29.4</f>
        <v>29.4</v>
      </c>
      <c r="CS70" t="str">
        <f>""</f>
        <v/>
      </c>
      <c r="CT70">
        <f>42</f>
        <v>42</v>
      </c>
      <c r="CU70">
        <f>12</f>
        <v>12</v>
      </c>
      <c r="CV70">
        <f>14.4</f>
        <v>14.4</v>
      </c>
      <c r="CW70" t="str">
        <f>""</f>
        <v/>
      </c>
      <c r="CX70" t="str">
        <f>""</f>
        <v/>
      </c>
      <c r="CY70" t="str">
        <f>""</f>
        <v/>
      </c>
      <c r="CZ70" t="str">
        <f>""</f>
        <v/>
      </c>
      <c r="DA70" t="str">
        <f>""</f>
        <v/>
      </c>
      <c r="DB70" t="str">
        <f>""</f>
        <v/>
      </c>
      <c r="DC70" t="str">
        <f>""</f>
        <v/>
      </c>
      <c r="DD70" t="str">
        <f>""</f>
        <v/>
      </c>
      <c r="DE70" t="str">
        <f>""</f>
        <v/>
      </c>
      <c r="DF70" t="str">
        <f>""</f>
        <v/>
      </c>
      <c r="DG70" t="str">
        <f>""</f>
        <v/>
      </c>
      <c r="DH70" t="str">
        <f>""</f>
        <v/>
      </c>
      <c r="DI70" t="str">
        <f>""</f>
        <v/>
      </c>
      <c r="DJ70" t="str">
        <f>""</f>
        <v/>
      </c>
      <c r="DK70" t="str">
        <f>""</f>
        <v/>
      </c>
      <c r="DL70" t="str">
        <f>""</f>
        <v/>
      </c>
      <c r="DM70" t="str">
        <f>""</f>
        <v/>
      </c>
      <c r="DN70" t="str">
        <f>""</f>
        <v/>
      </c>
      <c r="DO70" t="str">
        <f>""</f>
        <v/>
      </c>
      <c r="DP70" t="str">
        <f>""</f>
        <v/>
      </c>
      <c r="DQ70" t="str">
        <f>""</f>
        <v/>
      </c>
      <c r="DR70" t="str">
        <f>""</f>
        <v/>
      </c>
      <c r="DS70" t="str">
        <f>""</f>
        <v/>
      </c>
      <c r="DT70" t="str">
        <f>""</f>
        <v/>
      </c>
      <c r="DU70" t="str">
        <f>""</f>
        <v/>
      </c>
    </row>
    <row r="71" spans="1:125" x14ac:dyDescent="0.25">
      <c r="A71" t="str">
        <f>"                Bottega Veneta"</f>
        <v xml:space="preserve">                Bottega Veneta</v>
      </c>
      <c r="B71" t="str">
        <f>"KER FP Equity"</f>
        <v>KER FP Equity</v>
      </c>
      <c r="C71" t="str">
        <f>"BI047"</f>
        <v>BI047</v>
      </c>
      <c r="D71" t="str">
        <f>"BICS_SEGMENT_DATA"</f>
        <v>BICS_SEGMENT_DATA</v>
      </c>
      <c r="E71" t="str">
        <f>"Dynamic"</f>
        <v>Dynamic</v>
      </c>
      <c r="F71" t="str">
        <f ca="1">IF(AND(ISNUMBER($F$225),$B$158=1),$F$225,HLOOKUP(INDIRECT(ADDRESS(2,COLUMN())),OFFSET($BN$2,0,0,ROW()-1,60),ROW()-1,FALSE))</f>
        <v/>
      </c>
      <c r="G71">
        <f ca="1">IF(AND(ISNUMBER($G$225),$B$158=1),$G$225,HLOOKUP(INDIRECT(ADDRESS(2,COLUMN())),OFFSET($BN$2,0,0,ROW()-1,60),ROW()-1,FALSE))</f>
        <v>8.9</v>
      </c>
      <c r="H71">
        <f ca="1">IF(AND(ISNUMBER($H$225),$B$158=1),$H$225,HLOOKUP(INDIRECT(ADDRESS(2,COLUMN())),OFFSET($BN$2,0,0,ROW()-1,60),ROW()-1,FALSE))</f>
        <v>69</v>
      </c>
      <c r="I71">
        <f ca="1">IF(AND(ISNUMBER($I$225),$B$158=1),$I$225,HLOOKUP(INDIRECT(ADDRESS(2,COLUMN())),OFFSET($BN$2,0,0,ROW()-1,60),ROW()-1,FALSE))</f>
        <v>24.6</v>
      </c>
      <c r="J71">
        <f ca="1">IF(AND(ISNUMBER($J$225),$B$158=1),$J$225,HLOOKUP(INDIRECT(ADDRESS(2,COLUMN())),OFFSET($BN$2,0,0,ROW()-1,60),ROW()-1,FALSE))</f>
        <v>15.7</v>
      </c>
      <c r="K71">
        <f ca="1">IF(AND(ISNUMBER($K$225),$B$158=1),$K$225,HLOOKUP(INDIRECT(ADDRESS(2,COLUMN())),OFFSET($BN$2,0,0,ROW()-1,60),ROW()-1,FALSE))</f>
        <v>20.7</v>
      </c>
      <c r="L71">
        <f ca="1">IF(AND(ISNUMBER($L$225),$B$158=1),$L$225,HLOOKUP(INDIRECT(ADDRESS(2,COLUMN())),OFFSET($BN$2,0,0,ROW()-1,60),ROW()-1,FALSE))</f>
        <v>-24.4</v>
      </c>
      <c r="M71">
        <f ca="1">IF(AND(ISNUMBER($M$225),$B$158=1),$M$225,HLOOKUP(INDIRECT(ADDRESS(2,COLUMN())),OFFSET($BN$2,0,0,ROW()-1,60),ROW()-1,FALSE))</f>
        <v>8.5</v>
      </c>
      <c r="N71">
        <f ca="1">IF(AND(ISNUMBER($N$225),$B$158=1),$N$225,HLOOKUP(INDIRECT(ADDRESS(2,COLUMN())),OFFSET($BN$2,0,0,ROW()-1,60),ROW()-1,FALSE))</f>
        <v>9.4</v>
      </c>
      <c r="O71">
        <f ca="1">IF(AND(ISNUMBER($O$225),$B$158=1),$O$225,HLOOKUP(INDIRECT(ADDRESS(2,COLUMN())),OFFSET($BN$2,0,0,ROW()-1,60),ROW()-1,FALSE))</f>
        <v>6.9</v>
      </c>
      <c r="P71">
        <f ca="1">IF(AND(ISNUMBER($P$225),$B$158=1),$P$225,HLOOKUP(INDIRECT(ADDRESS(2,COLUMN())),OFFSET($BN$2,0,0,ROW()-1,60),ROW()-1,FALSE))</f>
        <v>0.8</v>
      </c>
      <c r="Q71">
        <f ca="1">IF(AND(ISNUMBER($Q$225),$B$158=1),$Q$225,HLOOKUP(INDIRECT(ADDRESS(2,COLUMN())),OFFSET($BN$2,0,0,ROW()-1,60),ROW()-1,FALSE))</f>
        <v>-8.9</v>
      </c>
      <c r="R71">
        <f ca="1">IF(AND(ISNUMBER($R$225),$B$158=1),$R$225,HLOOKUP(INDIRECT(ADDRESS(2,COLUMN())),OFFSET($BN$2,0,0,ROW()-1,60),ROW()-1,FALSE))</f>
        <v>-3.2</v>
      </c>
      <c r="S71">
        <f ca="1">IF(AND(ISNUMBER($S$225),$B$158=1),$S$225,HLOOKUP(INDIRECT(ADDRESS(2,COLUMN())),OFFSET($BN$2,0,0,ROW()-1,60),ROW()-1,FALSE))</f>
        <v>-8.4</v>
      </c>
      <c r="T71">
        <f ca="1">IF(AND(ISNUMBER($T$225),$B$158=1),$T$225,HLOOKUP(INDIRECT(ADDRESS(2,COLUMN())),OFFSET($BN$2,0,0,ROW()-1,60),ROW()-1,FALSE))</f>
        <v>-2.2999999999999998</v>
      </c>
      <c r="U71">
        <f ca="1">IF(AND(ISNUMBER($U$225),$B$158=1),$U$225,HLOOKUP(INDIRECT(ADDRESS(2,COLUMN())),OFFSET($BN$2,0,0,ROW()-1,60),ROW()-1,FALSE))</f>
        <v>0.7</v>
      </c>
      <c r="V71">
        <f ca="1">IF(AND(ISNUMBER($V$225),$B$158=1),$V$225,HLOOKUP(INDIRECT(ADDRESS(2,COLUMN())),OFFSET($BN$2,0,0,ROW()-1,60),ROW()-1,FALSE))</f>
        <v>4.7</v>
      </c>
      <c r="W71">
        <f ca="1">IF(AND(ISNUMBER($W$225),$B$158=1),$W$225,HLOOKUP(INDIRECT(ADDRESS(2,COLUMN())),OFFSET($BN$2,0,0,ROW()-1,60),ROW()-1,FALSE))</f>
        <v>0.9</v>
      </c>
      <c r="X71">
        <f ca="1">IF(AND(ISNUMBER($X$225),$B$158=1),$X$225,HLOOKUP(INDIRECT(ADDRESS(2,COLUMN())),OFFSET($BN$2,0,0,ROW()-1,60),ROW()-1,FALSE))</f>
        <v>1.7</v>
      </c>
      <c r="Y71">
        <f ca="1">IF(AND(ISNUMBER($Y$225),$B$158=1),$Y$225,HLOOKUP(INDIRECT(ADDRESS(2,COLUMN())),OFFSET($BN$2,0,0,ROW()-1,60),ROW()-1,FALSE))</f>
        <v>2.2999999999999998</v>
      </c>
      <c r="Z71">
        <f ca="1">IF(AND(ISNUMBER($Z$225),$B$158=1),$Z$225,HLOOKUP(INDIRECT(ADDRESS(2,COLUMN())),OFFSET($BN$2,0,0,ROW()-1,60),ROW()-1,FALSE))</f>
        <v>-8.6</v>
      </c>
      <c r="AA71">
        <f ca="1">IF(AND(ISNUMBER($AA$225),$B$158=1),$AA$225,HLOOKUP(INDIRECT(ADDRESS(2,COLUMN())),OFFSET($BN$2,0,0,ROW()-1,60),ROW()-1,FALSE))</f>
        <v>-10.9</v>
      </c>
      <c r="AB71">
        <f ca="1">IF(AND(ISNUMBER($AB$225),$B$158=1),$AB$225,HLOOKUP(INDIRECT(ADDRESS(2,COLUMN())),OFFSET($BN$2,0,0,ROW()-1,60),ROW()-1,FALSE))</f>
        <v>-9.8000000000000007</v>
      </c>
      <c r="AC71">
        <f ca="1">IF(AND(ISNUMBER($AC$225),$B$158=1),$AC$225,HLOOKUP(INDIRECT(ADDRESS(2,COLUMN())),OFFSET($BN$2,0,0,ROW()-1,60),ROW()-1,FALSE))</f>
        <v>-8.3000000000000007</v>
      </c>
      <c r="AD71">
        <f ca="1">IF(AND(ISNUMBER($AD$225),$B$158=1),$AD$225,HLOOKUP(INDIRECT(ADDRESS(2,COLUMN())),OFFSET($BN$2,0,0,ROW()-1,60),ROW()-1,FALSE))</f>
        <v>-3.1</v>
      </c>
      <c r="AE71">
        <f ca="1">IF(AND(ISNUMBER($AE$225),$B$158=1),$AE$225,HLOOKUP(INDIRECT(ADDRESS(2,COLUMN())),OFFSET($BN$2,0,0,ROW()-1,60),ROW()-1,FALSE))</f>
        <v>4.3</v>
      </c>
      <c r="AF71">
        <f ca="1">IF(AND(ISNUMBER($AF$225),$B$158=1),$AF$225,HLOOKUP(INDIRECT(ADDRESS(2,COLUMN())),OFFSET($BN$2,0,0,ROW()-1,60),ROW()-1,FALSE))</f>
        <v>9.3000000000000007</v>
      </c>
      <c r="AG71">
        <f ca="1">IF(AND(ISNUMBER($AG$225),$B$158=1),$AG$225,HLOOKUP(INDIRECT(ADDRESS(2,COLUMN())),OFFSET($BN$2,0,0,ROW()-1,60),ROW()-1,FALSE))</f>
        <v>3.1</v>
      </c>
      <c r="AH71">
        <f ca="1">IF(AND(ISNUMBER($AH$225),$B$158=1),$AH$225,HLOOKUP(INDIRECT(ADDRESS(2,COLUMN())),OFFSET($BN$2,0,0,ROW()-1,60),ROW()-1,FALSE))</f>
        <v>6.8</v>
      </c>
      <c r="AI71">
        <f ca="1">IF(AND(ISNUMBER($AI$225),$B$158=1),$AI$225,HLOOKUP(INDIRECT(ADDRESS(2,COLUMN())),OFFSET($BN$2,0,0,ROW()-1,60),ROW()-1,FALSE))</f>
        <v>10.8</v>
      </c>
      <c r="AJ71">
        <f ca="1">IF(AND(ISNUMBER($AJ$225),$B$158=1),$AJ$225,HLOOKUP(INDIRECT(ADDRESS(2,COLUMN())),OFFSET($BN$2,0,0,ROW()-1,60),ROW()-1,FALSE))</f>
        <v>20.2</v>
      </c>
      <c r="AK71">
        <f ca="1">IF(AND(ISNUMBER($AK$225),$B$158=1),$AK$225,HLOOKUP(INDIRECT(ADDRESS(2,COLUMN())),OFFSET($BN$2,0,0,ROW()-1,60),ROW()-1,FALSE))</f>
        <v>15</v>
      </c>
      <c r="AL71">
        <f ca="1">IF(AND(ISNUMBER($AL$225),$B$158=1),$AL$225,HLOOKUP(INDIRECT(ADDRESS(2,COLUMN())),OFFSET($BN$2,0,0,ROW()-1,60),ROW()-1,FALSE))</f>
        <v>13.4</v>
      </c>
      <c r="AM71">
        <f ca="1">IF(AND(ISNUMBER($AM$225),$B$158=1),$AM$225,HLOOKUP(INDIRECT(ADDRESS(2,COLUMN())),OFFSET($BN$2,0,0,ROW()-1,60),ROW()-1,FALSE))</f>
        <v>15.8</v>
      </c>
      <c r="AN71">
        <f ca="1">IF(AND(ISNUMBER($AN$225),$B$158=1),$AN$225,HLOOKUP(INDIRECT(ADDRESS(2,COLUMN())),OFFSET($BN$2,0,0,ROW()-1,60),ROW()-1,FALSE))</f>
        <v>17.2</v>
      </c>
      <c r="AO71">
        <f ca="1">IF(AND(ISNUMBER($AO$225),$B$158=1),$AO$225,HLOOKUP(INDIRECT(ADDRESS(2,COLUMN())),OFFSET($BN$2,0,0,ROW()-1,60),ROW()-1,FALSE))</f>
        <v>8.8000000000000007</v>
      </c>
      <c r="AP71" t="str">
        <f ca="1">IF(AND(ISNUMBER($AP$225),$B$158=1),$AP$225,HLOOKUP(INDIRECT(ADDRESS(2,COLUMN())),OFFSET($BN$2,0,0,ROW()-1,60),ROW()-1,FALSE))</f>
        <v/>
      </c>
      <c r="AQ71" t="str">
        <f ca="1">IF(AND(ISNUMBER($AQ$225),$B$158=1),$AQ$225,HLOOKUP(INDIRECT(ADDRESS(2,COLUMN())),OFFSET($BN$2,0,0,ROW()-1,60),ROW()-1,FALSE))</f>
        <v/>
      </c>
      <c r="AR71" t="str">
        <f ca="1">IF(AND(ISNUMBER($AR$225),$B$158=1),$AR$225,HLOOKUP(INDIRECT(ADDRESS(2,COLUMN())),OFFSET($BN$2,0,0,ROW()-1,60),ROW()-1,FALSE))</f>
        <v/>
      </c>
      <c r="AS71" t="str">
        <f ca="1">IF(AND(ISNUMBER($AS$225),$B$158=1),$AS$225,HLOOKUP(INDIRECT(ADDRESS(2,COLUMN())),OFFSET($BN$2,0,0,ROW()-1,60),ROW()-1,FALSE))</f>
        <v/>
      </c>
      <c r="AT71" t="str">
        <f ca="1">IF(AND(ISNUMBER($AT$225),$B$158=1),$AT$225,HLOOKUP(INDIRECT(ADDRESS(2,COLUMN())),OFFSET($BN$2,0,0,ROW()-1,60),ROW()-1,FALSE))</f>
        <v/>
      </c>
      <c r="AU71" t="str">
        <f ca="1">IF(AND(ISNUMBER($AU$225),$B$158=1),$AU$225,HLOOKUP(INDIRECT(ADDRESS(2,COLUMN())),OFFSET($BN$2,0,0,ROW()-1,60),ROW()-1,FALSE))</f>
        <v/>
      </c>
      <c r="AV71" t="str">
        <f ca="1">IF(AND(ISNUMBER($AV$225),$B$158=1),$AV$225,HLOOKUP(INDIRECT(ADDRESS(2,COLUMN())),OFFSET($BN$2,0,0,ROW()-1,60),ROW()-1,FALSE))</f>
        <v/>
      </c>
      <c r="AW71" t="str">
        <f ca="1">IF(AND(ISNUMBER($AW$225),$B$158=1),$AW$225,HLOOKUP(INDIRECT(ADDRESS(2,COLUMN())),OFFSET($BN$2,0,0,ROW()-1,60),ROW()-1,FALSE))</f>
        <v/>
      </c>
      <c r="AX71" t="str">
        <f ca="1">IF(AND(ISNUMBER($AX$225),$B$158=1),$AX$225,HLOOKUP(INDIRECT(ADDRESS(2,COLUMN())),OFFSET($BN$2,0,0,ROW()-1,60),ROW()-1,FALSE))</f>
        <v/>
      </c>
      <c r="AY71" t="str">
        <f ca="1">IF(AND(ISNUMBER($AY$225),$B$158=1),$AY$225,HLOOKUP(INDIRECT(ADDRESS(2,COLUMN())),OFFSET($BN$2,0,0,ROW()-1,60),ROW()-1,FALSE))</f>
        <v/>
      </c>
      <c r="AZ71" t="str">
        <f ca="1">IF(AND(ISNUMBER($AZ$225),$B$158=1),$AZ$225,HLOOKUP(INDIRECT(ADDRESS(2,COLUMN())),OFFSET($BN$2,0,0,ROW()-1,60),ROW()-1,FALSE))</f>
        <v/>
      </c>
      <c r="BA71" t="str">
        <f ca="1">IF(AND(ISNUMBER($BA$225),$B$158=1),$BA$225,HLOOKUP(INDIRECT(ADDRESS(2,COLUMN())),OFFSET($BN$2,0,0,ROW()-1,60),ROW()-1,FALSE))</f>
        <v/>
      </c>
      <c r="BB71" t="str">
        <f ca="1">IF(AND(ISNUMBER($BB$225),$B$158=1),$BB$225,HLOOKUP(INDIRECT(ADDRESS(2,COLUMN())),OFFSET($BN$2,0,0,ROW()-1,60),ROW()-1,FALSE))</f>
        <v/>
      </c>
      <c r="BC71" t="str">
        <f ca="1">IF(AND(ISNUMBER($BC$225),$B$158=1),$BC$225,HLOOKUP(INDIRECT(ADDRESS(2,COLUMN())),OFFSET($BN$2,0,0,ROW()-1,60),ROW()-1,FALSE))</f>
        <v/>
      </c>
      <c r="BD71" t="str">
        <f ca="1">IF(AND(ISNUMBER($BD$225),$B$158=1),$BD$225,HLOOKUP(INDIRECT(ADDRESS(2,COLUMN())),OFFSET($BN$2,0,0,ROW()-1,60),ROW()-1,FALSE))</f>
        <v/>
      </c>
      <c r="BE71" t="str">
        <f ca="1">IF(AND(ISNUMBER($BE$225),$B$158=1),$BE$225,HLOOKUP(INDIRECT(ADDRESS(2,COLUMN())),OFFSET($BN$2,0,0,ROW()-1,60),ROW()-1,FALSE))</f>
        <v/>
      </c>
      <c r="BF71" t="str">
        <f ca="1">IF(AND(ISNUMBER($BF$225),$B$158=1),$BF$225,HLOOKUP(INDIRECT(ADDRESS(2,COLUMN())),OFFSET($BN$2,0,0,ROW()-1,60),ROW()-1,FALSE))</f>
        <v/>
      </c>
      <c r="BG71" t="str">
        <f ca="1">IF(AND(ISNUMBER($BG$225),$B$158=1),$BG$225,HLOOKUP(INDIRECT(ADDRESS(2,COLUMN())),OFFSET($BN$2,0,0,ROW()-1,60),ROW()-1,FALSE))</f>
        <v/>
      </c>
      <c r="BH71" t="str">
        <f ca="1">IF(AND(ISNUMBER($BH$225),$B$158=1),$BH$225,HLOOKUP(INDIRECT(ADDRESS(2,COLUMN())),OFFSET($BN$2,0,0,ROW()-1,60),ROW()-1,FALSE))</f>
        <v/>
      </c>
      <c r="BI71" t="str">
        <f ca="1">IF(AND(ISNUMBER($BI$225),$B$158=1),$BI$225,HLOOKUP(INDIRECT(ADDRESS(2,COLUMN())),OFFSET($BN$2,0,0,ROW()-1,60),ROW()-1,FALSE))</f>
        <v/>
      </c>
      <c r="BJ71" t="str">
        <f ca="1">IF(AND(ISNUMBER($BJ$225),$B$158=1),$BJ$225,HLOOKUP(INDIRECT(ADDRESS(2,COLUMN())),OFFSET($BN$2,0,0,ROW()-1,60),ROW()-1,FALSE))</f>
        <v/>
      </c>
      <c r="BK71" t="str">
        <f ca="1">IF(AND(ISNUMBER($BK$225),$B$158=1),$BK$225,HLOOKUP(INDIRECT(ADDRESS(2,COLUMN())),OFFSET($BN$2,0,0,ROW()-1,60),ROW()-1,FALSE))</f>
        <v/>
      </c>
      <c r="BL71" t="str">
        <f ca="1">IF(AND(ISNUMBER($BL$225),$B$158=1),$BL$225,HLOOKUP(INDIRECT(ADDRESS(2,COLUMN())),OFFSET($BN$2,0,0,ROW()-1,60),ROW()-1,FALSE))</f>
        <v/>
      </c>
      <c r="BM71" t="str">
        <f ca="1">IF(AND(ISNUMBER($BM$225),$B$158=1),$BM$225,HLOOKUP(INDIRECT(ADDRESS(2,COLUMN())),OFFSET($BN$2,0,0,ROW()-1,60),ROW()-1,FALSE))</f>
        <v/>
      </c>
      <c r="BN71" t="str">
        <f>""</f>
        <v/>
      </c>
      <c r="BO71">
        <f>8.9</f>
        <v>8.9</v>
      </c>
      <c r="BP71">
        <f>69</f>
        <v>69</v>
      </c>
      <c r="BQ71">
        <f>24.6</f>
        <v>24.6</v>
      </c>
      <c r="BR71">
        <f>15.7</f>
        <v>15.7</v>
      </c>
      <c r="BS71">
        <f>20.7</f>
        <v>20.7</v>
      </c>
      <c r="BT71">
        <f>-24.4</f>
        <v>-24.4</v>
      </c>
      <c r="BU71">
        <f>8.5</f>
        <v>8.5</v>
      </c>
      <c r="BV71">
        <f>9.4</f>
        <v>9.4</v>
      </c>
      <c r="BW71">
        <f>6.9</f>
        <v>6.9</v>
      </c>
      <c r="BX71">
        <f>0.8</f>
        <v>0.8</v>
      </c>
      <c r="BY71">
        <f>-8.9</f>
        <v>-8.9</v>
      </c>
      <c r="BZ71">
        <f>-3.2</f>
        <v>-3.2</v>
      </c>
      <c r="CA71">
        <f>-8.4</f>
        <v>-8.4</v>
      </c>
      <c r="CB71">
        <f>-2.3</f>
        <v>-2.2999999999999998</v>
      </c>
      <c r="CC71">
        <f>0.7</f>
        <v>0.7</v>
      </c>
      <c r="CD71">
        <f>4.7</f>
        <v>4.7</v>
      </c>
      <c r="CE71">
        <f>0.9</f>
        <v>0.9</v>
      </c>
      <c r="CF71">
        <f>1.7</f>
        <v>1.7</v>
      </c>
      <c r="CG71">
        <f>2.3</f>
        <v>2.2999999999999998</v>
      </c>
      <c r="CH71">
        <f>-8.6</f>
        <v>-8.6</v>
      </c>
      <c r="CI71">
        <f>-10.9</f>
        <v>-10.9</v>
      </c>
      <c r="CJ71">
        <f>-9.8</f>
        <v>-9.8000000000000007</v>
      </c>
      <c r="CK71">
        <f>-8.3</f>
        <v>-8.3000000000000007</v>
      </c>
      <c r="CL71">
        <f>-3.1</f>
        <v>-3.1</v>
      </c>
      <c r="CM71">
        <f>4.3</f>
        <v>4.3</v>
      </c>
      <c r="CN71">
        <f>9.3</f>
        <v>9.3000000000000007</v>
      </c>
      <c r="CO71">
        <f>3.1</f>
        <v>3.1</v>
      </c>
      <c r="CP71">
        <f>6.8</f>
        <v>6.8</v>
      </c>
      <c r="CQ71">
        <f>10.8</f>
        <v>10.8</v>
      </c>
      <c r="CR71">
        <f>20.2</f>
        <v>20.2</v>
      </c>
      <c r="CS71">
        <f>15</f>
        <v>15</v>
      </c>
      <c r="CT71">
        <f>13.4</f>
        <v>13.4</v>
      </c>
      <c r="CU71">
        <f>15.8</f>
        <v>15.8</v>
      </c>
      <c r="CV71">
        <f>17.2</f>
        <v>17.2</v>
      </c>
      <c r="CW71">
        <f>8.8</f>
        <v>8.8000000000000007</v>
      </c>
      <c r="CX71" t="str">
        <f>""</f>
        <v/>
      </c>
      <c r="CY71" t="str">
        <f>""</f>
        <v/>
      </c>
      <c r="CZ71" t="str">
        <f>""</f>
        <v/>
      </c>
      <c r="DA71" t="str">
        <f>""</f>
        <v/>
      </c>
      <c r="DB71" t="str">
        <f>""</f>
        <v/>
      </c>
      <c r="DC71" t="str">
        <f>""</f>
        <v/>
      </c>
      <c r="DD71" t="str">
        <f>""</f>
        <v/>
      </c>
      <c r="DE71" t="str">
        <f>""</f>
        <v/>
      </c>
      <c r="DF71" t="str">
        <f>""</f>
        <v/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  <c r="DT71" t="str">
        <f>""</f>
        <v/>
      </c>
      <c r="DU71" t="str">
        <f>""</f>
        <v/>
      </c>
    </row>
    <row r="72" spans="1:125" x14ac:dyDescent="0.25">
      <c r="A72" t="str">
        <f>"                Other Luxury Brands"</f>
        <v xml:space="preserve">                Other Luxury Brands</v>
      </c>
      <c r="B72" t="str">
        <f>"KER FP Equity"</f>
        <v>KER FP Equity</v>
      </c>
      <c r="C72" t="str">
        <f>"BI047"</f>
        <v>BI047</v>
      </c>
      <c r="D72" t="str">
        <f>"BICS_SEGMENT_DATA"</f>
        <v>BICS_SEGMENT_DATA</v>
      </c>
      <c r="E72" t="str">
        <f>"Dynamic"</f>
        <v>Dynamic</v>
      </c>
      <c r="F72" t="str">
        <f ca="1">IF(AND(ISNUMBER($F$226),$B$158=1),$F$226,HLOOKUP(INDIRECT(ADDRESS(2,COLUMN())),OFFSET($BN$2,0,0,ROW()-1,60),ROW()-1,FALSE))</f>
        <v/>
      </c>
      <c r="G72">
        <f ca="1">IF(AND(ISNUMBER($G$226),$B$158=1),$G$226,HLOOKUP(INDIRECT(ADDRESS(2,COLUMN())),OFFSET($BN$2,0,0,ROW()-1,60),ROW()-1,FALSE))</f>
        <v>26</v>
      </c>
      <c r="H72">
        <f ca="1">IF(AND(ISNUMBER($H$226),$B$158=1),$H$226,HLOOKUP(INDIRECT(ADDRESS(2,COLUMN())),OFFSET($BN$2,0,0,ROW()-1,60),ROW()-1,FALSE))</f>
        <v>111.3</v>
      </c>
      <c r="I72">
        <f ca="1">IF(AND(ISNUMBER($I$226),$B$158=1),$I$226,HLOOKUP(INDIRECT(ADDRESS(2,COLUMN())),OFFSET($BN$2,0,0,ROW()-1,60),ROW()-1,FALSE))</f>
        <v>33.1</v>
      </c>
      <c r="J72">
        <f ca="1">IF(AND(ISNUMBER($J$226),$B$158=1),$J$226,HLOOKUP(INDIRECT(ADDRESS(2,COLUMN())),OFFSET($BN$2,0,0,ROW()-1,60),ROW()-1,FALSE))</f>
        <v>1.7</v>
      </c>
      <c r="K72">
        <f ca="1">IF(AND(ISNUMBER($K$226),$B$158=1),$K$226,HLOOKUP(INDIRECT(ADDRESS(2,COLUMN())),OFFSET($BN$2,0,0,ROW()-1,60),ROW()-1,FALSE))</f>
        <v>11.7</v>
      </c>
      <c r="L72">
        <f ca="1">IF(AND(ISNUMBER($L$226),$B$158=1),$L$226,HLOOKUP(INDIRECT(ADDRESS(2,COLUMN())),OFFSET($BN$2,0,0,ROW()-1,60),ROW()-1,FALSE))</f>
        <v>-44</v>
      </c>
      <c r="M72">
        <f ca="1">IF(AND(ISNUMBER($M$226),$B$158=1),$M$226,HLOOKUP(INDIRECT(ADDRESS(2,COLUMN())),OFFSET($BN$2,0,0,ROW()-1,60),ROW()-1,FALSE))</f>
        <v>-5.4</v>
      </c>
      <c r="N72">
        <f ca="1">IF(AND(ISNUMBER($N$226),$B$158=1),$N$226,HLOOKUP(INDIRECT(ADDRESS(2,COLUMN())),OFFSET($BN$2,0,0,ROW()-1,60),ROW()-1,FALSE))</f>
        <v>14.9</v>
      </c>
      <c r="O72">
        <f ca="1">IF(AND(ISNUMBER($O$226),$B$158=1),$O$226,HLOOKUP(INDIRECT(ADDRESS(2,COLUMN())),OFFSET($BN$2,0,0,ROW()-1,60),ROW()-1,FALSE))</f>
        <v>16.3</v>
      </c>
      <c r="P72">
        <f ca="1">IF(AND(ISNUMBER($P$226),$B$158=1),$P$226,HLOOKUP(INDIRECT(ADDRESS(2,COLUMN())),OFFSET($BN$2,0,0,ROW()-1,60),ROW()-1,FALSE))</f>
        <v>19.2</v>
      </c>
      <c r="Q72">
        <f ca="1">IF(AND(ISNUMBER($Q$226),$B$158=1),$Q$226,HLOOKUP(INDIRECT(ADDRESS(2,COLUMN())),OFFSET($BN$2,0,0,ROW()-1,60),ROW()-1,FALSE))</f>
        <v>21.7</v>
      </c>
      <c r="R72">
        <f ca="1">IF(AND(ISNUMBER($R$226),$B$158=1),$R$226,HLOOKUP(INDIRECT(ADDRESS(2,COLUMN())),OFFSET($BN$2,0,0,ROW()-1,60),ROW()-1,FALSE))</f>
        <v>25.5</v>
      </c>
      <c r="S72">
        <f ca="1">IF(AND(ISNUMBER($S$226),$B$158=1),$S$226,HLOOKUP(INDIRECT(ADDRESS(2,COLUMN())),OFFSET($BN$2,0,0,ROW()-1,60),ROW()-1,FALSE))</f>
        <v>32.200000000000003</v>
      </c>
      <c r="T72">
        <f ca="1">IF(AND(ISNUMBER($T$226),$B$158=1),$T$226,HLOOKUP(INDIRECT(ADDRESS(2,COLUMN())),OFFSET($BN$2,0,0,ROW()-1,60),ROW()-1,FALSE))</f>
        <v>34.700000000000003</v>
      </c>
      <c r="U72">
        <f ca="1">IF(AND(ISNUMBER($U$226),$B$158=1),$U$226,HLOOKUP(INDIRECT(ADDRESS(2,COLUMN())),OFFSET($BN$2,0,0,ROW()-1,60),ROW()-1,FALSE))</f>
        <v>37.9</v>
      </c>
      <c r="V72">
        <f ca="1">IF(AND(ISNUMBER($V$226),$B$158=1),$V$226,HLOOKUP(INDIRECT(ADDRESS(2,COLUMN())),OFFSET($BN$2,0,0,ROW()-1,60),ROW()-1,FALSE))</f>
        <v>18.8</v>
      </c>
      <c r="W72">
        <f ca="1">IF(AND(ISNUMBER($W$226),$B$158=1),$W$226,HLOOKUP(INDIRECT(ADDRESS(2,COLUMN())),OFFSET($BN$2,0,0,ROW()-1,60),ROW()-1,FALSE))</f>
        <v>17</v>
      </c>
      <c r="X72">
        <f ca="1">IF(AND(ISNUMBER($X$226),$B$158=1),$X$226,HLOOKUP(INDIRECT(ADDRESS(2,COLUMN())),OFFSET($BN$2,0,0,ROW()-1,60),ROW()-1,FALSE))</f>
        <v>9.1</v>
      </c>
      <c r="Y72">
        <f ca="1">IF(AND(ISNUMBER($Y$226),$B$158=1),$Y$226,HLOOKUP(INDIRECT(ADDRESS(2,COLUMN())),OFFSET($BN$2,0,0,ROW()-1,60),ROW()-1,FALSE))</f>
        <v>11.1</v>
      </c>
      <c r="Z72">
        <f ca="1">IF(AND(ISNUMBER($Z$226),$B$158=1),$Z$226,HLOOKUP(INDIRECT(ADDRESS(2,COLUMN())),OFFSET($BN$2,0,0,ROW()-1,60),ROW()-1,FALSE))</f>
        <v>-3</v>
      </c>
      <c r="AA72">
        <f ca="1">IF(AND(ISNUMBER($AA$226),$B$158=1),$AA$226,HLOOKUP(INDIRECT(ADDRESS(2,COLUMN())),OFFSET($BN$2,0,0,ROW()-1,60),ROW()-1,FALSE))</f>
        <v>2.5</v>
      </c>
      <c r="AB72">
        <f ca="1">IF(AND(ISNUMBER($AB$226),$B$158=1),$AB$226,HLOOKUP(INDIRECT(ADDRESS(2,COLUMN())),OFFSET($BN$2,0,0,ROW()-1,60),ROW()-1,FALSE))</f>
        <v>2.9</v>
      </c>
      <c r="AC72">
        <f ca="1">IF(AND(ISNUMBER($AC$226),$B$158=1),$AC$226,HLOOKUP(INDIRECT(ADDRESS(2,COLUMN())),OFFSET($BN$2,0,0,ROW()-1,60),ROW()-1,FALSE))</f>
        <v>-3.3</v>
      </c>
      <c r="AD72" t="str">
        <f ca="1">IF(AND(ISNUMBER($AD$226),$B$158=1),$AD$226,HLOOKUP(INDIRECT(ADDRESS(2,COLUMN())),OFFSET($BN$2,0,0,ROW()-1,60),ROW()-1,FALSE))</f>
        <v/>
      </c>
      <c r="AE72" t="str">
        <f ca="1">IF(AND(ISNUMBER($AE$226),$B$158=1),$AE$226,HLOOKUP(INDIRECT(ADDRESS(2,COLUMN())),OFFSET($BN$2,0,0,ROW()-1,60),ROW()-1,FALSE))</f>
        <v/>
      </c>
      <c r="AF72" t="str">
        <f ca="1">IF(AND(ISNUMBER($AF$226),$B$158=1),$AF$226,HLOOKUP(INDIRECT(ADDRESS(2,COLUMN())),OFFSET($BN$2,0,0,ROW()-1,60),ROW()-1,FALSE))</f>
        <v/>
      </c>
      <c r="AG72" t="str">
        <f ca="1">IF(AND(ISNUMBER($AG$226),$B$158=1),$AG$226,HLOOKUP(INDIRECT(ADDRESS(2,COLUMN())),OFFSET($BN$2,0,0,ROW()-1,60),ROW()-1,FALSE))</f>
        <v/>
      </c>
      <c r="AH72" t="str">
        <f ca="1">IF(AND(ISNUMBER($AH$226),$B$158=1),$AH$226,HLOOKUP(INDIRECT(ADDRESS(2,COLUMN())),OFFSET($BN$2,0,0,ROW()-1,60),ROW()-1,FALSE))</f>
        <v/>
      </c>
      <c r="AI72" t="str">
        <f ca="1">IF(AND(ISNUMBER($AI$226),$B$158=1),$AI$226,HLOOKUP(INDIRECT(ADDRESS(2,COLUMN())),OFFSET($BN$2,0,0,ROW()-1,60),ROW()-1,FALSE))</f>
        <v/>
      </c>
      <c r="AJ72" t="str">
        <f ca="1">IF(AND(ISNUMBER($AJ$226),$B$158=1),$AJ$226,HLOOKUP(INDIRECT(ADDRESS(2,COLUMN())),OFFSET($BN$2,0,0,ROW()-1,60),ROW()-1,FALSE))</f>
        <v/>
      </c>
      <c r="AK72" t="str">
        <f ca="1">IF(AND(ISNUMBER($AK$226),$B$158=1),$AK$226,HLOOKUP(INDIRECT(ADDRESS(2,COLUMN())),OFFSET($BN$2,0,0,ROW()-1,60),ROW()-1,FALSE))</f>
        <v/>
      </c>
      <c r="AL72" t="str">
        <f ca="1">IF(AND(ISNUMBER($AL$226),$B$158=1),$AL$226,HLOOKUP(INDIRECT(ADDRESS(2,COLUMN())),OFFSET($BN$2,0,0,ROW()-1,60),ROW()-1,FALSE))</f>
        <v/>
      </c>
      <c r="AM72" t="str">
        <f ca="1">IF(AND(ISNUMBER($AM$226),$B$158=1),$AM$226,HLOOKUP(INDIRECT(ADDRESS(2,COLUMN())),OFFSET($BN$2,0,0,ROW()-1,60),ROW()-1,FALSE))</f>
        <v/>
      </c>
      <c r="AN72" t="str">
        <f ca="1">IF(AND(ISNUMBER($AN$226),$B$158=1),$AN$226,HLOOKUP(INDIRECT(ADDRESS(2,COLUMN())),OFFSET($BN$2,0,0,ROW()-1,60),ROW()-1,FALSE))</f>
        <v/>
      </c>
      <c r="AO72" t="str">
        <f ca="1">IF(AND(ISNUMBER($AO$226),$B$158=1),$AO$226,HLOOKUP(INDIRECT(ADDRESS(2,COLUMN())),OFFSET($BN$2,0,0,ROW()-1,60),ROW()-1,FALSE))</f>
        <v/>
      </c>
      <c r="AP72" t="str">
        <f ca="1">IF(AND(ISNUMBER($AP$226),$B$158=1),$AP$226,HLOOKUP(INDIRECT(ADDRESS(2,COLUMN())),OFFSET($BN$2,0,0,ROW()-1,60),ROW()-1,FALSE))</f>
        <v/>
      </c>
      <c r="AQ72" t="str">
        <f ca="1">IF(AND(ISNUMBER($AQ$226),$B$158=1),$AQ$226,HLOOKUP(INDIRECT(ADDRESS(2,COLUMN())),OFFSET($BN$2,0,0,ROW()-1,60),ROW()-1,FALSE))</f>
        <v/>
      </c>
      <c r="AR72" t="str">
        <f ca="1">IF(AND(ISNUMBER($AR$226),$B$158=1),$AR$226,HLOOKUP(INDIRECT(ADDRESS(2,COLUMN())),OFFSET($BN$2,0,0,ROW()-1,60),ROW()-1,FALSE))</f>
        <v/>
      </c>
      <c r="AS72" t="str">
        <f ca="1">IF(AND(ISNUMBER($AS$226),$B$158=1),$AS$226,HLOOKUP(INDIRECT(ADDRESS(2,COLUMN())),OFFSET($BN$2,0,0,ROW()-1,60),ROW()-1,FALSE))</f>
        <v/>
      </c>
      <c r="AT72" t="str">
        <f ca="1">IF(AND(ISNUMBER($AT$226),$B$158=1),$AT$226,HLOOKUP(INDIRECT(ADDRESS(2,COLUMN())),OFFSET($BN$2,0,0,ROW()-1,60),ROW()-1,FALSE))</f>
        <v/>
      </c>
      <c r="AU72" t="str">
        <f ca="1">IF(AND(ISNUMBER($AU$226),$B$158=1),$AU$226,HLOOKUP(INDIRECT(ADDRESS(2,COLUMN())),OFFSET($BN$2,0,0,ROW()-1,60),ROW()-1,FALSE))</f>
        <v/>
      </c>
      <c r="AV72" t="str">
        <f ca="1">IF(AND(ISNUMBER($AV$226),$B$158=1),$AV$226,HLOOKUP(INDIRECT(ADDRESS(2,COLUMN())),OFFSET($BN$2,0,0,ROW()-1,60),ROW()-1,FALSE))</f>
        <v/>
      </c>
      <c r="AW72" t="str">
        <f ca="1">IF(AND(ISNUMBER($AW$226),$B$158=1),$AW$226,HLOOKUP(INDIRECT(ADDRESS(2,COLUMN())),OFFSET($BN$2,0,0,ROW()-1,60),ROW()-1,FALSE))</f>
        <v/>
      </c>
      <c r="AX72" t="str">
        <f ca="1">IF(AND(ISNUMBER($AX$226),$B$158=1),$AX$226,HLOOKUP(INDIRECT(ADDRESS(2,COLUMN())),OFFSET($BN$2,0,0,ROW()-1,60),ROW()-1,FALSE))</f>
        <v/>
      </c>
      <c r="AY72" t="str">
        <f ca="1">IF(AND(ISNUMBER($AY$226),$B$158=1),$AY$226,HLOOKUP(INDIRECT(ADDRESS(2,COLUMN())),OFFSET($BN$2,0,0,ROW()-1,60),ROW()-1,FALSE))</f>
        <v/>
      </c>
      <c r="AZ72" t="str">
        <f ca="1">IF(AND(ISNUMBER($AZ$226),$B$158=1),$AZ$226,HLOOKUP(INDIRECT(ADDRESS(2,COLUMN())),OFFSET($BN$2,0,0,ROW()-1,60),ROW()-1,FALSE))</f>
        <v/>
      </c>
      <c r="BA72" t="str">
        <f ca="1">IF(AND(ISNUMBER($BA$226),$B$158=1),$BA$226,HLOOKUP(INDIRECT(ADDRESS(2,COLUMN())),OFFSET($BN$2,0,0,ROW()-1,60),ROW()-1,FALSE))</f>
        <v/>
      </c>
      <c r="BB72" t="str">
        <f ca="1">IF(AND(ISNUMBER($BB$226),$B$158=1),$BB$226,HLOOKUP(INDIRECT(ADDRESS(2,COLUMN())),OFFSET($BN$2,0,0,ROW()-1,60),ROW()-1,FALSE))</f>
        <v/>
      </c>
      <c r="BC72" t="str">
        <f ca="1">IF(AND(ISNUMBER($BC$226),$B$158=1),$BC$226,HLOOKUP(INDIRECT(ADDRESS(2,COLUMN())),OFFSET($BN$2,0,0,ROW()-1,60),ROW()-1,FALSE))</f>
        <v/>
      </c>
      <c r="BD72" t="str">
        <f ca="1">IF(AND(ISNUMBER($BD$226),$B$158=1),$BD$226,HLOOKUP(INDIRECT(ADDRESS(2,COLUMN())),OFFSET($BN$2,0,0,ROW()-1,60),ROW()-1,FALSE))</f>
        <v/>
      </c>
      <c r="BE72" t="str">
        <f ca="1">IF(AND(ISNUMBER($BE$226),$B$158=1),$BE$226,HLOOKUP(INDIRECT(ADDRESS(2,COLUMN())),OFFSET($BN$2,0,0,ROW()-1,60),ROW()-1,FALSE))</f>
        <v/>
      </c>
      <c r="BF72" t="str">
        <f ca="1">IF(AND(ISNUMBER($BF$226),$B$158=1),$BF$226,HLOOKUP(INDIRECT(ADDRESS(2,COLUMN())),OFFSET($BN$2,0,0,ROW()-1,60),ROW()-1,FALSE))</f>
        <v/>
      </c>
      <c r="BG72" t="str">
        <f ca="1">IF(AND(ISNUMBER($BG$226),$B$158=1),$BG$226,HLOOKUP(INDIRECT(ADDRESS(2,COLUMN())),OFFSET($BN$2,0,0,ROW()-1,60),ROW()-1,FALSE))</f>
        <v/>
      </c>
      <c r="BH72" t="str">
        <f ca="1">IF(AND(ISNUMBER($BH$226),$B$158=1),$BH$226,HLOOKUP(INDIRECT(ADDRESS(2,COLUMN())),OFFSET($BN$2,0,0,ROW()-1,60),ROW()-1,FALSE))</f>
        <v/>
      </c>
      <c r="BI72" t="str">
        <f ca="1">IF(AND(ISNUMBER($BI$226),$B$158=1),$BI$226,HLOOKUP(INDIRECT(ADDRESS(2,COLUMN())),OFFSET($BN$2,0,0,ROW()-1,60),ROW()-1,FALSE))</f>
        <v/>
      </c>
      <c r="BJ72" t="str">
        <f ca="1">IF(AND(ISNUMBER($BJ$226),$B$158=1),$BJ$226,HLOOKUP(INDIRECT(ADDRESS(2,COLUMN())),OFFSET($BN$2,0,0,ROW()-1,60),ROW()-1,FALSE))</f>
        <v/>
      </c>
      <c r="BK72" t="str">
        <f ca="1">IF(AND(ISNUMBER($BK$226),$B$158=1),$BK$226,HLOOKUP(INDIRECT(ADDRESS(2,COLUMN())),OFFSET($BN$2,0,0,ROW()-1,60),ROW()-1,FALSE))</f>
        <v/>
      </c>
      <c r="BL72" t="str">
        <f ca="1">IF(AND(ISNUMBER($BL$226),$B$158=1),$BL$226,HLOOKUP(INDIRECT(ADDRESS(2,COLUMN())),OFFSET($BN$2,0,0,ROW()-1,60),ROW()-1,FALSE))</f>
        <v/>
      </c>
      <c r="BM72" t="str">
        <f ca="1">IF(AND(ISNUMBER($BM$226),$B$158=1),$BM$226,HLOOKUP(INDIRECT(ADDRESS(2,COLUMN())),OFFSET($BN$2,0,0,ROW()-1,60),ROW()-1,FALSE))</f>
        <v/>
      </c>
      <c r="BN72" t="str">
        <f>""</f>
        <v/>
      </c>
      <c r="BO72">
        <f>26</f>
        <v>26</v>
      </c>
      <c r="BP72">
        <f>111.3</f>
        <v>111.3</v>
      </c>
      <c r="BQ72">
        <f>33.1</f>
        <v>33.1</v>
      </c>
      <c r="BR72">
        <f>1.7</f>
        <v>1.7</v>
      </c>
      <c r="BS72">
        <f>11.7</f>
        <v>11.7</v>
      </c>
      <c r="BT72">
        <f>-44</f>
        <v>-44</v>
      </c>
      <c r="BU72">
        <f>-5.4</f>
        <v>-5.4</v>
      </c>
      <c r="BV72">
        <f>14.9</f>
        <v>14.9</v>
      </c>
      <c r="BW72">
        <f>16.3</f>
        <v>16.3</v>
      </c>
      <c r="BX72">
        <f>19.2</f>
        <v>19.2</v>
      </c>
      <c r="BY72">
        <f>21.7</f>
        <v>21.7</v>
      </c>
      <c r="BZ72">
        <f>25.5</f>
        <v>25.5</v>
      </c>
      <c r="CA72">
        <f>32.2</f>
        <v>32.200000000000003</v>
      </c>
      <c r="CB72">
        <f>34.7</f>
        <v>34.700000000000003</v>
      </c>
      <c r="CC72">
        <f>37.9</f>
        <v>37.9</v>
      </c>
      <c r="CD72">
        <f>18.8</f>
        <v>18.8</v>
      </c>
      <c r="CE72">
        <f>17</f>
        <v>17</v>
      </c>
      <c r="CF72">
        <f>9.1</f>
        <v>9.1</v>
      </c>
      <c r="CG72">
        <f>11.1</f>
        <v>11.1</v>
      </c>
      <c r="CH72">
        <f>-3</f>
        <v>-3</v>
      </c>
      <c r="CI72">
        <f>2.5</f>
        <v>2.5</v>
      </c>
      <c r="CJ72">
        <f>2.9</f>
        <v>2.9</v>
      </c>
      <c r="CK72">
        <f>-3.3</f>
        <v>-3.3</v>
      </c>
      <c r="CL72" t="str">
        <f>""</f>
        <v/>
      </c>
      <c r="CM72" t="str">
        <f>""</f>
        <v/>
      </c>
      <c r="CN72" t="str">
        <f>""</f>
        <v/>
      </c>
      <c r="CO72" t="str">
        <f>""</f>
        <v/>
      </c>
      <c r="CP72" t="str">
        <f>""</f>
        <v/>
      </c>
      <c r="CQ72" t="str">
        <f>""</f>
        <v/>
      </c>
      <c r="CR72" t="str">
        <f>""</f>
        <v/>
      </c>
      <c r="CS72" t="str">
        <f>""</f>
        <v/>
      </c>
      <c r="CT72" t="str">
        <f>""</f>
        <v/>
      </c>
      <c r="CU72" t="str">
        <f>""</f>
        <v/>
      </c>
      <c r="CV72" t="str">
        <f>""</f>
        <v/>
      </c>
      <c r="CW72" t="str">
        <f>""</f>
        <v/>
      </c>
      <c r="CX72" t="str">
        <f>""</f>
        <v/>
      </c>
      <c r="CY72" t="str">
        <f>""</f>
        <v/>
      </c>
      <c r="CZ72" t="str">
        <f>""</f>
        <v/>
      </c>
      <c r="DA72" t="str">
        <f>""</f>
        <v/>
      </c>
      <c r="DB72" t="str">
        <f>""</f>
        <v/>
      </c>
      <c r="DC72" t="str">
        <f>""</f>
        <v/>
      </c>
      <c r="DD72" t="str">
        <f>""</f>
        <v/>
      </c>
      <c r="DE72" t="str">
        <f>""</f>
        <v/>
      </c>
      <c r="DF72" t="str">
        <f>""</f>
        <v/>
      </c>
      <c r="DG72" t="str">
        <f>""</f>
        <v/>
      </c>
      <c r="DH72" t="str">
        <f>""</f>
        <v/>
      </c>
      <c r="DI72" t="str">
        <f>""</f>
        <v/>
      </c>
      <c r="DJ72" t="str">
        <f>""</f>
        <v/>
      </c>
      <c r="DK72" t="str">
        <f>""</f>
        <v/>
      </c>
      <c r="DL72" t="str">
        <f>""</f>
        <v/>
      </c>
      <c r="DM72" t="str">
        <f>""</f>
        <v/>
      </c>
      <c r="DN72" t="str">
        <f>""</f>
        <v/>
      </c>
      <c r="DO72" t="str">
        <f>""</f>
        <v/>
      </c>
      <c r="DP72" t="str">
        <f>""</f>
        <v/>
      </c>
      <c r="DQ72" t="str">
        <f>""</f>
        <v/>
      </c>
      <c r="DR72" t="str">
        <f>""</f>
        <v/>
      </c>
      <c r="DS72" t="str">
        <f>""</f>
        <v/>
      </c>
      <c r="DT72" t="str">
        <f>""</f>
        <v/>
      </c>
      <c r="DU72" t="str">
        <f>""</f>
        <v/>
      </c>
    </row>
    <row r="73" spans="1:125" x14ac:dyDescent="0.25">
      <c r="A73" t="str">
        <f>""</f>
        <v/>
      </c>
      <c r="B73" t="str">
        <f>""</f>
        <v/>
      </c>
      <c r="E73" t="str">
        <f>"Static"</f>
        <v>Static</v>
      </c>
      <c r="F73" t="str">
        <f t="shared" ref="F73:AK73" ca="1" si="32">HLOOKUP(INDIRECT(ADDRESS(2,COLUMN())),OFFSET($BN$2,0,0,ROW()-1,60),ROW()-1,FALSE)</f>
        <v/>
      </c>
      <c r="G73" t="str">
        <f t="shared" ca="1" si="32"/>
        <v/>
      </c>
      <c r="H73" t="str">
        <f t="shared" ca="1" si="32"/>
        <v/>
      </c>
      <c r="I73" t="str">
        <f t="shared" ca="1" si="32"/>
        <v/>
      </c>
      <c r="J73" t="str">
        <f t="shared" ca="1" si="32"/>
        <v/>
      </c>
      <c r="K73" t="str">
        <f t="shared" ca="1" si="32"/>
        <v/>
      </c>
      <c r="L73" t="str">
        <f t="shared" ca="1" si="32"/>
        <v/>
      </c>
      <c r="M73" t="str">
        <f t="shared" ca="1" si="32"/>
        <v/>
      </c>
      <c r="N73" t="str">
        <f t="shared" ca="1" si="32"/>
        <v/>
      </c>
      <c r="O73" t="str">
        <f t="shared" ca="1" si="32"/>
        <v/>
      </c>
      <c r="P73" t="str">
        <f t="shared" ca="1" si="32"/>
        <v/>
      </c>
      <c r="Q73" t="str">
        <f t="shared" ca="1" si="32"/>
        <v/>
      </c>
      <c r="R73" t="str">
        <f t="shared" ca="1" si="32"/>
        <v/>
      </c>
      <c r="S73" t="str">
        <f t="shared" ca="1" si="32"/>
        <v/>
      </c>
      <c r="T73" t="str">
        <f t="shared" ca="1" si="32"/>
        <v/>
      </c>
      <c r="U73" t="str">
        <f t="shared" ca="1" si="32"/>
        <v/>
      </c>
      <c r="V73" t="str">
        <f t="shared" ca="1" si="32"/>
        <v/>
      </c>
      <c r="W73" t="str">
        <f t="shared" ca="1" si="32"/>
        <v/>
      </c>
      <c r="X73" t="str">
        <f t="shared" ca="1" si="32"/>
        <v/>
      </c>
      <c r="Y73" t="str">
        <f t="shared" ca="1" si="32"/>
        <v/>
      </c>
      <c r="Z73" t="str">
        <f t="shared" ca="1" si="32"/>
        <v/>
      </c>
      <c r="AA73" t="str">
        <f t="shared" ca="1" si="32"/>
        <v/>
      </c>
      <c r="AB73" t="str">
        <f t="shared" ca="1" si="32"/>
        <v/>
      </c>
      <c r="AC73" t="str">
        <f t="shared" ca="1" si="32"/>
        <v/>
      </c>
      <c r="AD73" t="str">
        <f t="shared" ca="1" si="32"/>
        <v/>
      </c>
      <c r="AE73" t="str">
        <f t="shared" ca="1" si="32"/>
        <v/>
      </c>
      <c r="AF73" t="str">
        <f t="shared" ca="1" si="32"/>
        <v/>
      </c>
      <c r="AG73" t="str">
        <f t="shared" ca="1" si="32"/>
        <v/>
      </c>
      <c r="AH73" t="str">
        <f t="shared" ca="1" si="32"/>
        <v/>
      </c>
      <c r="AI73" t="str">
        <f t="shared" ca="1" si="32"/>
        <v/>
      </c>
      <c r="AJ73" t="str">
        <f t="shared" ca="1" si="32"/>
        <v/>
      </c>
      <c r="AK73" t="str">
        <f t="shared" ca="1" si="32"/>
        <v/>
      </c>
      <c r="AL73" t="str">
        <f t="shared" ref="AL73:BM73" ca="1" si="33">HLOOKUP(INDIRECT(ADDRESS(2,COLUMN())),OFFSET($BN$2,0,0,ROW()-1,60),ROW()-1,FALSE)</f>
        <v/>
      </c>
      <c r="AM73" t="str">
        <f t="shared" ca="1" si="33"/>
        <v/>
      </c>
      <c r="AN73" t="str">
        <f t="shared" ca="1" si="33"/>
        <v/>
      </c>
      <c r="AO73" t="str">
        <f t="shared" ca="1" si="33"/>
        <v/>
      </c>
      <c r="AP73" t="str">
        <f t="shared" ca="1" si="33"/>
        <v/>
      </c>
      <c r="AQ73" t="str">
        <f t="shared" ca="1" si="33"/>
        <v/>
      </c>
      <c r="AR73" t="str">
        <f t="shared" ca="1" si="33"/>
        <v/>
      </c>
      <c r="AS73" t="str">
        <f t="shared" ca="1" si="33"/>
        <v/>
      </c>
      <c r="AT73" t="str">
        <f t="shared" ca="1" si="33"/>
        <v/>
      </c>
      <c r="AU73" t="str">
        <f t="shared" ca="1" si="33"/>
        <v/>
      </c>
      <c r="AV73" t="str">
        <f t="shared" ca="1" si="33"/>
        <v/>
      </c>
      <c r="AW73" t="str">
        <f t="shared" ca="1" si="33"/>
        <v/>
      </c>
      <c r="AX73" t="str">
        <f t="shared" ca="1" si="33"/>
        <v/>
      </c>
      <c r="AY73" t="str">
        <f t="shared" ca="1" si="33"/>
        <v/>
      </c>
      <c r="AZ73" t="str">
        <f t="shared" ca="1" si="33"/>
        <v/>
      </c>
      <c r="BA73" t="str">
        <f t="shared" ca="1" si="33"/>
        <v/>
      </c>
      <c r="BB73" t="str">
        <f t="shared" ca="1" si="33"/>
        <v/>
      </c>
      <c r="BC73" t="str">
        <f t="shared" ca="1" si="33"/>
        <v/>
      </c>
      <c r="BD73" t="str">
        <f t="shared" ca="1" si="33"/>
        <v/>
      </c>
      <c r="BE73" t="str">
        <f t="shared" ca="1" si="33"/>
        <v/>
      </c>
      <c r="BF73" t="str">
        <f t="shared" ca="1" si="33"/>
        <v/>
      </c>
      <c r="BG73" t="str">
        <f t="shared" ca="1" si="33"/>
        <v/>
      </c>
      <c r="BH73" t="str">
        <f t="shared" ca="1" si="33"/>
        <v/>
      </c>
      <c r="BI73" t="str">
        <f t="shared" ca="1" si="33"/>
        <v/>
      </c>
      <c r="BJ73" t="str">
        <f t="shared" ca="1" si="33"/>
        <v/>
      </c>
      <c r="BK73" t="str">
        <f t="shared" ca="1" si="33"/>
        <v/>
      </c>
      <c r="BL73" t="str">
        <f t="shared" ca="1" si="33"/>
        <v/>
      </c>
      <c r="BM73" t="str">
        <f t="shared" ca="1" si="33"/>
        <v/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  <c r="BT73" t="str">
        <f>""</f>
        <v/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  <c r="CH73" t="str">
        <f>""</f>
        <v/>
      </c>
      <c r="CI73" t="str">
        <f>""</f>
        <v/>
      </c>
      <c r="CJ73" t="str">
        <f>""</f>
        <v/>
      </c>
      <c r="CK73" t="str">
        <f>""</f>
        <v/>
      </c>
      <c r="CL73" t="str">
        <f>""</f>
        <v/>
      </c>
      <c r="CM73" t="str">
        <f>""</f>
        <v/>
      </c>
      <c r="CN73" t="str">
        <f>""</f>
        <v/>
      </c>
      <c r="CO73" t="str">
        <f>""</f>
        <v/>
      </c>
      <c r="CP73" t="str">
        <f>""</f>
        <v/>
      </c>
      <c r="CQ73" t="str">
        <f>""</f>
        <v/>
      </c>
      <c r="CR73" t="str">
        <f>""</f>
        <v/>
      </c>
      <c r="CS73" t="str">
        <f>""</f>
        <v/>
      </c>
      <c r="CT73" t="str">
        <f>""</f>
        <v/>
      </c>
      <c r="CU73" t="str">
        <f>""</f>
        <v/>
      </c>
      <c r="CV73" t="str">
        <f>""</f>
        <v/>
      </c>
      <c r="CW73" t="str">
        <f>""</f>
        <v/>
      </c>
      <c r="CX73" t="str">
        <f>""</f>
        <v/>
      </c>
      <c r="CY73" t="str">
        <f>""</f>
        <v/>
      </c>
      <c r="CZ73" t="str">
        <f>""</f>
        <v/>
      </c>
      <c r="DA73" t="str">
        <f>""</f>
        <v/>
      </c>
      <c r="DB73" t="str">
        <f>""</f>
        <v/>
      </c>
      <c r="DC73" t="str">
        <f>""</f>
        <v/>
      </c>
      <c r="DD73" t="str">
        <f>""</f>
        <v/>
      </c>
      <c r="DE73" t="str">
        <f>""</f>
        <v/>
      </c>
      <c r="DF73" t="str">
        <f>""</f>
        <v/>
      </c>
      <c r="DG73" t="str">
        <f>""</f>
        <v/>
      </c>
      <c r="DH73" t="str">
        <f>""</f>
        <v/>
      </c>
      <c r="DI73" t="str">
        <f>""</f>
        <v/>
      </c>
      <c r="DJ73" t="str">
        <f>""</f>
        <v/>
      </c>
      <c r="DK73" t="str">
        <f>""</f>
        <v/>
      </c>
      <c r="DL73" t="str">
        <f>""</f>
        <v/>
      </c>
      <c r="DM73" t="str">
        <f>""</f>
        <v/>
      </c>
      <c r="DN73" t="str">
        <f>""</f>
        <v/>
      </c>
      <c r="DO73" t="str">
        <f>""</f>
        <v/>
      </c>
      <c r="DP73" t="str">
        <f>""</f>
        <v/>
      </c>
      <c r="DQ73" t="str">
        <f>""</f>
        <v/>
      </c>
      <c r="DR73" t="str">
        <f>""</f>
        <v/>
      </c>
      <c r="DS73" t="str">
        <f>""</f>
        <v/>
      </c>
      <c r="DT73" t="str">
        <f>""</f>
        <v/>
      </c>
      <c r="DU73" t="str">
        <f>""</f>
        <v/>
      </c>
    </row>
    <row r="74" spans="1:125" x14ac:dyDescent="0.25">
      <c r="A74" t="str">
        <f>"Business Breakdown"</f>
        <v>Business Breakdown</v>
      </c>
      <c r="B74" t="str">
        <f>""</f>
        <v/>
      </c>
      <c r="E74" t="str">
        <f>"Heading"</f>
        <v>Heading</v>
      </c>
      <c r="BN74" t="str">
        <f>""</f>
        <v/>
      </c>
      <c r="BO74" t="str">
        <f>""</f>
        <v/>
      </c>
      <c r="BP74" t="str">
        <f>""</f>
        <v/>
      </c>
      <c r="BQ74" t="str">
        <f>""</f>
        <v/>
      </c>
      <c r="BR74" t="str">
        <f>""</f>
        <v/>
      </c>
      <c r="BS74" t="str">
        <f>""</f>
        <v/>
      </c>
      <c r="BT74" t="str">
        <f>""</f>
        <v/>
      </c>
      <c r="BU74" t="str">
        <f>""</f>
        <v/>
      </c>
      <c r="BV74" t="str">
        <f>""</f>
        <v/>
      </c>
      <c r="BW74" t="str">
        <f>""</f>
        <v/>
      </c>
      <c r="BX74" t="str">
        <f>""</f>
        <v/>
      </c>
      <c r="BY74" t="str">
        <f>""</f>
        <v/>
      </c>
      <c r="BZ74" t="str">
        <f>""</f>
        <v/>
      </c>
      <c r="CA74" t="str">
        <f>""</f>
        <v/>
      </c>
      <c r="CB74" t="str">
        <f>""</f>
        <v/>
      </c>
      <c r="CC74" t="str">
        <f>""</f>
        <v/>
      </c>
      <c r="CD74" t="str">
        <f>""</f>
        <v/>
      </c>
      <c r="CE74" t="str">
        <f>""</f>
        <v/>
      </c>
      <c r="CF74" t="str">
        <f>""</f>
        <v/>
      </c>
      <c r="CG74" t="str">
        <f>""</f>
        <v/>
      </c>
      <c r="CH74" t="str">
        <f>""</f>
        <v/>
      </c>
      <c r="CI74" t="str">
        <f>""</f>
        <v/>
      </c>
      <c r="CJ74" t="str">
        <f>""</f>
        <v/>
      </c>
      <c r="CK74" t="str">
        <f>""</f>
        <v/>
      </c>
      <c r="CL74" t="str">
        <f>""</f>
        <v/>
      </c>
      <c r="CM74" t="str">
        <f>""</f>
        <v/>
      </c>
      <c r="CN74" t="str">
        <f>""</f>
        <v/>
      </c>
      <c r="CO74" t="str">
        <f>""</f>
        <v/>
      </c>
      <c r="CP74" t="str">
        <f>""</f>
        <v/>
      </c>
      <c r="CQ74" t="str">
        <f>""</f>
        <v/>
      </c>
      <c r="CR74" t="str">
        <f>""</f>
        <v/>
      </c>
      <c r="CS74" t="str">
        <f>""</f>
        <v/>
      </c>
      <c r="CT74" t="str">
        <f>""</f>
        <v/>
      </c>
      <c r="CU74" t="str">
        <f>""</f>
        <v/>
      </c>
      <c r="CV74" t="str">
        <f>""</f>
        <v/>
      </c>
      <c r="CW74" t="str">
        <f>""</f>
        <v/>
      </c>
      <c r="CX74" t="str">
        <f>""</f>
        <v/>
      </c>
      <c r="CY74" t="str">
        <f>""</f>
        <v/>
      </c>
      <c r="CZ74" t="str">
        <f>""</f>
        <v/>
      </c>
      <c r="DA74" t="str">
        <f>""</f>
        <v/>
      </c>
      <c r="DB74" t="str">
        <f>""</f>
        <v/>
      </c>
      <c r="DC74" t="str">
        <f>""</f>
        <v/>
      </c>
      <c r="DD74" t="str">
        <f>""</f>
        <v/>
      </c>
      <c r="DE74" t="str">
        <f>""</f>
        <v/>
      </c>
      <c r="DF74" t="str">
        <f>""</f>
        <v/>
      </c>
      <c r="DG74" t="str">
        <f>""</f>
        <v/>
      </c>
      <c r="DH74" t="str">
        <f>""</f>
        <v/>
      </c>
      <c r="DI74" t="str">
        <f>""</f>
        <v/>
      </c>
      <c r="DJ74" t="str">
        <f>""</f>
        <v/>
      </c>
      <c r="DK74" t="str">
        <f>""</f>
        <v/>
      </c>
      <c r="DL74" t="str">
        <f>""</f>
        <v/>
      </c>
      <c r="DM74" t="str">
        <f>""</f>
        <v/>
      </c>
      <c r="DN74" t="str">
        <f>""</f>
        <v/>
      </c>
      <c r="DO74" t="str">
        <f>""</f>
        <v/>
      </c>
      <c r="DP74" t="str">
        <f>""</f>
        <v/>
      </c>
      <c r="DQ74" t="str">
        <f>""</f>
        <v/>
      </c>
      <c r="DR74" t="str">
        <f>""</f>
        <v/>
      </c>
      <c r="DS74" t="str">
        <f>""</f>
        <v/>
      </c>
      <c r="DT74" t="str">
        <f>""</f>
        <v/>
      </c>
      <c r="DU74" t="str">
        <f>""</f>
        <v/>
      </c>
    </row>
    <row r="75" spans="1:125" x14ac:dyDescent="0.25">
      <c r="A75" t="str">
        <f>"    "</f>
        <v xml:space="preserve">    </v>
      </c>
      <c r="B75" t="str">
        <f>""</f>
        <v/>
      </c>
      <c r="E75" t="str">
        <f>"Static"</f>
        <v>Static</v>
      </c>
      <c r="F75" t="str">
        <f t="shared" ref="F75:O76" ca="1" si="34">HLOOKUP(INDIRECT(ADDRESS(2,COLUMN())),OFFSET($BN$2,0,0,ROW()-1,60),ROW()-1,FALSE)</f>
        <v/>
      </c>
      <c r="G75" t="str">
        <f t="shared" ca="1" si="34"/>
        <v/>
      </c>
      <c r="H75" t="str">
        <f t="shared" ca="1" si="34"/>
        <v/>
      </c>
      <c r="I75" t="str">
        <f t="shared" ca="1" si="34"/>
        <v/>
      </c>
      <c r="J75" t="str">
        <f t="shared" ca="1" si="34"/>
        <v/>
      </c>
      <c r="K75" t="str">
        <f t="shared" ca="1" si="34"/>
        <v/>
      </c>
      <c r="L75" t="str">
        <f t="shared" ca="1" si="34"/>
        <v/>
      </c>
      <c r="M75" t="str">
        <f t="shared" ca="1" si="34"/>
        <v/>
      </c>
      <c r="N75" t="str">
        <f t="shared" ca="1" si="34"/>
        <v/>
      </c>
      <c r="O75" t="str">
        <f t="shared" ca="1" si="34"/>
        <v/>
      </c>
      <c r="P75" t="str">
        <f t="shared" ref="P75:Y76" ca="1" si="35">HLOOKUP(INDIRECT(ADDRESS(2,COLUMN())),OFFSET($BN$2,0,0,ROW()-1,60),ROW()-1,FALSE)</f>
        <v/>
      </c>
      <c r="Q75" t="str">
        <f t="shared" ca="1" si="35"/>
        <v/>
      </c>
      <c r="R75" t="str">
        <f t="shared" ca="1" si="35"/>
        <v/>
      </c>
      <c r="S75" t="str">
        <f t="shared" ca="1" si="35"/>
        <v/>
      </c>
      <c r="T75" t="str">
        <f t="shared" ca="1" si="35"/>
        <v/>
      </c>
      <c r="U75" t="str">
        <f t="shared" ca="1" si="35"/>
        <v/>
      </c>
      <c r="V75" t="str">
        <f t="shared" ca="1" si="35"/>
        <v/>
      </c>
      <c r="W75" t="str">
        <f t="shared" ca="1" si="35"/>
        <v/>
      </c>
      <c r="X75" t="str">
        <f t="shared" ca="1" si="35"/>
        <v/>
      </c>
      <c r="Y75" t="str">
        <f t="shared" ca="1" si="35"/>
        <v/>
      </c>
      <c r="Z75" t="str">
        <f t="shared" ref="Z75:AI76" ca="1" si="36">HLOOKUP(INDIRECT(ADDRESS(2,COLUMN())),OFFSET($BN$2,0,0,ROW()-1,60),ROW()-1,FALSE)</f>
        <v/>
      </c>
      <c r="AA75" t="str">
        <f t="shared" ca="1" si="36"/>
        <v/>
      </c>
      <c r="AB75" t="str">
        <f t="shared" ca="1" si="36"/>
        <v/>
      </c>
      <c r="AC75" t="str">
        <f t="shared" ca="1" si="36"/>
        <v/>
      </c>
      <c r="AD75" t="str">
        <f t="shared" ca="1" si="36"/>
        <v/>
      </c>
      <c r="AE75" t="str">
        <f t="shared" ca="1" si="36"/>
        <v/>
      </c>
      <c r="AF75" t="str">
        <f t="shared" ca="1" si="36"/>
        <v/>
      </c>
      <c r="AG75" t="str">
        <f t="shared" ca="1" si="36"/>
        <v/>
      </c>
      <c r="AH75" t="str">
        <f t="shared" ca="1" si="36"/>
        <v/>
      </c>
      <c r="AI75" t="str">
        <f t="shared" ca="1" si="36"/>
        <v/>
      </c>
      <c r="AJ75" t="str">
        <f t="shared" ref="AJ75:AS76" ca="1" si="37">HLOOKUP(INDIRECT(ADDRESS(2,COLUMN())),OFFSET($BN$2,0,0,ROW()-1,60),ROW()-1,FALSE)</f>
        <v/>
      </c>
      <c r="AK75" t="str">
        <f t="shared" ca="1" si="37"/>
        <v/>
      </c>
      <c r="AL75" t="str">
        <f t="shared" ca="1" si="37"/>
        <v/>
      </c>
      <c r="AM75" t="str">
        <f t="shared" ca="1" si="37"/>
        <v/>
      </c>
      <c r="AN75" t="str">
        <f t="shared" ca="1" si="37"/>
        <v/>
      </c>
      <c r="AO75" t="str">
        <f t="shared" ca="1" si="37"/>
        <v/>
      </c>
      <c r="AP75" t="str">
        <f t="shared" ca="1" si="37"/>
        <v/>
      </c>
      <c r="AQ75" t="str">
        <f t="shared" ca="1" si="37"/>
        <v/>
      </c>
      <c r="AR75" t="str">
        <f t="shared" ca="1" si="37"/>
        <v/>
      </c>
      <c r="AS75" t="str">
        <f t="shared" ca="1" si="37"/>
        <v/>
      </c>
      <c r="AT75" t="str">
        <f t="shared" ref="AT75:BC76" ca="1" si="38">HLOOKUP(INDIRECT(ADDRESS(2,COLUMN())),OFFSET($BN$2,0,0,ROW()-1,60),ROW()-1,FALSE)</f>
        <v/>
      </c>
      <c r="AU75" t="str">
        <f t="shared" ca="1" si="38"/>
        <v/>
      </c>
      <c r="AV75" t="str">
        <f t="shared" ca="1" si="38"/>
        <v/>
      </c>
      <c r="AW75" t="str">
        <f t="shared" ca="1" si="38"/>
        <v/>
      </c>
      <c r="AX75" t="str">
        <f t="shared" ca="1" si="38"/>
        <v/>
      </c>
      <c r="AY75" t="str">
        <f t="shared" ca="1" si="38"/>
        <v/>
      </c>
      <c r="AZ75" t="str">
        <f t="shared" ca="1" si="38"/>
        <v/>
      </c>
      <c r="BA75" t="str">
        <f t="shared" ca="1" si="38"/>
        <v/>
      </c>
      <c r="BB75" t="str">
        <f t="shared" ca="1" si="38"/>
        <v/>
      </c>
      <c r="BC75" t="str">
        <f t="shared" ca="1" si="38"/>
        <v/>
      </c>
      <c r="BD75" t="str">
        <f t="shared" ref="BD75:BM76" ca="1" si="39">HLOOKUP(INDIRECT(ADDRESS(2,COLUMN())),OFFSET($BN$2,0,0,ROW()-1,60),ROW()-1,FALSE)</f>
        <v/>
      </c>
      <c r="BE75" t="str">
        <f t="shared" ca="1" si="39"/>
        <v/>
      </c>
      <c r="BF75" t="str">
        <f t="shared" ca="1" si="39"/>
        <v/>
      </c>
      <c r="BG75" t="str">
        <f t="shared" ca="1" si="39"/>
        <v/>
      </c>
      <c r="BH75" t="str">
        <f t="shared" ca="1" si="39"/>
        <v/>
      </c>
      <c r="BI75" t="str">
        <f t="shared" ca="1" si="39"/>
        <v/>
      </c>
      <c r="BJ75" t="str">
        <f t="shared" ca="1" si="39"/>
        <v/>
      </c>
      <c r="BK75" t="str">
        <f t="shared" ca="1" si="39"/>
        <v/>
      </c>
      <c r="BL75" t="str">
        <f t="shared" ca="1" si="39"/>
        <v/>
      </c>
      <c r="BM75" t="str">
        <f t="shared" ca="1" si="39"/>
        <v/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  <c r="CH75" t="str">
        <f>""</f>
        <v/>
      </c>
      <c r="CI75" t="str">
        <f>""</f>
        <v/>
      </c>
      <c r="CJ75" t="str">
        <f>""</f>
        <v/>
      </c>
      <c r="CK75" t="str">
        <f>""</f>
        <v/>
      </c>
      <c r="CL75" t="str">
        <f>""</f>
        <v/>
      </c>
      <c r="CM75" t="str">
        <f>""</f>
        <v/>
      </c>
      <c r="CN75" t="str">
        <f>""</f>
        <v/>
      </c>
      <c r="CO75" t="str">
        <f>""</f>
        <v/>
      </c>
      <c r="CP75" t="str">
        <f>""</f>
        <v/>
      </c>
      <c r="CQ75" t="str">
        <f>""</f>
        <v/>
      </c>
      <c r="CR75" t="str">
        <f>""</f>
        <v/>
      </c>
      <c r="CS75" t="str">
        <f>""</f>
        <v/>
      </c>
      <c r="CT75" t="str">
        <f>""</f>
        <v/>
      </c>
      <c r="CU75" t="str">
        <f>""</f>
        <v/>
      </c>
      <c r="CV75" t="str">
        <f>""</f>
        <v/>
      </c>
      <c r="CW75" t="str">
        <f>""</f>
        <v/>
      </c>
      <c r="CX75" t="str">
        <f>""</f>
        <v/>
      </c>
      <c r="CY75" t="str">
        <f>""</f>
        <v/>
      </c>
      <c r="CZ75" t="str">
        <f>""</f>
        <v/>
      </c>
      <c r="DA75" t="str">
        <f>""</f>
        <v/>
      </c>
      <c r="DB75" t="str">
        <f>""</f>
        <v/>
      </c>
      <c r="DC75" t="str">
        <f>""</f>
        <v/>
      </c>
      <c r="DD75" t="str">
        <f>""</f>
        <v/>
      </c>
      <c r="DE75" t="str">
        <f>""</f>
        <v/>
      </c>
      <c r="DF75" t="str">
        <f>""</f>
        <v/>
      </c>
      <c r="DG75" t="str">
        <f>""</f>
        <v/>
      </c>
      <c r="DH75" t="str">
        <f>""</f>
        <v/>
      </c>
      <c r="DI75" t="str">
        <f>""</f>
        <v/>
      </c>
      <c r="DJ75" t="str">
        <f>""</f>
        <v/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  <c r="DT75" t="str">
        <f>""</f>
        <v/>
      </c>
      <c r="DU75" t="str">
        <f>""</f>
        <v/>
      </c>
    </row>
    <row r="76" spans="1:125" x14ac:dyDescent="0.25">
      <c r="A76" t="str">
        <f>"    Luxury Division"</f>
        <v xml:space="preserve">    Luxury Division</v>
      </c>
      <c r="B76" t="str">
        <f>""</f>
        <v/>
      </c>
      <c r="E76" t="str">
        <f>"Static"</f>
        <v>Static</v>
      </c>
      <c r="F76" t="str">
        <f t="shared" ca="1" si="34"/>
        <v/>
      </c>
      <c r="G76" t="str">
        <f t="shared" ca="1" si="34"/>
        <v/>
      </c>
      <c r="H76" t="str">
        <f t="shared" ca="1" si="34"/>
        <v/>
      </c>
      <c r="I76" t="str">
        <f t="shared" ca="1" si="34"/>
        <v/>
      </c>
      <c r="J76" t="str">
        <f t="shared" ca="1" si="34"/>
        <v/>
      </c>
      <c r="K76" t="str">
        <f t="shared" ca="1" si="34"/>
        <v/>
      </c>
      <c r="L76" t="str">
        <f t="shared" ca="1" si="34"/>
        <v/>
      </c>
      <c r="M76" t="str">
        <f t="shared" ca="1" si="34"/>
        <v/>
      </c>
      <c r="N76" t="str">
        <f t="shared" ca="1" si="34"/>
        <v/>
      </c>
      <c r="O76" t="str">
        <f t="shared" ca="1" si="34"/>
        <v/>
      </c>
      <c r="P76" t="str">
        <f t="shared" ca="1" si="35"/>
        <v/>
      </c>
      <c r="Q76" t="str">
        <f t="shared" ca="1" si="35"/>
        <v/>
      </c>
      <c r="R76" t="str">
        <f t="shared" ca="1" si="35"/>
        <v/>
      </c>
      <c r="S76" t="str">
        <f t="shared" ca="1" si="35"/>
        <v/>
      </c>
      <c r="T76" t="str">
        <f t="shared" ca="1" si="35"/>
        <v/>
      </c>
      <c r="U76" t="str">
        <f t="shared" ca="1" si="35"/>
        <v/>
      </c>
      <c r="V76" t="str">
        <f t="shared" ca="1" si="35"/>
        <v/>
      </c>
      <c r="W76" t="str">
        <f t="shared" ca="1" si="35"/>
        <v/>
      </c>
      <c r="X76" t="str">
        <f t="shared" ca="1" si="35"/>
        <v/>
      </c>
      <c r="Y76" t="str">
        <f t="shared" ca="1" si="35"/>
        <v/>
      </c>
      <c r="Z76" t="str">
        <f t="shared" ca="1" si="36"/>
        <v/>
      </c>
      <c r="AA76" t="str">
        <f t="shared" ca="1" si="36"/>
        <v/>
      </c>
      <c r="AB76" t="str">
        <f t="shared" ca="1" si="36"/>
        <v/>
      </c>
      <c r="AC76" t="str">
        <f t="shared" ca="1" si="36"/>
        <v/>
      </c>
      <c r="AD76" t="str">
        <f t="shared" ca="1" si="36"/>
        <v/>
      </c>
      <c r="AE76" t="str">
        <f t="shared" ca="1" si="36"/>
        <v/>
      </c>
      <c r="AF76" t="str">
        <f t="shared" ca="1" si="36"/>
        <v/>
      </c>
      <c r="AG76" t="str">
        <f t="shared" ca="1" si="36"/>
        <v/>
      </c>
      <c r="AH76" t="str">
        <f t="shared" ca="1" si="36"/>
        <v/>
      </c>
      <c r="AI76" t="str">
        <f t="shared" ca="1" si="36"/>
        <v/>
      </c>
      <c r="AJ76" t="str">
        <f t="shared" ca="1" si="37"/>
        <v/>
      </c>
      <c r="AK76" t="str">
        <f t="shared" ca="1" si="37"/>
        <v/>
      </c>
      <c r="AL76" t="str">
        <f t="shared" ca="1" si="37"/>
        <v/>
      </c>
      <c r="AM76" t="str">
        <f t="shared" ca="1" si="37"/>
        <v/>
      </c>
      <c r="AN76" t="str">
        <f t="shared" ca="1" si="37"/>
        <v/>
      </c>
      <c r="AO76" t="str">
        <f t="shared" ca="1" si="37"/>
        <v/>
      </c>
      <c r="AP76" t="str">
        <f t="shared" ca="1" si="37"/>
        <v/>
      </c>
      <c r="AQ76" t="str">
        <f t="shared" ca="1" si="37"/>
        <v/>
      </c>
      <c r="AR76" t="str">
        <f t="shared" ca="1" si="37"/>
        <v/>
      </c>
      <c r="AS76" t="str">
        <f t="shared" ca="1" si="37"/>
        <v/>
      </c>
      <c r="AT76" t="str">
        <f t="shared" ca="1" si="38"/>
        <v/>
      </c>
      <c r="AU76" t="str">
        <f t="shared" ca="1" si="38"/>
        <v/>
      </c>
      <c r="AV76" t="str">
        <f t="shared" ca="1" si="38"/>
        <v/>
      </c>
      <c r="AW76" t="str">
        <f t="shared" ca="1" si="38"/>
        <v/>
      </c>
      <c r="AX76" t="str">
        <f t="shared" ca="1" si="38"/>
        <v/>
      </c>
      <c r="AY76" t="str">
        <f t="shared" ca="1" si="38"/>
        <v/>
      </c>
      <c r="AZ76" t="str">
        <f t="shared" ca="1" si="38"/>
        <v/>
      </c>
      <c r="BA76" t="str">
        <f t="shared" ca="1" si="38"/>
        <v/>
      </c>
      <c r="BB76" t="str">
        <f t="shared" ca="1" si="38"/>
        <v/>
      </c>
      <c r="BC76" t="str">
        <f t="shared" ca="1" si="38"/>
        <v/>
      </c>
      <c r="BD76" t="str">
        <f t="shared" ca="1" si="39"/>
        <v/>
      </c>
      <c r="BE76" t="str">
        <f t="shared" ca="1" si="39"/>
        <v/>
      </c>
      <c r="BF76" t="str">
        <f t="shared" ca="1" si="39"/>
        <v/>
      </c>
      <c r="BG76" t="str">
        <f t="shared" ca="1" si="39"/>
        <v/>
      </c>
      <c r="BH76" t="str">
        <f t="shared" ca="1" si="39"/>
        <v/>
      </c>
      <c r="BI76" t="str">
        <f t="shared" ca="1" si="39"/>
        <v/>
      </c>
      <c r="BJ76" t="str">
        <f t="shared" ca="1" si="39"/>
        <v/>
      </c>
      <c r="BK76" t="str">
        <f t="shared" ca="1" si="39"/>
        <v/>
      </c>
      <c r="BL76" t="str">
        <f t="shared" ca="1" si="39"/>
        <v/>
      </c>
      <c r="BM76" t="str">
        <f t="shared" ca="1" si="39"/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  <c r="CH76" t="str">
        <f>""</f>
        <v/>
      </c>
      <c r="CI76" t="str">
        <f>""</f>
        <v/>
      </c>
      <c r="CJ76" t="str">
        <f>""</f>
        <v/>
      </c>
      <c r="CK76" t="str">
        <f>""</f>
        <v/>
      </c>
      <c r="CL76" t="str">
        <f>""</f>
        <v/>
      </c>
      <c r="CM76" t="str">
        <f>""</f>
        <v/>
      </c>
      <c r="CN76" t="str">
        <f>""</f>
        <v/>
      </c>
      <c r="CO76" t="str">
        <f>""</f>
        <v/>
      </c>
      <c r="CP76" t="str">
        <f>""</f>
        <v/>
      </c>
      <c r="CQ76" t="str">
        <f>""</f>
        <v/>
      </c>
      <c r="CR76" t="str">
        <f>""</f>
        <v/>
      </c>
      <c r="CS76" t="str">
        <f>""</f>
        <v/>
      </c>
      <c r="CT76" t="str">
        <f>""</f>
        <v/>
      </c>
      <c r="CU76" t="str">
        <f>""</f>
        <v/>
      </c>
      <c r="CV76" t="str">
        <f>""</f>
        <v/>
      </c>
      <c r="CW76" t="str">
        <f>""</f>
        <v/>
      </c>
      <c r="CX76" t="str">
        <f>""</f>
        <v/>
      </c>
      <c r="CY76" t="str">
        <f>""</f>
        <v/>
      </c>
      <c r="CZ76" t="str">
        <f>""</f>
        <v/>
      </c>
      <c r="DA76" t="str">
        <f>""</f>
        <v/>
      </c>
      <c r="DB76" t="str">
        <f>""</f>
        <v/>
      </c>
      <c r="DC76" t="str">
        <f>""</f>
        <v/>
      </c>
      <c r="DD76" t="str">
        <f>""</f>
        <v/>
      </c>
      <c r="DE76" t="str">
        <f>""</f>
        <v/>
      </c>
      <c r="DF76" t="str">
        <f>""</f>
        <v/>
      </c>
      <c r="DG76" t="str">
        <f>""</f>
        <v/>
      </c>
      <c r="DH76" t="str">
        <f>""</f>
        <v/>
      </c>
      <c r="DI76" t="str">
        <f>""</f>
        <v/>
      </c>
      <c r="DJ76" t="str">
        <f>""</f>
        <v/>
      </c>
      <c r="DK76" t="str">
        <f>""</f>
        <v/>
      </c>
      <c r="DL76" t="str">
        <f>""</f>
        <v/>
      </c>
      <c r="DM76" t="str">
        <f>""</f>
        <v/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  <c r="DT76" t="str">
        <f>""</f>
        <v/>
      </c>
      <c r="DU76" t="str">
        <f>""</f>
        <v/>
      </c>
    </row>
    <row r="77" spans="1:125" x14ac:dyDescent="0.25">
      <c r="A77" t="str">
        <f>"        Revenue"</f>
        <v xml:space="preserve">        Revenue</v>
      </c>
      <c r="B77" t="str">
        <f t="shared" ref="B77:B85" si="40">"KER FP Equity"</f>
        <v>KER FP Equity</v>
      </c>
      <c r="C77" t="str">
        <f>"BI047"</f>
        <v>BI047</v>
      </c>
      <c r="D77" t="str">
        <f>"BICS_SEGMENT_DATA"</f>
        <v>BICS_SEGMENT_DATA</v>
      </c>
      <c r="E77" t="str">
        <f>"Dynamic"</f>
        <v>Dynamic</v>
      </c>
      <c r="F77" t="str">
        <f ca="1">IF(AND(ISNUMBER($F$227),$B$158=1),$F$227,HLOOKUP(INDIRECT(ADDRESS(2,COLUMN())),OFFSET($BN$2,0,0,ROW()-1,60),ROW()-1,FALSE))</f>
        <v/>
      </c>
      <c r="G77">
        <f ca="1">IF(AND(ISNUMBER($G$227),$B$158=1),$G$227,HLOOKUP(INDIRECT(ADDRESS(2,COLUMN())),OFFSET($BN$2,0,0,ROW()-1,60),ROW()-1,FALSE))</f>
        <v>4041.8</v>
      </c>
      <c r="H77">
        <f ca="1">IF(AND(ISNUMBER($H$227),$B$158=1),$H$227,HLOOKUP(INDIRECT(ADDRESS(2,COLUMN())),OFFSET($BN$2,0,0,ROW()-1,60),ROW()-1,FALSE))</f>
        <v>3981.1</v>
      </c>
      <c r="I77">
        <f ca="1">IF(AND(ISNUMBER($I$227),$B$158=1),$I$227,HLOOKUP(INDIRECT(ADDRESS(2,COLUMN())),OFFSET($BN$2,0,0,ROW()-1,60),ROW()-1,FALSE))</f>
        <v>3726.9</v>
      </c>
      <c r="J77">
        <f ca="1">IF(AND(ISNUMBER($J$227),$B$158=1),$J$227,HLOOKUP(INDIRECT(ADDRESS(2,COLUMN())),OFFSET($BN$2,0,0,ROW()-1,60),ROW()-1,FALSE))</f>
        <v>3901</v>
      </c>
      <c r="K77">
        <f ca="1">IF(AND(ISNUMBER($K$227),$B$158=1),$K$227,HLOOKUP(INDIRECT(ADDRESS(2,COLUMN())),OFFSET($BN$2,0,0,ROW()-1,60),ROW()-1,FALSE))</f>
        <v>3600.1</v>
      </c>
      <c r="L77">
        <f ca="1">IF(AND(ISNUMBER($L$227),$B$158=1),$L$227,HLOOKUP(INDIRECT(ADDRESS(2,COLUMN())),OFFSET($BN$2,0,0,ROW()-1,60),ROW()-1,FALSE))</f>
        <v>2109.8000000000002</v>
      </c>
      <c r="M77">
        <f ca="1">IF(AND(ISNUMBER($M$227),$B$158=1),$M$227,HLOOKUP(INDIRECT(ADDRESS(2,COLUMN())),OFFSET($BN$2,0,0,ROW()-1,60),ROW()-1,FALSE))</f>
        <v>3065.7</v>
      </c>
      <c r="N77">
        <f ca="1">IF(AND(ISNUMBER($N$227),$B$158=1),$N$227,HLOOKUP(INDIRECT(ADDRESS(2,COLUMN())),OFFSET($BN$2,0,0,ROW()-1,60),ROW()-1,FALSE))</f>
        <v>4240.3999999999996</v>
      </c>
      <c r="O77">
        <f ca="1">IF(AND(ISNUMBER($O$227),$B$158=1),$O$227,HLOOKUP(INDIRECT(ADDRESS(2,COLUMN())),OFFSET($BN$2,0,0,ROW()-1,60),ROW()-1,FALSE))</f>
        <v>3777.8</v>
      </c>
      <c r="P77">
        <f ca="1">IF(AND(ISNUMBER($P$227),$B$158=1),$P$227,HLOOKUP(INDIRECT(ADDRESS(2,COLUMN())),OFFSET($BN$2,0,0,ROW()-1,60),ROW()-1,FALSE))</f>
        <v>3716.3</v>
      </c>
      <c r="Q77">
        <f ca="1">IF(AND(ISNUMBER($Q$227),$B$158=1),$Q$227,HLOOKUP(INDIRECT(ADDRESS(2,COLUMN())),OFFSET($BN$2,0,0,ROW()-1,60),ROW()-1,FALSE))</f>
        <v>3648.1</v>
      </c>
      <c r="R77">
        <f ca="1">IF(AND(ISNUMBER($R$227),$B$158=1),$R$227,HLOOKUP(INDIRECT(ADDRESS(2,COLUMN())),OFFSET($BN$2,0,0,ROW()-1,60),ROW()-1,FALSE))</f>
        <v>3795.837</v>
      </c>
      <c r="S77">
        <f ca="1">IF(AND(ISNUMBER($S$227),$B$158=1),$S$227,HLOOKUP(INDIRECT(ADDRESS(2,COLUMN())),OFFSET($BN$2,0,0,ROW()-1,60),ROW()-1,FALSE))</f>
        <v>3318.2</v>
      </c>
      <c r="T77">
        <f ca="1">IF(AND(ISNUMBER($T$227),$B$158=1),$T$227,HLOOKUP(INDIRECT(ADDRESS(2,COLUMN())),OFFSET($BN$2,0,0,ROW()-1,60),ROW()-1,FALSE))</f>
        <v>3211</v>
      </c>
      <c r="U77">
        <f ca="1">IF(AND(ISNUMBER($U$227),$B$158=1),$U$227,HLOOKUP(INDIRECT(ADDRESS(2,COLUMN())),OFFSET($BN$2,0,0,ROW()-1,60),ROW()-1,FALSE))</f>
        <v>2999.3</v>
      </c>
      <c r="V77">
        <f ca="1">IF(AND(ISNUMBER($V$227),$B$158=1),$V$227,HLOOKUP(INDIRECT(ADDRESS(2,COLUMN())),OFFSET($BN$2,0,0,ROW()-1,60),ROW()-1,FALSE))</f>
        <v>3086.8</v>
      </c>
      <c r="W77">
        <f ca="1">IF(AND(ISNUMBER($W$227),$B$158=1),$W$227,HLOOKUP(INDIRECT(ADDRESS(2,COLUMN())),OFFSET($BN$2,0,0,ROW()-1,60),ROW()-1,FALSE))</f>
        <v>2608.9</v>
      </c>
      <c r="X77">
        <f ca="1">IF(AND(ISNUMBER($X$227),$B$158=1),$X$227,HLOOKUP(INDIRECT(ADDRESS(2,COLUMN())),OFFSET($BN$2,0,0,ROW()-1,60),ROW()-1,FALSE))</f>
        <v>2678.7</v>
      </c>
      <c r="Y77">
        <f ca="1">IF(AND(ISNUMBER($Y$227),$B$158=1),$Y$227,HLOOKUP(INDIRECT(ADDRESS(2,COLUMN())),OFFSET($BN$2,0,0,ROW()-1,60),ROW()-1,FALSE))</f>
        <v>2352.5</v>
      </c>
      <c r="Z77">
        <f ca="1">IF(AND(ISNUMBER($Z$227),$B$158=1),$Z$227,HLOOKUP(INDIRECT(ADDRESS(2,COLUMN())),OFFSET($BN$2,0,0,ROW()-1,60),ROW()-1,FALSE))</f>
        <v>2476.6</v>
      </c>
      <c r="AA77">
        <f ca="1">IF(AND(ISNUMBER($AA$227),$B$158=1),$AA$227,HLOOKUP(INDIRECT(ADDRESS(2,COLUMN())),OFFSET($BN$2,0,0,ROW()-1,60),ROW()-1,FALSE))</f>
        <v>2114.9</v>
      </c>
      <c r="AB77">
        <f ca="1">IF(AND(ISNUMBER($AB$227),$B$158=1),$AB$227,HLOOKUP(INDIRECT(ADDRESS(2,COLUMN())),OFFSET($BN$2,0,0,ROW()-1,60),ROW()-1,FALSE))</f>
        <v>2074.1999999999998</v>
      </c>
      <c r="AC77">
        <f ca="1">IF(AND(ISNUMBER($AC$227),$B$158=1),$AC$227,HLOOKUP(INDIRECT(ADDRESS(2,COLUMN())),OFFSET($BN$2,0,0,ROW()-1,60),ROW()-1,FALSE))</f>
        <v>1803.7</v>
      </c>
      <c r="AD77">
        <f ca="1">IF(AND(ISNUMBER($AD$227),$B$158=1),$AD$227,HLOOKUP(INDIRECT(ADDRESS(2,COLUMN())),OFFSET($BN$2,0,0,ROW()-1,60),ROW()-1,FALSE))</f>
        <v>2214.8000000000002</v>
      </c>
      <c r="AE77">
        <f ca="1">IF(AND(ISNUMBER($AE$227),$B$158=1),$AE$227,HLOOKUP(INDIRECT(ADDRESS(2,COLUMN())),OFFSET($BN$2,0,0,ROW()-1,60),ROW()-1,FALSE))</f>
        <v>1888.5</v>
      </c>
      <c r="AF77">
        <f ca="1">IF(AND(ISNUMBER($AF$227),$B$158=1),$AF$227,HLOOKUP(INDIRECT(ADDRESS(2,COLUMN())),OFFSET($BN$2,0,0,ROW()-1,60),ROW()-1,FALSE))</f>
        <v>2008</v>
      </c>
      <c r="AG77">
        <f ca="1">IF(AND(ISNUMBER($AG$227),$B$158=1),$AG$227,HLOOKUP(INDIRECT(ADDRESS(2,COLUMN())),OFFSET($BN$2,0,0,ROW()-1,60),ROW()-1,FALSE))</f>
        <v>1754</v>
      </c>
      <c r="AH77">
        <f ca="1">IF(AND(ISNUMBER($AH$227),$B$158=1),$AH$227,HLOOKUP(INDIRECT(ADDRESS(2,COLUMN())),OFFSET($BN$2,0,0,ROW()-1,60),ROW()-1,FALSE))</f>
        <v>1909.1</v>
      </c>
      <c r="AI77">
        <f ca="1">IF(AND(ISNUMBER($AI$227),$B$158=1),$AI$227,HLOOKUP(INDIRECT(ADDRESS(2,COLUMN())),OFFSET($BN$2,0,0,ROW()-1,60),ROW()-1,FALSE))</f>
        <v>1655.9</v>
      </c>
      <c r="AJ77">
        <f ca="1">IF(AND(ISNUMBER($AJ$227),$B$158=1),$AJ$227,HLOOKUP(INDIRECT(ADDRESS(2,COLUMN())),OFFSET($BN$2,0,0,ROW()-1,60),ROW()-1,FALSE))</f>
        <v>1629.7</v>
      </c>
      <c r="AK77">
        <f ca="1">IF(AND(ISNUMBER($AK$227),$B$158=1),$AK$227,HLOOKUP(INDIRECT(ADDRESS(2,COLUMN())),OFFSET($BN$2,0,0,ROW()-1,60),ROW()-1,FALSE))</f>
        <v>1601</v>
      </c>
      <c r="AL77">
        <f ca="1">IF(AND(ISNUMBER($AL$227),$B$158=1),$AL$227,HLOOKUP(INDIRECT(ADDRESS(2,COLUMN())),OFFSET($BN$2,0,0,ROW()-1,60),ROW()-1,FALSE))</f>
        <v>1774.7</v>
      </c>
      <c r="AM77">
        <f ca="1">IF(AND(ISNUMBER($AM$227),$B$158=1),$AM$227,HLOOKUP(INDIRECT(ADDRESS(2,COLUMN())),OFFSET($BN$2,0,0,ROW()-1,60),ROW()-1,FALSE))</f>
        <v>1617.1</v>
      </c>
      <c r="AN77">
        <f ca="1">IF(AND(ISNUMBER($AN$227),$B$158=1),$AN$227,HLOOKUP(INDIRECT(ADDRESS(2,COLUMN())),OFFSET($BN$2,0,0,ROW()-1,60),ROW()-1,FALSE))</f>
        <v>1555</v>
      </c>
      <c r="AO77">
        <f ca="1">IF(AND(ISNUMBER($AO$227),$B$158=1),$AO$227,HLOOKUP(INDIRECT(ADDRESS(2,COLUMN())),OFFSET($BN$2,0,0,ROW()-1,60),ROW()-1,FALSE))</f>
        <v>1522.9</v>
      </c>
      <c r="AP77">
        <f ca="1">IF(AND(ISNUMBER($AP$227),$B$158=1),$AP$227,HLOOKUP(INDIRECT(ADDRESS(2,COLUMN())),OFFSET($BN$2,0,0,ROW()-1,60),ROW()-1,FALSE))</f>
        <v>1694.9</v>
      </c>
      <c r="AQ77">
        <f ca="1">IF(AND(ISNUMBER($AQ$227),$B$158=1),$AQ$227,HLOOKUP(INDIRECT(ADDRESS(2,COLUMN())),OFFSET($BN$2,0,0,ROW()-1,60),ROW()-1,FALSE))</f>
        <v>1592.9</v>
      </c>
      <c r="AR77">
        <f ca="1">IF(AND(ISNUMBER($AR$227),$B$158=1),$AR$227,HLOOKUP(INDIRECT(ADDRESS(2,COLUMN())),OFFSET($BN$2,0,0,ROW()-1,60),ROW()-1,FALSE))</f>
        <v>1466.6</v>
      </c>
      <c r="AS77">
        <f ca="1">IF(AND(ISNUMBER($AS$227),$B$158=1),$AS$227,HLOOKUP(INDIRECT(ADDRESS(2,COLUMN())),OFFSET($BN$2,0,0,ROW()-1,60),ROW()-1,FALSE))</f>
        <v>1457.9</v>
      </c>
      <c r="AT77" t="str">
        <f ca="1">IF(AND(ISNUMBER($AT$227),$B$158=1),$AT$227,HLOOKUP(INDIRECT(ADDRESS(2,COLUMN())),OFFSET($BN$2,0,0,ROW()-1,60),ROW()-1,FALSE))</f>
        <v/>
      </c>
      <c r="AU77" t="str">
        <f ca="1">IF(AND(ISNUMBER($AU$227),$B$158=1),$AU$227,HLOOKUP(INDIRECT(ADDRESS(2,COLUMN())),OFFSET($BN$2,0,0,ROW()-1,60),ROW()-1,FALSE))</f>
        <v/>
      </c>
      <c r="AV77">
        <f ca="1">IF(AND(ISNUMBER($AV$227),$B$158=1),$AV$227,HLOOKUP(INDIRECT(ADDRESS(2,COLUMN())),OFFSET($BN$2,0,0,ROW()-1,60),ROW()-1,FALSE))</f>
        <v>1107.8</v>
      </c>
      <c r="AW77">
        <f ca="1">IF(AND(ISNUMBER($AW$227),$B$158=1),$AW$227,HLOOKUP(INDIRECT(ADDRESS(2,COLUMN())),OFFSET($BN$2,0,0,ROW()-1,60),ROW()-1,FALSE))</f>
        <v>1129.2</v>
      </c>
      <c r="AX77">
        <f ca="1">IF(AND(ISNUMBER($AX$227),$B$158=1),$AX$227,HLOOKUP(INDIRECT(ADDRESS(2,COLUMN())),OFFSET($BN$2,0,0,ROW()-1,60),ROW()-1,FALSE))</f>
        <v>1145.5999999999999</v>
      </c>
      <c r="AY77">
        <f ca="1">IF(AND(ISNUMBER($AY$227),$B$158=1),$AY$227,HLOOKUP(INDIRECT(ADDRESS(2,COLUMN())),OFFSET($BN$2,0,0,ROW()-1,60),ROW()-1,FALSE))</f>
        <v>1041</v>
      </c>
      <c r="AZ77">
        <f ca="1">IF(AND(ISNUMBER($AZ$227),$B$158=1),$AZ$227,HLOOKUP(INDIRECT(ADDRESS(2,COLUMN())),OFFSET($BN$2,0,0,ROW()-1,60),ROW()-1,FALSE))</f>
        <v>929.3</v>
      </c>
      <c r="BA77">
        <f ca="1">IF(AND(ISNUMBER($BA$227),$B$158=1),$BA$227,HLOOKUP(INDIRECT(ADDRESS(2,COLUMN())),OFFSET($BN$2,0,0,ROW()-1,60),ROW()-1,FALSE))</f>
        <v>894.8</v>
      </c>
      <c r="BB77">
        <f ca="1">IF(AND(ISNUMBER($BB$227),$B$158=1),$BB$227,HLOOKUP(INDIRECT(ADDRESS(2,COLUMN())),OFFSET($BN$2,0,0,ROW()-1,60),ROW()-1,FALSE))</f>
        <v>929.2</v>
      </c>
      <c r="BC77">
        <f ca="1">IF(AND(ISNUMBER($BC$227),$B$158=1),$BC$227,HLOOKUP(INDIRECT(ADDRESS(2,COLUMN())),OFFSET($BN$2,0,0,ROW()-1,60),ROW()-1,FALSE))</f>
        <v>819</v>
      </c>
      <c r="BD77">
        <f ca="1">IF(AND(ISNUMBER($BD$227),$B$158=1),$BD$227,HLOOKUP(INDIRECT(ADDRESS(2,COLUMN())),OFFSET($BN$2,0,0,ROW()-1,60),ROW()-1,FALSE))</f>
        <v>787.3</v>
      </c>
      <c r="BE77">
        <f ca="1">IF(AND(ISNUMBER($BE$227),$B$158=1),$BE$227,HLOOKUP(INDIRECT(ADDRESS(2,COLUMN())),OFFSET($BN$2,0,0,ROW()-1,60),ROW()-1,FALSE))</f>
        <v>854.8</v>
      </c>
      <c r="BF77" t="str">
        <f ca="1">IF(AND(ISNUMBER($BF$227),$B$158=1),$BF$227,HLOOKUP(INDIRECT(ADDRESS(2,COLUMN())),OFFSET($BN$2,0,0,ROW()-1,60),ROW()-1,FALSE))</f>
        <v/>
      </c>
      <c r="BG77" t="str">
        <f ca="1">IF(AND(ISNUMBER($BG$227),$B$158=1),$BG$227,HLOOKUP(INDIRECT(ADDRESS(2,COLUMN())),OFFSET($BN$2,0,0,ROW()-1,60),ROW()-1,FALSE))</f>
        <v/>
      </c>
      <c r="BH77" t="str">
        <f ca="1">IF(AND(ISNUMBER($BH$227),$B$158=1),$BH$227,HLOOKUP(INDIRECT(ADDRESS(2,COLUMN())),OFFSET($BN$2,0,0,ROW()-1,60),ROW()-1,FALSE))</f>
        <v/>
      </c>
      <c r="BI77" t="str">
        <f ca="1">IF(AND(ISNUMBER($BI$227),$B$158=1),$BI$227,HLOOKUP(INDIRECT(ADDRESS(2,COLUMN())),OFFSET($BN$2,0,0,ROW()-1,60),ROW()-1,FALSE))</f>
        <v/>
      </c>
      <c r="BJ77" t="str">
        <f ca="1">IF(AND(ISNUMBER($BJ$227),$B$158=1),$BJ$227,HLOOKUP(INDIRECT(ADDRESS(2,COLUMN())),OFFSET($BN$2,0,0,ROW()-1,60),ROW()-1,FALSE))</f>
        <v/>
      </c>
      <c r="BK77" t="str">
        <f ca="1">IF(AND(ISNUMBER($BK$227),$B$158=1),$BK$227,HLOOKUP(INDIRECT(ADDRESS(2,COLUMN())),OFFSET($BN$2,0,0,ROW()-1,60),ROW()-1,FALSE))</f>
        <v/>
      </c>
      <c r="BL77" t="str">
        <f ca="1">IF(AND(ISNUMBER($BL$227),$B$158=1),$BL$227,HLOOKUP(INDIRECT(ADDRESS(2,COLUMN())),OFFSET($BN$2,0,0,ROW()-1,60),ROW()-1,FALSE))</f>
        <v/>
      </c>
      <c r="BM77" t="str">
        <f ca="1">IF(AND(ISNUMBER($BM$227),$B$158=1),$BM$227,HLOOKUP(INDIRECT(ADDRESS(2,COLUMN())),OFFSET($BN$2,0,0,ROW()-1,60),ROW()-1,FALSE))</f>
        <v/>
      </c>
      <c r="BN77" t="str">
        <f>""</f>
        <v/>
      </c>
      <c r="BO77">
        <f>4041.8</f>
        <v>4041.8</v>
      </c>
      <c r="BP77">
        <f>3981.1</f>
        <v>3981.1</v>
      </c>
      <c r="BQ77">
        <f>3726.9</f>
        <v>3726.9</v>
      </c>
      <c r="BR77">
        <f>3901</f>
        <v>3901</v>
      </c>
      <c r="BS77">
        <f>3600.1</f>
        <v>3600.1</v>
      </c>
      <c r="BT77">
        <f>2109.8</f>
        <v>2109.8000000000002</v>
      </c>
      <c r="BU77">
        <f>3065.7</f>
        <v>3065.7</v>
      </c>
      <c r="BV77">
        <f>4240.4</f>
        <v>4240.3999999999996</v>
      </c>
      <c r="BW77">
        <f>3777.8</f>
        <v>3777.8</v>
      </c>
      <c r="BX77">
        <f>3716.3</f>
        <v>3716.3</v>
      </c>
      <c r="BY77">
        <f>3648.1</f>
        <v>3648.1</v>
      </c>
      <c r="BZ77">
        <f>3795.837</f>
        <v>3795.837</v>
      </c>
      <c r="CA77">
        <f>3318.2</f>
        <v>3318.2</v>
      </c>
      <c r="CB77">
        <f>3211</f>
        <v>3211</v>
      </c>
      <c r="CC77">
        <f>2999.3</f>
        <v>2999.3</v>
      </c>
      <c r="CD77">
        <f>3086.8</f>
        <v>3086.8</v>
      </c>
      <c r="CE77">
        <f>2608.9</f>
        <v>2608.9</v>
      </c>
      <c r="CF77">
        <f>2678.7</f>
        <v>2678.7</v>
      </c>
      <c r="CG77">
        <f>2352.5</f>
        <v>2352.5</v>
      </c>
      <c r="CH77">
        <f>2476.6</f>
        <v>2476.6</v>
      </c>
      <c r="CI77">
        <f>2114.9</f>
        <v>2114.9</v>
      </c>
      <c r="CJ77">
        <f>2074.2</f>
        <v>2074.1999999999998</v>
      </c>
      <c r="CK77">
        <f>1803.7</f>
        <v>1803.7</v>
      </c>
      <c r="CL77">
        <f>2214.8</f>
        <v>2214.8000000000002</v>
      </c>
      <c r="CM77">
        <f>1888.5</f>
        <v>1888.5</v>
      </c>
      <c r="CN77">
        <f>2008</f>
        <v>2008</v>
      </c>
      <c r="CO77">
        <f>1754</f>
        <v>1754</v>
      </c>
      <c r="CP77">
        <f>1909.1</f>
        <v>1909.1</v>
      </c>
      <c r="CQ77">
        <f>1655.9</f>
        <v>1655.9</v>
      </c>
      <c r="CR77">
        <f>1629.7</f>
        <v>1629.7</v>
      </c>
      <c r="CS77">
        <f>1601</f>
        <v>1601</v>
      </c>
      <c r="CT77">
        <f>1774.7</f>
        <v>1774.7</v>
      </c>
      <c r="CU77">
        <f>1617.1</f>
        <v>1617.1</v>
      </c>
      <c r="CV77">
        <f>1555</f>
        <v>1555</v>
      </c>
      <c r="CW77">
        <f>1522.9</f>
        <v>1522.9</v>
      </c>
      <c r="CX77">
        <f>1694.9</f>
        <v>1694.9</v>
      </c>
      <c r="CY77">
        <f>1592.9</f>
        <v>1592.9</v>
      </c>
      <c r="CZ77">
        <f>1466.6</f>
        <v>1466.6</v>
      </c>
      <c r="DA77">
        <f>1457.9</f>
        <v>1457.9</v>
      </c>
      <c r="DB77" t="str">
        <f>""</f>
        <v/>
      </c>
      <c r="DC77" t="str">
        <f>""</f>
        <v/>
      </c>
      <c r="DD77">
        <f>1107.8</f>
        <v>1107.8</v>
      </c>
      <c r="DE77">
        <f>1129.2</f>
        <v>1129.2</v>
      </c>
      <c r="DF77">
        <f>1145.6</f>
        <v>1145.5999999999999</v>
      </c>
      <c r="DG77">
        <f>1041</f>
        <v>1041</v>
      </c>
      <c r="DH77">
        <f>929.3</f>
        <v>929.3</v>
      </c>
      <c r="DI77">
        <f>894.8</f>
        <v>894.8</v>
      </c>
      <c r="DJ77">
        <f>929.2</f>
        <v>929.2</v>
      </c>
      <c r="DK77">
        <f>819</f>
        <v>819</v>
      </c>
      <c r="DL77">
        <f>787.3</f>
        <v>787.3</v>
      </c>
      <c r="DM77">
        <f>854.8</f>
        <v>854.8</v>
      </c>
      <c r="DN77" t="str">
        <f>""</f>
        <v/>
      </c>
      <c r="DO77" t="str">
        <f>""</f>
        <v/>
      </c>
      <c r="DP77" t="str">
        <f>""</f>
        <v/>
      </c>
      <c r="DQ77" t="str">
        <f>""</f>
        <v/>
      </c>
      <c r="DR77" t="str">
        <f>""</f>
        <v/>
      </c>
      <c r="DS77" t="str">
        <f>""</f>
        <v/>
      </c>
      <c r="DT77" t="str">
        <f>""</f>
        <v/>
      </c>
      <c r="DU77" t="str">
        <f>""</f>
        <v/>
      </c>
    </row>
    <row r="78" spans="1:125" x14ac:dyDescent="0.25">
      <c r="A78" t="str">
        <f>"            of Total Kering Sales (%)"</f>
        <v xml:space="preserve">            of Total Kering Sales (%)</v>
      </c>
      <c r="B78" t="str">
        <f t="shared" si="40"/>
        <v>KER FP Equity</v>
      </c>
      <c r="E78" t="str">
        <f>"Expression"</f>
        <v>Expression</v>
      </c>
      <c r="F78" t="str">
        <f ca="1">IF(AND($B$158=1,LEN($F$169) * LEN($F$77)&gt;0),($F$77/$F$169)*100,HLOOKUP(INDIRECT(ADDRESS(2,COLUMN())),OFFSET($BN$2,0,0,ROW()-1,60),ROW()-1,FALSE))</f>
        <v/>
      </c>
      <c r="G78">
        <f ca="1">IF(AND($B$158=1,LEN($G$169) * LEN($G$77)&gt;0),($G$77/$G$169)*100,HLOOKUP(INDIRECT(ADDRESS(2,COLUMN())),OFFSET($BN$2,0,0,ROW()-1,60),ROW()-1,FALSE))</f>
        <v>96.513682599999996</v>
      </c>
      <c r="H78">
        <f ca="1">IF(AND($B$158=1,LEN($H$169) * LEN($H$77)&gt;0),($H$77/$H$169)*100,HLOOKUP(INDIRECT(ADDRESS(2,COLUMN())),OFFSET($BN$2,0,0,ROW()-1,60),ROW()-1,FALSE))</f>
        <v>95.76397575</v>
      </c>
      <c r="I78">
        <f ca="1">IF(AND($B$158=1,LEN($I$169) * LEN($I$77)&gt;0),($I$77/$I$169)*100,HLOOKUP(INDIRECT(ADDRESS(2,COLUMN())),OFFSET($BN$2,0,0,ROW()-1,60),ROW()-1,FALSE))</f>
        <v>95.807197939999995</v>
      </c>
      <c r="J78">
        <f ca="1">IF(AND($B$158=1,LEN($J$169) * LEN($J$77)&gt;0),($J$77/$J$169)*100,HLOOKUP(INDIRECT(ADDRESS(2,COLUMN())),OFFSET($BN$2,0,0,ROW()-1,60),ROW()-1,FALSE))</f>
        <v>97.422706160000004</v>
      </c>
      <c r="K78">
        <f ca="1">IF(AND($B$158=1,LEN($K$169) * LEN($K$77)&gt;0),($K$77/$K$169)*100,HLOOKUP(INDIRECT(ADDRESS(2,COLUMN())),OFFSET($BN$2,0,0,ROW()-1,60),ROW()-1,FALSE))</f>
        <v>96.836753909999999</v>
      </c>
      <c r="L78">
        <f ca="1">IF(AND($B$158=1,LEN($L$169) * LEN($L$77)&gt;0),($L$77/$L$169)*100,HLOOKUP(INDIRECT(ADDRESS(2,COLUMN())),OFFSET($BN$2,0,0,ROW()-1,60),ROW()-1,FALSE))</f>
        <v>96.99783918</v>
      </c>
      <c r="M78">
        <f ca="1">IF(AND($B$158=1,LEN($M$169) * LEN($M$77)&gt;0),($M$77/$M$169)*100,HLOOKUP(INDIRECT(ADDRESS(2,COLUMN())),OFFSET($BN$2,0,0,ROW()-1,60),ROW()-1,FALSE))</f>
        <v>95.707417579999998</v>
      </c>
      <c r="N78">
        <f ca="1">IF(AND($B$158=1,LEN($N$169) * LEN($N$77)&gt;0),($N$77/$N$169)*100,HLOOKUP(INDIRECT(ADDRESS(2,COLUMN())),OFFSET($BN$2,0,0,ROW()-1,60),ROW()-1,FALSE))</f>
        <v>97.245728700000001</v>
      </c>
      <c r="O78">
        <f ca="1">IF(AND($B$158=1,LEN($O$169) * LEN($O$77)&gt;0),($O$77/$O$169)*100,HLOOKUP(INDIRECT(ADDRESS(2,COLUMN())),OFFSET($BN$2,0,0,ROW()-1,60),ROW()-1,FALSE))</f>
        <v>97.250682179999998</v>
      </c>
      <c r="P78">
        <f ca="1">IF(AND($B$158=1,LEN($P$169) * LEN($P$77)&gt;0),($P$77/$P$169)*100,HLOOKUP(INDIRECT(ADDRESS(2,COLUMN())),OFFSET($BN$2,0,0,ROW()-1,60),ROW()-1,FALSE))</f>
        <v>96.449612000000002</v>
      </c>
      <c r="Q78">
        <f ca="1">IF(AND($B$158=1,LEN($Q$169) * LEN($Q$77)&gt;0),($Q$77/$Q$169)*100,HLOOKUP(INDIRECT(ADDRESS(2,COLUMN())),OFFSET($BN$2,0,0,ROW()-1,60),ROW()-1,FALSE))</f>
        <v>96.375452409999994</v>
      </c>
      <c r="R78">
        <f ca="1">IF(AND($B$158=1,LEN($R$169) * LEN($R$77)&gt;0),($R$77/$R$169)*100,HLOOKUP(INDIRECT(ADDRESS(2,COLUMN())),OFFSET($BN$2,0,0,ROW()-1,60),ROW()-1,FALSE))</f>
        <v>99.123544159999994</v>
      </c>
      <c r="S78">
        <f ca="1">IF(AND($B$158=1,LEN($S$169) * LEN($S$77)&gt;0),($S$77/$S$169)*100,HLOOKUP(INDIRECT(ADDRESS(2,COLUMN())),OFFSET($BN$2,0,0,ROW()-1,60),ROW()-1,FALSE))</f>
        <v>97.536743090000002</v>
      </c>
      <c r="T78">
        <f ca="1">IF(AND($B$158=1,LEN($T$169) * LEN($T$77)&gt;0),($T$77/$T$169)*100,HLOOKUP(INDIRECT(ADDRESS(2,COLUMN())),OFFSET($BN$2,0,0,ROW()-1,60),ROW()-1,FALSE))</f>
        <v>96.542393270000005</v>
      </c>
      <c r="U78">
        <f ca="1">IF(AND($B$158=1,LEN($U$169) * LEN($U$77)&gt;0),($U$77/$U$169)*100,HLOOKUP(INDIRECT(ADDRESS(2,COLUMN())),OFFSET($BN$2,0,0,ROW()-1,60),ROW()-1,FALSE))</f>
        <v>96.558495910000005</v>
      </c>
      <c r="V78">
        <f ca="1">IF(AND($B$158=1,LEN($V$169) * LEN($V$77)&gt;0),($V$77/$V$169)*100,HLOOKUP(INDIRECT(ADDRESS(2,COLUMN())),OFFSET($BN$2,0,0,ROW()-1,60),ROW()-1,FALSE))</f>
        <v>72.519675789999994</v>
      </c>
      <c r="W78">
        <f ca="1">IF(AND($B$158=1,LEN($W$169) * LEN($W$77)&gt;0),($W$77/$W$169)*100,HLOOKUP(INDIRECT(ADDRESS(2,COLUMN())),OFFSET($BN$2,0,0,ROW()-1,60),ROW()-1,FALSE))</f>
        <v>97.887588170000001</v>
      </c>
      <c r="X78">
        <f ca="1">IF(AND($B$158=1,LEN($X$169) * LEN($X$77)&gt;0),($X$77/$X$169)*100,HLOOKUP(INDIRECT(ADDRESS(2,COLUMN())),OFFSET($BN$2,0,0,ROW()-1,60),ROW()-1,FALSE))</f>
        <v>101.9447404</v>
      </c>
      <c r="Y78">
        <f ca="1">IF(AND($B$158=1,LEN($Y$169) * LEN($Y$77)&gt;0),($Y$77/$Y$169)*100,HLOOKUP(INDIRECT(ADDRESS(2,COLUMN())),OFFSET($BN$2,0,0,ROW()-1,60),ROW()-1,FALSE))</f>
        <v>65.831817549999997</v>
      </c>
      <c r="Z78">
        <f ca="1">IF(AND($B$158=1,LEN($Z$169) * LEN($Z$77)&gt;0),($Z$77/$Z$169)*100,HLOOKUP(INDIRECT(ADDRESS(2,COLUMN())),OFFSET($BN$2,0,0,ROW()-1,60),ROW()-1,FALSE))</f>
        <v>70.612722039999994</v>
      </c>
      <c r="AA78">
        <f ca="1">IF(AND($B$158=1,LEN($AA$169) * LEN($AA$77)&gt;0),($AA$77/$AA$169)*100,HLOOKUP(INDIRECT(ADDRESS(2,COLUMN())),OFFSET($BN$2,0,0,ROW()-1,60),ROW()-1,FALSE))</f>
        <v>66.408138910000005</v>
      </c>
      <c r="AB78">
        <f ca="1">IF(AND($B$158=1,LEN($AB$169) * LEN($AB$77)&gt;0),($AB$77/$AB$169)*100,HLOOKUP(INDIRECT(ADDRESS(2,COLUMN())),OFFSET($BN$2,0,0,ROW()-1,60),ROW()-1,FALSE))</f>
        <v>69.859553399999996</v>
      </c>
      <c r="AC78">
        <f ca="1">IF(AND($B$158=1,LEN($AC$169) * LEN($AC$77)&gt;0),($AC$77/$AC$169)*100,HLOOKUP(INDIRECT(ADDRESS(2,COLUMN())),OFFSET($BN$2,0,0,ROW()-1,60),ROW()-1,FALSE))</f>
        <v>66.219986779999999</v>
      </c>
      <c r="AD78">
        <f ca="1">IF(AND($B$158=1,LEN($AD$169) * LEN($AD$77)&gt;0),($AD$77/$AD$169)*100,HLOOKUP(INDIRECT(ADDRESS(2,COLUMN())),OFFSET($BN$2,0,0,ROW()-1,60),ROW()-1,FALSE))</f>
        <v>69.724539590000006</v>
      </c>
      <c r="AE78">
        <f ca="1">IF(AND($B$158=1,LEN($AE$169) * LEN($AE$77)&gt;0),($AE$77/$AE$169)*100,HLOOKUP(INDIRECT(ADDRESS(2,COLUMN())),OFFSET($BN$2,0,0,ROW()-1,60),ROW()-1,FALSE))</f>
        <v>65.228654320000004</v>
      </c>
      <c r="AF78">
        <f ca="1">IF(AND($B$158=1,LEN($AF$169) * LEN($AF$77)&gt;0),($AF$77/$AF$169)*100,HLOOKUP(INDIRECT(ADDRESS(2,COLUMN())),OFFSET($BN$2,0,0,ROW()-1,60),ROW()-1,FALSE))</f>
        <v>70.177891169999995</v>
      </c>
      <c r="AG78">
        <f ca="1">IF(AND($B$158=1,LEN($AG$169) * LEN($AG$77)&gt;0),($AG$77/$AG$169)*100,HLOOKUP(INDIRECT(ADDRESS(2,COLUMN())),OFFSET($BN$2,0,0,ROW()-1,60),ROW()-1,FALSE))</f>
        <v>66.163711809999995</v>
      </c>
      <c r="AH78">
        <f ca="1">IF(AND($B$158=1,LEN($AH$169) * LEN($AH$77)&gt;0),($AH$77/$AH$169)*100,HLOOKUP(INDIRECT(ADDRESS(2,COLUMN())),OFFSET($BN$2,0,0,ROW()-1,60),ROW()-1,FALSE))</f>
        <v>69.629440509999995</v>
      </c>
      <c r="AI78">
        <f ca="1">IF(AND($B$158=1,LEN($AI$169) * LEN($AI$77)&gt;0),($AI$77/$AI$169)*100,HLOOKUP(INDIRECT(ADDRESS(2,COLUMN())),OFFSET($BN$2,0,0,ROW()-1,60),ROW()-1,FALSE))</f>
        <v>64.050593739999997</v>
      </c>
      <c r="AJ78">
        <f ca="1">IF(AND($B$158=1,LEN($AJ$169) * LEN($AJ$77)&gt;0),($AJ$77/$AJ$169)*100,HLOOKUP(INDIRECT(ADDRESS(2,COLUMN())),OFFSET($BN$2,0,0,ROW()-1,60),ROW()-1,FALSE))</f>
        <v>69.37255236</v>
      </c>
      <c r="AK78">
        <f ca="1">IF(AND($B$158=1,LEN($AK$169) * LEN($AK$77)&gt;0),($AK$77/$AK$169)*100,HLOOKUP(INDIRECT(ADDRESS(2,COLUMN())),OFFSET($BN$2,0,0,ROW()-1,60),ROW()-1,FALSE))</f>
        <v>66.763969970000005</v>
      </c>
      <c r="AL78">
        <f ca="1">IF(AND($B$158=1,LEN($AL$169) * LEN($AL$77)&gt;0),($AL$77/$AL$169)*100,HLOOKUP(INDIRECT(ADDRESS(2,COLUMN())),OFFSET($BN$2,0,0,ROW()-1,60),ROW()-1,FALSE))</f>
        <v>70.371545260000005</v>
      </c>
      <c r="AM78">
        <f ca="1">IF(AND($B$158=1,LEN($AM$169) * LEN($AM$77)&gt;0),($AM$77/$AM$169)*100,HLOOKUP(INDIRECT(ADDRESS(2,COLUMN())),OFFSET($BN$2,0,0,ROW()-1,60),ROW()-1,FALSE))</f>
        <v>64.094332140000006</v>
      </c>
      <c r="AN78">
        <f ca="1">IF(AND($B$158=1,LEN($AN$169) * LEN($AN$77)&gt;0),($AN$77/$AN$169)*100,HLOOKUP(INDIRECT(ADDRESS(2,COLUMN())),OFFSET($BN$2,0,0,ROW()-1,60),ROW()-1,FALSE))</f>
        <v>67.374350089999993</v>
      </c>
      <c r="AO78">
        <f ca="1">IF(AND($B$158=1,LEN($AO$169) * LEN($AO$77)&gt;0),($AO$77/$AO$169)*100,HLOOKUP(INDIRECT(ADDRESS(2,COLUMN())),OFFSET($BN$2,0,0,ROW()-1,60),ROW()-1,FALSE))</f>
        <v>64.246540670000002</v>
      </c>
      <c r="AP78">
        <f ca="1">IF(AND($B$158=1,LEN($AP$169) * LEN($AP$77)&gt;0),($AP$77/$AP$169)*100,HLOOKUP(INDIRECT(ADDRESS(2,COLUMN())),OFFSET($BN$2,0,0,ROW()-1,60),ROW()-1,FALSE))</f>
        <v>66.150183440000006</v>
      </c>
      <c r="AQ78">
        <f ca="1">IF(AND($B$158=1,LEN($AQ$169) * LEN($AQ$77)&gt;0),($AQ$77/$AQ$169)*100,HLOOKUP(INDIRECT(ADDRESS(2,COLUMN())),OFFSET($BN$2,0,0,ROW()-1,60),ROW()-1,FALSE))</f>
        <v>62.212935479999999</v>
      </c>
      <c r="AR78">
        <f ca="1">IF(AND($B$158=1,LEN($AR$169) * LEN($AR$77)&gt;0),($AR$77/$AR$169)*100,HLOOKUP(INDIRECT(ADDRESS(2,COLUMN())),OFFSET($BN$2,0,0,ROW()-1,60),ROW()-1,FALSE))</f>
        <v>64.556739149999999</v>
      </c>
      <c r="AS78">
        <f ca="1">IF(AND($B$158=1,LEN($AS$169) * LEN($AS$77)&gt;0),($AS$77/$AS$169)*100,HLOOKUP(INDIRECT(ADDRESS(2,COLUMN())),OFFSET($BN$2,0,0,ROW()-1,60),ROW()-1,FALSE))</f>
        <v>62.252871599999999</v>
      </c>
      <c r="AT78" t="str">
        <f ca="1">IF(AND($B$158=1,LEN($AT$169) * LEN($AT$77)&gt;0),($AT$77/$AT$169)*100,HLOOKUP(INDIRECT(ADDRESS(2,COLUMN())),OFFSET($BN$2,0,0,ROW()-1,60),ROW()-1,FALSE))</f>
        <v/>
      </c>
      <c r="AU78" t="str">
        <f ca="1">IF(AND($B$158=1,LEN($AU$169) * LEN($AU$77)&gt;0),($AU$77/$AU$169)*100,HLOOKUP(INDIRECT(ADDRESS(2,COLUMN())),OFFSET($BN$2,0,0,ROW()-1,60),ROW()-1,FALSE))</f>
        <v/>
      </c>
      <c r="AV78">
        <f ca="1">IF(AND($B$158=1,LEN($AV$169) * LEN($AV$77)&gt;0),($AV$77/$AV$169)*100,HLOOKUP(INDIRECT(ADDRESS(2,COLUMN())),OFFSET($BN$2,0,0,ROW()-1,60),ROW()-1,FALSE))</f>
        <v>41.800618819999997</v>
      </c>
      <c r="AW78">
        <f ca="1">IF(AND($B$158=1,LEN($AW$169) * LEN($AW$77)&gt;0),($AW$77/$AW$169)*100,HLOOKUP(INDIRECT(ADDRESS(2,COLUMN())),OFFSET($BN$2,0,0,ROW()-1,60),ROW()-1,FALSE))</f>
        <v>40.017010419999998</v>
      </c>
      <c r="AX78">
        <f ca="1">IF(AND($B$158=1,LEN($AX$169) * LEN($AX$77)&gt;0),($AX$77/$AX$169)*100,HLOOKUP(INDIRECT(ADDRESS(2,COLUMN())),OFFSET($BN$2,0,0,ROW()-1,60),ROW()-1,FALSE))</f>
        <v>26.981323159999999</v>
      </c>
      <c r="AY78">
        <f ca="1">IF(AND($B$158=1,LEN($AY$169) * LEN($AY$77)&gt;0),($AY$77/$AY$169)*100,HLOOKUP(INDIRECT(ADDRESS(2,COLUMN())),OFFSET($BN$2,0,0,ROW()-1,60),ROW()-1,FALSE))</f>
        <v>29.158030360000001</v>
      </c>
      <c r="AZ78">
        <f ca="1">IF(AND($B$158=1,LEN($AZ$169) * LEN($AZ$77)&gt;0),($AZ$77/$AZ$169)*100,HLOOKUP(INDIRECT(ADDRESS(2,COLUMN())),OFFSET($BN$2,0,0,ROW()-1,60),ROW()-1,FALSE))</f>
        <v>23.174563590000002</v>
      </c>
      <c r="BA78">
        <f ca="1">IF(AND($B$158=1,LEN($BA$169) * LEN($BA$77)&gt;0),($BA$77/$BA$169)*100,HLOOKUP(INDIRECT(ADDRESS(2,COLUMN())),OFFSET($BN$2,0,0,ROW()-1,60),ROW()-1,FALSE))</f>
        <v>26.320743619999998</v>
      </c>
      <c r="BB78">
        <f ca="1">IF(AND($B$158=1,LEN($BB$169) * LEN($BB$77)&gt;0),($BB$77/$BB$169)*100,HLOOKUP(INDIRECT(ADDRESS(2,COLUMN())),OFFSET($BN$2,0,0,ROW()-1,60),ROW()-1,FALSE))</f>
        <v>19.66477609</v>
      </c>
      <c r="BC78">
        <f ca="1">IF(AND($B$158=1,LEN($BC$169) * LEN($BC$77)&gt;0),($BC$77/$BC$169)*100,HLOOKUP(INDIRECT(ADDRESS(2,COLUMN())),OFFSET($BN$2,0,0,ROW()-1,60),ROW()-1,FALSE))</f>
        <v>17.947930509999999</v>
      </c>
      <c r="BD78">
        <f ca="1">IF(AND($B$158=1,LEN($BD$169) * LEN($BD$77)&gt;0),($BD$77/$BD$169)*100,HLOOKUP(INDIRECT(ADDRESS(2,COLUMN())),OFFSET($BN$2,0,0,ROW()-1,60),ROW()-1,FALSE))</f>
        <v>17.659197450000001</v>
      </c>
      <c r="BE78">
        <f ca="1">IF(AND($B$158=1,LEN($BE$169) * LEN($BE$77)&gt;0),($BE$77/$BE$169)*100,HLOOKUP(INDIRECT(ADDRESS(2,COLUMN())),OFFSET($BN$2,0,0,ROW()-1,60),ROW()-1,FALSE))</f>
        <v>17.894075780000001</v>
      </c>
      <c r="BF78" t="str">
        <f ca="1">IF(AND($B$158=1,LEN($BF$169) * LEN($BF$77)&gt;0),($BF$77/$BF$169)*100,HLOOKUP(INDIRECT(ADDRESS(2,COLUMN())),OFFSET($BN$2,0,0,ROW()-1,60),ROW()-1,FALSE))</f>
        <v/>
      </c>
      <c r="BG78" t="str">
        <f ca="1">IF(AND($B$158=1,LEN($BG$169) * LEN($BG$77)&gt;0),($BG$77/$BG$169)*100,HLOOKUP(INDIRECT(ADDRESS(2,COLUMN())),OFFSET($BN$2,0,0,ROW()-1,60),ROW()-1,FALSE))</f>
        <v/>
      </c>
      <c r="BH78" t="str">
        <f ca="1">IF(AND($B$158=1,LEN($BH$169) * LEN($BH$77)&gt;0),($BH$77/$BH$169)*100,HLOOKUP(INDIRECT(ADDRESS(2,COLUMN())),OFFSET($BN$2,0,0,ROW()-1,60),ROW()-1,FALSE))</f>
        <v/>
      </c>
      <c r="BI78" t="str">
        <f ca="1">IF(AND($B$158=1,LEN($BI$169) * LEN($BI$77)&gt;0),($BI$77/$BI$169)*100,HLOOKUP(INDIRECT(ADDRESS(2,COLUMN())),OFFSET($BN$2,0,0,ROW()-1,60),ROW()-1,FALSE))</f>
        <v/>
      </c>
      <c r="BJ78" t="str">
        <f ca="1">IF(AND($B$158=1,LEN($BJ$169) * LEN($BJ$77)&gt;0),($BJ$77/$BJ$169)*100,HLOOKUP(INDIRECT(ADDRESS(2,COLUMN())),OFFSET($BN$2,0,0,ROW()-1,60),ROW()-1,FALSE))</f>
        <v/>
      </c>
      <c r="BK78" t="str">
        <f ca="1">IF(AND($B$158=1,LEN($BK$169) * LEN($BK$77)&gt;0),($BK$77/$BK$169)*100,HLOOKUP(INDIRECT(ADDRESS(2,COLUMN())),OFFSET($BN$2,0,0,ROW()-1,60),ROW()-1,FALSE))</f>
        <v/>
      </c>
      <c r="BL78" t="str">
        <f ca="1">IF(AND($B$158=1,LEN($BL$169) * LEN($BL$77)&gt;0),($BL$77/$BL$169)*100,HLOOKUP(INDIRECT(ADDRESS(2,COLUMN())),OFFSET($BN$2,0,0,ROW()-1,60),ROW()-1,FALSE))</f>
        <v/>
      </c>
      <c r="BM78" t="str">
        <f ca="1">IF(AND($B$158=1,LEN($BM$169) * LEN($BM$77)&gt;0),($BM$77/$BM$169)*100,HLOOKUP(INDIRECT(ADDRESS(2,COLUMN())),OFFSET($BN$2,0,0,ROW()-1,60),ROW()-1,FALSE))</f>
        <v/>
      </c>
      <c r="BN78" t="str">
        <f>""</f>
        <v/>
      </c>
      <c r="BO78">
        <f>96.5136826</f>
        <v>96.513682599999996</v>
      </c>
      <c r="BP78">
        <f>95.76397575</f>
        <v>95.76397575</v>
      </c>
      <c r="BQ78">
        <f>95.80719794</f>
        <v>95.807197939999995</v>
      </c>
      <c r="BR78">
        <f>97.42270616</f>
        <v>97.422706160000004</v>
      </c>
      <c r="BS78">
        <f>96.83675391</f>
        <v>96.836753909999999</v>
      </c>
      <c r="BT78">
        <f>96.99783918</f>
        <v>96.99783918</v>
      </c>
      <c r="BU78">
        <f>95.70741758</f>
        <v>95.707417579999998</v>
      </c>
      <c r="BV78">
        <f>97.2457287</f>
        <v>97.245728700000001</v>
      </c>
      <c r="BW78">
        <f>97.25068218</f>
        <v>97.250682179999998</v>
      </c>
      <c r="BX78">
        <f>96.449612</f>
        <v>96.449612000000002</v>
      </c>
      <c r="BY78">
        <f>96.37545241</f>
        <v>96.375452409999994</v>
      </c>
      <c r="BZ78">
        <f>99.12354416</f>
        <v>99.123544159999994</v>
      </c>
      <c r="CA78">
        <f>97.53674309</f>
        <v>97.536743090000002</v>
      </c>
      <c r="CB78">
        <f>96.54239327</f>
        <v>96.542393270000005</v>
      </c>
      <c r="CC78">
        <f>96.55849591</f>
        <v>96.558495910000005</v>
      </c>
      <c r="CD78">
        <f>72.51967579</f>
        <v>72.519675789999994</v>
      </c>
      <c r="CE78">
        <f>97.88758817</f>
        <v>97.887588170000001</v>
      </c>
      <c r="CF78">
        <f>101.9447404</f>
        <v>101.9447404</v>
      </c>
      <c r="CG78">
        <f>65.83181755</f>
        <v>65.831817549999997</v>
      </c>
      <c r="CH78">
        <f>70.61272204</f>
        <v>70.612722039999994</v>
      </c>
      <c r="CI78">
        <f>66.40813891</f>
        <v>66.408138910000005</v>
      </c>
      <c r="CJ78">
        <f>69.8595534</f>
        <v>69.859553399999996</v>
      </c>
      <c r="CK78">
        <f>66.21998678</f>
        <v>66.219986779999999</v>
      </c>
      <c r="CL78">
        <f>69.72453959</f>
        <v>69.724539590000006</v>
      </c>
      <c r="CM78">
        <f>65.22865432</f>
        <v>65.228654320000004</v>
      </c>
      <c r="CN78">
        <f>70.17789117</f>
        <v>70.177891169999995</v>
      </c>
      <c r="CO78">
        <f>66.16371181</f>
        <v>66.163711809999995</v>
      </c>
      <c r="CP78">
        <f>69.62944051</f>
        <v>69.629440509999995</v>
      </c>
      <c r="CQ78">
        <f>64.05059374</f>
        <v>64.050593739999997</v>
      </c>
      <c r="CR78">
        <f>69.37255236</f>
        <v>69.37255236</v>
      </c>
      <c r="CS78">
        <f>66.76396997</f>
        <v>66.763969970000005</v>
      </c>
      <c r="CT78">
        <f>70.37154526</f>
        <v>70.371545260000005</v>
      </c>
      <c r="CU78">
        <f>64.09433214</f>
        <v>64.094332140000006</v>
      </c>
      <c r="CV78">
        <f>67.37435009</f>
        <v>67.374350089999993</v>
      </c>
      <c r="CW78">
        <f>64.24654067</f>
        <v>64.246540670000002</v>
      </c>
      <c r="CX78">
        <f>66.15018344</f>
        <v>66.150183440000006</v>
      </c>
      <c r="CY78">
        <f>62.21293548</f>
        <v>62.212935479999999</v>
      </c>
      <c r="CZ78">
        <f>64.55673915</f>
        <v>64.556739149999999</v>
      </c>
      <c r="DA78">
        <f>62.2528716</f>
        <v>62.252871599999999</v>
      </c>
      <c r="DB78" t="str">
        <f>""</f>
        <v/>
      </c>
      <c r="DC78" t="str">
        <f>""</f>
        <v/>
      </c>
      <c r="DD78">
        <f>41.80061882</f>
        <v>41.800618819999997</v>
      </c>
      <c r="DE78">
        <f>40.01701042</f>
        <v>40.017010419999998</v>
      </c>
      <c r="DF78">
        <f>26.98132316</f>
        <v>26.981323159999999</v>
      </c>
      <c r="DG78">
        <f>29.15803036</f>
        <v>29.158030360000001</v>
      </c>
      <c r="DH78">
        <f>23.17456359</f>
        <v>23.174563590000002</v>
      </c>
      <c r="DI78">
        <f>26.32074362</f>
        <v>26.320743619999998</v>
      </c>
      <c r="DJ78">
        <f>19.66477609</f>
        <v>19.66477609</v>
      </c>
      <c r="DK78">
        <f>17.94793051</f>
        <v>17.947930509999999</v>
      </c>
      <c r="DL78">
        <f>17.65919745</f>
        <v>17.659197450000001</v>
      </c>
      <c r="DM78">
        <f>17.89407578</f>
        <v>17.894075780000001</v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  <c r="DT78" t="str">
        <f>""</f>
        <v/>
      </c>
      <c r="DU78" t="str">
        <f>""</f>
        <v/>
      </c>
    </row>
    <row r="79" spans="1:125" x14ac:dyDescent="0.25">
      <c r="A79" t="str">
        <f>"            of which are Retail Sales (%)"</f>
        <v xml:space="preserve">            of which are Retail Sales (%)</v>
      </c>
      <c r="B79" t="str">
        <f t="shared" si="40"/>
        <v>KER FP Equity</v>
      </c>
      <c r="C79" t="str">
        <f t="shared" ref="C79:C84" si="41">"BI047"</f>
        <v>BI047</v>
      </c>
      <c r="D79" t="str">
        <f t="shared" ref="D79:D84" si="42">"BICS_SEGMENT_DATA"</f>
        <v>BICS_SEGMENT_DATA</v>
      </c>
      <c r="E79" t="str">
        <f t="shared" ref="E79:E84" si="43">"Dynamic"</f>
        <v>Dynamic</v>
      </c>
      <c r="F79" t="str">
        <f ca="1">IF(AND(ISNUMBER($F$228),$B$158=1),$F$228,HLOOKUP(INDIRECT(ADDRESS(2,COLUMN())),OFFSET($BN$2,0,0,ROW()-1,60),ROW()-1,FALSE))</f>
        <v/>
      </c>
      <c r="G79" t="str">
        <f ca="1">IF(AND(ISNUMBER($G$228),$B$158=1),$G$228,HLOOKUP(INDIRECT(ADDRESS(2,COLUMN())),OFFSET($BN$2,0,0,ROW()-1,60),ROW()-1,FALSE))</f>
        <v/>
      </c>
      <c r="H79" t="str">
        <f ca="1">IF(AND(ISNUMBER($H$228),$B$158=1),$H$228,HLOOKUP(INDIRECT(ADDRESS(2,COLUMN())),OFFSET($BN$2,0,0,ROW()-1,60),ROW()-1,FALSE))</f>
        <v/>
      </c>
      <c r="I79" t="str">
        <f ca="1">IF(AND(ISNUMBER($I$228),$B$158=1),$I$228,HLOOKUP(INDIRECT(ADDRESS(2,COLUMN())),OFFSET($BN$2,0,0,ROW()-1,60),ROW()-1,FALSE))</f>
        <v/>
      </c>
      <c r="J79" t="str">
        <f ca="1">IF(AND(ISNUMBER($J$228),$B$158=1),$J$228,HLOOKUP(INDIRECT(ADDRESS(2,COLUMN())),OFFSET($BN$2,0,0,ROW()-1,60),ROW()-1,FALSE))</f>
        <v/>
      </c>
      <c r="K79" t="str">
        <f ca="1">IF(AND(ISNUMBER($K$228),$B$158=1),$K$228,HLOOKUP(INDIRECT(ADDRESS(2,COLUMN())),OFFSET($BN$2,0,0,ROW()-1,60),ROW()-1,FALSE))</f>
        <v/>
      </c>
      <c r="L79" t="str">
        <f ca="1">IF(AND(ISNUMBER($L$228),$B$158=1),$L$228,HLOOKUP(INDIRECT(ADDRESS(2,COLUMN())),OFFSET($BN$2,0,0,ROW()-1,60),ROW()-1,FALSE))</f>
        <v/>
      </c>
      <c r="M79" t="str">
        <f ca="1">IF(AND(ISNUMBER($M$228),$B$158=1),$M$228,HLOOKUP(INDIRECT(ADDRESS(2,COLUMN())),OFFSET($BN$2,0,0,ROW()-1,60),ROW()-1,FALSE))</f>
        <v/>
      </c>
      <c r="N79" t="str">
        <f ca="1">IF(AND(ISNUMBER($N$228),$B$158=1),$N$228,HLOOKUP(INDIRECT(ADDRESS(2,COLUMN())),OFFSET($BN$2,0,0,ROW()-1,60),ROW()-1,FALSE))</f>
        <v/>
      </c>
      <c r="O79" t="str">
        <f ca="1">IF(AND(ISNUMBER($O$228),$B$158=1),$O$228,HLOOKUP(INDIRECT(ADDRESS(2,COLUMN())),OFFSET($BN$2,0,0,ROW()-1,60),ROW()-1,FALSE))</f>
        <v/>
      </c>
      <c r="P79" t="str">
        <f ca="1">IF(AND(ISNUMBER($P$228),$B$158=1),$P$228,HLOOKUP(INDIRECT(ADDRESS(2,COLUMN())),OFFSET($BN$2,0,0,ROW()-1,60),ROW()-1,FALSE))</f>
        <v/>
      </c>
      <c r="Q79" t="str">
        <f ca="1">IF(AND(ISNUMBER($Q$228),$B$158=1),$Q$228,HLOOKUP(INDIRECT(ADDRESS(2,COLUMN())),OFFSET($BN$2,0,0,ROW()-1,60),ROW()-1,FALSE))</f>
        <v/>
      </c>
      <c r="R79" t="str">
        <f ca="1">IF(AND(ISNUMBER($R$228),$B$158=1),$R$228,HLOOKUP(INDIRECT(ADDRESS(2,COLUMN())),OFFSET($BN$2,0,0,ROW()-1,60),ROW()-1,FALSE))</f>
        <v/>
      </c>
      <c r="S79" t="str">
        <f ca="1">IF(AND(ISNUMBER($S$228),$B$158=1),$S$228,HLOOKUP(INDIRECT(ADDRESS(2,COLUMN())),OFFSET($BN$2,0,0,ROW()-1,60),ROW()-1,FALSE))</f>
        <v/>
      </c>
      <c r="T79" t="str">
        <f ca="1">IF(AND(ISNUMBER($T$228),$B$158=1),$T$228,HLOOKUP(INDIRECT(ADDRESS(2,COLUMN())),OFFSET($BN$2,0,0,ROW()-1,60),ROW()-1,FALSE))</f>
        <v/>
      </c>
      <c r="U79" t="str">
        <f ca="1">IF(AND(ISNUMBER($U$228),$B$158=1),$U$228,HLOOKUP(INDIRECT(ADDRESS(2,COLUMN())),OFFSET($BN$2,0,0,ROW()-1,60),ROW()-1,FALSE))</f>
        <v/>
      </c>
      <c r="V79" t="str">
        <f ca="1">IF(AND(ISNUMBER($V$228),$B$158=1),$V$228,HLOOKUP(INDIRECT(ADDRESS(2,COLUMN())),OFFSET($BN$2,0,0,ROW()-1,60),ROW()-1,FALSE))</f>
        <v/>
      </c>
      <c r="W79" t="str">
        <f ca="1">IF(AND(ISNUMBER($W$228),$B$158=1),$W$228,HLOOKUP(INDIRECT(ADDRESS(2,COLUMN())),OFFSET($BN$2,0,0,ROW()-1,60),ROW()-1,FALSE))</f>
        <v/>
      </c>
      <c r="X79" t="str">
        <f ca="1">IF(AND(ISNUMBER($X$228),$B$158=1),$X$228,HLOOKUP(INDIRECT(ADDRESS(2,COLUMN())),OFFSET($BN$2,0,0,ROW()-1,60),ROW()-1,FALSE))</f>
        <v/>
      </c>
      <c r="Y79" t="str">
        <f ca="1">IF(AND(ISNUMBER($Y$228),$B$158=1),$Y$228,HLOOKUP(INDIRECT(ADDRESS(2,COLUMN())),OFFSET($BN$2,0,0,ROW()-1,60),ROW()-1,FALSE))</f>
        <v/>
      </c>
      <c r="Z79" t="str">
        <f ca="1">IF(AND(ISNUMBER($Z$228),$B$158=1),$Z$228,HLOOKUP(INDIRECT(ADDRESS(2,COLUMN())),OFFSET($BN$2,0,0,ROW()-1,60),ROW()-1,FALSE))</f>
        <v/>
      </c>
      <c r="AA79" t="str">
        <f ca="1">IF(AND(ISNUMBER($AA$228),$B$158=1),$AA$228,HLOOKUP(INDIRECT(ADDRESS(2,COLUMN())),OFFSET($BN$2,0,0,ROW()-1,60),ROW()-1,FALSE))</f>
        <v/>
      </c>
      <c r="AB79" t="str">
        <f ca="1">IF(AND(ISNUMBER($AB$228),$B$158=1),$AB$228,HLOOKUP(INDIRECT(ADDRESS(2,COLUMN())),OFFSET($BN$2,0,0,ROW()-1,60),ROW()-1,FALSE))</f>
        <v/>
      </c>
      <c r="AC79" t="str">
        <f ca="1">IF(AND(ISNUMBER($AC$228),$B$158=1),$AC$228,HLOOKUP(INDIRECT(ADDRESS(2,COLUMN())),OFFSET($BN$2,0,0,ROW()-1,60),ROW()-1,FALSE))</f>
        <v/>
      </c>
      <c r="AD79" t="str">
        <f ca="1">IF(AND(ISNUMBER($AD$228),$B$158=1),$AD$228,HLOOKUP(INDIRECT(ADDRESS(2,COLUMN())),OFFSET($BN$2,0,0,ROW()-1,60),ROW()-1,FALSE))</f>
        <v/>
      </c>
      <c r="AE79" t="str">
        <f ca="1">IF(AND(ISNUMBER($AE$228),$B$158=1),$AE$228,HLOOKUP(INDIRECT(ADDRESS(2,COLUMN())),OFFSET($BN$2,0,0,ROW()-1,60),ROW()-1,FALSE))</f>
        <v/>
      </c>
      <c r="AF79" t="str">
        <f ca="1">IF(AND(ISNUMBER($AF$228),$B$158=1),$AF$228,HLOOKUP(INDIRECT(ADDRESS(2,COLUMN())),OFFSET($BN$2,0,0,ROW()-1,60),ROW()-1,FALSE))</f>
        <v/>
      </c>
      <c r="AG79" t="str">
        <f ca="1">IF(AND(ISNUMBER($AG$228),$B$158=1),$AG$228,HLOOKUP(INDIRECT(ADDRESS(2,COLUMN())),OFFSET($BN$2,0,0,ROW()-1,60),ROW()-1,FALSE))</f>
        <v/>
      </c>
      <c r="AH79" t="str">
        <f ca="1">IF(AND(ISNUMBER($AH$228),$B$158=1),$AH$228,HLOOKUP(INDIRECT(ADDRESS(2,COLUMN())),OFFSET($BN$2,0,0,ROW()-1,60),ROW()-1,FALSE))</f>
        <v/>
      </c>
      <c r="AI79" t="str">
        <f ca="1">IF(AND(ISNUMBER($AI$228),$B$158=1),$AI$228,HLOOKUP(INDIRECT(ADDRESS(2,COLUMN())),OFFSET($BN$2,0,0,ROW()-1,60),ROW()-1,FALSE))</f>
        <v/>
      </c>
      <c r="AJ79" t="str">
        <f ca="1">IF(AND(ISNUMBER($AJ$228),$B$158=1),$AJ$228,HLOOKUP(INDIRECT(ADDRESS(2,COLUMN())),OFFSET($BN$2,0,0,ROW()-1,60),ROW()-1,FALSE))</f>
        <v/>
      </c>
      <c r="AK79" t="str">
        <f ca="1">IF(AND(ISNUMBER($AK$228),$B$158=1),$AK$228,HLOOKUP(INDIRECT(ADDRESS(2,COLUMN())),OFFSET($BN$2,0,0,ROW()-1,60),ROW()-1,FALSE))</f>
        <v/>
      </c>
      <c r="AL79" t="str">
        <f ca="1">IF(AND(ISNUMBER($AL$228),$B$158=1),$AL$228,HLOOKUP(INDIRECT(ADDRESS(2,COLUMN())),OFFSET($BN$2,0,0,ROW()-1,60),ROW()-1,FALSE))</f>
        <v/>
      </c>
      <c r="AM79" t="str">
        <f ca="1">IF(AND(ISNUMBER($AM$228),$B$158=1),$AM$228,HLOOKUP(INDIRECT(ADDRESS(2,COLUMN())),OFFSET($BN$2,0,0,ROW()-1,60),ROW()-1,FALSE))</f>
        <v/>
      </c>
      <c r="AN79" t="str">
        <f ca="1">IF(AND(ISNUMBER($AN$228),$B$158=1),$AN$228,HLOOKUP(INDIRECT(ADDRESS(2,COLUMN())),OFFSET($BN$2,0,0,ROW()-1,60),ROW()-1,FALSE))</f>
        <v/>
      </c>
      <c r="AO79" t="str">
        <f ca="1">IF(AND(ISNUMBER($AO$228),$B$158=1),$AO$228,HLOOKUP(INDIRECT(ADDRESS(2,COLUMN())),OFFSET($BN$2,0,0,ROW()-1,60),ROW()-1,FALSE))</f>
        <v/>
      </c>
      <c r="AP79" t="str">
        <f ca="1">IF(AND(ISNUMBER($AP$228),$B$158=1),$AP$228,HLOOKUP(INDIRECT(ADDRESS(2,COLUMN())),OFFSET($BN$2,0,0,ROW()-1,60),ROW()-1,FALSE))</f>
        <v/>
      </c>
      <c r="AQ79" t="str">
        <f ca="1">IF(AND(ISNUMBER($AQ$228),$B$158=1),$AQ$228,HLOOKUP(INDIRECT(ADDRESS(2,COLUMN())),OFFSET($BN$2,0,0,ROW()-1,60),ROW()-1,FALSE))</f>
        <v/>
      </c>
      <c r="AR79" t="str">
        <f ca="1">IF(AND(ISNUMBER($AR$228),$B$158=1),$AR$228,HLOOKUP(INDIRECT(ADDRESS(2,COLUMN())),OFFSET($BN$2,0,0,ROW()-1,60),ROW()-1,FALSE))</f>
        <v/>
      </c>
      <c r="AS79" t="str">
        <f ca="1">IF(AND(ISNUMBER($AS$228),$B$158=1),$AS$228,HLOOKUP(INDIRECT(ADDRESS(2,COLUMN())),OFFSET($BN$2,0,0,ROW()-1,60),ROW()-1,FALSE))</f>
        <v/>
      </c>
      <c r="AT79" t="str">
        <f ca="1">IF(AND(ISNUMBER($AT$228),$B$158=1),$AT$228,HLOOKUP(INDIRECT(ADDRESS(2,COLUMN())),OFFSET($BN$2,0,0,ROW()-1,60),ROW()-1,FALSE))</f>
        <v/>
      </c>
      <c r="AU79" t="str">
        <f ca="1">IF(AND(ISNUMBER($AU$228),$B$158=1),$AU$228,HLOOKUP(INDIRECT(ADDRESS(2,COLUMN())),OFFSET($BN$2,0,0,ROW()-1,60),ROW()-1,FALSE))</f>
        <v/>
      </c>
      <c r="AV79" t="str">
        <f ca="1">IF(AND(ISNUMBER($AV$228),$B$158=1),$AV$228,HLOOKUP(INDIRECT(ADDRESS(2,COLUMN())),OFFSET($BN$2,0,0,ROW()-1,60),ROW()-1,FALSE))</f>
        <v/>
      </c>
      <c r="AW79" t="str">
        <f ca="1">IF(AND(ISNUMBER($AW$228),$B$158=1),$AW$228,HLOOKUP(INDIRECT(ADDRESS(2,COLUMN())),OFFSET($BN$2,0,0,ROW()-1,60),ROW()-1,FALSE))</f>
        <v/>
      </c>
      <c r="AX79" t="str">
        <f ca="1">IF(AND(ISNUMBER($AX$228),$B$158=1),$AX$228,HLOOKUP(INDIRECT(ADDRESS(2,COLUMN())),OFFSET($BN$2,0,0,ROW()-1,60),ROW()-1,FALSE))</f>
        <v/>
      </c>
      <c r="AY79" t="str">
        <f ca="1">IF(AND(ISNUMBER($AY$228),$B$158=1),$AY$228,HLOOKUP(INDIRECT(ADDRESS(2,COLUMN())),OFFSET($BN$2,0,0,ROW()-1,60),ROW()-1,FALSE))</f>
        <v/>
      </c>
      <c r="AZ79" t="str">
        <f ca="1">IF(AND(ISNUMBER($AZ$228),$B$158=1),$AZ$228,HLOOKUP(INDIRECT(ADDRESS(2,COLUMN())),OFFSET($BN$2,0,0,ROW()-1,60),ROW()-1,FALSE))</f>
        <v/>
      </c>
      <c r="BA79" t="str">
        <f ca="1">IF(AND(ISNUMBER($BA$228),$B$158=1),$BA$228,HLOOKUP(INDIRECT(ADDRESS(2,COLUMN())),OFFSET($BN$2,0,0,ROW()-1,60),ROW()-1,FALSE))</f>
        <v/>
      </c>
      <c r="BB79" t="str">
        <f ca="1">IF(AND(ISNUMBER($BB$228),$B$158=1),$BB$228,HLOOKUP(INDIRECT(ADDRESS(2,COLUMN())),OFFSET($BN$2,0,0,ROW()-1,60),ROW()-1,FALSE))</f>
        <v/>
      </c>
      <c r="BC79" t="str">
        <f ca="1">IF(AND(ISNUMBER($BC$228),$B$158=1),$BC$228,HLOOKUP(INDIRECT(ADDRESS(2,COLUMN())),OFFSET($BN$2,0,0,ROW()-1,60),ROW()-1,FALSE))</f>
        <v/>
      </c>
      <c r="BD79" t="str">
        <f ca="1">IF(AND(ISNUMBER($BD$228),$B$158=1),$BD$228,HLOOKUP(INDIRECT(ADDRESS(2,COLUMN())),OFFSET($BN$2,0,0,ROW()-1,60),ROW()-1,FALSE))</f>
        <v/>
      </c>
      <c r="BE79" t="str">
        <f ca="1">IF(AND(ISNUMBER($BE$228),$B$158=1),$BE$228,HLOOKUP(INDIRECT(ADDRESS(2,COLUMN())),OFFSET($BN$2,0,0,ROW()-1,60),ROW()-1,FALSE))</f>
        <v/>
      </c>
      <c r="BF79" t="str">
        <f ca="1">IF(AND(ISNUMBER($BF$228),$B$158=1),$BF$228,HLOOKUP(INDIRECT(ADDRESS(2,COLUMN())),OFFSET($BN$2,0,0,ROW()-1,60),ROW()-1,FALSE))</f>
        <v/>
      </c>
      <c r="BG79" t="str">
        <f ca="1">IF(AND(ISNUMBER($BG$228),$B$158=1),$BG$228,HLOOKUP(INDIRECT(ADDRESS(2,COLUMN())),OFFSET($BN$2,0,0,ROW()-1,60),ROW()-1,FALSE))</f>
        <v/>
      </c>
      <c r="BH79" t="str">
        <f ca="1">IF(AND(ISNUMBER($BH$228),$B$158=1),$BH$228,HLOOKUP(INDIRECT(ADDRESS(2,COLUMN())),OFFSET($BN$2,0,0,ROW()-1,60),ROW()-1,FALSE))</f>
        <v/>
      </c>
      <c r="BI79" t="str">
        <f ca="1">IF(AND(ISNUMBER($BI$228),$B$158=1),$BI$228,HLOOKUP(INDIRECT(ADDRESS(2,COLUMN())),OFFSET($BN$2,0,0,ROW()-1,60),ROW()-1,FALSE))</f>
        <v/>
      </c>
      <c r="BJ79" t="str">
        <f ca="1">IF(AND(ISNUMBER($BJ$228),$B$158=1),$BJ$228,HLOOKUP(INDIRECT(ADDRESS(2,COLUMN())),OFFSET($BN$2,0,0,ROW()-1,60),ROW()-1,FALSE))</f>
        <v/>
      </c>
      <c r="BK79" t="str">
        <f ca="1">IF(AND(ISNUMBER($BK$228),$B$158=1),$BK$228,HLOOKUP(INDIRECT(ADDRESS(2,COLUMN())),OFFSET($BN$2,0,0,ROW()-1,60),ROW()-1,FALSE))</f>
        <v/>
      </c>
      <c r="BL79" t="str">
        <f ca="1">IF(AND(ISNUMBER($BL$228),$B$158=1),$BL$228,HLOOKUP(INDIRECT(ADDRESS(2,COLUMN())),OFFSET($BN$2,0,0,ROW()-1,60),ROW()-1,FALSE))</f>
        <v/>
      </c>
      <c r="BM79" t="str">
        <f ca="1">IF(AND(ISNUMBER($BM$228),$B$158=1),$BM$228,HLOOKUP(INDIRECT(ADDRESS(2,COLUMN())),OFFSET($BN$2,0,0,ROW()-1,60),ROW()-1,FALSE))</f>
        <v/>
      </c>
      <c r="BN79" t="str">
        <f>""</f>
        <v/>
      </c>
      <c r="BO79" t="str">
        <f>""</f>
        <v/>
      </c>
      <c r="BP79" t="str">
        <f>""</f>
        <v/>
      </c>
      <c r="BQ79" t="str">
        <f>""</f>
        <v/>
      </c>
      <c r="BR79" t="str">
        <f>""</f>
        <v/>
      </c>
      <c r="BS79" t="str">
        <f>""</f>
        <v/>
      </c>
      <c r="BT79" t="str">
        <f>""</f>
        <v/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  <c r="CH79" t="str">
        <f>""</f>
        <v/>
      </c>
      <c r="CI79" t="str">
        <f>""</f>
        <v/>
      </c>
      <c r="CJ79" t="str">
        <f>""</f>
        <v/>
      </c>
      <c r="CK79" t="str">
        <f>""</f>
        <v/>
      </c>
      <c r="CL79" t="str">
        <f>""</f>
        <v/>
      </c>
      <c r="CM79" t="str">
        <f>""</f>
        <v/>
      </c>
      <c r="CN79" t="str">
        <f>""</f>
        <v/>
      </c>
      <c r="CO79" t="str">
        <f>""</f>
        <v/>
      </c>
      <c r="CP79" t="str">
        <f>""</f>
        <v/>
      </c>
      <c r="CQ79" t="str">
        <f>""</f>
        <v/>
      </c>
      <c r="CR79" t="str">
        <f>""</f>
        <v/>
      </c>
      <c r="CS79" t="str">
        <f>""</f>
        <v/>
      </c>
      <c r="CT79" t="str">
        <f>""</f>
        <v/>
      </c>
      <c r="CU79" t="str">
        <f>""</f>
        <v/>
      </c>
      <c r="CV79" t="str">
        <f>""</f>
        <v/>
      </c>
      <c r="CW79" t="str">
        <f>""</f>
        <v/>
      </c>
      <c r="CX79" t="str">
        <f>""</f>
        <v/>
      </c>
      <c r="CY79" t="str">
        <f>""</f>
        <v/>
      </c>
      <c r="CZ79" t="str">
        <f>""</f>
        <v/>
      </c>
      <c r="DA79" t="str">
        <f>""</f>
        <v/>
      </c>
      <c r="DB79" t="str">
        <f>""</f>
        <v/>
      </c>
      <c r="DC79" t="str">
        <f>""</f>
        <v/>
      </c>
      <c r="DD79" t="str">
        <f>""</f>
        <v/>
      </c>
      <c r="DE79" t="str">
        <f>""</f>
        <v/>
      </c>
      <c r="DF79" t="str">
        <f>""</f>
        <v/>
      </c>
      <c r="DG79" t="str">
        <f>""</f>
        <v/>
      </c>
      <c r="DH79" t="str">
        <f>""</f>
        <v/>
      </c>
      <c r="DI79" t="str">
        <f>""</f>
        <v/>
      </c>
      <c r="DJ79" t="str">
        <f>""</f>
        <v/>
      </c>
      <c r="DK79" t="str">
        <f>""</f>
        <v/>
      </c>
      <c r="DL79" t="str">
        <f>""</f>
        <v/>
      </c>
      <c r="DM79" t="str">
        <f>""</f>
        <v/>
      </c>
      <c r="DN79" t="str">
        <f>""</f>
        <v/>
      </c>
      <c r="DO79" t="str">
        <f>""</f>
        <v/>
      </c>
      <c r="DP79" t="str">
        <f>""</f>
        <v/>
      </c>
      <c r="DQ79" t="str">
        <f>""</f>
        <v/>
      </c>
      <c r="DR79" t="str">
        <f>""</f>
        <v/>
      </c>
      <c r="DS79" t="str">
        <f>""</f>
        <v/>
      </c>
      <c r="DT79" t="str">
        <f>""</f>
        <v/>
      </c>
      <c r="DU79" t="str">
        <f>""</f>
        <v/>
      </c>
    </row>
    <row r="80" spans="1:125" x14ac:dyDescent="0.25">
      <c r="A80" t="str">
        <f>"                Gucci"</f>
        <v xml:space="preserve">                Gucci</v>
      </c>
      <c r="B80" t="str">
        <f t="shared" si="40"/>
        <v>KER FP Equity</v>
      </c>
      <c r="C80" t="str">
        <f t="shared" si="41"/>
        <v>BI047</v>
      </c>
      <c r="D80" t="str">
        <f t="shared" si="42"/>
        <v>BICS_SEGMENT_DATA</v>
      </c>
      <c r="E80" t="str">
        <f t="shared" si="43"/>
        <v>Dynamic</v>
      </c>
      <c r="F80" t="str">
        <f ca="1">IF(AND(ISNUMBER($F$229),$B$158=1),$F$229,HLOOKUP(INDIRECT(ADDRESS(2,COLUMN())),OFFSET($BN$2,0,0,ROW()-1,60),ROW()-1,FALSE))</f>
        <v/>
      </c>
      <c r="G80">
        <f ca="1">IF(AND(ISNUMBER($G$229),$B$158=1),$G$229,HLOOKUP(INDIRECT(ADDRESS(2,COLUMN())),OFFSET($BN$2,0,0,ROW()-1,60),ROW()-1,FALSE))</f>
        <v>89</v>
      </c>
      <c r="H80" t="str">
        <f ca="1">IF(AND(ISNUMBER($H$229),$B$158=1),$H$229,HLOOKUP(INDIRECT(ADDRESS(2,COLUMN())),OFFSET($BN$2,0,0,ROW()-1,60),ROW()-1,FALSE))</f>
        <v/>
      </c>
      <c r="I80">
        <f ca="1">IF(AND(ISNUMBER($I$229),$B$158=1),$I$229,HLOOKUP(INDIRECT(ADDRESS(2,COLUMN())),OFFSET($BN$2,0,0,ROW()-1,60),ROW()-1,FALSE))</f>
        <v>90</v>
      </c>
      <c r="J80">
        <f ca="1">IF(AND(ISNUMBER($J$229),$B$158=1),$J$229,HLOOKUP(INDIRECT(ADDRESS(2,COLUMN())),OFFSET($BN$2,0,0,ROW()-1,60),ROW()-1,FALSE))</f>
        <v>87</v>
      </c>
      <c r="K80">
        <f ca="1">IF(AND(ISNUMBER($K$229),$B$158=1),$K$229,HLOOKUP(INDIRECT(ADDRESS(2,COLUMN())),OFFSET($BN$2,0,0,ROW()-1,60),ROW()-1,FALSE))</f>
        <v>87</v>
      </c>
      <c r="L80">
        <f ca="1">IF(AND(ISNUMBER($L$229),$B$158=1),$L$229,HLOOKUP(INDIRECT(ADDRESS(2,COLUMN())),OFFSET($BN$2,0,0,ROW()-1,60),ROW()-1,FALSE))</f>
        <v>86</v>
      </c>
      <c r="M80">
        <f ca="1">IF(AND(ISNUMBER($M$229),$B$158=1),$M$229,HLOOKUP(INDIRECT(ADDRESS(2,COLUMN())),OFFSET($BN$2,0,0,ROW()-1,60),ROW()-1,FALSE))</f>
        <v>85</v>
      </c>
      <c r="N80" t="str">
        <f ca="1">IF(AND(ISNUMBER($N$229),$B$158=1),$N$229,HLOOKUP(INDIRECT(ADDRESS(2,COLUMN())),OFFSET($BN$2,0,0,ROW()-1,60),ROW()-1,FALSE))</f>
        <v/>
      </c>
      <c r="O80">
        <f ca="1">IF(AND(ISNUMBER($O$229),$B$158=1),$O$229,HLOOKUP(INDIRECT(ADDRESS(2,COLUMN())),OFFSET($BN$2,0,0,ROW()-1,60),ROW()-1,FALSE))</f>
        <v>83</v>
      </c>
      <c r="P80" t="str">
        <f ca="1">IF(AND(ISNUMBER($P$229),$B$158=1),$P$229,HLOOKUP(INDIRECT(ADDRESS(2,COLUMN())),OFFSET($BN$2,0,0,ROW()-1,60),ROW()-1,FALSE))</f>
        <v/>
      </c>
      <c r="Q80">
        <f ca="1">IF(AND(ISNUMBER($Q$229),$B$158=1),$Q$229,HLOOKUP(INDIRECT(ADDRESS(2,COLUMN())),OFFSET($BN$2,0,0,ROW()-1,60),ROW()-1,FALSE))</f>
        <v>85</v>
      </c>
      <c r="R80" t="str">
        <f ca="1">IF(AND(ISNUMBER($R$229),$B$158=1),$R$229,HLOOKUP(INDIRECT(ADDRESS(2,COLUMN())),OFFSET($BN$2,0,0,ROW()-1,60),ROW()-1,FALSE))</f>
        <v/>
      </c>
      <c r="S80">
        <f ca="1">IF(AND(ISNUMBER($S$229),$B$158=1),$S$229,HLOOKUP(INDIRECT(ADDRESS(2,COLUMN())),OFFSET($BN$2,0,0,ROW()-1,60),ROW()-1,FALSE))</f>
        <v>83</v>
      </c>
      <c r="T80" t="str">
        <f ca="1">IF(AND(ISNUMBER($T$229),$B$158=1),$T$229,HLOOKUP(INDIRECT(ADDRESS(2,COLUMN())),OFFSET($BN$2,0,0,ROW()-1,60),ROW()-1,FALSE))</f>
        <v/>
      </c>
      <c r="U80">
        <f ca="1">IF(AND(ISNUMBER($U$229),$B$158=1),$U$229,HLOOKUP(INDIRECT(ADDRESS(2,COLUMN())),OFFSET($BN$2,0,0,ROW()-1,60),ROW()-1,FALSE))</f>
        <v>85</v>
      </c>
      <c r="V80" t="str">
        <f ca="1">IF(AND(ISNUMBER($V$229),$B$158=1),$V$229,HLOOKUP(INDIRECT(ADDRESS(2,COLUMN())),OFFSET($BN$2,0,0,ROW()-1,60),ROW()-1,FALSE))</f>
        <v/>
      </c>
      <c r="W80">
        <f ca="1">IF(AND(ISNUMBER($W$229),$B$158=1),$W$229,HLOOKUP(INDIRECT(ADDRESS(2,COLUMN())),OFFSET($BN$2,0,0,ROW()-1,60),ROW()-1,FALSE))</f>
        <v>83</v>
      </c>
      <c r="X80">
        <f ca="1">IF(AND(ISNUMBER($X$229),$B$158=1),$X$229,HLOOKUP(INDIRECT(ADDRESS(2,COLUMN())),OFFSET($BN$2,0,0,ROW()-1,60),ROW()-1,FALSE))</f>
        <v>56</v>
      </c>
      <c r="Y80">
        <f ca="1">IF(AND(ISNUMBER($Y$229),$B$158=1),$Y$229,HLOOKUP(INDIRECT(ADDRESS(2,COLUMN())),OFFSET($BN$2,0,0,ROW()-1,60),ROW()-1,FALSE))</f>
        <v>84</v>
      </c>
      <c r="Z80" t="str">
        <f ca="1">IF(AND(ISNUMBER($Z$229),$B$158=1),$Z$229,HLOOKUP(INDIRECT(ADDRESS(2,COLUMN())),OFFSET($BN$2,0,0,ROW()-1,60),ROW()-1,FALSE))</f>
        <v/>
      </c>
      <c r="AA80">
        <f ca="1">IF(AND(ISNUMBER($AA$229),$B$158=1),$AA$229,HLOOKUP(INDIRECT(ADDRESS(2,COLUMN())),OFFSET($BN$2,0,0,ROW()-1,60),ROW()-1,FALSE))</f>
        <v>82</v>
      </c>
      <c r="AB80" t="str">
        <f ca="1">IF(AND(ISNUMBER($AB$229),$B$158=1),$AB$229,HLOOKUP(INDIRECT(ADDRESS(2,COLUMN())),OFFSET($BN$2,0,0,ROW()-1,60),ROW()-1,FALSE))</f>
        <v/>
      </c>
      <c r="AC80">
        <f ca="1">IF(AND(ISNUMBER($AC$229),$B$158=1),$AC$229,HLOOKUP(INDIRECT(ADDRESS(2,COLUMN())),OFFSET($BN$2,0,0,ROW()-1,60),ROW()-1,FALSE))</f>
        <v>82</v>
      </c>
      <c r="AD80" t="str">
        <f ca="1">IF(AND(ISNUMBER($AD$229),$B$158=1),$AD$229,HLOOKUP(INDIRECT(ADDRESS(2,COLUMN())),OFFSET($BN$2,0,0,ROW()-1,60),ROW()-1,FALSE))</f>
        <v/>
      </c>
      <c r="AE80" t="str">
        <f ca="1">IF(AND(ISNUMBER($AE$229),$B$158=1),$AE$229,HLOOKUP(INDIRECT(ADDRESS(2,COLUMN())),OFFSET($BN$2,0,0,ROW()-1,60),ROW()-1,FALSE))</f>
        <v/>
      </c>
      <c r="AF80" t="str">
        <f ca="1">IF(AND(ISNUMBER($AF$229),$B$158=1),$AF$229,HLOOKUP(INDIRECT(ADDRESS(2,COLUMN())),OFFSET($BN$2,0,0,ROW()-1,60),ROW()-1,FALSE))</f>
        <v/>
      </c>
      <c r="AG80" t="str">
        <f ca="1">IF(AND(ISNUMBER($AG$229),$B$158=1),$AG$229,HLOOKUP(INDIRECT(ADDRESS(2,COLUMN())),OFFSET($BN$2,0,0,ROW()-1,60),ROW()-1,FALSE))</f>
        <v/>
      </c>
      <c r="AH80" t="str">
        <f ca="1">IF(AND(ISNUMBER($AH$229),$B$158=1),$AH$229,HLOOKUP(INDIRECT(ADDRESS(2,COLUMN())),OFFSET($BN$2,0,0,ROW()-1,60),ROW()-1,FALSE))</f>
        <v/>
      </c>
      <c r="AI80" t="str">
        <f ca="1">IF(AND(ISNUMBER($AI$229),$B$158=1),$AI$229,HLOOKUP(INDIRECT(ADDRESS(2,COLUMN())),OFFSET($BN$2,0,0,ROW()-1,60),ROW()-1,FALSE))</f>
        <v/>
      </c>
      <c r="AJ80" t="str">
        <f ca="1">IF(AND(ISNUMBER($AJ$229),$B$158=1),$AJ$229,HLOOKUP(INDIRECT(ADDRESS(2,COLUMN())),OFFSET($BN$2,0,0,ROW()-1,60),ROW()-1,FALSE))</f>
        <v/>
      </c>
      <c r="AK80" t="str">
        <f ca="1">IF(AND(ISNUMBER($AK$229),$B$158=1),$AK$229,HLOOKUP(INDIRECT(ADDRESS(2,COLUMN())),OFFSET($BN$2,0,0,ROW()-1,60),ROW()-1,FALSE))</f>
        <v/>
      </c>
      <c r="AL80" t="str">
        <f ca="1">IF(AND(ISNUMBER($AL$229),$B$158=1),$AL$229,HLOOKUP(INDIRECT(ADDRESS(2,COLUMN())),OFFSET($BN$2,0,0,ROW()-1,60),ROW()-1,FALSE))</f>
        <v/>
      </c>
      <c r="AM80" t="str">
        <f ca="1">IF(AND(ISNUMBER($AM$229),$B$158=1),$AM$229,HLOOKUP(INDIRECT(ADDRESS(2,COLUMN())),OFFSET($BN$2,0,0,ROW()-1,60),ROW()-1,FALSE))</f>
        <v/>
      </c>
      <c r="AN80" t="str">
        <f ca="1">IF(AND(ISNUMBER($AN$229),$B$158=1),$AN$229,HLOOKUP(INDIRECT(ADDRESS(2,COLUMN())),OFFSET($BN$2,0,0,ROW()-1,60),ROW()-1,FALSE))</f>
        <v/>
      </c>
      <c r="AO80" t="str">
        <f ca="1">IF(AND(ISNUMBER($AO$229),$B$158=1),$AO$229,HLOOKUP(INDIRECT(ADDRESS(2,COLUMN())),OFFSET($BN$2,0,0,ROW()-1,60),ROW()-1,FALSE))</f>
        <v/>
      </c>
      <c r="AP80" t="str">
        <f ca="1">IF(AND(ISNUMBER($AP$229),$B$158=1),$AP$229,HLOOKUP(INDIRECT(ADDRESS(2,COLUMN())),OFFSET($BN$2,0,0,ROW()-1,60),ROW()-1,FALSE))</f>
        <v/>
      </c>
      <c r="AQ80" t="str">
        <f ca="1">IF(AND(ISNUMBER($AQ$229),$B$158=1),$AQ$229,HLOOKUP(INDIRECT(ADDRESS(2,COLUMN())),OFFSET($BN$2,0,0,ROW()-1,60),ROW()-1,FALSE))</f>
        <v/>
      </c>
      <c r="AR80" t="str">
        <f ca="1">IF(AND(ISNUMBER($AR$229),$B$158=1),$AR$229,HLOOKUP(INDIRECT(ADDRESS(2,COLUMN())),OFFSET($BN$2,0,0,ROW()-1,60),ROW()-1,FALSE))</f>
        <v/>
      </c>
      <c r="AS80" t="str">
        <f ca="1">IF(AND(ISNUMBER($AS$229),$B$158=1),$AS$229,HLOOKUP(INDIRECT(ADDRESS(2,COLUMN())),OFFSET($BN$2,0,0,ROW()-1,60),ROW()-1,FALSE))</f>
        <v/>
      </c>
      <c r="AT80" t="str">
        <f ca="1">IF(AND(ISNUMBER($AT$229),$B$158=1),$AT$229,HLOOKUP(INDIRECT(ADDRESS(2,COLUMN())),OFFSET($BN$2,0,0,ROW()-1,60),ROW()-1,FALSE))</f>
        <v/>
      </c>
      <c r="AU80" t="str">
        <f ca="1">IF(AND(ISNUMBER($AU$229),$B$158=1),$AU$229,HLOOKUP(INDIRECT(ADDRESS(2,COLUMN())),OFFSET($BN$2,0,0,ROW()-1,60),ROW()-1,FALSE))</f>
        <v/>
      </c>
      <c r="AV80" t="str">
        <f ca="1">IF(AND(ISNUMBER($AV$229),$B$158=1),$AV$229,HLOOKUP(INDIRECT(ADDRESS(2,COLUMN())),OFFSET($BN$2,0,0,ROW()-1,60),ROW()-1,FALSE))</f>
        <v/>
      </c>
      <c r="AW80" t="str">
        <f ca="1">IF(AND(ISNUMBER($AW$229),$B$158=1),$AW$229,HLOOKUP(INDIRECT(ADDRESS(2,COLUMN())),OFFSET($BN$2,0,0,ROW()-1,60),ROW()-1,FALSE))</f>
        <v/>
      </c>
      <c r="AX80" t="str">
        <f ca="1">IF(AND(ISNUMBER($AX$229),$B$158=1),$AX$229,HLOOKUP(INDIRECT(ADDRESS(2,COLUMN())),OFFSET($BN$2,0,0,ROW()-1,60),ROW()-1,FALSE))</f>
        <v/>
      </c>
      <c r="AY80" t="str">
        <f ca="1">IF(AND(ISNUMBER($AY$229),$B$158=1),$AY$229,HLOOKUP(INDIRECT(ADDRESS(2,COLUMN())),OFFSET($BN$2,0,0,ROW()-1,60),ROW()-1,FALSE))</f>
        <v/>
      </c>
      <c r="AZ80" t="str">
        <f ca="1">IF(AND(ISNUMBER($AZ$229),$B$158=1),$AZ$229,HLOOKUP(INDIRECT(ADDRESS(2,COLUMN())),OFFSET($BN$2,0,0,ROW()-1,60),ROW()-1,FALSE))</f>
        <v/>
      </c>
      <c r="BA80" t="str">
        <f ca="1">IF(AND(ISNUMBER($BA$229),$B$158=1),$BA$229,HLOOKUP(INDIRECT(ADDRESS(2,COLUMN())),OFFSET($BN$2,0,0,ROW()-1,60),ROW()-1,FALSE))</f>
        <v/>
      </c>
      <c r="BB80" t="str">
        <f ca="1">IF(AND(ISNUMBER($BB$229),$B$158=1),$BB$229,HLOOKUP(INDIRECT(ADDRESS(2,COLUMN())),OFFSET($BN$2,0,0,ROW()-1,60),ROW()-1,FALSE))</f>
        <v/>
      </c>
      <c r="BC80" t="str">
        <f ca="1">IF(AND(ISNUMBER($BC$229),$B$158=1),$BC$229,HLOOKUP(INDIRECT(ADDRESS(2,COLUMN())),OFFSET($BN$2,0,0,ROW()-1,60),ROW()-1,FALSE))</f>
        <v/>
      </c>
      <c r="BD80" t="str">
        <f ca="1">IF(AND(ISNUMBER($BD$229),$B$158=1),$BD$229,HLOOKUP(INDIRECT(ADDRESS(2,COLUMN())),OFFSET($BN$2,0,0,ROW()-1,60),ROW()-1,FALSE))</f>
        <v/>
      </c>
      <c r="BE80" t="str">
        <f ca="1">IF(AND(ISNUMBER($BE$229),$B$158=1),$BE$229,HLOOKUP(INDIRECT(ADDRESS(2,COLUMN())),OFFSET($BN$2,0,0,ROW()-1,60),ROW()-1,FALSE))</f>
        <v/>
      </c>
      <c r="BF80" t="str">
        <f ca="1">IF(AND(ISNUMBER($BF$229),$B$158=1),$BF$229,HLOOKUP(INDIRECT(ADDRESS(2,COLUMN())),OFFSET($BN$2,0,0,ROW()-1,60),ROW()-1,FALSE))</f>
        <v/>
      </c>
      <c r="BG80" t="str">
        <f ca="1">IF(AND(ISNUMBER($BG$229),$B$158=1),$BG$229,HLOOKUP(INDIRECT(ADDRESS(2,COLUMN())),OFFSET($BN$2,0,0,ROW()-1,60),ROW()-1,FALSE))</f>
        <v/>
      </c>
      <c r="BH80" t="str">
        <f ca="1">IF(AND(ISNUMBER($BH$229),$B$158=1),$BH$229,HLOOKUP(INDIRECT(ADDRESS(2,COLUMN())),OFFSET($BN$2,0,0,ROW()-1,60),ROW()-1,FALSE))</f>
        <v/>
      </c>
      <c r="BI80" t="str">
        <f ca="1">IF(AND(ISNUMBER($BI$229),$B$158=1),$BI$229,HLOOKUP(INDIRECT(ADDRESS(2,COLUMN())),OFFSET($BN$2,0,0,ROW()-1,60),ROW()-1,FALSE))</f>
        <v/>
      </c>
      <c r="BJ80" t="str">
        <f ca="1">IF(AND(ISNUMBER($BJ$229),$B$158=1),$BJ$229,HLOOKUP(INDIRECT(ADDRESS(2,COLUMN())),OFFSET($BN$2,0,0,ROW()-1,60),ROW()-1,FALSE))</f>
        <v/>
      </c>
      <c r="BK80" t="str">
        <f ca="1">IF(AND(ISNUMBER($BK$229),$B$158=1),$BK$229,HLOOKUP(INDIRECT(ADDRESS(2,COLUMN())),OFFSET($BN$2,0,0,ROW()-1,60),ROW()-1,FALSE))</f>
        <v/>
      </c>
      <c r="BL80" t="str">
        <f ca="1">IF(AND(ISNUMBER($BL$229),$B$158=1),$BL$229,HLOOKUP(INDIRECT(ADDRESS(2,COLUMN())),OFFSET($BN$2,0,0,ROW()-1,60),ROW()-1,FALSE))</f>
        <v/>
      </c>
      <c r="BM80" t="str">
        <f ca="1">IF(AND(ISNUMBER($BM$229),$B$158=1),$BM$229,HLOOKUP(INDIRECT(ADDRESS(2,COLUMN())),OFFSET($BN$2,0,0,ROW()-1,60),ROW()-1,FALSE))</f>
        <v/>
      </c>
      <c r="BN80" t="str">
        <f>""</f>
        <v/>
      </c>
      <c r="BO80">
        <f>89</f>
        <v>89</v>
      </c>
      <c r="BP80" t="str">
        <f>""</f>
        <v/>
      </c>
      <c r="BQ80">
        <f>90</f>
        <v>90</v>
      </c>
      <c r="BR80">
        <f>87</f>
        <v>87</v>
      </c>
      <c r="BS80">
        <f>87</f>
        <v>87</v>
      </c>
      <c r="BT80">
        <f>86</f>
        <v>86</v>
      </c>
      <c r="BU80">
        <f>85</f>
        <v>85</v>
      </c>
      <c r="BV80" t="str">
        <f>""</f>
        <v/>
      </c>
      <c r="BW80">
        <f>83</f>
        <v>83</v>
      </c>
      <c r="BX80" t="str">
        <f>""</f>
        <v/>
      </c>
      <c r="BY80">
        <f>85</f>
        <v>85</v>
      </c>
      <c r="BZ80" t="str">
        <f>""</f>
        <v/>
      </c>
      <c r="CA80">
        <f>83</f>
        <v>83</v>
      </c>
      <c r="CB80" t="str">
        <f>""</f>
        <v/>
      </c>
      <c r="CC80">
        <f>85</f>
        <v>85</v>
      </c>
      <c r="CD80" t="str">
        <f>""</f>
        <v/>
      </c>
      <c r="CE80">
        <f>83</f>
        <v>83</v>
      </c>
      <c r="CF80">
        <f>56</f>
        <v>56</v>
      </c>
      <c r="CG80">
        <f>84</f>
        <v>84</v>
      </c>
      <c r="CH80" t="str">
        <f>""</f>
        <v/>
      </c>
      <c r="CI80">
        <f>82</f>
        <v>82</v>
      </c>
      <c r="CJ80" t="str">
        <f>""</f>
        <v/>
      </c>
      <c r="CK80">
        <f>82</f>
        <v>82</v>
      </c>
      <c r="CL80" t="str">
        <f>""</f>
        <v/>
      </c>
      <c r="CM80" t="str">
        <f>""</f>
        <v/>
      </c>
      <c r="CN80" t="str">
        <f>""</f>
        <v/>
      </c>
      <c r="CO80" t="str">
        <f>""</f>
        <v/>
      </c>
      <c r="CP80" t="str">
        <f>""</f>
        <v/>
      </c>
      <c r="CQ80" t="str">
        <f>""</f>
        <v/>
      </c>
      <c r="CR80" t="str">
        <f>""</f>
        <v/>
      </c>
      <c r="CS80" t="str">
        <f>""</f>
        <v/>
      </c>
      <c r="CT80" t="str">
        <f>""</f>
        <v/>
      </c>
      <c r="CU80" t="str">
        <f>""</f>
        <v/>
      </c>
      <c r="CV80" t="str">
        <f>""</f>
        <v/>
      </c>
      <c r="CW80" t="str">
        <f>""</f>
        <v/>
      </c>
      <c r="CX80" t="str">
        <f>""</f>
        <v/>
      </c>
      <c r="CY80" t="str">
        <f>""</f>
        <v/>
      </c>
      <c r="CZ80" t="str">
        <f>""</f>
        <v/>
      </c>
      <c r="DA80" t="str">
        <f>""</f>
        <v/>
      </c>
      <c r="DB80" t="str">
        <f>""</f>
        <v/>
      </c>
      <c r="DC80" t="str">
        <f>""</f>
        <v/>
      </c>
      <c r="DD80" t="str">
        <f>""</f>
        <v/>
      </c>
      <c r="DE80" t="str">
        <f>""</f>
        <v/>
      </c>
      <c r="DF80" t="str">
        <f>""</f>
        <v/>
      </c>
      <c r="DG80" t="str">
        <f>""</f>
        <v/>
      </c>
      <c r="DH80" t="str">
        <f>""</f>
        <v/>
      </c>
      <c r="DI80" t="str">
        <f>""</f>
        <v/>
      </c>
      <c r="DJ80" t="str">
        <f>""</f>
        <v/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</row>
    <row r="81" spans="1:125" x14ac:dyDescent="0.25">
      <c r="A81" t="str">
        <f>"                Saint Laurent"</f>
        <v xml:space="preserve">                Saint Laurent</v>
      </c>
      <c r="B81" t="str">
        <f t="shared" si="40"/>
        <v>KER FP Equity</v>
      </c>
      <c r="C81" t="str">
        <f t="shared" si="41"/>
        <v>BI047</v>
      </c>
      <c r="D81" t="str">
        <f t="shared" si="42"/>
        <v>BICS_SEGMENT_DATA</v>
      </c>
      <c r="E81" t="str">
        <f t="shared" si="43"/>
        <v>Dynamic</v>
      </c>
      <c r="F81" t="str">
        <f ca="1">IF(AND(ISNUMBER($F$230),$B$158=1),$F$230,HLOOKUP(INDIRECT(ADDRESS(2,COLUMN())),OFFSET($BN$2,0,0,ROW()-1,60),ROW()-1,FALSE))</f>
        <v/>
      </c>
      <c r="G81">
        <f ca="1">IF(AND(ISNUMBER($G$230),$B$158=1),$G$230,HLOOKUP(INDIRECT(ADDRESS(2,COLUMN())),OFFSET($BN$2,0,0,ROW()-1,60),ROW()-1,FALSE))</f>
        <v>66</v>
      </c>
      <c r="H81" t="str">
        <f ca="1">IF(AND(ISNUMBER($H$230),$B$158=1),$H$230,HLOOKUP(INDIRECT(ADDRESS(2,COLUMN())),OFFSET($BN$2,0,0,ROW()-1,60),ROW()-1,FALSE))</f>
        <v/>
      </c>
      <c r="I81">
        <f ca="1">IF(AND(ISNUMBER($I$230),$B$158=1),$I$230,HLOOKUP(INDIRECT(ADDRESS(2,COLUMN())),OFFSET($BN$2,0,0,ROW()-1,60),ROW()-1,FALSE))</f>
        <v>66</v>
      </c>
      <c r="J81" t="str">
        <f ca="1">IF(AND(ISNUMBER($J$230),$B$158=1),$J$230,HLOOKUP(INDIRECT(ADDRESS(2,COLUMN())),OFFSET($BN$2,0,0,ROW()-1,60),ROW()-1,FALSE))</f>
        <v/>
      </c>
      <c r="K81">
        <f ca="1">IF(AND(ISNUMBER($K$230),$B$158=1),$K$230,HLOOKUP(INDIRECT(ADDRESS(2,COLUMN())),OFFSET($BN$2,0,0,ROW()-1,60),ROW()-1,FALSE))</f>
        <v>65</v>
      </c>
      <c r="L81" t="str">
        <f ca="1">IF(AND(ISNUMBER($L$230),$B$158=1),$L$230,HLOOKUP(INDIRECT(ADDRESS(2,COLUMN())),OFFSET($BN$2,0,0,ROW()-1,60),ROW()-1,FALSE))</f>
        <v/>
      </c>
      <c r="M81">
        <f ca="1">IF(AND(ISNUMBER($M$230),$B$158=1),$M$230,HLOOKUP(INDIRECT(ADDRESS(2,COLUMN())),OFFSET($BN$2,0,0,ROW()-1,60),ROW()-1,FALSE))</f>
        <v>63</v>
      </c>
      <c r="N81" t="str">
        <f ca="1">IF(AND(ISNUMBER($N$230),$B$158=1),$N$230,HLOOKUP(INDIRECT(ADDRESS(2,COLUMN())),OFFSET($BN$2,0,0,ROW()-1,60),ROW()-1,FALSE))</f>
        <v/>
      </c>
      <c r="O81">
        <f ca="1">IF(AND(ISNUMBER($O$230),$B$158=1),$O$230,HLOOKUP(INDIRECT(ADDRESS(2,COLUMN())),OFFSET($BN$2,0,0,ROW()-1,60),ROW()-1,FALSE))</f>
        <v>64</v>
      </c>
      <c r="P81" t="str">
        <f ca="1">IF(AND(ISNUMBER($P$230),$B$158=1),$P$230,HLOOKUP(INDIRECT(ADDRESS(2,COLUMN())),OFFSET($BN$2,0,0,ROW()-1,60),ROW()-1,FALSE))</f>
        <v/>
      </c>
      <c r="Q81">
        <f ca="1">IF(AND(ISNUMBER($Q$230),$B$158=1),$Q$230,HLOOKUP(INDIRECT(ADDRESS(2,COLUMN())),OFFSET($BN$2,0,0,ROW()-1,60),ROW()-1,FALSE))</f>
        <v>65</v>
      </c>
      <c r="R81" t="str">
        <f ca="1">IF(AND(ISNUMBER($R$230),$B$158=1),$R$230,HLOOKUP(INDIRECT(ADDRESS(2,COLUMN())),OFFSET($BN$2,0,0,ROW()-1,60),ROW()-1,FALSE))</f>
        <v/>
      </c>
      <c r="S81">
        <f ca="1">IF(AND(ISNUMBER($S$230),$B$158=1),$S$230,HLOOKUP(INDIRECT(ADDRESS(2,COLUMN())),OFFSET($BN$2,0,0,ROW()-1,60),ROW()-1,FALSE))</f>
        <v>63</v>
      </c>
      <c r="T81" t="str">
        <f ca="1">IF(AND(ISNUMBER($T$230),$B$158=1),$T$230,HLOOKUP(INDIRECT(ADDRESS(2,COLUMN())),OFFSET($BN$2,0,0,ROW()-1,60),ROW()-1,FALSE))</f>
        <v/>
      </c>
      <c r="U81">
        <f ca="1">IF(AND(ISNUMBER($U$230),$B$158=1),$U$230,HLOOKUP(INDIRECT(ADDRESS(2,COLUMN())),OFFSET($BN$2,0,0,ROW()-1,60),ROW()-1,FALSE))</f>
        <v>63</v>
      </c>
      <c r="V81" t="str">
        <f ca="1">IF(AND(ISNUMBER($V$230),$B$158=1),$V$230,HLOOKUP(INDIRECT(ADDRESS(2,COLUMN())),OFFSET($BN$2,0,0,ROW()-1,60),ROW()-1,FALSE))</f>
        <v/>
      </c>
      <c r="W81">
        <f ca="1">IF(AND(ISNUMBER($W$230),$B$158=1),$W$230,HLOOKUP(INDIRECT(ADDRESS(2,COLUMN())),OFFSET($BN$2,0,0,ROW()-1,60),ROW()-1,FALSE))</f>
        <v>63</v>
      </c>
      <c r="X81">
        <f ca="1">IF(AND(ISNUMBER($X$230),$B$158=1),$X$230,HLOOKUP(INDIRECT(ADDRESS(2,COLUMN())),OFFSET($BN$2,0,0,ROW()-1,60),ROW()-1,FALSE))</f>
        <v>14</v>
      </c>
      <c r="Y81">
        <f ca="1">IF(AND(ISNUMBER($Y$230),$B$158=1),$Y$230,HLOOKUP(INDIRECT(ADDRESS(2,COLUMN())),OFFSET($BN$2,0,0,ROW()-1,60),ROW()-1,FALSE))</f>
        <v>66</v>
      </c>
      <c r="Z81" t="str">
        <f ca="1">IF(AND(ISNUMBER($Z$230),$B$158=1),$Z$230,HLOOKUP(INDIRECT(ADDRESS(2,COLUMN())),OFFSET($BN$2,0,0,ROW()-1,60),ROW()-1,FALSE))</f>
        <v/>
      </c>
      <c r="AA81">
        <f ca="1">IF(AND(ISNUMBER($AA$230),$B$158=1),$AA$230,HLOOKUP(INDIRECT(ADDRESS(2,COLUMN())),OFFSET($BN$2,0,0,ROW()-1,60),ROW()-1,FALSE))</f>
        <v>64</v>
      </c>
      <c r="AB81" t="str">
        <f ca="1">IF(AND(ISNUMBER($AB$230),$B$158=1),$AB$230,HLOOKUP(INDIRECT(ADDRESS(2,COLUMN())),OFFSET($BN$2,0,0,ROW()-1,60),ROW()-1,FALSE))</f>
        <v/>
      </c>
      <c r="AC81">
        <f ca="1">IF(AND(ISNUMBER($AC$230),$B$158=1),$AC$230,HLOOKUP(INDIRECT(ADDRESS(2,COLUMN())),OFFSET($BN$2,0,0,ROW()-1,60),ROW()-1,FALSE))</f>
        <v>66</v>
      </c>
      <c r="AD81" t="str">
        <f ca="1">IF(AND(ISNUMBER($AD$230),$B$158=1),$AD$230,HLOOKUP(INDIRECT(ADDRESS(2,COLUMN())),OFFSET($BN$2,0,0,ROW()-1,60),ROW()-1,FALSE))</f>
        <v/>
      </c>
      <c r="AE81" t="str">
        <f ca="1">IF(AND(ISNUMBER($AE$230),$B$158=1),$AE$230,HLOOKUP(INDIRECT(ADDRESS(2,COLUMN())),OFFSET($BN$2,0,0,ROW()-1,60),ROW()-1,FALSE))</f>
        <v/>
      </c>
      <c r="AF81" t="str">
        <f ca="1">IF(AND(ISNUMBER($AF$230),$B$158=1),$AF$230,HLOOKUP(INDIRECT(ADDRESS(2,COLUMN())),OFFSET($BN$2,0,0,ROW()-1,60),ROW()-1,FALSE))</f>
        <v/>
      </c>
      <c r="AG81" t="str">
        <f ca="1">IF(AND(ISNUMBER($AG$230),$B$158=1),$AG$230,HLOOKUP(INDIRECT(ADDRESS(2,COLUMN())),OFFSET($BN$2,0,0,ROW()-1,60),ROW()-1,FALSE))</f>
        <v/>
      </c>
      <c r="AH81" t="str">
        <f ca="1">IF(AND(ISNUMBER($AH$230),$B$158=1),$AH$230,HLOOKUP(INDIRECT(ADDRESS(2,COLUMN())),OFFSET($BN$2,0,0,ROW()-1,60),ROW()-1,FALSE))</f>
        <v/>
      </c>
      <c r="AI81" t="str">
        <f ca="1">IF(AND(ISNUMBER($AI$230),$B$158=1),$AI$230,HLOOKUP(INDIRECT(ADDRESS(2,COLUMN())),OFFSET($BN$2,0,0,ROW()-1,60),ROW()-1,FALSE))</f>
        <v/>
      </c>
      <c r="AJ81" t="str">
        <f ca="1">IF(AND(ISNUMBER($AJ$230),$B$158=1),$AJ$230,HLOOKUP(INDIRECT(ADDRESS(2,COLUMN())),OFFSET($BN$2,0,0,ROW()-1,60),ROW()-1,FALSE))</f>
        <v/>
      </c>
      <c r="AK81" t="str">
        <f ca="1">IF(AND(ISNUMBER($AK$230),$B$158=1),$AK$230,HLOOKUP(INDIRECT(ADDRESS(2,COLUMN())),OFFSET($BN$2,0,0,ROW()-1,60),ROW()-1,FALSE))</f>
        <v/>
      </c>
      <c r="AL81" t="str">
        <f ca="1">IF(AND(ISNUMBER($AL$230),$B$158=1),$AL$230,HLOOKUP(INDIRECT(ADDRESS(2,COLUMN())),OFFSET($BN$2,0,0,ROW()-1,60),ROW()-1,FALSE))</f>
        <v/>
      </c>
      <c r="AM81" t="str">
        <f ca="1">IF(AND(ISNUMBER($AM$230),$B$158=1),$AM$230,HLOOKUP(INDIRECT(ADDRESS(2,COLUMN())),OFFSET($BN$2,0,0,ROW()-1,60),ROW()-1,FALSE))</f>
        <v/>
      </c>
      <c r="AN81" t="str">
        <f ca="1">IF(AND(ISNUMBER($AN$230),$B$158=1),$AN$230,HLOOKUP(INDIRECT(ADDRESS(2,COLUMN())),OFFSET($BN$2,0,0,ROW()-1,60),ROW()-1,FALSE))</f>
        <v/>
      </c>
      <c r="AO81" t="str">
        <f ca="1">IF(AND(ISNUMBER($AO$230),$B$158=1),$AO$230,HLOOKUP(INDIRECT(ADDRESS(2,COLUMN())),OFFSET($BN$2,0,0,ROW()-1,60),ROW()-1,FALSE))</f>
        <v/>
      </c>
      <c r="AP81" t="str">
        <f ca="1">IF(AND(ISNUMBER($AP$230),$B$158=1),$AP$230,HLOOKUP(INDIRECT(ADDRESS(2,COLUMN())),OFFSET($BN$2,0,0,ROW()-1,60),ROW()-1,FALSE))</f>
        <v/>
      </c>
      <c r="AQ81" t="str">
        <f ca="1">IF(AND(ISNUMBER($AQ$230),$B$158=1),$AQ$230,HLOOKUP(INDIRECT(ADDRESS(2,COLUMN())),OFFSET($BN$2,0,0,ROW()-1,60),ROW()-1,FALSE))</f>
        <v/>
      </c>
      <c r="AR81" t="str">
        <f ca="1">IF(AND(ISNUMBER($AR$230),$B$158=1),$AR$230,HLOOKUP(INDIRECT(ADDRESS(2,COLUMN())),OFFSET($BN$2,0,0,ROW()-1,60),ROW()-1,FALSE))</f>
        <v/>
      </c>
      <c r="AS81" t="str">
        <f ca="1">IF(AND(ISNUMBER($AS$230),$B$158=1),$AS$230,HLOOKUP(INDIRECT(ADDRESS(2,COLUMN())),OFFSET($BN$2,0,0,ROW()-1,60),ROW()-1,FALSE))</f>
        <v/>
      </c>
      <c r="AT81" t="str">
        <f ca="1">IF(AND(ISNUMBER($AT$230),$B$158=1),$AT$230,HLOOKUP(INDIRECT(ADDRESS(2,COLUMN())),OFFSET($BN$2,0,0,ROW()-1,60),ROW()-1,FALSE))</f>
        <v/>
      </c>
      <c r="AU81" t="str">
        <f ca="1">IF(AND(ISNUMBER($AU$230),$B$158=1),$AU$230,HLOOKUP(INDIRECT(ADDRESS(2,COLUMN())),OFFSET($BN$2,0,0,ROW()-1,60),ROW()-1,FALSE))</f>
        <v/>
      </c>
      <c r="AV81" t="str">
        <f ca="1">IF(AND(ISNUMBER($AV$230),$B$158=1),$AV$230,HLOOKUP(INDIRECT(ADDRESS(2,COLUMN())),OFFSET($BN$2,0,0,ROW()-1,60),ROW()-1,FALSE))</f>
        <v/>
      </c>
      <c r="AW81" t="str">
        <f ca="1">IF(AND(ISNUMBER($AW$230),$B$158=1),$AW$230,HLOOKUP(INDIRECT(ADDRESS(2,COLUMN())),OFFSET($BN$2,0,0,ROW()-1,60),ROW()-1,FALSE))</f>
        <v/>
      </c>
      <c r="AX81" t="str">
        <f ca="1">IF(AND(ISNUMBER($AX$230),$B$158=1),$AX$230,HLOOKUP(INDIRECT(ADDRESS(2,COLUMN())),OFFSET($BN$2,0,0,ROW()-1,60),ROW()-1,FALSE))</f>
        <v/>
      </c>
      <c r="AY81" t="str">
        <f ca="1">IF(AND(ISNUMBER($AY$230),$B$158=1),$AY$230,HLOOKUP(INDIRECT(ADDRESS(2,COLUMN())),OFFSET($BN$2,0,0,ROW()-1,60),ROW()-1,FALSE))</f>
        <v/>
      </c>
      <c r="AZ81" t="str">
        <f ca="1">IF(AND(ISNUMBER($AZ$230),$B$158=1),$AZ$230,HLOOKUP(INDIRECT(ADDRESS(2,COLUMN())),OFFSET($BN$2,0,0,ROW()-1,60),ROW()-1,FALSE))</f>
        <v/>
      </c>
      <c r="BA81" t="str">
        <f ca="1">IF(AND(ISNUMBER($BA$230),$B$158=1),$BA$230,HLOOKUP(INDIRECT(ADDRESS(2,COLUMN())),OFFSET($BN$2,0,0,ROW()-1,60),ROW()-1,FALSE))</f>
        <v/>
      </c>
      <c r="BB81" t="str">
        <f ca="1">IF(AND(ISNUMBER($BB$230),$B$158=1),$BB$230,HLOOKUP(INDIRECT(ADDRESS(2,COLUMN())),OFFSET($BN$2,0,0,ROW()-1,60),ROW()-1,FALSE))</f>
        <v/>
      </c>
      <c r="BC81" t="str">
        <f ca="1">IF(AND(ISNUMBER($BC$230),$B$158=1),$BC$230,HLOOKUP(INDIRECT(ADDRESS(2,COLUMN())),OFFSET($BN$2,0,0,ROW()-1,60),ROW()-1,FALSE))</f>
        <v/>
      </c>
      <c r="BD81" t="str">
        <f ca="1">IF(AND(ISNUMBER($BD$230),$B$158=1),$BD$230,HLOOKUP(INDIRECT(ADDRESS(2,COLUMN())),OFFSET($BN$2,0,0,ROW()-1,60),ROW()-1,FALSE))</f>
        <v/>
      </c>
      <c r="BE81" t="str">
        <f ca="1">IF(AND(ISNUMBER($BE$230),$B$158=1),$BE$230,HLOOKUP(INDIRECT(ADDRESS(2,COLUMN())),OFFSET($BN$2,0,0,ROW()-1,60),ROW()-1,FALSE))</f>
        <v/>
      </c>
      <c r="BF81" t="str">
        <f ca="1">IF(AND(ISNUMBER($BF$230),$B$158=1),$BF$230,HLOOKUP(INDIRECT(ADDRESS(2,COLUMN())),OFFSET($BN$2,0,0,ROW()-1,60),ROW()-1,FALSE))</f>
        <v/>
      </c>
      <c r="BG81" t="str">
        <f ca="1">IF(AND(ISNUMBER($BG$230),$B$158=1),$BG$230,HLOOKUP(INDIRECT(ADDRESS(2,COLUMN())),OFFSET($BN$2,0,0,ROW()-1,60),ROW()-1,FALSE))</f>
        <v/>
      </c>
      <c r="BH81" t="str">
        <f ca="1">IF(AND(ISNUMBER($BH$230),$B$158=1),$BH$230,HLOOKUP(INDIRECT(ADDRESS(2,COLUMN())),OFFSET($BN$2,0,0,ROW()-1,60),ROW()-1,FALSE))</f>
        <v/>
      </c>
      <c r="BI81" t="str">
        <f ca="1">IF(AND(ISNUMBER($BI$230),$B$158=1),$BI$230,HLOOKUP(INDIRECT(ADDRESS(2,COLUMN())),OFFSET($BN$2,0,0,ROW()-1,60),ROW()-1,FALSE))</f>
        <v/>
      </c>
      <c r="BJ81" t="str">
        <f ca="1">IF(AND(ISNUMBER($BJ$230),$B$158=1),$BJ$230,HLOOKUP(INDIRECT(ADDRESS(2,COLUMN())),OFFSET($BN$2,0,0,ROW()-1,60),ROW()-1,FALSE))</f>
        <v/>
      </c>
      <c r="BK81" t="str">
        <f ca="1">IF(AND(ISNUMBER($BK$230),$B$158=1),$BK$230,HLOOKUP(INDIRECT(ADDRESS(2,COLUMN())),OFFSET($BN$2,0,0,ROW()-1,60),ROW()-1,FALSE))</f>
        <v/>
      </c>
      <c r="BL81" t="str">
        <f ca="1">IF(AND(ISNUMBER($BL$230),$B$158=1),$BL$230,HLOOKUP(INDIRECT(ADDRESS(2,COLUMN())),OFFSET($BN$2,0,0,ROW()-1,60),ROW()-1,FALSE))</f>
        <v/>
      </c>
      <c r="BM81" t="str">
        <f ca="1">IF(AND(ISNUMBER($BM$230),$B$158=1),$BM$230,HLOOKUP(INDIRECT(ADDRESS(2,COLUMN())),OFFSET($BN$2,0,0,ROW()-1,60),ROW()-1,FALSE))</f>
        <v/>
      </c>
      <c r="BN81" t="str">
        <f>""</f>
        <v/>
      </c>
      <c r="BO81">
        <f>66</f>
        <v>66</v>
      </c>
      <c r="BP81" t="str">
        <f>""</f>
        <v/>
      </c>
      <c r="BQ81">
        <f>66</f>
        <v>66</v>
      </c>
      <c r="BR81" t="str">
        <f>""</f>
        <v/>
      </c>
      <c r="BS81">
        <f>65</f>
        <v>65</v>
      </c>
      <c r="BT81" t="str">
        <f>""</f>
        <v/>
      </c>
      <c r="BU81">
        <f>63</f>
        <v>63</v>
      </c>
      <c r="BV81" t="str">
        <f>""</f>
        <v/>
      </c>
      <c r="BW81">
        <f>64</f>
        <v>64</v>
      </c>
      <c r="BX81" t="str">
        <f>""</f>
        <v/>
      </c>
      <c r="BY81">
        <f>65</f>
        <v>65</v>
      </c>
      <c r="BZ81" t="str">
        <f>""</f>
        <v/>
      </c>
      <c r="CA81">
        <f>63</f>
        <v>63</v>
      </c>
      <c r="CB81" t="str">
        <f>""</f>
        <v/>
      </c>
      <c r="CC81">
        <f>63</f>
        <v>63</v>
      </c>
      <c r="CD81" t="str">
        <f>""</f>
        <v/>
      </c>
      <c r="CE81">
        <f>63</f>
        <v>63</v>
      </c>
      <c r="CF81">
        <f>14</f>
        <v>14</v>
      </c>
      <c r="CG81">
        <f>66</f>
        <v>66</v>
      </c>
      <c r="CH81" t="str">
        <f>""</f>
        <v/>
      </c>
      <c r="CI81">
        <f>64</f>
        <v>64</v>
      </c>
      <c r="CJ81" t="str">
        <f>""</f>
        <v/>
      </c>
      <c r="CK81">
        <f>66</f>
        <v>66</v>
      </c>
      <c r="CL81" t="str">
        <f>""</f>
        <v/>
      </c>
      <c r="CM81" t="str">
        <f>""</f>
        <v/>
      </c>
      <c r="CN81" t="str">
        <f>""</f>
        <v/>
      </c>
      <c r="CO81" t="str">
        <f>""</f>
        <v/>
      </c>
      <c r="CP81" t="str">
        <f>""</f>
        <v/>
      </c>
      <c r="CQ81" t="str">
        <f>""</f>
        <v/>
      </c>
      <c r="CR81" t="str">
        <f>""</f>
        <v/>
      </c>
      <c r="CS81" t="str">
        <f>""</f>
        <v/>
      </c>
      <c r="CT81" t="str">
        <f>""</f>
        <v/>
      </c>
      <c r="CU81" t="str">
        <f>""</f>
        <v/>
      </c>
      <c r="CV81" t="str">
        <f>""</f>
        <v/>
      </c>
      <c r="CW81" t="str">
        <f>""</f>
        <v/>
      </c>
      <c r="CX81" t="str">
        <f>""</f>
        <v/>
      </c>
      <c r="CY81" t="str">
        <f>""</f>
        <v/>
      </c>
      <c r="CZ81" t="str">
        <f>""</f>
        <v/>
      </c>
      <c r="DA81" t="str">
        <f>""</f>
        <v/>
      </c>
      <c r="DB81" t="str">
        <f>""</f>
        <v/>
      </c>
      <c r="DC81" t="str">
        <f>""</f>
        <v/>
      </c>
      <c r="DD81" t="str">
        <f>""</f>
        <v/>
      </c>
      <c r="DE81" t="str">
        <f>""</f>
        <v/>
      </c>
      <c r="DF81" t="str">
        <f>""</f>
        <v/>
      </c>
      <c r="DG81" t="str">
        <f>""</f>
        <v/>
      </c>
      <c r="DH81" t="str">
        <f>""</f>
        <v/>
      </c>
      <c r="DI81" t="str">
        <f>""</f>
        <v/>
      </c>
      <c r="DJ81" t="str">
        <f>""</f>
        <v/>
      </c>
      <c r="DK81" t="str">
        <f>""</f>
        <v/>
      </c>
      <c r="DL81" t="str">
        <f>""</f>
        <v/>
      </c>
      <c r="DM81" t="str">
        <f>""</f>
        <v/>
      </c>
      <c r="DN81" t="str">
        <f>""</f>
        <v/>
      </c>
      <c r="DO81" t="str">
        <f>""</f>
        <v/>
      </c>
      <c r="DP81" t="str">
        <f>""</f>
        <v/>
      </c>
      <c r="DQ81" t="str">
        <f>""</f>
        <v/>
      </c>
      <c r="DR81" t="str">
        <f>""</f>
        <v/>
      </c>
      <c r="DS81" t="str">
        <f>""</f>
        <v/>
      </c>
      <c r="DT81" t="str">
        <f>""</f>
        <v/>
      </c>
      <c r="DU81" t="str">
        <f>""</f>
        <v/>
      </c>
    </row>
    <row r="82" spans="1:125" x14ac:dyDescent="0.25">
      <c r="A82" t="str">
        <f>"                Bottega Venetta"</f>
        <v xml:space="preserve">                Bottega Venetta</v>
      </c>
      <c r="B82" t="str">
        <f t="shared" si="40"/>
        <v>KER FP Equity</v>
      </c>
      <c r="C82" t="str">
        <f t="shared" si="41"/>
        <v>BI047</v>
      </c>
      <c r="D82" t="str">
        <f t="shared" si="42"/>
        <v>BICS_SEGMENT_DATA</v>
      </c>
      <c r="E82" t="str">
        <f t="shared" si="43"/>
        <v>Dynamic</v>
      </c>
      <c r="F82" t="str">
        <f ca="1">IF(AND(ISNUMBER($F$231),$B$158=1),$F$231,HLOOKUP(INDIRECT(ADDRESS(2,COLUMN())),OFFSET($BN$2,0,0,ROW()-1,60),ROW()-1,FALSE))</f>
        <v/>
      </c>
      <c r="G82">
        <f ca="1">IF(AND(ISNUMBER($G$231),$B$158=1),$G$231,HLOOKUP(INDIRECT(ADDRESS(2,COLUMN())),OFFSET($BN$2,0,0,ROW()-1,60),ROW()-1,FALSE))</f>
        <v>75</v>
      </c>
      <c r="H82" t="str">
        <f ca="1">IF(AND(ISNUMBER($H$231),$B$158=1),$H$231,HLOOKUP(INDIRECT(ADDRESS(2,COLUMN())),OFFSET($BN$2,0,0,ROW()-1,60),ROW()-1,FALSE))</f>
        <v/>
      </c>
      <c r="I82">
        <f ca="1">IF(AND(ISNUMBER($I$231),$B$158=1),$I$231,HLOOKUP(INDIRECT(ADDRESS(2,COLUMN())),OFFSET($BN$2,0,0,ROW()-1,60),ROW()-1,FALSE))</f>
        <v>75</v>
      </c>
      <c r="J82" t="str">
        <f ca="1">IF(AND(ISNUMBER($J$231),$B$158=1),$J$231,HLOOKUP(INDIRECT(ADDRESS(2,COLUMN())),OFFSET($BN$2,0,0,ROW()-1,60),ROW()-1,FALSE))</f>
        <v/>
      </c>
      <c r="K82">
        <f ca="1">IF(AND(ISNUMBER($K$231),$B$158=1),$K$231,HLOOKUP(INDIRECT(ADDRESS(2,COLUMN())),OFFSET($BN$2,0,0,ROW()-1,60),ROW()-1,FALSE))</f>
        <v>77</v>
      </c>
      <c r="L82" t="str">
        <f ca="1">IF(AND(ISNUMBER($L$231),$B$158=1),$L$231,HLOOKUP(INDIRECT(ADDRESS(2,COLUMN())),OFFSET($BN$2,0,0,ROW()-1,60),ROW()-1,FALSE))</f>
        <v/>
      </c>
      <c r="M82">
        <f ca="1">IF(AND(ISNUMBER($M$231),$B$158=1),$M$231,HLOOKUP(INDIRECT(ADDRESS(2,COLUMN())),OFFSET($BN$2,0,0,ROW()-1,60),ROW()-1,FALSE))</f>
        <v>76</v>
      </c>
      <c r="N82" t="str">
        <f ca="1">IF(AND(ISNUMBER($N$231),$B$158=1),$N$231,HLOOKUP(INDIRECT(ADDRESS(2,COLUMN())),OFFSET($BN$2,0,0,ROW()-1,60),ROW()-1,FALSE))</f>
        <v/>
      </c>
      <c r="O82">
        <f ca="1">IF(AND(ISNUMBER($O$231),$B$158=1),$O$231,HLOOKUP(INDIRECT(ADDRESS(2,COLUMN())),OFFSET($BN$2,0,0,ROW()-1,60),ROW()-1,FALSE))</f>
        <v>83</v>
      </c>
      <c r="P82" t="str">
        <f ca="1">IF(AND(ISNUMBER($P$231),$B$158=1),$P$231,HLOOKUP(INDIRECT(ADDRESS(2,COLUMN())),OFFSET($BN$2,0,0,ROW()-1,60),ROW()-1,FALSE))</f>
        <v/>
      </c>
      <c r="Q82">
        <f ca="1">IF(AND(ISNUMBER($Q$231),$B$158=1),$Q$231,HLOOKUP(INDIRECT(ADDRESS(2,COLUMN())),OFFSET($BN$2,0,0,ROW()-1,60),ROW()-1,FALSE))</f>
        <v>83</v>
      </c>
      <c r="R82" t="str">
        <f ca="1">IF(AND(ISNUMBER($R$231),$B$158=1),$R$231,HLOOKUP(INDIRECT(ADDRESS(2,COLUMN())),OFFSET($BN$2,0,0,ROW()-1,60),ROW()-1,FALSE))</f>
        <v/>
      </c>
      <c r="S82">
        <f ca="1">IF(AND(ISNUMBER($S$231),$B$158=1),$S$231,HLOOKUP(INDIRECT(ADDRESS(2,COLUMN())),OFFSET($BN$2,0,0,ROW()-1,60),ROW()-1,FALSE))</f>
        <v>83</v>
      </c>
      <c r="T82" t="str">
        <f ca="1">IF(AND(ISNUMBER($T$231),$B$158=1),$T$231,HLOOKUP(INDIRECT(ADDRESS(2,COLUMN())),OFFSET($BN$2,0,0,ROW()-1,60),ROW()-1,FALSE))</f>
        <v/>
      </c>
      <c r="U82">
        <f ca="1">IF(AND(ISNUMBER($U$231),$B$158=1),$U$231,HLOOKUP(INDIRECT(ADDRESS(2,COLUMN())),OFFSET($BN$2,0,0,ROW()-1,60),ROW()-1,FALSE))</f>
        <v>84</v>
      </c>
      <c r="V82" t="str">
        <f ca="1">IF(AND(ISNUMBER($V$231),$B$158=1),$V$231,HLOOKUP(INDIRECT(ADDRESS(2,COLUMN())),OFFSET($BN$2,0,0,ROW()-1,60),ROW()-1,FALSE))</f>
        <v/>
      </c>
      <c r="W82">
        <f ca="1">IF(AND(ISNUMBER($W$231),$B$158=1),$W$231,HLOOKUP(INDIRECT(ADDRESS(2,COLUMN())),OFFSET($BN$2,0,0,ROW()-1,60),ROW()-1,FALSE))</f>
        <v>85</v>
      </c>
      <c r="X82">
        <f ca="1">IF(AND(ISNUMBER($X$231),$B$158=1),$X$231,HLOOKUP(INDIRECT(ADDRESS(2,COLUMN())),OFFSET($BN$2,0,0,ROW()-1,60),ROW()-1,FALSE))</f>
        <v>12</v>
      </c>
      <c r="Y82">
        <f ca="1">IF(AND(ISNUMBER($Y$231),$B$158=1),$Y$231,HLOOKUP(INDIRECT(ADDRESS(2,COLUMN())),OFFSET($BN$2,0,0,ROW()-1,60),ROW()-1,FALSE))</f>
        <v>83</v>
      </c>
      <c r="Z82" t="str">
        <f ca="1">IF(AND(ISNUMBER($Z$231),$B$158=1),$Z$231,HLOOKUP(INDIRECT(ADDRESS(2,COLUMN())),OFFSET($BN$2,0,0,ROW()-1,60),ROW()-1,FALSE))</f>
        <v/>
      </c>
      <c r="AA82">
        <f ca="1">IF(AND(ISNUMBER($AA$231),$B$158=1),$AA$231,HLOOKUP(INDIRECT(ADDRESS(2,COLUMN())),OFFSET($BN$2,0,0,ROW()-1,60),ROW()-1,FALSE))</f>
        <v>83</v>
      </c>
      <c r="AB82" t="str">
        <f ca="1">IF(AND(ISNUMBER($AB$231),$B$158=1),$AB$231,HLOOKUP(INDIRECT(ADDRESS(2,COLUMN())),OFFSET($BN$2,0,0,ROW()-1,60),ROW()-1,FALSE))</f>
        <v/>
      </c>
      <c r="AC82">
        <f ca="1">IF(AND(ISNUMBER($AC$231),$B$158=1),$AC$231,HLOOKUP(INDIRECT(ADDRESS(2,COLUMN())),OFFSET($BN$2,0,0,ROW()-1,60),ROW()-1,FALSE))</f>
        <v>82</v>
      </c>
      <c r="AD82" t="str">
        <f ca="1">IF(AND(ISNUMBER($AD$231),$B$158=1),$AD$231,HLOOKUP(INDIRECT(ADDRESS(2,COLUMN())),OFFSET($BN$2,0,0,ROW()-1,60),ROW()-1,FALSE))</f>
        <v/>
      </c>
      <c r="AE82" t="str">
        <f ca="1">IF(AND(ISNUMBER($AE$231),$B$158=1),$AE$231,HLOOKUP(INDIRECT(ADDRESS(2,COLUMN())),OFFSET($BN$2,0,0,ROW()-1,60),ROW()-1,FALSE))</f>
        <v/>
      </c>
      <c r="AF82" t="str">
        <f ca="1">IF(AND(ISNUMBER($AF$231),$B$158=1),$AF$231,HLOOKUP(INDIRECT(ADDRESS(2,COLUMN())),OFFSET($BN$2,0,0,ROW()-1,60),ROW()-1,FALSE))</f>
        <v/>
      </c>
      <c r="AG82" t="str">
        <f ca="1">IF(AND(ISNUMBER($AG$231),$B$158=1),$AG$231,HLOOKUP(INDIRECT(ADDRESS(2,COLUMN())),OFFSET($BN$2,0,0,ROW()-1,60),ROW()-1,FALSE))</f>
        <v/>
      </c>
      <c r="AH82" t="str">
        <f ca="1">IF(AND(ISNUMBER($AH$231),$B$158=1),$AH$231,HLOOKUP(INDIRECT(ADDRESS(2,COLUMN())),OFFSET($BN$2,0,0,ROW()-1,60),ROW()-1,FALSE))</f>
        <v/>
      </c>
      <c r="AI82" t="str">
        <f ca="1">IF(AND(ISNUMBER($AI$231),$B$158=1),$AI$231,HLOOKUP(INDIRECT(ADDRESS(2,COLUMN())),OFFSET($BN$2,0,0,ROW()-1,60),ROW()-1,FALSE))</f>
        <v/>
      </c>
      <c r="AJ82" t="str">
        <f ca="1">IF(AND(ISNUMBER($AJ$231),$B$158=1),$AJ$231,HLOOKUP(INDIRECT(ADDRESS(2,COLUMN())),OFFSET($BN$2,0,0,ROW()-1,60),ROW()-1,FALSE))</f>
        <v/>
      </c>
      <c r="AK82" t="str">
        <f ca="1">IF(AND(ISNUMBER($AK$231),$B$158=1),$AK$231,HLOOKUP(INDIRECT(ADDRESS(2,COLUMN())),OFFSET($BN$2,0,0,ROW()-1,60),ROW()-1,FALSE))</f>
        <v/>
      </c>
      <c r="AL82" t="str">
        <f ca="1">IF(AND(ISNUMBER($AL$231),$B$158=1),$AL$231,HLOOKUP(INDIRECT(ADDRESS(2,COLUMN())),OFFSET($BN$2,0,0,ROW()-1,60),ROW()-1,FALSE))</f>
        <v/>
      </c>
      <c r="AM82" t="str">
        <f ca="1">IF(AND(ISNUMBER($AM$231),$B$158=1),$AM$231,HLOOKUP(INDIRECT(ADDRESS(2,COLUMN())),OFFSET($BN$2,0,0,ROW()-1,60),ROW()-1,FALSE))</f>
        <v/>
      </c>
      <c r="AN82" t="str">
        <f ca="1">IF(AND(ISNUMBER($AN$231),$B$158=1),$AN$231,HLOOKUP(INDIRECT(ADDRESS(2,COLUMN())),OFFSET($BN$2,0,0,ROW()-1,60),ROW()-1,FALSE))</f>
        <v/>
      </c>
      <c r="AO82" t="str">
        <f ca="1">IF(AND(ISNUMBER($AO$231),$B$158=1),$AO$231,HLOOKUP(INDIRECT(ADDRESS(2,COLUMN())),OFFSET($BN$2,0,0,ROW()-1,60),ROW()-1,FALSE))</f>
        <v/>
      </c>
      <c r="AP82" t="str">
        <f ca="1">IF(AND(ISNUMBER($AP$231),$B$158=1),$AP$231,HLOOKUP(INDIRECT(ADDRESS(2,COLUMN())),OFFSET($BN$2,0,0,ROW()-1,60),ROW()-1,FALSE))</f>
        <v/>
      </c>
      <c r="AQ82" t="str">
        <f ca="1">IF(AND(ISNUMBER($AQ$231),$B$158=1),$AQ$231,HLOOKUP(INDIRECT(ADDRESS(2,COLUMN())),OFFSET($BN$2,0,0,ROW()-1,60),ROW()-1,FALSE))</f>
        <v/>
      </c>
      <c r="AR82" t="str">
        <f ca="1">IF(AND(ISNUMBER($AR$231),$B$158=1),$AR$231,HLOOKUP(INDIRECT(ADDRESS(2,COLUMN())),OFFSET($BN$2,0,0,ROW()-1,60),ROW()-1,FALSE))</f>
        <v/>
      </c>
      <c r="AS82" t="str">
        <f ca="1">IF(AND(ISNUMBER($AS$231),$B$158=1),$AS$231,HLOOKUP(INDIRECT(ADDRESS(2,COLUMN())),OFFSET($BN$2,0,0,ROW()-1,60),ROW()-1,FALSE))</f>
        <v/>
      </c>
      <c r="AT82" t="str">
        <f ca="1">IF(AND(ISNUMBER($AT$231),$B$158=1),$AT$231,HLOOKUP(INDIRECT(ADDRESS(2,COLUMN())),OFFSET($BN$2,0,0,ROW()-1,60),ROW()-1,FALSE))</f>
        <v/>
      </c>
      <c r="AU82" t="str">
        <f ca="1">IF(AND(ISNUMBER($AU$231),$B$158=1),$AU$231,HLOOKUP(INDIRECT(ADDRESS(2,COLUMN())),OFFSET($BN$2,0,0,ROW()-1,60),ROW()-1,FALSE))</f>
        <v/>
      </c>
      <c r="AV82" t="str">
        <f ca="1">IF(AND(ISNUMBER($AV$231),$B$158=1),$AV$231,HLOOKUP(INDIRECT(ADDRESS(2,COLUMN())),OFFSET($BN$2,0,0,ROW()-1,60),ROW()-1,FALSE))</f>
        <v/>
      </c>
      <c r="AW82" t="str">
        <f ca="1">IF(AND(ISNUMBER($AW$231),$B$158=1),$AW$231,HLOOKUP(INDIRECT(ADDRESS(2,COLUMN())),OFFSET($BN$2,0,0,ROW()-1,60),ROW()-1,FALSE))</f>
        <v/>
      </c>
      <c r="AX82" t="str">
        <f ca="1">IF(AND(ISNUMBER($AX$231),$B$158=1),$AX$231,HLOOKUP(INDIRECT(ADDRESS(2,COLUMN())),OFFSET($BN$2,0,0,ROW()-1,60),ROW()-1,FALSE))</f>
        <v/>
      </c>
      <c r="AY82" t="str">
        <f ca="1">IF(AND(ISNUMBER($AY$231),$B$158=1),$AY$231,HLOOKUP(INDIRECT(ADDRESS(2,COLUMN())),OFFSET($BN$2,0,0,ROW()-1,60),ROW()-1,FALSE))</f>
        <v/>
      </c>
      <c r="AZ82" t="str">
        <f ca="1">IF(AND(ISNUMBER($AZ$231),$B$158=1),$AZ$231,HLOOKUP(INDIRECT(ADDRESS(2,COLUMN())),OFFSET($BN$2,0,0,ROW()-1,60),ROW()-1,FALSE))</f>
        <v/>
      </c>
      <c r="BA82" t="str">
        <f ca="1">IF(AND(ISNUMBER($BA$231),$B$158=1),$BA$231,HLOOKUP(INDIRECT(ADDRESS(2,COLUMN())),OFFSET($BN$2,0,0,ROW()-1,60),ROW()-1,FALSE))</f>
        <v/>
      </c>
      <c r="BB82" t="str">
        <f ca="1">IF(AND(ISNUMBER($BB$231),$B$158=1),$BB$231,HLOOKUP(INDIRECT(ADDRESS(2,COLUMN())),OFFSET($BN$2,0,0,ROW()-1,60),ROW()-1,FALSE))</f>
        <v/>
      </c>
      <c r="BC82" t="str">
        <f ca="1">IF(AND(ISNUMBER($BC$231),$B$158=1),$BC$231,HLOOKUP(INDIRECT(ADDRESS(2,COLUMN())),OFFSET($BN$2,0,0,ROW()-1,60),ROW()-1,FALSE))</f>
        <v/>
      </c>
      <c r="BD82" t="str">
        <f ca="1">IF(AND(ISNUMBER($BD$231),$B$158=1),$BD$231,HLOOKUP(INDIRECT(ADDRESS(2,COLUMN())),OFFSET($BN$2,0,0,ROW()-1,60),ROW()-1,FALSE))</f>
        <v/>
      </c>
      <c r="BE82" t="str">
        <f ca="1">IF(AND(ISNUMBER($BE$231),$B$158=1),$BE$231,HLOOKUP(INDIRECT(ADDRESS(2,COLUMN())),OFFSET($BN$2,0,0,ROW()-1,60),ROW()-1,FALSE))</f>
        <v/>
      </c>
      <c r="BF82" t="str">
        <f ca="1">IF(AND(ISNUMBER($BF$231),$B$158=1),$BF$231,HLOOKUP(INDIRECT(ADDRESS(2,COLUMN())),OFFSET($BN$2,0,0,ROW()-1,60),ROW()-1,FALSE))</f>
        <v/>
      </c>
      <c r="BG82" t="str">
        <f ca="1">IF(AND(ISNUMBER($BG$231),$B$158=1),$BG$231,HLOOKUP(INDIRECT(ADDRESS(2,COLUMN())),OFFSET($BN$2,0,0,ROW()-1,60),ROW()-1,FALSE))</f>
        <v/>
      </c>
      <c r="BH82" t="str">
        <f ca="1">IF(AND(ISNUMBER($BH$231),$B$158=1),$BH$231,HLOOKUP(INDIRECT(ADDRESS(2,COLUMN())),OFFSET($BN$2,0,0,ROW()-1,60),ROW()-1,FALSE))</f>
        <v/>
      </c>
      <c r="BI82" t="str">
        <f ca="1">IF(AND(ISNUMBER($BI$231),$B$158=1),$BI$231,HLOOKUP(INDIRECT(ADDRESS(2,COLUMN())),OFFSET($BN$2,0,0,ROW()-1,60),ROW()-1,FALSE))</f>
        <v/>
      </c>
      <c r="BJ82" t="str">
        <f ca="1">IF(AND(ISNUMBER($BJ$231),$B$158=1),$BJ$231,HLOOKUP(INDIRECT(ADDRESS(2,COLUMN())),OFFSET($BN$2,0,0,ROW()-1,60),ROW()-1,FALSE))</f>
        <v/>
      </c>
      <c r="BK82" t="str">
        <f ca="1">IF(AND(ISNUMBER($BK$231),$B$158=1),$BK$231,HLOOKUP(INDIRECT(ADDRESS(2,COLUMN())),OFFSET($BN$2,0,0,ROW()-1,60),ROW()-1,FALSE))</f>
        <v/>
      </c>
      <c r="BL82" t="str">
        <f ca="1">IF(AND(ISNUMBER($BL$231),$B$158=1),$BL$231,HLOOKUP(INDIRECT(ADDRESS(2,COLUMN())),OFFSET($BN$2,0,0,ROW()-1,60),ROW()-1,FALSE))</f>
        <v/>
      </c>
      <c r="BM82" t="str">
        <f ca="1">IF(AND(ISNUMBER($BM$231),$B$158=1),$BM$231,HLOOKUP(INDIRECT(ADDRESS(2,COLUMN())),OFFSET($BN$2,0,0,ROW()-1,60),ROW()-1,FALSE))</f>
        <v/>
      </c>
      <c r="BN82" t="str">
        <f>""</f>
        <v/>
      </c>
      <c r="BO82">
        <f>75</f>
        <v>75</v>
      </c>
      <c r="BP82" t="str">
        <f>""</f>
        <v/>
      </c>
      <c r="BQ82">
        <f>75</f>
        <v>75</v>
      </c>
      <c r="BR82" t="str">
        <f>""</f>
        <v/>
      </c>
      <c r="BS82">
        <f>77</f>
        <v>77</v>
      </c>
      <c r="BT82" t="str">
        <f>""</f>
        <v/>
      </c>
      <c r="BU82">
        <f>76</f>
        <v>76</v>
      </c>
      <c r="BV82" t="str">
        <f>""</f>
        <v/>
      </c>
      <c r="BW82">
        <f>83</f>
        <v>83</v>
      </c>
      <c r="BX82" t="str">
        <f>""</f>
        <v/>
      </c>
      <c r="BY82">
        <f>83</f>
        <v>83</v>
      </c>
      <c r="BZ82" t="str">
        <f>""</f>
        <v/>
      </c>
      <c r="CA82">
        <f>83</f>
        <v>83</v>
      </c>
      <c r="CB82" t="str">
        <f>""</f>
        <v/>
      </c>
      <c r="CC82">
        <f>84</f>
        <v>84</v>
      </c>
      <c r="CD82" t="str">
        <f>""</f>
        <v/>
      </c>
      <c r="CE82">
        <f>85</f>
        <v>85</v>
      </c>
      <c r="CF82">
        <f>12</f>
        <v>12</v>
      </c>
      <c r="CG82">
        <f>83</f>
        <v>83</v>
      </c>
      <c r="CH82" t="str">
        <f>""</f>
        <v/>
      </c>
      <c r="CI82">
        <f>83</f>
        <v>83</v>
      </c>
      <c r="CJ82" t="str">
        <f>""</f>
        <v/>
      </c>
      <c r="CK82">
        <f>82</f>
        <v>82</v>
      </c>
      <c r="CL82" t="str">
        <f>""</f>
        <v/>
      </c>
      <c r="CM82" t="str">
        <f>""</f>
        <v/>
      </c>
      <c r="CN82" t="str">
        <f>""</f>
        <v/>
      </c>
      <c r="CO82" t="str">
        <f>""</f>
        <v/>
      </c>
      <c r="CP82" t="str">
        <f>""</f>
        <v/>
      </c>
      <c r="CQ82" t="str">
        <f>""</f>
        <v/>
      </c>
      <c r="CR82" t="str">
        <f>""</f>
        <v/>
      </c>
      <c r="CS82" t="str">
        <f>""</f>
        <v/>
      </c>
      <c r="CT82" t="str">
        <f>""</f>
        <v/>
      </c>
      <c r="CU82" t="str">
        <f>""</f>
        <v/>
      </c>
      <c r="CV82" t="str">
        <f>""</f>
        <v/>
      </c>
      <c r="CW82" t="str">
        <f>""</f>
        <v/>
      </c>
      <c r="CX82" t="str">
        <f>""</f>
        <v/>
      </c>
      <c r="CY82" t="str">
        <f>""</f>
        <v/>
      </c>
      <c r="CZ82" t="str">
        <f>""</f>
        <v/>
      </c>
      <c r="DA82" t="str">
        <f>""</f>
        <v/>
      </c>
      <c r="DB82" t="str">
        <f>""</f>
        <v/>
      </c>
      <c r="DC82" t="str">
        <f>""</f>
        <v/>
      </c>
      <c r="DD82" t="str">
        <f>""</f>
        <v/>
      </c>
      <c r="DE82" t="str">
        <f>""</f>
        <v/>
      </c>
      <c r="DF82" t="str">
        <f>""</f>
        <v/>
      </c>
      <c r="DG82" t="str">
        <f>""</f>
        <v/>
      </c>
      <c r="DH82" t="str">
        <f>""</f>
        <v/>
      </c>
      <c r="DI82" t="str">
        <f>""</f>
        <v/>
      </c>
      <c r="DJ82" t="str">
        <f>""</f>
        <v/>
      </c>
      <c r="DK82" t="str">
        <f>""</f>
        <v/>
      </c>
      <c r="DL82" t="str">
        <f>""</f>
        <v/>
      </c>
      <c r="DM82" t="str">
        <f>""</f>
        <v/>
      </c>
      <c r="DN82" t="str">
        <f>""</f>
        <v/>
      </c>
      <c r="DO82" t="str">
        <f>""</f>
        <v/>
      </c>
      <c r="DP82" t="str">
        <f>""</f>
        <v/>
      </c>
      <c r="DQ82" t="str">
        <f>""</f>
        <v/>
      </c>
      <c r="DR82" t="str">
        <f>""</f>
        <v/>
      </c>
      <c r="DS82" t="str">
        <f>""</f>
        <v/>
      </c>
      <c r="DT82" t="str">
        <f>""</f>
        <v/>
      </c>
      <c r="DU82" t="str">
        <f>""</f>
        <v/>
      </c>
    </row>
    <row r="83" spans="1:125" x14ac:dyDescent="0.25">
      <c r="A83" t="str">
        <f>"                Other Luxury Brands"</f>
        <v xml:space="preserve">                Other Luxury Brands</v>
      </c>
      <c r="B83" t="str">
        <f t="shared" si="40"/>
        <v>KER FP Equity</v>
      </c>
      <c r="C83" t="str">
        <f t="shared" si="41"/>
        <v>BI047</v>
      </c>
      <c r="D83" t="str">
        <f t="shared" si="42"/>
        <v>BICS_SEGMENT_DATA</v>
      </c>
      <c r="E83" t="str">
        <f t="shared" si="43"/>
        <v>Dynamic</v>
      </c>
      <c r="F83" t="str">
        <f ca="1">IF(AND(ISNUMBER($F$232),$B$158=1),$F$232,HLOOKUP(INDIRECT(ADDRESS(2,COLUMN())),OFFSET($BN$2,0,0,ROW()-1,60),ROW()-1,FALSE))</f>
        <v/>
      </c>
      <c r="G83">
        <f ca="1">IF(AND(ISNUMBER($G$232),$B$158=1),$G$232,HLOOKUP(INDIRECT(ADDRESS(2,COLUMN())),OFFSET($BN$2,0,0,ROW()-1,60),ROW()-1,FALSE))</f>
        <v>54</v>
      </c>
      <c r="H83" t="str">
        <f ca="1">IF(AND(ISNUMBER($H$232),$B$158=1),$H$232,HLOOKUP(INDIRECT(ADDRESS(2,COLUMN())),OFFSET($BN$2,0,0,ROW()-1,60),ROW()-1,FALSE))</f>
        <v/>
      </c>
      <c r="I83">
        <f ca="1">IF(AND(ISNUMBER($I$232),$B$158=1),$I$232,HLOOKUP(INDIRECT(ADDRESS(2,COLUMN())),OFFSET($BN$2,0,0,ROW()-1,60),ROW()-1,FALSE))</f>
        <v>75</v>
      </c>
      <c r="J83" t="str">
        <f ca="1">IF(AND(ISNUMBER($J$232),$B$158=1),$J$232,HLOOKUP(INDIRECT(ADDRESS(2,COLUMN())),OFFSET($BN$2,0,0,ROW()-1,60),ROW()-1,FALSE))</f>
        <v/>
      </c>
      <c r="K83">
        <f ca="1">IF(AND(ISNUMBER($K$232),$B$158=1),$K$232,HLOOKUP(INDIRECT(ADDRESS(2,COLUMN())),OFFSET($BN$2,0,0,ROW()-1,60),ROW()-1,FALSE))</f>
        <v>54</v>
      </c>
      <c r="L83" t="str">
        <f ca="1">IF(AND(ISNUMBER($L$232),$B$158=1),$L$232,HLOOKUP(INDIRECT(ADDRESS(2,COLUMN())),OFFSET($BN$2,0,0,ROW()-1,60),ROW()-1,FALSE))</f>
        <v/>
      </c>
      <c r="M83">
        <f ca="1">IF(AND(ISNUMBER($M$232),$B$158=1),$M$232,HLOOKUP(INDIRECT(ADDRESS(2,COLUMN())),OFFSET($BN$2,0,0,ROW()-1,60),ROW()-1,FALSE))</f>
        <v>54</v>
      </c>
      <c r="N83" t="str">
        <f ca="1">IF(AND(ISNUMBER($N$232),$B$158=1),$N$232,HLOOKUP(INDIRECT(ADDRESS(2,COLUMN())),OFFSET($BN$2,0,0,ROW()-1,60),ROW()-1,FALSE))</f>
        <v/>
      </c>
      <c r="O83">
        <f ca="1">IF(AND(ISNUMBER($O$232),$B$158=1),$O$232,HLOOKUP(INDIRECT(ADDRESS(2,COLUMN())),OFFSET($BN$2,0,0,ROW()-1,60),ROW()-1,FALSE))</f>
        <v>56</v>
      </c>
      <c r="P83" t="str">
        <f ca="1">IF(AND(ISNUMBER($P$232),$B$158=1),$P$232,HLOOKUP(INDIRECT(ADDRESS(2,COLUMN())),OFFSET($BN$2,0,0,ROW()-1,60),ROW()-1,FALSE))</f>
        <v/>
      </c>
      <c r="Q83">
        <f ca="1">IF(AND(ISNUMBER($Q$232),$B$158=1),$Q$232,HLOOKUP(INDIRECT(ADDRESS(2,COLUMN())),OFFSET($BN$2,0,0,ROW()-1,60),ROW()-1,FALSE))</f>
        <v>54</v>
      </c>
      <c r="R83" t="str">
        <f ca="1">IF(AND(ISNUMBER($R$232),$B$158=1),$R$232,HLOOKUP(INDIRECT(ADDRESS(2,COLUMN())),OFFSET($BN$2,0,0,ROW()-1,60),ROW()-1,FALSE))</f>
        <v/>
      </c>
      <c r="S83" t="str">
        <f ca="1">IF(AND(ISNUMBER($S$232),$B$158=1),$S$232,HLOOKUP(INDIRECT(ADDRESS(2,COLUMN())),OFFSET($BN$2,0,0,ROW()-1,60),ROW()-1,FALSE))</f>
        <v/>
      </c>
      <c r="T83" t="str">
        <f ca="1">IF(AND(ISNUMBER($T$232),$B$158=1),$T$232,HLOOKUP(INDIRECT(ADDRESS(2,COLUMN())),OFFSET($BN$2,0,0,ROW()-1,60),ROW()-1,FALSE))</f>
        <v/>
      </c>
      <c r="U83">
        <f ca="1">IF(AND(ISNUMBER($U$232),$B$158=1),$U$232,HLOOKUP(INDIRECT(ADDRESS(2,COLUMN())),OFFSET($BN$2,0,0,ROW()-1,60),ROW()-1,FALSE))</f>
        <v>50</v>
      </c>
      <c r="V83" t="str">
        <f ca="1">IF(AND(ISNUMBER($V$232),$B$158=1),$V$232,HLOOKUP(INDIRECT(ADDRESS(2,COLUMN())),OFFSET($BN$2,0,0,ROW()-1,60),ROW()-1,FALSE))</f>
        <v/>
      </c>
      <c r="W83" t="str">
        <f ca="1">IF(AND(ISNUMBER($W$232),$B$158=1),$W$232,HLOOKUP(INDIRECT(ADDRESS(2,COLUMN())),OFFSET($BN$2,0,0,ROW()-1,60),ROW()-1,FALSE))</f>
        <v/>
      </c>
      <c r="X83">
        <f ca="1">IF(AND(ISNUMBER($X$232),$B$158=1),$X$232,HLOOKUP(INDIRECT(ADDRESS(2,COLUMN())),OFFSET($BN$2,0,0,ROW()-1,60),ROW()-1,FALSE))</f>
        <v>18</v>
      </c>
      <c r="Y83" t="str">
        <f ca="1">IF(AND(ISNUMBER($Y$232),$B$158=1),$Y$232,HLOOKUP(INDIRECT(ADDRESS(2,COLUMN())),OFFSET($BN$2,0,0,ROW()-1,60),ROW()-1,FALSE))</f>
        <v/>
      </c>
      <c r="Z83" t="str">
        <f ca="1">IF(AND(ISNUMBER($Z$232),$B$158=1),$Z$232,HLOOKUP(INDIRECT(ADDRESS(2,COLUMN())),OFFSET($BN$2,0,0,ROW()-1,60),ROW()-1,FALSE))</f>
        <v/>
      </c>
      <c r="AA83">
        <f ca="1">IF(AND(ISNUMBER($AA$232),$B$158=1),$AA$232,HLOOKUP(INDIRECT(ADDRESS(2,COLUMN())),OFFSET($BN$2,0,0,ROW()-1,60),ROW()-1,FALSE))</f>
        <v>43</v>
      </c>
      <c r="AB83" t="str">
        <f ca="1">IF(AND(ISNUMBER($AB$232),$B$158=1),$AB$232,HLOOKUP(INDIRECT(ADDRESS(2,COLUMN())),OFFSET($BN$2,0,0,ROW()-1,60),ROW()-1,FALSE))</f>
        <v/>
      </c>
      <c r="AC83" t="str">
        <f ca="1">IF(AND(ISNUMBER($AC$232),$B$158=1),$AC$232,HLOOKUP(INDIRECT(ADDRESS(2,COLUMN())),OFFSET($BN$2,0,0,ROW()-1,60),ROW()-1,FALSE))</f>
        <v/>
      </c>
      <c r="AD83" t="str">
        <f ca="1">IF(AND(ISNUMBER($AD$232),$B$158=1),$AD$232,HLOOKUP(INDIRECT(ADDRESS(2,COLUMN())),OFFSET($BN$2,0,0,ROW()-1,60),ROW()-1,FALSE))</f>
        <v/>
      </c>
      <c r="AE83" t="str">
        <f ca="1">IF(AND(ISNUMBER($AE$232),$B$158=1),$AE$232,HLOOKUP(INDIRECT(ADDRESS(2,COLUMN())),OFFSET($BN$2,0,0,ROW()-1,60),ROW()-1,FALSE))</f>
        <v/>
      </c>
      <c r="AF83" t="str">
        <f ca="1">IF(AND(ISNUMBER($AF$232),$B$158=1),$AF$232,HLOOKUP(INDIRECT(ADDRESS(2,COLUMN())),OFFSET($BN$2,0,0,ROW()-1,60),ROW()-1,FALSE))</f>
        <v/>
      </c>
      <c r="AG83" t="str">
        <f ca="1">IF(AND(ISNUMBER($AG$232),$B$158=1),$AG$232,HLOOKUP(INDIRECT(ADDRESS(2,COLUMN())),OFFSET($BN$2,0,0,ROW()-1,60),ROW()-1,FALSE))</f>
        <v/>
      </c>
      <c r="AH83" t="str">
        <f ca="1">IF(AND(ISNUMBER($AH$232),$B$158=1),$AH$232,HLOOKUP(INDIRECT(ADDRESS(2,COLUMN())),OFFSET($BN$2,0,0,ROW()-1,60),ROW()-1,FALSE))</f>
        <v/>
      </c>
      <c r="AI83" t="str">
        <f ca="1">IF(AND(ISNUMBER($AI$232),$B$158=1),$AI$232,HLOOKUP(INDIRECT(ADDRESS(2,COLUMN())),OFFSET($BN$2,0,0,ROW()-1,60),ROW()-1,FALSE))</f>
        <v/>
      </c>
      <c r="AJ83" t="str">
        <f ca="1">IF(AND(ISNUMBER($AJ$232),$B$158=1),$AJ$232,HLOOKUP(INDIRECT(ADDRESS(2,COLUMN())),OFFSET($BN$2,0,0,ROW()-1,60),ROW()-1,FALSE))</f>
        <v/>
      </c>
      <c r="AK83" t="str">
        <f ca="1">IF(AND(ISNUMBER($AK$232),$B$158=1),$AK$232,HLOOKUP(INDIRECT(ADDRESS(2,COLUMN())),OFFSET($BN$2,0,0,ROW()-1,60),ROW()-1,FALSE))</f>
        <v/>
      </c>
      <c r="AL83" t="str">
        <f ca="1">IF(AND(ISNUMBER($AL$232),$B$158=1),$AL$232,HLOOKUP(INDIRECT(ADDRESS(2,COLUMN())),OFFSET($BN$2,0,0,ROW()-1,60),ROW()-1,FALSE))</f>
        <v/>
      </c>
      <c r="AM83" t="str">
        <f ca="1">IF(AND(ISNUMBER($AM$232),$B$158=1),$AM$232,HLOOKUP(INDIRECT(ADDRESS(2,COLUMN())),OFFSET($BN$2,0,0,ROW()-1,60),ROW()-1,FALSE))</f>
        <v/>
      </c>
      <c r="AN83" t="str">
        <f ca="1">IF(AND(ISNUMBER($AN$232),$B$158=1),$AN$232,HLOOKUP(INDIRECT(ADDRESS(2,COLUMN())),OFFSET($BN$2,0,0,ROW()-1,60),ROW()-1,FALSE))</f>
        <v/>
      </c>
      <c r="AO83" t="str">
        <f ca="1">IF(AND(ISNUMBER($AO$232),$B$158=1),$AO$232,HLOOKUP(INDIRECT(ADDRESS(2,COLUMN())),OFFSET($BN$2,0,0,ROW()-1,60),ROW()-1,FALSE))</f>
        <v/>
      </c>
      <c r="AP83" t="str">
        <f ca="1">IF(AND(ISNUMBER($AP$232),$B$158=1),$AP$232,HLOOKUP(INDIRECT(ADDRESS(2,COLUMN())),OFFSET($BN$2,0,0,ROW()-1,60),ROW()-1,FALSE))</f>
        <v/>
      </c>
      <c r="AQ83" t="str">
        <f ca="1">IF(AND(ISNUMBER($AQ$232),$B$158=1),$AQ$232,HLOOKUP(INDIRECT(ADDRESS(2,COLUMN())),OFFSET($BN$2,0,0,ROW()-1,60),ROW()-1,FALSE))</f>
        <v/>
      </c>
      <c r="AR83" t="str">
        <f ca="1">IF(AND(ISNUMBER($AR$232),$B$158=1),$AR$232,HLOOKUP(INDIRECT(ADDRESS(2,COLUMN())),OFFSET($BN$2,0,0,ROW()-1,60),ROW()-1,FALSE))</f>
        <v/>
      </c>
      <c r="AS83" t="str">
        <f ca="1">IF(AND(ISNUMBER($AS$232),$B$158=1),$AS$232,HLOOKUP(INDIRECT(ADDRESS(2,COLUMN())),OFFSET($BN$2,0,0,ROW()-1,60),ROW()-1,FALSE))</f>
        <v/>
      </c>
      <c r="AT83" t="str">
        <f ca="1">IF(AND(ISNUMBER($AT$232),$B$158=1),$AT$232,HLOOKUP(INDIRECT(ADDRESS(2,COLUMN())),OFFSET($BN$2,0,0,ROW()-1,60),ROW()-1,FALSE))</f>
        <v/>
      </c>
      <c r="AU83" t="str">
        <f ca="1">IF(AND(ISNUMBER($AU$232),$B$158=1),$AU$232,HLOOKUP(INDIRECT(ADDRESS(2,COLUMN())),OFFSET($BN$2,0,0,ROW()-1,60),ROW()-1,FALSE))</f>
        <v/>
      </c>
      <c r="AV83" t="str">
        <f ca="1">IF(AND(ISNUMBER($AV$232),$B$158=1),$AV$232,HLOOKUP(INDIRECT(ADDRESS(2,COLUMN())),OFFSET($BN$2,0,0,ROW()-1,60),ROW()-1,FALSE))</f>
        <v/>
      </c>
      <c r="AW83" t="str">
        <f ca="1">IF(AND(ISNUMBER($AW$232),$B$158=1),$AW$232,HLOOKUP(INDIRECT(ADDRESS(2,COLUMN())),OFFSET($BN$2,0,0,ROW()-1,60),ROW()-1,FALSE))</f>
        <v/>
      </c>
      <c r="AX83" t="str">
        <f ca="1">IF(AND(ISNUMBER($AX$232),$B$158=1),$AX$232,HLOOKUP(INDIRECT(ADDRESS(2,COLUMN())),OFFSET($BN$2,0,0,ROW()-1,60),ROW()-1,FALSE))</f>
        <v/>
      </c>
      <c r="AY83" t="str">
        <f ca="1">IF(AND(ISNUMBER($AY$232),$B$158=1),$AY$232,HLOOKUP(INDIRECT(ADDRESS(2,COLUMN())),OFFSET($BN$2,0,0,ROW()-1,60),ROW()-1,FALSE))</f>
        <v/>
      </c>
      <c r="AZ83" t="str">
        <f ca="1">IF(AND(ISNUMBER($AZ$232),$B$158=1),$AZ$232,HLOOKUP(INDIRECT(ADDRESS(2,COLUMN())),OFFSET($BN$2,0,0,ROW()-1,60),ROW()-1,FALSE))</f>
        <v/>
      </c>
      <c r="BA83" t="str">
        <f ca="1">IF(AND(ISNUMBER($BA$232),$B$158=1),$BA$232,HLOOKUP(INDIRECT(ADDRESS(2,COLUMN())),OFFSET($BN$2,0,0,ROW()-1,60),ROW()-1,FALSE))</f>
        <v/>
      </c>
      <c r="BB83" t="str">
        <f ca="1">IF(AND(ISNUMBER($BB$232),$B$158=1),$BB$232,HLOOKUP(INDIRECT(ADDRESS(2,COLUMN())),OFFSET($BN$2,0,0,ROW()-1,60),ROW()-1,FALSE))</f>
        <v/>
      </c>
      <c r="BC83" t="str">
        <f ca="1">IF(AND(ISNUMBER($BC$232),$B$158=1),$BC$232,HLOOKUP(INDIRECT(ADDRESS(2,COLUMN())),OFFSET($BN$2,0,0,ROW()-1,60),ROW()-1,FALSE))</f>
        <v/>
      </c>
      <c r="BD83" t="str">
        <f ca="1">IF(AND(ISNUMBER($BD$232),$B$158=1),$BD$232,HLOOKUP(INDIRECT(ADDRESS(2,COLUMN())),OFFSET($BN$2,0,0,ROW()-1,60),ROW()-1,FALSE))</f>
        <v/>
      </c>
      <c r="BE83" t="str">
        <f ca="1">IF(AND(ISNUMBER($BE$232),$B$158=1),$BE$232,HLOOKUP(INDIRECT(ADDRESS(2,COLUMN())),OFFSET($BN$2,0,0,ROW()-1,60),ROW()-1,FALSE))</f>
        <v/>
      </c>
      <c r="BF83" t="str">
        <f ca="1">IF(AND(ISNUMBER($BF$232),$B$158=1),$BF$232,HLOOKUP(INDIRECT(ADDRESS(2,COLUMN())),OFFSET($BN$2,0,0,ROW()-1,60),ROW()-1,FALSE))</f>
        <v/>
      </c>
      <c r="BG83" t="str">
        <f ca="1">IF(AND(ISNUMBER($BG$232),$B$158=1),$BG$232,HLOOKUP(INDIRECT(ADDRESS(2,COLUMN())),OFFSET($BN$2,0,0,ROW()-1,60),ROW()-1,FALSE))</f>
        <v/>
      </c>
      <c r="BH83" t="str">
        <f ca="1">IF(AND(ISNUMBER($BH$232),$B$158=1),$BH$232,HLOOKUP(INDIRECT(ADDRESS(2,COLUMN())),OFFSET($BN$2,0,0,ROW()-1,60),ROW()-1,FALSE))</f>
        <v/>
      </c>
      <c r="BI83" t="str">
        <f ca="1">IF(AND(ISNUMBER($BI$232),$B$158=1),$BI$232,HLOOKUP(INDIRECT(ADDRESS(2,COLUMN())),OFFSET($BN$2,0,0,ROW()-1,60),ROW()-1,FALSE))</f>
        <v/>
      </c>
      <c r="BJ83" t="str">
        <f ca="1">IF(AND(ISNUMBER($BJ$232),$B$158=1),$BJ$232,HLOOKUP(INDIRECT(ADDRESS(2,COLUMN())),OFFSET($BN$2,0,0,ROW()-1,60),ROW()-1,FALSE))</f>
        <v/>
      </c>
      <c r="BK83" t="str">
        <f ca="1">IF(AND(ISNUMBER($BK$232),$B$158=1),$BK$232,HLOOKUP(INDIRECT(ADDRESS(2,COLUMN())),OFFSET($BN$2,0,0,ROW()-1,60),ROW()-1,FALSE))</f>
        <v/>
      </c>
      <c r="BL83" t="str">
        <f ca="1">IF(AND(ISNUMBER($BL$232),$B$158=1),$BL$232,HLOOKUP(INDIRECT(ADDRESS(2,COLUMN())),OFFSET($BN$2,0,0,ROW()-1,60),ROW()-1,FALSE))</f>
        <v/>
      </c>
      <c r="BM83" t="str">
        <f ca="1">IF(AND(ISNUMBER($BM$232),$B$158=1),$BM$232,HLOOKUP(INDIRECT(ADDRESS(2,COLUMN())),OFFSET($BN$2,0,0,ROW()-1,60),ROW()-1,FALSE))</f>
        <v/>
      </c>
      <c r="BN83" t="str">
        <f>""</f>
        <v/>
      </c>
      <c r="BO83">
        <f>54</f>
        <v>54</v>
      </c>
      <c r="BP83" t="str">
        <f>""</f>
        <v/>
      </c>
      <c r="BQ83">
        <f>75</f>
        <v>75</v>
      </c>
      <c r="BR83" t="str">
        <f>""</f>
        <v/>
      </c>
      <c r="BS83">
        <f>54</f>
        <v>54</v>
      </c>
      <c r="BT83" t="str">
        <f>""</f>
        <v/>
      </c>
      <c r="BU83">
        <f>54</f>
        <v>54</v>
      </c>
      <c r="BV83" t="str">
        <f>""</f>
        <v/>
      </c>
      <c r="BW83">
        <f>56</f>
        <v>56</v>
      </c>
      <c r="BX83" t="str">
        <f>""</f>
        <v/>
      </c>
      <c r="BY83">
        <f>54</f>
        <v>54</v>
      </c>
      <c r="BZ83" t="str">
        <f>""</f>
        <v/>
      </c>
      <c r="CA83" t="str">
        <f>""</f>
        <v/>
      </c>
      <c r="CB83" t="str">
        <f>""</f>
        <v/>
      </c>
      <c r="CC83">
        <f>50</f>
        <v>50</v>
      </c>
      <c r="CD83" t="str">
        <f>""</f>
        <v/>
      </c>
      <c r="CE83" t="str">
        <f>""</f>
        <v/>
      </c>
      <c r="CF83">
        <f>18</f>
        <v>18</v>
      </c>
      <c r="CG83" t="str">
        <f>""</f>
        <v/>
      </c>
      <c r="CH83" t="str">
        <f>""</f>
        <v/>
      </c>
      <c r="CI83">
        <f>43</f>
        <v>43</v>
      </c>
      <c r="CJ83" t="str">
        <f>""</f>
        <v/>
      </c>
      <c r="CK83" t="str">
        <f>""</f>
        <v/>
      </c>
      <c r="CL83" t="str">
        <f>""</f>
        <v/>
      </c>
      <c r="CM83" t="str">
        <f>""</f>
        <v/>
      </c>
      <c r="CN83" t="str">
        <f>""</f>
        <v/>
      </c>
      <c r="CO83" t="str">
        <f>""</f>
        <v/>
      </c>
      <c r="CP83" t="str">
        <f>""</f>
        <v/>
      </c>
      <c r="CQ83" t="str">
        <f>""</f>
        <v/>
      </c>
      <c r="CR83" t="str">
        <f>""</f>
        <v/>
      </c>
      <c r="CS83" t="str">
        <f>""</f>
        <v/>
      </c>
      <c r="CT83" t="str">
        <f>""</f>
        <v/>
      </c>
      <c r="CU83" t="str">
        <f>""</f>
        <v/>
      </c>
      <c r="CV83" t="str">
        <f>""</f>
        <v/>
      </c>
      <c r="CW83" t="str">
        <f>""</f>
        <v/>
      </c>
      <c r="CX83" t="str">
        <f>""</f>
        <v/>
      </c>
      <c r="CY83" t="str">
        <f>""</f>
        <v/>
      </c>
      <c r="CZ83" t="str">
        <f>""</f>
        <v/>
      </c>
      <c r="DA83" t="str">
        <f>""</f>
        <v/>
      </c>
      <c r="DB83" t="str">
        <f>""</f>
        <v/>
      </c>
      <c r="DC83" t="str">
        <f>""</f>
        <v/>
      </c>
      <c r="DD83" t="str">
        <f>""</f>
        <v/>
      </c>
      <c r="DE83" t="str">
        <f>""</f>
        <v/>
      </c>
      <c r="DF83" t="str">
        <f>""</f>
        <v/>
      </c>
      <c r="DG83" t="str">
        <f>""</f>
        <v/>
      </c>
      <c r="DH83" t="str">
        <f>""</f>
        <v/>
      </c>
      <c r="DI83" t="str">
        <f>""</f>
        <v/>
      </c>
      <c r="DJ83" t="str">
        <f>""</f>
        <v/>
      </c>
      <c r="DK83" t="str">
        <f>""</f>
        <v/>
      </c>
      <c r="DL83" t="str">
        <f>""</f>
        <v/>
      </c>
      <c r="DM83" t="str">
        <f>""</f>
        <v/>
      </c>
      <c r="DN83" t="str">
        <f>""</f>
        <v/>
      </c>
      <c r="DO83" t="str">
        <f>""</f>
        <v/>
      </c>
      <c r="DP83" t="str">
        <f>""</f>
        <v/>
      </c>
      <c r="DQ83" t="str">
        <f>""</f>
        <v/>
      </c>
      <c r="DR83" t="str">
        <f>""</f>
        <v/>
      </c>
      <c r="DS83" t="str">
        <f>""</f>
        <v/>
      </c>
      <c r="DT83" t="str">
        <f>""</f>
        <v/>
      </c>
      <c r="DU83" t="str">
        <f>""</f>
        <v/>
      </c>
    </row>
    <row r="84" spans="1:125" x14ac:dyDescent="0.25">
      <c r="A84" t="str">
        <f>"        Recurring Operating Income"</f>
        <v xml:space="preserve">        Recurring Operating Income</v>
      </c>
      <c r="B84" t="str">
        <f t="shared" si="40"/>
        <v>KER FP Equity</v>
      </c>
      <c r="C84" t="str">
        <f t="shared" si="41"/>
        <v>BI047</v>
      </c>
      <c r="D84" t="str">
        <f t="shared" si="42"/>
        <v>BICS_SEGMENT_DATA</v>
      </c>
      <c r="E84" t="str">
        <f t="shared" si="43"/>
        <v>Dynamic</v>
      </c>
      <c r="F84" t="str">
        <f ca="1">IF(AND(ISNUMBER($F$233),$B$158=1),$F$233,HLOOKUP(INDIRECT(ADDRESS(2,COLUMN())),OFFSET($BN$2,0,0,ROW()-1,60),ROW()-1,FALSE))</f>
        <v/>
      </c>
      <c r="G84" t="str">
        <f ca="1">IF(AND(ISNUMBER($G$233),$B$158=1),$G$233,HLOOKUP(INDIRECT(ADDRESS(2,COLUMN())),OFFSET($BN$2,0,0,ROW()-1,60),ROW()-1,FALSE))</f>
        <v/>
      </c>
      <c r="H84" t="str">
        <f ca="1">IF(AND(ISNUMBER($H$233),$B$158=1),$H$233,HLOOKUP(INDIRECT(ADDRESS(2,COLUMN())),OFFSET($BN$2,0,0,ROW()-1,60),ROW()-1,FALSE))</f>
        <v/>
      </c>
      <c r="I84" t="str">
        <f ca="1">IF(AND(ISNUMBER($I$233),$B$158=1),$I$233,HLOOKUP(INDIRECT(ADDRESS(2,COLUMN())),OFFSET($BN$2,0,0,ROW()-1,60),ROW()-1,FALSE))</f>
        <v/>
      </c>
      <c r="J84" t="str">
        <f ca="1">IF(AND(ISNUMBER($J$233),$B$158=1),$J$233,HLOOKUP(INDIRECT(ADDRESS(2,COLUMN())),OFFSET($BN$2,0,0,ROW()-1,60),ROW()-1,FALSE))</f>
        <v/>
      </c>
      <c r="K84" t="str">
        <f ca="1">IF(AND(ISNUMBER($K$233),$B$158=1),$K$233,HLOOKUP(INDIRECT(ADDRESS(2,COLUMN())),OFFSET($BN$2,0,0,ROW()-1,60),ROW()-1,FALSE))</f>
        <v/>
      </c>
      <c r="L84" t="str">
        <f ca="1">IF(AND(ISNUMBER($L$233),$B$158=1),$L$233,HLOOKUP(INDIRECT(ADDRESS(2,COLUMN())),OFFSET($BN$2,0,0,ROW()-1,60),ROW()-1,FALSE))</f>
        <v/>
      </c>
      <c r="M84" t="str">
        <f ca="1">IF(AND(ISNUMBER($M$233),$B$158=1),$M$233,HLOOKUP(INDIRECT(ADDRESS(2,COLUMN())),OFFSET($BN$2,0,0,ROW()-1,60),ROW()-1,FALSE))</f>
        <v/>
      </c>
      <c r="N84" t="str">
        <f ca="1">IF(AND(ISNUMBER($N$233),$B$158=1),$N$233,HLOOKUP(INDIRECT(ADDRESS(2,COLUMN())),OFFSET($BN$2,0,0,ROW()-1,60),ROW()-1,FALSE))</f>
        <v/>
      </c>
      <c r="O84" t="str">
        <f ca="1">IF(AND(ISNUMBER($O$233),$B$158=1),$O$233,HLOOKUP(INDIRECT(ADDRESS(2,COLUMN())),OFFSET($BN$2,0,0,ROW()-1,60),ROW()-1,FALSE))</f>
        <v/>
      </c>
      <c r="P84" t="str">
        <f ca="1">IF(AND(ISNUMBER($P$233),$B$158=1),$P$233,HLOOKUP(INDIRECT(ADDRESS(2,COLUMN())),OFFSET($BN$2,0,0,ROW()-1,60),ROW()-1,FALSE))</f>
        <v/>
      </c>
      <c r="Q84" t="str">
        <f ca="1">IF(AND(ISNUMBER($Q$233),$B$158=1),$Q$233,HLOOKUP(INDIRECT(ADDRESS(2,COLUMN())),OFFSET($BN$2,0,0,ROW()-1,60),ROW()-1,FALSE))</f>
        <v/>
      </c>
      <c r="R84" t="str">
        <f ca="1">IF(AND(ISNUMBER($R$233),$B$158=1),$R$233,HLOOKUP(INDIRECT(ADDRESS(2,COLUMN())),OFFSET($BN$2,0,0,ROW()-1,60),ROW()-1,FALSE))</f>
        <v/>
      </c>
      <c r="S84" t="str">
        <f ca="1">IF(AND(ISNUMBER($S$233),$B$158=1),$S$233,HLOOKUP(INDIRECT(ADDRESS(2,COLUMN())),OFFSET($BN$2,0,0,ROW()-1,60),ROW()-1,FALSE))</f>
        <v/>
      </c>
      <c r="T84" t="str">
        <f ca="1">IF(AND(ISNUMBER($T$233),$B$158=1),$T$233,HLOOKUP(INDIRECT(ADDRESS(2,COLUMN())),OFFSET($BN$2,0,0,ROW()-1,60),ROW()-1,FALSE))</f>
        <v/>
      </c>
      <c r="U84" t="str">
        <f ca="1">IF(AND(ISNUMBER($U$233),$B$158=1),$U$233,HLOOKUP(INDIRECT(ADDRESS(2,COLUMN())),OFFSET($BN$2,0,0,ROW()-1,60),ROW()-1,FALSE))</f>
        <v/>
      </c>
      <c r="V84" t="str">
        <f ca="1">IF(AND(ISNUMBER($V$233),$B$158=1),$V$233,HLOOKUP(INDIRECT(ADDRESS(2,COLUMN())),OFFSET($BN$2,0,0,ROW()-1,60),ROW()-1,FALSE))</f>
        <v/>
      </c>
      <c r="W84" t="str">
        <f ca="1">IF(AND(ISNUMBER($W$233),$B$158=1),$W$233,HLOOKUP(INDIRECT(ADDRESS(2,COLUMN())),OFFSET($BN$2,0,0,ROW()-1,60),ROW()-1,FALSE))</f>
        <v/>
      </c>
      <c r="X84" t="str">
        <f ca="1">IF(AND(ISNUMBER($X$233),$B$158=1),$X$233,HLOOKUP(INDIRECT(ADDRESS(2,COLUMN())),OFFSET($BN$2,0,0,ROW()-1,60),ROW()-1,FALSE))</f>
        <v/>
      </c>
      <c r="Y84" t="str">
        <f ca="1">IF(AND(ISNUMBER($Y$233),$B$158=1),$Y$233,HLOOKUP(INDIRECT(ADDRESS(2,COLUMN())),OFFSET($BN$2,0,0,ROW()-1,60),ROW()-1,FALSE))</f>
        <v/>
      </c>
      <c r="Z84" t="str">
        <f ca="1">IF(AND(ISNUMBER($Z$233),$B$158=1),$Z$233,HLOOKUP(INDIRECT(ADDRESS(2,COLUMN())),OFFSET($BN$2,0,0,ROW()-1,60),ROW()-1,FALSE))</f>
        <v/>
      </c>
      <c r="AA84" t="str">
        <f ca="1">IF(AND(ISNUMBER($AA$233),$B$158=1),$AA$233,HLOOKUP(INDIRECT(ADDRESS(2,COLUMN())),OFFSET($BN$2,0,0,ROW()-1,60),ROW()-1,FALSE))</f>
        <v/>
      </c>
      <c r="AB84" t="str">
        <f ca="1">IF(AND(ISNUMBER($AB$233),$B$158=1),$AB$233,HLOOKUP(INDIRECT(ADDRESS(2,COLUMN())),OFFSET($BN$2,0,0,ROW()-1,60),ROW()-1,FALSE))</f>
        <v/>
      </c>
      <c r="AC84" t="str">
        <f ca="1">IF(AND(ISNUMBER($AC$233),$B$158=1),$AC$233,HLOOKUP(INDIRECT(ADDRESS(2,COLUMN())),OFFSET($BN$2,0,0,ROW()-1,60),ROW()-1,FALSE))</f>
        <v/>
      </c>
      <c r="AD84" t="str">
        <f ca="1">IF(AND(ISNUMBER($AD$233),$B$158=1),$AD$233,HLOOKUP(INDIRECT(ADDRESS(2,COLUMN())),OFFSET($BN$2,0,0,ROW()-1,60),ROW()-1,FALSE))</f>
        <v/>
      </c>
      <c r="AE84" t="str">
        <f ca="1">IF(AND(ISNUMBER($AE$233),$B$158=1),$AE$233,HLOOKUP(INDIRECT(ADDRESS(2,COLUMN())),OFFSET($BN$2,0,0,ROW()-1,60),ROW()-1,FALSE))</f>
        <v/>
      </c>
      <c r="AF84" t="str">
        <f ca="1">IF(AND(ISNUMBER($AF$233),$B$158=1),$AF$233,HLOOKUP(INDIRECT(ADDRESS(2,COLUMN())),OFFSET($BN$2,0,0,ROW()-1,60),ROW()-1,FALSE))</f>
        <v/>
      </c>
      <c r="AG84" t="str">
        <f ca="1">IF(AND(ISNUMBER($AG$233),$B$158=1),$AG$233,HLOOKUP(INDIRECT(ADDRESS(2,COLUMN())),OFFSET($BN$2,0,0,ROW()-1,60),ROW()-1,FALSE))</f>
        <v/>
      </c>
      <c r="AH84" t="str">
        <f ca="1">IF(AND(ISNUMBER($AH$233),$B$158=1),$AH$233,HLOOKUP(INDIRECT(ADDRESS(2,COLUMN())),OFFSET($BN$2,0,0,ROW()-1,60),ROW()-1,FALSE))</f>
        <v/>
      </c>
      <c r="AI84" t="str">
        <f ca="1">IF(AND(ISNUMBER($AI$233),$B$158=1),$AI$233,HLOOKUP(INDIRECT(ADDRESS(2,COLUMN())),OFFSET($BN$2,0,0,ROW()-1,60),ROW()-1,FALSE))</f>
        <v/>
      </c>
      <c r="AJ84" t="str">
        <f ca="1">IF(AND(ISNUMBER($AJ$233),$B$158=1),$AJ$233,HLOOKUP(INDIRECT(ADDRESS(2,COLUMN())),OFFSET($BN$2,0,0,ROW()-1,60),ROW()-1,FALSE))</f>
        <v/>
      </c>
      <c r="AK84" t="str">
        <f ca="1">IF(AND(ISNUMBER($AK$233),$B$158=1),$AK$233,HLOOKUP(INDIRECT(ADDRESS(2,COLUMN())),OFFSET($BN$2,0,0,ROW()-1,60),ROW()-1,FALSE))</f>
        <v/>
      </c>
      <c r="AL84" t="str">
        <f ca="1">IF(AND(ISNUMBER($AL$233),$B$158=1),$AL$233,HLOOKUP(INDIRECT(ADDRESS(2,COLUMN())),OFFSET($BN$2,0,0,ROW()-1,60),ROW()-1,FALSE))</f>
        <v/>
      </c>
      <c r="AM84" t="str">
        <f ca="1">IF(AND(ISNUMBER($AM$233),$B$158=1),$AM$233,HLOOKUP(INDIRECT(ADDRESS(2,COLUMN())),OFFSET($BN$2,0,0,ROW()-1,60),ROW()-1,FALSE))</f>
        <v/>
      </c>
      <c r="AN84" t="str">
        <f ca="1">IF(AND(ISNUMBER($AN$233),$B$158=1),$AN$233,HLOOKUP(INDIRECT(ADDRESS(2,COLUMN())),OFFSET($BN$2,0,0,ROW()-1,60),ROW()-1,FALSE))</f>
        <v/>
      </c>
      <c r="AO84" t="str">
        <f ca="1">IF(AND(ISNUMBER($AO$233),$B$158=1),$AO$233,HLOOKUP(INDIRECT(ADDRESS(2,COLUMN())),OFFSET($BN$2,0,0,ROW()-1,60),ROW()-1,FALSE))</f>
        <v/>
      </c>
      <c r="AP84" t="str">
        <f ca="1">IF(AND(ISNUMBER($AP$233),$B$158=1),$AP$233,HLOOKUP(INDIRECT(ADDRESS(2,COLUMN())),OFFSET($BN$2,0,0,ROW()-1,60),ROW()-1,FALSE))</f>
        <v/>
      </c>
      <c r="AQ84" t="str">
        <f ca="1">IF(AND(ISNUMBER($AQ$233),$B$158=1),$AQ$233,HLOOKUP(INDIRECT(ADDRESS(2,COLUMN())),OFFSET($BN$2,0,0,ROW()-1,60),ROW()-1,FALSE))</f>
        <v/>
      </c>
      <c r="AR84" t="str">
        <f ca="1">IF(AND(ISNUMBER($AR$233),$B$158=1),$AR$233,HLOOKUP(INDIRECT(ADDRESS(2,COLUMN())),OFFSET($BN$2,0,0,ROW()-1,60),ROW()-1,FALSE))</f>
        <v/>
      </c>
      <c r="AS84" t="str">
        <f ca="1">IF(AND(ISNUMBER($AS$233),$B$158=1),$AS$233,HLOOKUP(INDIRECT(ADDRESS(2,COLUMN())),OFFSET($BN$2,0,0,ROW()-1,60),ROW()-1,FALSE))</f>
        <v/>
      </c>
      <c r="AT84" t="str">
        <f ca="1">IF(AND(ISNUMBER($AT$233),$B$158=1),$AT$233,HLOOKUP(INDIRECT(ADDRESS(2,COLUMN())),OFFSET($BN$2,0,0,ROW()-1,60),ROW()-1,FALSE))</f>
        <v/>
      </c>
      <c r="AU84" t="str">
        <f ca="1">IF(AND(ISNUMBER($AU$233),$B$158=1),$AU$233,HLOOKUP(INDIRECT(ADDRESS(2,COLUMN())),OFFSET($BN$2,0,0,ROW()-1,60),ROW()-1,FALSE))</f>
        <v/>
      </c>
      <c r="AV84" t="str">
        <f ca="1">IF(AND(ISNUMBER($AV$233),$B$158=1),$AV$233,HLOOKUP(INDIRECT(ADDRESS(2,COLUMN())),OFFSET($BN$2,0,0,ROW()-1,60),ROW()-1,FALSE))</f>
        <v/>
      </c>
      <c r="AW84" t="str">
        <f ca="1">IF(AND(ISNUMBER($AW$233),$B$158=1),$AW$233,HLOOKUP(INDIRECT(ADDRESS(2,COLUMN())),OFFSET($BN$2,0,0,ROW()-1,60),ROW()-1,FALSE))</f>
        <v/>
      </c>
      <c r="AX84" t="str">
        <f ca="1">IF(AND(ISNUMBER($AX$233),$B$158=1),$AX$233,HLOOKUP(INDIRECT(ADDRESS(2,COLUMN())),OFFSET($BN$2,0,0,ROW()-1,60),ROW()-1,FALSE))</f>
        <v/>
      </c>
      <c r="AY84" t="str">
        <f ca="1">IF(AND(ISNUMBER($AY$233),$B$158=1),$AY$233,HLOOKUP(INDIRECT(ADDRESS(2,COLUMN())),OFFSET($BN$2,0,0,ROW()-1,60),ROW()-1,FALSE))</f>
        <v/>
      </c>
      <c r="AZ84" t="str">
        <f ca="1">IF(AND(ISNUMBER($AZ$233),$B$158=1),$AZ$233,HLOOKUP(INDIRECT(ADDRESS(2,COLUMN())),OFFSET($BN$2,0,0,ROW()-1,60),ROW()-1,FALSE))</f>
        <v/>
      </c>
      <c r="BA84" t="str">
        <f ca="1">IF(AND(ISNUMBER($BA$233),$B$158=1),$BA$233,HLOOKUP(INDIRECT(ADDRESS(2,COLUMN())),OFFSET($BN$2,0,0,ROW()-1,60),ROW()-1,FALSE))</f>
        <v/>
      </c>
      <c r="BB84" t="str">
        <f ca="1">IF(AND(ISNUMBER($BB$233),$B$158=1),$BB$233,HLOOKUP(INDIRECT(ADDRESS(2,COLUMN())),OFFSET($BN$2,0,0,ROW()-1,60),ROW()-1,FALSE))</f>
        <v/>
      </c>
      <c r="BC84" t="str">
        <f ca="1">IF(AND(ISNUMBER($BC$233),$B$158=1),$BC$233,HLOOKUP(INDIRECT(ADDRESS(2,COLUMN())),OFFSET($BN$2,0,0,ROW()-1,60),ROW()-1,FALSE))</f>
        <v/>
      </c>
      <c r="BD84" t="str">
        <f ca="1">IF(AND(ISNUMBER($BD$233),$B$158=1),$BD$233,HLOOKUP(INDIRECT(ADDRESS(2,COLUMN())),OFFSET($BN$2,0,0,ROW()-1,60),ROW()-1,FALSE))</f>
        <v/>
      </c>
      <c r="BE84" t="str">
        <f ca="1">IF(AND(ISNUMBER($BE$233),$B$158=1),$BE$233,HLOOKUP(INDIRECT(ADDRESS(2,COLUMN())),OFFSET($BN$2,0,0,ROW()-1,60),ROW()-1,FALSE))</f>
        <v/>
      </c>
      <c r="BF84" t="str">
        <f ca="1">IF(AND(ISNUMBER($BF$233),$B$158=1),$BF$233,HLOOKUP(INDIRECT(ADDRESS(2,COLUMN())),OFFSET($BN$2,0,0,ROW()-1,60),ROW()-1,FALSE))</f>
        <v/>
      </c>
      <c r="BG84" t="str">
        <f ca="1">IF(AND(ISNUMBER($BG$233),$B$158=1),$BG$233,HLOOKUP(INDIRECT(ADDRESS(2,COLUMN())),OFFSET($BN$2,0,0,ROW()-1,60),ROW()-1,FALSE))</f>
        <v/>
      </c>
      <c r="BH84" t="str">
        <f ca="1">IF(AND(ISNUMBER($BH$233),$B$158=1),$BH$233,HLOOKUP(INDIRECT(ADDRESS(2,COLUMN())),OFFSET($BN$2,0,0,ROW()-1,60),ROW()-1,FALSE))</f>
        <v/>
      </c>
      <c r="BI84" t="str">
        <f ca="1">IF(AND(ISNUMBER($BI$233),$B$158=1),$BI$233,HLOOKUP(INDIRECT(ADDRESS(2,COLUMN())),OFFSET($BN$2,0,0,ROW()-1,60),ROW()-1,FALSE))</f>
        <v/>
      </c>
      <c r="BJ84" t="str">
        <f ca="1">IF(AND(ISNUMBER($BJ$233),$B$158=1),$BJ$233,HLOOKUP(INDIRECT(ADDRESS(2,COLUMN())),OFFSET($BN$2,0,0,ROW()-1,60),ROW()-1,FALSE))</f>
        <v/>
      </c>
      <c r="BK84" t="str">
        <f ca="1">IF(AND(ISNUMBER($BK$233),$B$158=1),$BK$233,HLOOKUP(INDIRECT(ADDRESS(2,COLUMN())),OFFSET($BN$2,0,0,ROW()-1,60),ROW()-1,FALSE))</f>
        <v/>
      </c>
      <c r="BL84" t="str">
        <f ca="1">IF(AND(ISNUMBER($BL$233),$B$158=1),$BL$233,HLOOKUP(INDIRECT(ADDRESS(2,COLUMN())),OFFSET($BN$2,0,0,ROW()-1,60),ROW()-1,FALSE))</f>
        <v/>
      </c>
      <c r="BM84" t="str">
        <f ca="1">IF(AND(ISNUMBER($BM$233),$B$158=1),$BM$233,HLOOKUP(INDIRECT(ADDRESS(2,COLUMN())),OFFSET($BN$2,0,0,ROW()-1,60),ROW()-1,FALSE))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  <c r="BT84" t="str">
        <f>""</f>
        <v/>
      </c>
      <c r="BU84" t="str">
        <f>""</f>
        <v/>
      </c>
      <c r="BV84" t="str">
        <f>""</f>
        <v/>
      </c>
      <c r="BW84" t="str">
        <f>""</f>
        <v/>
      </c>
      <c r="BX84" t="str">
        <f>""</f>
        <v/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  <c r="CH84" t="str">
        <f>""</f>
        <v/>
      </c>
      <c r="CI84" t="str">
        <f>""</f>
        <v/>
      </c>
      <c r="CJ84" t="str">
        <f>""</f>
        <v/>
      </c>
      <c r="CK84" t="str">
        <f>""</f>
        <v/>
      </c>
      <c r="CL84" t="str">
        <f>""</f>
        <v/>
      </c>
      <c r="CM84" t="str">
        <f>""</f>
        <v/>
      </c>
      <c r="CN84" t="str">
        <f>""</f>
        <v/>
      </c>
      <c r="CO84" t="str">
        <f>""</f>
        <v/>
      </c>
      <c r="CP84" t="str">
        <f>""</f>
        <v/>
      </c>
      <c r="CQ84" t="str">
        <f>""</f>
        <v/>
      </c>
      <c r="CR84" t="str">
        <f>""</f>
        <v/>
      </c>
      <c r="CS84" t="str">
        <f>""</f>
        <v/>
      </c>
      <c r="CT84" t="str">
        <f>""</f>
        <v/>
      </c>
      <c r="CU84" t="str">
        <f>""</f>
        <v/>
      </c>
      <c r="CV84" t="str">
        <f>""</f>
        <v/>
      </c>
      <c r="CW84" t="str">
        <f>""</f>
        <v/>
      </c>
      <c r="CX84" t="str">
        <f>""</f>
        <v/>
      </c>
      <c r="CY84" t="str">
        <f>""</f>
        <v/>
      </c>
      <c r="CZ84" t="str">
        <f>""</f>
        <v/>
      </c>
      <c r="DA84" t="str">
        <f>""</f>
        <v/>
      </c>
      <c r="DB84" t="str">
        <f>""</f>
        <v/>
      </c>
      <c r="DC84" t="str">
        <f>""</f>
        <v/>
      </c>
      <c r="DD84" t="str">
        <f>""</f>
        <v/>
      </c>
      <c r="DE84" t="str">
        <f>""</f>
        <v/>
      </c>
      <c r="DF84" t="str">
        <f>""</f>
        <v/>
      </c>
      <c r="DG84" t="str">
        <f>""</f>
        <v/>
      </c>
      <c r="DH84" t="str">
        <f>""</f>
        <v/>
      </c>
      <c r="DI84" t="str">
        <f>""</f>
        <v/>
      </c>
      <c r="DJ84" t="str">
        <f>""</f>
        <v/>
      </c>
      <c r="DK84" t="str">
        <f>""</f>
        <v/>
      </c>
      <c r="DL84" t="str">
        <f>""</f>
        <v/>
      </c>
      <c r="DM84" t="str">
        <f>""</f>
        <v/>
      </c>
      <c r="DN84" t="str">
        <f>""</f>
        <v/>
      </c>
      <c r="DO84" t="str">
        <f>""</f>
        <v/>
      </c>
      <c r="DP84" t="str">
        <f>""</f>
        <v/>
      </c>
      <c r="DQ84" t="str">
        <f>""</f>
        <v/>
      </c>
      <c r="DR84" t="str">
        <f>""</f>
        <v/>
      </c>
      <c r="DS84" t="str">
        <f>""</f>
        <v/>
      </c>
      <c r="DT84" t="str">
        <f>""</f>
        <v/>
      </c>
      <c r="DU84" t="str">
        <f>""</f>
        <v/>
      </c>
    </row>
    <row r="85" spans="1:125" x14ac:dyDescent="0.25">
      <c r="A85" t="str">
        <f>"        Recurring Operating Margin (%)"</f>
        <v xml:space="preserve">        Recurring Operating Margin (%)</v>
      </c>
      <c r="B85" t="str">
        <f t="shared" si="40"/>
        <v>KER FP Equity</v>
      </c>
      <c r="E85" t="str">
        <f>"Expression"</f>
        <v>Expression</v>
      </c>
      <c r="F85" t="str">
        <f ca="1">IF(AND($B$158=1,LEN($F$84) * LEN($F$77)&gt;0),($F$84/$F$77)*100,HLOOKUP(INDIRECT(ADDRESS(2,COLUMN())),OFFSET($BN$2,0,0,ROW()-1,60),ROW()-1,FALSE))</f>
        <v/>
      </c>
      <c r="G85" t="str">
        <f ca="1">IF(AND($B$158=1,LEN($G$84) * LEN($G$77)&gt;0),($G$84/$G$77)*100,HLOOKUP(INDIRECT(ADDRESS(2,COLUMN())),OFFSET($BN$2,0,0,ROW()-1,60),ROW()-1,FALSE))</f>
        <v/>
      </c>
      <c r="H85" t="str">
        <f ca="1">IF(AND($B$158=1,LEN($H$84) * LEN($H$77)&gt;0),($H$84/$H$77)*100,HLOOKUP(INDIRECT(ADDRESS(2,COLUMN())),OFFSET($BN$2,0,0,ROW()-1,60),ROW()-1,FALSE))</f>
        <v/>
      </c>
      <c r="I85" t="str">
        <f ca="1">IF(AND($B$158=1,LEN($I$84) * LEN($I$77)&gt;0),($I$84/$I$77)*100,HLOOKUP(INDIRECT(ADDRESS(2,COLUMN())),OFFSET($BN$2,0,0,ROW()-1,60),ROW()-1,FALSE))</f>
        <v/>
      </c>
      <c r="J85" t="str">
        <f ca="1">IF(AND($B$158=1,LEN($J$84) * LEN($J$77)&gt;0),($J$84/$J$77)*100,HLOOKUP(INDIRECT(ADDRESS(2,COLUMN())),OFFSET($BN$2,0,0,ROW()-1,60),ROW()-1,FALSE))</f>
        <v/>
      </c>
      <c r="K85" t="str">
        <f ca="1">IF(AND($B$158=1,LEN($K$84) * LEN($K$77)&gt;0),($K$84/$K$77)*100,HLOOKUP(INDIRECT(ADDRESS(2,COLUMN())),OFFSET($BN$2,0,0,ROW()-1,60),ROW()-1,FALSE))</f>
        <v/>
      </c>
      <c r="L85" t="str">
        <f ca="1">IF(AND($B$158=1,LEN($L$84) * LEN($L$77)&gt;0),($L$84/$L$77)*100,HLOOKUP(INDIRECT(ADDRESS(2,COLUMN())),OFFSET($BN$2,0,0,ROW()-1,60),ROW()-1,FALSE))</f>
        <v/>
      </c>
      <c r="M85" t="str">
        <f ca="1">IF(AND($B$158=1,LEN($M$84) * LEN($M$77)&gt;0),($M$84/$M$77)*100,HLOOKUP(INDIRECT(ADDRESS(2,COLUMN())),OFFSET($BN$2,0,0,ROW()-1,60),ROW()-1,FALSE))</f>
        <v/>
      </c>
      <c r="N85" t="str">
        <f ca="1">IF(AND($B$158=1,LEN($N$84) * LEN($N$77)&gt;0),($N$84/$N$77)*100,HLOOKUP(INDIRECT(ADDRESS(2,COLUMN())),OFFSET($BN$2,0,0,ROW()-1,60),ROW()-1,FALSE))</f>
        <v/>
      </c>
      <c r="O85" t="str">
        <f ca="1">IF(AND($B$158=1,LEN($O$84) * LEN($O$77)&gt;0),($O$84/$O$77)*100,HLOOKUP(INDIRECT(ADDRESS(2,COLUMN())),OFFSET($BN$2,0,0,ROW()-1,60),ROW()-1,FALSE))</f>
        <v/>
      </c>
      <c r="P85" t="str">
        <f ca="1">IF(AND($B$158=1,LEN($P$84) * LEN($P$77)&gt;0),($P$84/$P$77)*100,HLOOKUP(INDIRECT(ADDRESS(2,COLUMN())),OFFSET($BN$2,0,0,ROW()-1,60),ROW()-1,FALSE))</f>
        <v/>
      </c>
      <c r="Q85" t="str">
        <f ca="1">IF(AND($B$158=1,LEN($Q$84) * LEN($Q$77)&gt;0),($Q$84/$Q$77)*100,HLOOKUP(INDIRECT(ADDRESS(2,COLUMN())),OFFSET($BN$2,0,0,ROW()-1,60),ROW()-1,FALSE))</f>
        <v/>
      </c>
      <c r="R85" t="str">
        <f ca="1">IF(AND($B$158=1,LEN($R$84) * LEN($R$77)&gt;0),($R$84/$R$77)*100,HLOOKUP(INDIRECT(ADDRESS(2,COLUMN())),OFFSET($BN$2,0,0,ROW()-1,60),ROW()-1,FALSE))</f>
        <v/>
      </c>
      <c r="S85" t="str">
        <f ca="1">IF(AND($B$158=1,LEN($S$84) * LEN($S$77)&gt;0),($S$84/$S$77)*100,HLOOKUP(INDIRECT(ADDRESS(2,COLUMN())),OFFSET($BN$2,0,0,ROW()-1,60),ROW()-1,FALSE))</f>
        <v/>
      </c>
      <c r="T85" t="str">
        <f ca="1">IF(AND($B$158=1,LEN($T$84) * LEN($T$77)&gt;0),($T$84/$T$77)*100,HLOOKUP(INDIRECT(ADDRESS(2,COLUMN())),OFFSET($BN$2,0,0,ROW()-1,60),ROW()-1,FALSE))</f>
        <v/>
      </c>
      <c r="U85" t="str">
        <f ca="1">IF(AND($B$158=1,LEN($U$84) * LEN($U$77)&gt;0),($U$84/$U$77)*100,HLOOKUP(INDIRECT(ADDRESS(2,COLUMN())),OFFSET($BN$2,0,0,ROW()-1,60),ROW()-1,FALSE))</f>
        <v/>
      </c>
      <c r="V85" t="str">
        <f ca="1">IF(AND($B$158=1,LEN($V$84) * LEN($V$77)&gt;0),($V$84/$V$77)*100,HLOOKUP(INDIRECT(ADDRESS(2,COLUMN())),OFFSET($BN$2,0,0,ROW()-1,60),ROW()-1,FALSE))</f>
        <v/>
      </c>
      <c r="W85" t="str">
        <f ca="1">IF(AND($B$158=1,LEN($W$84) * LEN($W$77)&gt;0),($W$84/$W$77)*100,HLOOKUP(INDIRECT(ADDRESS(2,COLUMN())),OFFSET($BN$2,0,0,ROW()-1,60),ROW()-1,FALSE))</f>
        <v/>
      </c>
      <c r="X85" t="str">
        <f ca="1">IF(AND($B$158=1,LEN($X$84) * LEN($X$77)&gt;0),($X$84/$X$77)*100,HLOOKUP(INDIRECT(ADDRESS(2,COLUMN())),OFFSET($BN$2,0,0,ROW()-1,60),ROW()-1,FALSE))</f>
        <v/>
      </c>
      <c r="Y85" t="str">
        <f ca="1">IF(AND($B$158=1,LEN($Y$84) * LEN($Y$77)&gt;0),($Y$84/$Y$77)*100,HLOOKUP(INDIRECT(ADDRESS(2,COLUMN())),OFFSET($BN$2,0,0,ROW()-1,60),ROW()-1,FALSE))</f>
        <v/>
      </c>
      <c r="Z85" t="str">
        <f ca="1">IF(AND($B$158=1,LEN($Z$84) * LEN($Z$77)&gt;0),($Z$84/$Z$77)*100,HLOOKUP(INDIRECT(ADDRESS(2,COLUMN())),OFFSET($BN$2,0,0,ROW()-1,60),ROW()-1,FALSE))</f>
        <v/>
      </c>
      <c r="AA85" t="str">
        <f ca="1">IF(AND($B$158=1,LEN($AA$84) * LEN($AA$77)&gt;0),($AA$84/$AA$77)*100,HLOOKUP(INDIRECT(ADDRESS(2,COLUMN())),OFFSET($BN$2,0,0,ROW()-1,60),ROW()-1,FALSE))</f>
        <v/>
      </c>
      <c r="AB85" t="str">
        <f ca="1">IF(AND($B$158=1,LEN($AB$84) * LEN($AB$77)&gt;0),($AB$84/$AB$77)*100,HLOOKUP(INDIRECT(ADDRESS(2,COLUMN())),OFFSET($BN$2,0,0,ROW()-1,60),ROW()-1,FALSE))</f>
        <v/>
      </c>
      <c r="AC85" t="str">
        <f ca="1">IF(AND($B$158=1,LEN($AC$84) * LEN($AC$77)&gt;0),($AC$84/$AC$77)*100,HLOOKUP(INDIRECT(ADDRESS(2,COLUMN())),OFFSET($BN$2,0,0,ROW()-1,60),ROW()-1,FALSE))</f>
        <v/>
      </c>
      <c r="AD85" t="str">
        <f ca="1">IF(AND($B$158=1,LEN($AD$84) * LEN($AD$77)&gt;0),($AD$84/$AD$77)*100,HLOOKUP(INDIRECT(ADDRESS(2,COLUMN())),OFFSET($BN$2,0,0,ROW()-1,60),ROW()-1,FALSE))</f>
        <v/>
      </c>
      <c r="AE85" t="str">
        <f ca="1">IF(AND($B$158=1,LEN($AE$84) * LEN($AE$77)&gt;0),($AE$84/$AE$77)*100,HLOOKUP(INDIRECT(ADDRESS(2,COLUMN())),OFFSET($BN$2,0,0,ROW()-1,60),ROW()-1,FALSE))</f>
        <v/>
      </c>
      <c r="AF85" t="str">
        <f ca="1">IF(AND($B$158=1,LEN($AF$84) * LEN($AF$77)&gt;0),($AF$84/$AF$77)*100,HLOOKUP(INDIRECT(ADDRESS(2,COLUMN())),OFFSET($BN$2,0,0,ROW()-1,60),ROW()-1,FALSE))</f>
        <v/>
      </c>
      <c r="AG85" t="str">
        <f ca="1">IF(AND($B$158=1,LEN($AG$84) * LEN($AG$77)&gt;0),($AG$84/$AG$77)*100,HLOOKUP(INDIRECT(ADDRESS(2,COLUMN())),OFFSET($BN$2,0,0,ROW()-1,60),ROW()-1,FALSE))</f>
        <v/>
      </c>
      <c r="AH85" t="str">
        <f ca="1">IF(AND($B$158=1,LEN($AH$84) * LEN($AH$77)&gt;0),($AH$84/$AH$77)*100,HLOOKUP(INDIRECT(ADDRESS(2,COLUMN())),OFFSET($BN$2,0,0,ROW()-1,60),ROW()-1,FALSE))</f>
        <v/>
      </c>
      <c r="AI85" t="str">
        <f ca="1">IF(AND($B$158=1,LEN($AI$84) * LEN($AI$77)&gt;0),($AI$84/$AI$77)*100,HLOOKUP(INDIRECT(ADDRESS(2,COLUMN())),OFFSET($BN$2,0,0,ROW()-1,60),ROW()-1,FALSE))</f>
        <v/>
      </c>
      <c r="AJ85" t="str">
        <f ca="1">IF(AND($B$158=1,LEN($AJ$84) * LEN($AJ$77)&gt;0),($AJ$84/$AJ$77)*100,HLOOKUP(INDIRECT(ADDRESS(2,COLUMN())),OFFSET($BN$2,0,0,ROW()-1,60),ROW()-1,FALSE))</f>
        <v/>
      </c>
      <c r="AK85" t="str">
        <f ca="1">IF(AND($B$158=1,LEN($AK$84) * LEN($AK$77)&gt;0),($AK$84/$AK$77)*100,HLOOKUP(INDIRECT(ADDRESS(2,COLUMN())),OFFSET($BN$2,0,0,ROW()-1,60),ROW()-1,FALSE))</f>
        <v/>
      </c>
      <c r="AL85" t="str">
        <f ca="1">IF(AND($B$158=1,LEN($AL$84) * LEN($AL$77)&gt;0),($AL$84/$AL$77)*100,HLOOKUP(INDIRECT(ADDRESS(2,COLUMN())),OFFSET($BN$2,0,0,ROW()-1,60),ROW()-1,FALSE))</f>
        <v/>
      </c>
      <c r="AM85" t="str">
        <f ca="1">IF(AND($B$158=1,LEN($AM$84) * LEN($AM$77)&gt;0),($AM$84/$AM$77)*100,HLOOKUP(INDIRECT(ADDRESS(2,COLUMN())),OFFSET($BN$2,0,0,ROW()-1,60),ROW()-1,FALSE))</f>
        <v/>
      </c>
      <c r="AN85" t="str">
        <f ca="1">IF(AND($B$158=1,LEN($AN$84) * LEN($AN$77)&gt;0),($AN$84/$AN$77)*100,HLOOKUP(INDIRECT(ADDRESS(2,COLUMN())),OFFSET($BN$2,0,0,ROW()-1,60),ROW()-1,FALSE))</f>
        <v/>
      </c>
      <c r="AO85" t="str">
        <f ca="1">IF(AND($B$158=1,LEN($AO$84) * LEN($AO$77)&gt;0),($AO$84/$AO$77)*100,HLOOKUP(INDIRECT(ADDRESS(2,COLUMN())),OFFSET($BN$2,0,0,ROW()-1,60),ROW()-1,FALSE))</f>
        <v/>
      </c>
      <c r="AP85" t="str">
        <f ca="1">IF(AND($B$158=1,LEN($AP$84) * LEN($AP$77)&gt;0),($AP$84/$AP$77)*100,HLOOKUP(INDIRECT(ADDRESS(2,COLUMN())),OFFSET($BN$2,0,0,ROW()-1,60),ROW()-1,FALSE))</f>
        <v/>
      </c>
      <c r="AQ85" t="str">
        <f ca="1">IF(AND($B$158=1,LEN($AQ$84) * LEN($AQ$77)&gt;0),($AQ$84/$AQ$77)*100,HLOOKUP(INDIRECT(ADDRESS(2,COLUMN())),OFFSET($BN$2,0,0,ROW()-1,60),ROW()-1,FALSE))</f>
        <v/>
      </c>
      <c r="AR85" t="str">
        <f ca="1">IF(AND($B$158=1,LEN($AR$84) * LEN($AR$77)&gt;0),($AR$84/$AR$77)*100,HLOOKUP(INDIRECT(ADDRESS(2,COLUMN())),OFFSET($BN$2,0,0,ROW()-1,60),ROW()-1,FALSE))</f>
        <v/>
      </c>
      <c r="AS85" t="str">
        <f ca="1">IF(AND($B$158=1,LEN($AS$84) * LEN($AS$77)&gt;0),($AS$84/$AS$77)*100,HLOOKUP(INDIRECT(ADDRESS(2,COLUMN())),OFFSET($BN$2,0,0,ROW()-1,60),ROW()-1,FALSE))</f>
        <v/>
      </c>
      <c r="AT85" t="str">
        <f ca="1">IF(AND($B$158=1,LEN($AT$84) * LEN($AT$77)&gt;0),($AT$84/$AT$77)*100,HLOOKUP(INDIRECT(ADDRESS(2,COLUMN())),OFFSET($BN$2,0,0,ROW()-1,60),ROW()-1,FALSE))</f>
        <v/>
      </c>
      <c r="AU85" t="str">
        <f ca="1">IF(AND($B$158=1,LEN($AU$84) * LEN($AU$77)&gt;0),($AU$84/$AU$77)*100,HLOOKUP(INDIRECT(ADDRESS(2,COLUMN())),OFFSET($BN$2,0,0,ROW()-1,60),ROW()-1,FALSE))</f>
        <v/>
      </c>
      <c r="AV85" t="str">
        <f ca="1">IF(AND($B$158=1,LEN($AV$84) * LEN($AV$77)&gt;0),($AV$84/$AV$77)*100,HLOOKUP(INDIRECT(ADDRESS(2,COLUMN())),OFFSET($BN$2,0,0,ROW()-1,60),ROW()-1,FALSE))</f>
        <v/>
      </c>
      <c r="AW85" t="str">
        <f ca="1">IF(AND($B$158=1,LEN($AW$84) * LEN($AW$77)&gt;0),($AW$84/$AW$77)*100,HLOOKUP(INDIRECT(ADDRESS(2,COLUMN())),OFFSET($BN$2,0,0,ROW()-1,60),ROW()-1,FALSE))</f>
        <v/>
      </c>
      <c r="AX85" t="str">
        <f ca="1">IF(AND($B$158=1,LEN($AX$84) * LEN($AX$77)&gt;0),($AX$84/$AX$77)*100,HLOOKUP(INDIRECT(ADDRESS(2,COLUMN())),OFFSET($BN$2,0,0,ROW()-1,60),ROW()-1,FALSE))</f>
        <v/>
      </c>
      <c r="AY85" t="str">
        <f ca="1">IF(AND($B$158=1,LEN($AY$84) * LEN($AY$77)&gt;0),($AY$84/$AY$77)*100,HLOOKUP(INDIRECT(ADDRESS(2,COLUMN())),OFFSET($BN$2,0,0,ROW()-1,60),ROW()-1,FALSE))</f>
        <v/>
      </c>
      <c r="AZ85" t="str">
        <f ca="1">IF(AND($B$158=1,LEN($AZ$84) * LEN($AZ$77)&gt;0),($AZ$84/$AZ$77)*100,HLOOKUP(INDIRECT(ADDRESS(2,COLUMN())),OFFSET($BN$2,0,0,ROW()-1,60),ROW()-1,FALSE))</f>
        <v/>
      </c>
      <c r="BA85" t="str">
        <f ca="1">IF(AND($B$158=1,LEN($BA$84) * LEN($BA$77)&gt;0),($BA$84/$BA$77)*100,HLOOKUP(INDIRECT(ADDRESS(2,COLUMN())),OFFSET($BN$2,0,0,ROW()-1,60),ROW()-1,FALSE))</f>
        <v/>
      </c>
      <c r="BB85" t="str">
        <f ca="1">IF(AND($B$158=1,LEN($BB$84) * LEN($BB$77)&gt;0),($BB$84/$BB$77)*100,HLOOKUP(INDIRECT(ADDRESS(2,COLUMN())),OFFSET($BN$2,0,0,ROW()-1,60),ROW()-1,FALSE))</f>
        <v/>
      </c>
      <c r="BC85" t="str">
        <f ca="1">IF(AND($B$158=1,LEN($BC$84) * LEN($BC$77)&gt;0),($BC$84/$BC$77)*100,HLOOKUP(INDIRECT(ADDRESS(2,COLUMN())),OFFSET($BN$2,0,0,ROW()-1,60),ROW()-1,FALSE))</f>
        <v/>
      </c>
      <c r="BD85" t="str">
        <f ca="1">IF(AND($B$158=1,LEN($BD$84) * LEN($BD$77)&gt;0),($BD$84/$BD$77)*100,HLOOKUP(INDIRECT(ADDRESS(2,COLUMN())),OFFSET($BN$2,0,0,ROW()-1,60),ROW()-1,FALSE))</f>
        <v/>
      </c>
      <c r="BE85" t="str">
        <f ca="1">IF(AND($B$158=1,LEN($BE$84) * LEN($BE$77)&gt;0),($BE$84/$BE$77)*100,HLOOKUP(INDIRECT(ADDRESS(2,COLUMN())),OFFSET($BN$2,0,0,ROW()-1,60),ROW()-1,FALSE))</f>
        <v/>
      </c>
      <c r="BF85" t="str">
        <f ca="1">IF(AND($B$158=1,LEN($BF$84) * LEN($BF$77)&gt;0),($BF$84/$BF$77)*100,HLOOKUP(INDIRECT(ADDRESS(2,COLUMN())),OFFSET($BN$2,0,0,ROW()-1,60),ROW()-1,FALSE))</f>
        <v/>
      </c>
      <c r="BG85" t="str">
        <f ca="1">IF(AND($B$158=1,LEN($BG$84) * LEN($BG$77)&gt;0),($BG$84/$BG$77)*100,HLOOKUP(INDIRECT(ADDRESS(2,COLUMN())),OFFSET($BN$2,0,0,ROW()-1,60),ROW()-1,FALSE))</f>
        <v/>
      </c>
      <c r="BH85" t="str">
        <f ca="1">IF(AND($B$158=1,LEN($BH$84) * LEN($BH$77)&gt;0),($BH$84/$BH$77)*100,HLOOKUP(INDIRECT(ADDRESS(2,COLUMN())),OFFSET($BN$2,0,0,ROW()-1,60),ROW()-1,FALSE))</f>
        <v/>
      </c>
      <c r="BI85" t="str">
        <f ca="1">IF(AND($B$158=1,LEN($BI$84) * LEN($BI$77)&gt;0),($BI$84/$BI$77)*100,HLOOKUP(INDIRECT(ADDRESS(2,COLUMN())),OFFSET($BN$2,0,0,ROW()-1,60),ROW()-1,FALSE))</f>
        <v/>
      </c>
      <c r="BJ85" t="str">
        <f ca="1">IF(AND($B$158=1,LEN($BJ$84) * LEN($BJ$77)&gt;0),($BJ$84/$BJ$77)*100,HLOOKUP(INDIRECT(ADDRESS(2,COLUMN())),OFFSET($BN$2,0,0,ROW()-1,60),ROW()-1,FALSE))</f>
        <v/>
      </c>
      <c r="BK85" t="str">
        <f ca="1">IF(AND($B$158=1,LEN($BK$84) * LEN($BK$77)&gt;0),($BK$84/$BK$77)*100,HLOOKUP(INDIRECT(ADDRESS(2,COLUMN())),OFFSET($BN$2,0,0,ROW()-1,60),ROW()-1,FALSE))</f>
        <v/>
      </c>
      <c r="BL85" t="str">
        <f ca="1">IF(AND($B$158=1,LEN($BL$84) * LEN($BL$77)&gt;0),($BL$84/$BL$77)*100,HLOOKUP(INDIRECT(ADDRESS(2,COLUMN())),OFFSET($BN$2,0,0,ROW()-1,60),ROW()-1,FALSE))</f>
        <v/>
      </c>
      <c r="BM85" t="str">
        <f ca="1">IF(AND($B$158=1,LEN($BM$84) * LEN($BM$77)&gt;0),($BM$84/$BM$77)*100,HLOOKUP(INDIRECT(ADDRESS(2,COLUMN())),OFFSET($BN$2,0,0,ROW()-1,60),ROW()-1,FALSE))</f>
        <v/>
      </c>
      <c r="BN85" t="str">
        <f>""</f>
        <v/>
      </c>
      <c r="BO85" t="str">
        <f>""</f>
        <v/>
      </c>
      <c r="BP85" t="str">
        <f>""</f>
        <v/>
      </c>
      <c r="BQ85" t="str">
        <f>""</f>
        <v/>
      </c>
      <c r="BR85" t="str">
        <f>""</f>
        <v/>
      </c>
      <c r="BS85" t="str">
        <f>""</f>
        <v/>
      </c>
      <c r="BT85" t="str">
        <f>""</f>
        <v/>
      </c>
      <c r="BU85" t="str">
        <f>""</f>
        <v/>
      </c>
      <c r="BV85" t="str">
        <f>""</f>
        <v/>
      </c>
      <c r="BW85" t="str">
        <f>""</f>
        <v/>
      </c>
      <c r="BX85" t="str">
        <f>""</f>
        <v/>
      </c>
      <c r="BY85" t="str">
        <f>""</f>
        <v/>
      </c>
      <c r="BZ85" t="str">
        <f>""</f>
        <v/>
      </c>
      <c r="CA85" t="str">
        <f>""</f>
        <v/>
      </c>
      <c r="CB85" t="str">
        <f>""</f>
        <v/>
      </c>
      <c r="CC85" t="str">
        <f>""</f>
        <v/>
      </c>
      <c r="CD85" t="str">
        <f>""</f>
        <v/>
      </c>
      <c r="CE85" t="str">
        <f>""</f>
        <v/>
      </c>
      <c r="CF85" t="str">
        <f>""</f>
        <v/>
      </c>
      <c r="CG85" t="str">
        <f>""</f>
        <v/>
      </c>
      <c r="CH85" t="str">
        <f>""</f>
        <v/>
      </c>
      <c r="CI85" t="str">
        <f>""</f>
        <v/>
      </c>
      <c r="CJ85" t="str">
        <f>""</f>
        <v/>
      </c>
      <c r="CK85" t="str">
        <f>""</f>
        <v/>
      </c>
      <c r="CL85" t="str">
        <f>""</f>
        <v/>
      </c>
      <c r="CM85" t="str">
        <f>""</f>
        <v/>
      </c>
      <c r="CN85" t="str">
        <f>""</f>
        <v/>
      </c>
      <c r="CO85" t="str">
        <f>""</f>
        <v/>
      </c>
      <c r="CP85" t="str">
        <f>""</f>
        <v/>
      </c>
      <c r="CQ85" t="str">
        <f>""</f>
        <v/>
      </c>
      <c r="CR85" t="str">
        <f>""</f>
        <v/>
      </c>
      <c r="CS85" t="str">
        <f>""</f>
        <v/>
      </c>
      <c r="CT85" t="str">
        <f>""</f>
        <v/>
      </c>
      <c r="CU85" t="str">
        <f>""</f>
        <v/>
      </c>
      <c r="CV85" t="str">
        <f>""</f>
        <v/>
      </c>
      <c r="CW85" t="str">
        <f>""</f>
        <v/>
      </c>
      <c r="CX85" t="str">
        <f>""</f>
        <v/>
      </c>
      <c r="CY85" t="str">
        <f>""</f>
        <v/>
      </c>
      <c r="CZ85" t="str">
        <f>""</f>
        <v/>
      </c>
      <c r="DA85" t="str">
        <f>""</f>
        <v/>
      </c>
      <c r="DB85" t="str">
        <f>""</f>
        <v/>
      </c>
      <c r="DC85" t="str">
        <f>""</f>
        <v/>
      </c>
      <c r="DD85" t="str">
        <f>""</f>
        <v/>
      </c>
      <c r="DE85" t="str">
        <f>""</f>
        <v/>
      </c>
      <c r="DF85" t="str">
        <f>""</f>
        <v/>
      </c>
      <c r="DG85" t="str">
        <f>""</f>
        <v/>
      </c>
      <c r="DH85" t="str">
        <f>""</f>
        <v/>
      </c>
      <c r="DI85" t="str">
        <f>""</f>
        <v/>
      </c>
      <c r="DJ85" t="str">
        <f>""</f>
        <v/>
      </c>
      <c r="DK85" t="str">
        <f>""</f>
        <v/>
      </c>
      <c r="DL85" t="str">
        <f>""</f>
        <v/>
      </c>
      <c r="DM85" t="str">
        <f>""</f>
        <v/>
      </c>
      <c r="DN85" t="str">
        <f>""</f>
        <v/>
      </c>
      <c r="DO85" t="str">
        <f>""</f>
        <v/>
      </c>
      <c r="DP85" t="str">
        <f>""</f>
        <v/>
      </c>
      <c r="DQ85" t="str">
        <f>""</f>
        <v/>
      </c>
      <c r="DR85" t="str">
        <f>""</f>
        <v/>
      </c>
      <c r="DS85" t="str">
        <f>""</f>
        <v/>
      </c>
      <c r="DT85" t="str">
        <f>""</f>
        <v/>
      </c>
      <c r="DU85" t="str">
        <f>""</f>
        <v/>
      </c>
    </row>
    <row r="86" spans="1:125" x14ac:dyDescent="0.25">
      <c r="A86" t="str">
        <f>"    "</f>
        <v xml:space="preserve">    </v>
      </c>
      <c r="B86" t="str">
        <f>""</f>
        <v/>
      </c>
      <c r="E86" t="str">
        <f>"Static"</f>
        <v>Static</v>
      </c>
      <c r="F86" t="str">
        <f t="shared" ref="F86:AK86" ca="1" si="44">HLOOKUP(INDIRECT(ADDRESS(2,COLUMN())),OFFSET($BN$2,0,0,ROW()-1,60),ROW()-1,FALSE)</f>
        <v/>
      </c>
      <c r="G86" t="str">
        <f t="shared" ca="1" si="44"/>
        <v/>
      </c>
      <c r="H86" t="str">
        <f t="shared" ca="1" si="44"/>
        <v/>
      </c>
      <c r="I86" t="str">
        <f t="shared" ca="1" si="44"/>
        <v/>
      </c>
      <c r="J86" t="str">
        <f t="shared" ca="1" si="44"/>
        <v/>
      </c>
      <c r="K86" t="str">
        <f t="shared" ca="1" si="44"/>
        <v/>
      </c>
      <c r="L86" t="str">
        <f t="shared" ca="1" si="44"/>
        <v/>
      </c>
      <c r="M86" t="str">
        <f t="shared" ca="1" si="44"/>
        <v/>
      </c>
      <c r="N86" t="str">
        <f t="shared" ca="1" si="44"/>
        <v/>
      </c>
      <c r="O86" t="str">
        <f t="shared" ca="1" si="44"/>
        <v/>
      </c>
      <c r="P86" t="str">
        <f t="shared" ca="1" si="44"/>
        <v/>
      </c>
      <c r="Q86" t="str">
        <f t="shared" ca="1" si="44"/>
        <v/>
      </c>
      <c r="R86" t="str">
        <f t="shared" ca="1" si="44"/>
        <v/>
      </c>
      <c r="S86" t="str">
        <f t="shared" ca="1" si="44"/>
        <v/>
      </c>
      <c r="T86" t="str">
        <f t="shared" ca="1" si="44"/>
        <v/>
      </c>
      <c r="U86" t="str">
        <f t="shared" ca="1" si="44"/>
        <v/>
      </c>
      <c r="V86" t="str">
        <f t="shared" ca="1" si="44"/>
        <v/>
      </c>
      <c r="W86" t="str">
        <f t="shared" ca="1" si="44"/>
        <v/>
      </c>
      <c r="X86" t="str">
        <f t="shared" ca="1" si="44"/>
        <v/>
      </c>
      <c r="Y86" t="str">
        <f t="shared" ca="1" si="44"/>
        <v/>
      </c>
      <c r="Z86" t="str">
        <f t="shared" ca="1" si="44"/>
        <v/>
      </c>
      <c r="AA86" t="str">
        <f t="shared" ca="1" si="44"/>
        <v/>
      </c>
      <c r="AB86" t="str">
        <f t="shared" ca="1" si="44"/>
        <v/>
      </c>
      <c r="AC86" t="str">
        <f t="shared" ca="1" si="44"/>
        <v/>
      </c>
      <c r="AD86" t="str">
        <f t="shared" ca="1" si="44"/>
        <v/>
      </c>
      <c r="AE86" t="str">
        <f t="shared" ca="1" si="44"/>
        <v/>
      </c>
      <c r="AF86" t="str">
        <f t="shared" ca="1" si="44"/>
        <v/>
      </c>
      <c r="AG86" t="str">
        <f t="shared" ca="1" si="44"/>
        <v/>
      </c>
      <c r="AH86" t="str">
        <f t="shared" ca="1" si="44"/>
        <v/>
      </c>
      <c r="AI86" t="str">
        <f t="shared" ca="1" si="44"/>
        <v/>
      </c>
      <c r="AJ86" t="str">
        <f t="shared" ca="1" si="44"/>
        <v/>
      </c>
      <c r="AK86" t="str">
        <f t="shared" ca="1" si="44"/>
        <v/>
      </c>
      <c r="AL86" t="str">
        <f t="shared" ref="AL86:BM86" ca="1" si="45">HLOOKUP(INDIRECT(ADDRESS(2,COLUMN())),OFFSET($BN$2,0,0,ROW()-1,60),ROW()-1,FALSE)</f>
        <v/>
      </c>
      <c r="AM86" t="str">
        <f t="shared" ca="1" si="45"/>
        <v/>
      </c>
      <c r="AN86" t="str">
        <f t="shared" ca="1" si="45"/>
        <v/>
      </c>
      <c r="AO86" t="str">
        <f t="shared" ca="1" si="45"/>
        <v/>
      </c>
      <c r="AP86" t="str">
        <f t="shared" ca="1" si="45"/>
        <v/>
      </c>
      <c r="AQ86" t="str">
        <f t="shared" ca="1" si="45"/>
        <v/>
      </c>
      <c r="AR86" t="str">
        <f t="shared" ca="1" si="45"/>
        <v/>
      </c>
      <c r="AS86" t="str">
        <f t="shared" ca="1" si="45"/>
        <v/>
      </c>
      <c r="AT86" t="str">
        <f t="shared" ca="1" si="45"/>
        <v/>
      </c>
      <c r="AU86" t="str">
        <f t="shared" ca="1" si="45"/>
        <v/>
      </c>
      <c r="AV86" t="str">
        <f t="shared" ca="1" si="45"/>
        <v/>
      </c>
      <c r="AW86" t="str">
        <f t="shared" ca="1" si="45"/>
        <v/>
      </c>
      <c r="AX86" t="str">
        <f t="shared" ca="1" si="45"/>
        <v/>
      </c>
      <c r="AY86" t="str">
        <f t="shared" ca="1" si="45"/>
        <v/>
      </c>
      <c r="AZ86" t="str">
        <f t="shared" ca="1" si="45"/>
        <v/>
      </c>
      <c r="BA86" t="str">
        <f t="shared" ca="1" si="45"/>
        <v/>
      </c>
      <c r="BB86" t="str">
        <f t="shared" ca="1" si="45"/>
        <v/>
      </c>
      <c r="BC86" t="str">
        <f t="shared" ca="1" si="45"/>
        <v/>
      </c>
      <c r="BD86" t="str">
        <f t="shared" ca="1" si="45"/>
        <v/>
      </c>
      <c r="BE86" t="str">
        <f t="shared" ca="1" si="45"/>
        <v/>
      </c>
      <c r="BF86" t="str">
        <f t="shared" ca="1" si="45"/>
        <v/>
      </c>
      <c r="BG86" t="str">
        <f t="shared" ca="1" si="45"/>
        <v/>
      </c>
      <c r="BH86" t="str">
        <f t="shared" ca="1" si="45"/>
        <v/>
      </c>
      <c r="BI86" t="str">
        <f t="shared" ca="1" si="45"/>
        <v/>
      </c>
      <c r="BJ86" t="str">
        <f t="shared" ca="1" si="45"/>
        <v/>
      </c>
      <c r="BK86" t="str">
        <f t="shared" ca="1" si="45"/>
        <v/>
      </c>
      <c r="BL86" t="str">
        <f t="shared" ca="1" si="45"/>
        <v/>
      </c>
      <c r="BM86" t="str">
        <f t="shared" ca="1" si="45"/>
        <v/>
      </c>
      <c r="BN86" t="str">
        <f>""</f>
        <v/>
      </c>
      <c r="BO86" t="str">
        <f>""</f>
        <v/>
      </c>
      <c r="BP86" t="str">
        <f>""</f>
        <v/>
      </c>
      <c r="BQ86" t="str">
        <f>""</f>
        <v/>
      </c>
      <c r="BR86" t="str">
        <f>""</f>
        <v/>
      </c>
      <c r="BS86" t="str">
        <f>""</f>
        <v/>
      </c>
      <c r="BT86" t="str">
        <f>""</f>
        <v/>
      </c>
      <c r="BU86" t="str">
        <f>""</f>
        <v/>
      </c>
      <c r="BV86" t="str">
        <f>""</f>
        <v/>
      </c>
      <c r="BW86" t="str">
        <f>""</f>
        <v/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  <c r="CH86" t="str">
        <f>""</f>
        <v/>
      </c>
      <c r="CI86" t="str">
        <f>""</f>
        <v/>
      </c>
      <c r="CJ86" t="str">
        <f>""</f>
        <v/>
      </c>
      <c r="CK86" t="str">
        <f>""</f>
        <v/>
      </c>
      <c r="CL86" t="str">
        <f>""</f>
        <v/>
      </c>
      <c r="CM86" t="str">
        <f>""</f>
        <v/>
      </c>
      <c r="CN86" t="str">
        <f>""</f>
        <v/>
      </c>
      <c r="CO86" t="str">
        <f>""</f>
        <v/>
      </c>
      <c r="CP86" t="str">
        <f>""</f>
        <v/>
      </c>
      <c r="CQ86" t="str">
        <f>""</f>
        <v/>
      </c>
      <c r="CR86" t="str">
        <f>""</f>
        <v/>
      </c>
      <c r="CS86" t="str">
        <f>""</f>
        <v/>
      </c>
      <c r="CT86" t="str">
        <f>""</f>
        <v/>
      </c>
      <c r="CU86" t="str">
        <f>""</f>
        <v/>
      </c>
      <c r="CV86" t="str">
        <f>""</f>
        <v/>
      </c>
      <c r="CW86" t="str">
        <f>""</f>
        <v/>
      </c>
      <c r="CX86" t="str">
        <f>""</f>
        <v/>
      </c>
      <c r="CY86" t="str">
        <f>""</f>
        <v/>
      </c>
      <c r="CZ86" t="str">
        <f>""</f>
        <v/>
      </c>
      <c r="DA86" t="str">
        <f>""</f>
        <v/>
      </c>
      <c r="DB86" t="str">
        <f>""</f>
        <v/>
      </c>
      <c r="DC86" t="str">
        <f>""</f>
        <v/>
      </c>
      <c r="DD86" t="str">
        <f>""</f>
        <v/>
      </c>
      <c r="DE86" t="str">
        <f>""</f>
        <v/>
      </c>
      <c r="DF86" t="str">
        <f>""</f>
        <v/>
      </c>
      <c r="DG86" t="str">
        <f>""</f>
        <v/>
      </c>
      <c r="DH86" t="str">
        <f>""</f>
        <v/>
      </c>
      <c r="DI86" t="str">
        <f>""</f>
        <v/>
      </c>
      <c r="DJ86" t="str">
        <f>""</f>
        <v/>
      </c>
      <c r="DK86" t="str">
        <f>""</f>
        <v/>
      </c>
      <c r="DL86" t="str">
        <f>""</f>
        <v/>
      </c>
      <c r="DM86" t="str">
        <f>""</f>
        <v/>
      </c>
      <c r="DN86" t="str">
        <f>""</f>
        <v/>
      </c>
      <c r="DO86" t="str">
        <f>""</f>
        <v/>
      </c>
      <c r="DP86" t="str">
        <f>""</f>
        <v/>
      </c>
      <c r="DQ86" t="str">
        <f>""</f>
        <v/>
      </c>
      <c r="DR86" t="str">
        <f>""</f>
        <v/>
      </c>
      <c r="DS86" t="str">
        <f>""</f>
        <v/>
      </c>
      <c r="DT86" t="str">
        <f>""</f>
        <v/>
      </c>
      <c r="DU86" t="str">
        <f>""</f>
        <v/>
      </c>
    </row>
    <row r="87" spans="1:125" x14ac:dyDescent="0.25">
      <c r="A87" t="str">
        <f>"    Corporate &amp; Other Revenue"</f>
        <v xml:space="preserve">    Corporate &amp; Other Revenue</v>
      </c>
      <c r="B87" t="str">
        <f>"KER FP Equity"</f>
        <v>KER FP Equity</v>
      </c>
      <c r="C87" t="str">
        <f>"BI047"</f>
        <v>BI047</v>
      </c>
      <c r="D87" t="str">
        <f>"BICS_SEGMENT_DATA"</f>
        <v>BICS_SEGMENT_DATA</v>
      </c>
      <c r="E87" t="str">
        <f>"Dynamic"</f>
        <v>Dynamic</v>
      </c>
      <c r="F87" t="str">
        <f ca="1">IF(AND(ISNUMBER($F$234),$B$158=1),$F$234,HLOOKUP(INDIRECT(ADDRESS(2,COLUMN())),OFFSET($BN$2,0,0,ROW()-1,60),ROW()-1,FALSE))</f>
        <v/>
      </c>
      <c r="G87">
        <f ca="1">IF(AND(ISNUMBER($G$234),$B$158=1),$G$234,HLOOKUP(INDIRECT(ADDRESS(2,COLUMN())),OFFSET($BN$2,0,0,ROW()-1,60),ROW()-1,FALSE))</f>
        <v>146</v>
      </c>
      <c r="H87">
        <f ca="1">IF(AND(ISNUMBER($H$234),$B$158=1),$H$234,HLOOKUP(INDIRECT(ADDRESS(2,COLUMN())),OFFSET($BN$2,0,0,ROW()-1,60),ROW()-1,FALSE))</f>
        <v>176.1</v>
      </c>
      <c r="I87">
        <f ca="1">IF(AND(ISNUMBER($I$234),$B$158=1),$I$234,HLOOKUP(INDIRECT(ADDRESS(2,COLUMN())),OFFSET($BN$2,0,0,ROW()-1,60),ROW()-1,FALSE))</f>
        <v>163.1</v>
      </c>
      <c r="J87">
        <f ca="1">IF(AND(ISNUMBER($J$234),$B$158=1),$J$234,HLOOKUP(INDIRECT(ADDRESS(2,COLUMN())),OFFSET($BN$2,0,0,ROW()-1,60),ROW()-1,FALSE))</f>
        <v>103.2</v>
      </c>
      <c r="K87">
        <f ca="1">IF(AND(ISNUMBER($K$234),$B$158=1),$K$234,HLOOKUP(INDIRECT(ADDRESS(2,COLUMN())),OFFSET($BN$2,0,0,ROW()-1,60),ROW()-1,FALSE))</f>
        <v>117.6</v>
      </c>
      <c r="L87">
        <f ca="1">IF(AND(ISNUMBER($L$234),$B$158=1),$L$234,HLOOKUP(INDIRECT(ADDRESS(2,COLUMN())),OFFSET($BN$2,0,0,ROW()-1,60),ROW()-1,FALSE))</f>
        <v>65.3</v>
      </c>
      <c r="M87">
        <f ca="1">IF(AND(ISNUMBER($M$234),$B$158=1),$M$234,HLOOKUP(INDIRECT(ADDRESS(2,COLUMN())),OFFSET($BN$2,0,0,ROW()-1,60),ROW()-1,FALSE))</f>
        <v>137.5</v>
      </c>
      <c r="N87">
        <f ca="1">IF(AND(ISNUMBER($N$234),$B$158=1),$N$234,HLOOKUP(INDIRECT(ADDRESS(2,COLUMN())),OFFSET($BN$2,0,0,ROW()-1,60),ROW()-1,FALSE))</f>
        <v>120.1</v>
      </c>
      <c r="O87">
        <f ca="1">IF(AND(ISNUMBER($O$234),$B$158=1),$O$234,HLOOKUP(INDIRECT(ADDRESS(2,COLUMN())),OFFSET($BN$2,0,0,ROW()-1,60),ROW()-1,FALSE))</f>
        <v>106.8</v>
      </c>
      <c r="P87">
        <f ca="1">IF(AND(ISNUMBER($P$234),$B$158=1),$P$234,HLOOKUP(INDIRECT(ADDRESS(2,COLUMN())),OFFSET($BN$2,0,0,ROW()-1,60),ROW()-1,FALSE))</f>
        <v>136.80000000000001</v>
      </c>
      <c r="Q87">
        <f ca="1">IF(AND(ISNUMBER($Q$234),$B$158=1),$Q$234,HLOOKUP(INDIRECT(ADDRESS(2,COLUMN())),OFFSET($BN$2,0,0,ROW()-1,60),ROW()-1,FALSE))</f>
        <v>137.19999999999999</v>
      </c>
      <c r="R87">
        <f ca="1">IF(AND(ISNUMBER($R$234),$B$158=1),$R$234,HLOOKUP(INDIRECT(ADDRESS(2,COLUMN())),OFFSET($BN$2,0,0,ROW()-1,60),ROW()-1,FALSE))</f>
        <v>111.5</v>
      </c>
      <c r="S87">
        <f ca="1">IF(AND(ISNUMBER($S$234),$B$158=1),$S$234,HLOOKUP(INDIRECT(ADDRESS(2,COLUMN())),OFFSET($BN$2,0,0,ROW()-1,60),ROW()-1,FALSE))</f>
        <v>83.8</v>
      </c>
      <c r="T87">
        <f ca="1">IF(AND(ISNUMBER($T$234),$B$158=1),$T$234,HLOOKUP(INDIRECT(ADDRESS(2,COLUMN())),OFFSET($BN$2,0,0,ROW()-1,60),ROW()-1,FALSE))</f>
        <v>114.7</v>
      </c>
      <c r="U87">
        <f ca="1">IF(AND(ISNUMBER($U$234),$B$158=1),$U$234,HLOOKUP(INDIRECT(ADDRESS(2,COLUMN())),OFFSET($BN$2,0,0,ROW()-1,60),ROW()-1,FALSE))</f>
        <v>108.5</v>
      </c>
      <c r="V87">
        <f ca="1">IF(AND(ISNUMBER($V$234),$B$158=1),$V$234,HLOOKUP(INDIRECT(ADDRESS(2,COLUMN())),OFFSET($BN$2,0,0,ROW()-1,60),ROW()-1,FALSE))</f>
        <v>65.599999999999994</v>
      </c>
      <c r="W87">
        <f ca="1">IF(AND(ISNUMBER($W$234),$B$158=1),$W$234,HLOOKUP(INDIRECT(ADDRESS(2,COLUMN())),OFFSET($BN$2,0,0,ROW()-1,60),ROW()-1,FALSE))</f>
        <v>56.3</v>
      </c>
      <c r="X87">
        <f ca="1">IF(AND(ISNUMBER($X$234),$B$158=1),$X$234,HLOOKUP(INDIRECT(ADDRESS(2,COLUMN())),OFFSET($BN$2,0,0,ROW()-1,60),ROW()-1,FALSE))</f>
        <v>86.9</v>
      </c>
      <c r="Y87">
        <f ca="1">IF(AND(ISNUMBER($Y$234),$B$158=1),$Y$234,HLOOKUP(INDIRECT(ADDRESS(2,COLUMN())),OFFSET($BN$2,0,0,ROW()-1,60),ROW()-1,FALSE))</f>
        <v>92.9</v>
      </c>
      <c r="Z87">
        <f ca="1">IF(AND(ISNUMBER($Z$234),$B$158=1),$Z$234,HLOOKUP(INDIRECT(ADDRESS(2,COLUMN())),OFFSET($BN$2,0,0,ROW()-1,60),ROW()-1,FALSE))</f>
        <v>8.1999999999999993</v>
      </c>
      <c r="AA87">
        <f ca="1">IF(AND(ISNUMBER($AA$234),$B$158=1),$AA$234,HLOOKUP(INDIRECT(ADDRESS(2,COLUMN())),OFFSET($BN$2,0,0,ROW()-1,60),ROW()-1,FALSE))</f>
        <v>5.4</v>
      </c>
      <c r="AB87">
        <f ca="1">IF(AND(ISNUMBER($AB$234),$B$158=1),$AB$234,HLOOKUP(INDIRECT(ADDRESS(2,COLUMN())),OFFSET($BN$2,0,0,ROW()-1,60),ROW()-1,FALSE))</f>
        <v>11.2</v>
      </c>
      <c r="AC87">
        <f ca="1">IF(AND(ISNUMBER($AC$234),$B$158=1),$AC$234,HLOOKUP(INDIRECT(ADDRESS(2,COLUMN())),OFFSET($BN$2,0,0,ROW()-1,60),ROW()-1,FALSE))</f>
        <v>7</v>
      </c>
      <c r="AD87">
        <f ca="1">IF(AND(ISNUMBER($AD$234),$B$158=1),$AD$234,HLOOKUP(INDIRECT(ADDRESS(2,COLUMN())),OFFSET($BN$2,0,0,ROW()-1,60),ROW()-1,FALSE))</f>
        <v>9.8000000000000007</v>
      </c>
      <c r="AE87">
        <f ca="1">IF(AND(ISNUMBER($AE$234),$B$158=1),$AE$234,HLOOKUP(INDIRECT(ADDRESS(2,COLUMN())),OFFSET($BN$2,0,0,ROW()-1,60),ROW()-1,FALSE))</f>
        <v>7.1</v>
      </c>
      <c r="AF87">
        <f ca="1">IF(AND(ISNUMBER($AF$234),$B$158=1),$AF$234,HLOOKUP(INDIRECT(ADDRESS(2,COLUMN())),OFFSET($BN$2,0,0,ROW()-1,60),ROW()-1,FALSE))</f>
        <v>12.3</v>
      </c>
      <c r="AG87">
        <f ca="1">IF(AND(ISNUMBER($AG$234),$B$158=1),$AG$234,HLOOKUP(INDIRECT(ADDRESS(2,COLUMN())),OFFSET($BN$2,0,0,ROW()-1,60),ROW()-1,FALSE))</f>
        <v>7</v>
      </c>
      <c r="AH87">
        <f ca="1">IF(AND(ISNUMBER($AH$234),$B$158=1),$AH$234,HLOOKUP(INDIRECT(ADDRESS(2,COLUMN())),OFFSET($BN$2,0,0,ROW()-1,60),ROW()-1,FALSE))</f>
        <v>8.4</v>
      </c>
      <c r="AI87">
        <f ca="1">IF(AND(ISNUMBER($AI$234),$B$158=1),$AI$234,HLOOKUP(INDIRECT(ADDRESS(2,COLUMN())),OFFSET($BN$2,0,0,ROW()-1,60),ROW()-1,FALSE))</f>
        <v>7.3</v>
      </c>
      <c r="AJ87">
        <f ca="1">IF(AND(ISNUMBER($AJ$234),$B$158=1),$AJ$234,HLOOKUP(INDIRECT(ADDRESS(2,COLUMN())),OFFSET($BN$2,0,0,ROW()-1,60),ROW()-1,FALSE))</f>
        <v>10.4</v>
      </c>
      <c r="AK87">
        <f ca="1">IF(AND(ISNUMBER($AK$234),$B$158=1),$AK$234,HLOOKUP(INDIRECT(ADDRESS(2,COLUMN())),OFFSET($BN$2,0,0,ROW()-1,60),ROW()-1,FALSE))</f>
        <v>7</v>
      </c>
      <c r="AL87">
        <f ca="1">IF(AND(ISNUMBER($AL$234),$B$158=1),$AL$234,HLOOKUP(INDIRECT(ADDRESS(2,COLUMN())),OFFSET($BN$2,0,0,ROW()-1,60),ROW()-1,FALSE))</f>
        <v>8.4</v>
      </c>
      <c r="AM87">
        <f ca="1">IF(AND(ISNUMBER($AM$234),$B$158=1),$AM$234,HLOOKUP(INDIRECT(ADDRESS(2,COLUMN())),OFFSET($BN$2,0,0,ROW()-1,60),ROW()-1,FALSE))</f>
        <v>9.6999999999999993</v>
      </c>
      <c r="AN87">
        <f ca="1">IF(AND(ISNUMBER($AN$234),$B$158=1),$AN$234,HLOOKUP(INDIRECT(ADDRESS(2,COLUMN())),OFFSET($BN$2,0,0,ROW()-1,60),ROW()-1,FALSE))</f>
        <v>8.8000000000000007</v>
      </c>
      <c r="AO87">
        <f ca="1">IF(AND(ISNUMBER($AO$234),$B$158=1),$AO$234,HLOOKUP(INDIRECT(ADDRESS(2,COLUMN())),OFFSET($BN$2,0,0,ROW()-1,60),ROW()-1,FALSE))</f>
        <v>4.4000000000000004</v>
      </c>
      <c r="AP87">
        <f ca="1">IF(AND(ISNUMBER($AP$234),$B$158=1),$AP$234,HLOOKUP(INDIRECT(ADDRESS(2,COLUMN())),OFFSET($BN$2,0,0,ROW()-1,60),ROW()-1,FALSE))</f>
        <v>-0.9</v>
      </c>
      <c r="AQ87">
        <f ca="1">IF(AND(ISNUMBER($AQ$234),$B$158=1),$AQ$234,HLOOKUP(INDIRECT(ADDRESS(2,COLUMN())),OFFSET($BN$2,0,0,ROW()-1,60),ROW()-1,FALSE))</f>
        <v>-2.2000000000000002</v>
      </c>
      <c r="AR87">
        <f ca="1">IF(AND(ISNUMBER($AR$234),$B$158=1),$AR$234,HLOOKUP(INDIRECT(ADDRESS(2,COLUMN())),OFFSET($BN$2,0,0,ROW()-1,60),ROW()-1,FALSE))</f>
        <v>-2.2999999999999998</v>
      </c>
      <c r="AS87">
        <f ca="1">IF(AND(ISNUMBER($AS$234),$B$158=1),$AS$234,HLOOKUP(INDIRECT(ADDRESS(2,COLUMN())),OFFSET($BN$2,0,0,ROW()-1,60),ROW()-1,FALSE))</f>
        <v>-2.5</v>
      </c>
      <c r="AT87" t="str">
        <f ca="1">IF(AND(ISNUMBER($AT$234),$B$158=1),$AT$234,HLOOKUP(INDIRECT(ADDRESS(2,COLUMN())),OFFSET($BN$2,0,0,ROW()-1,60),ROW()-1,FALSE))</f>
        <v/>
      </c>
      <c r="AU87" t="str">
        <f ca="1">IF(AND(ISNUMBER($AU$234),$B$158=1),$AU$234,HLOOKUP(INDIRECT(ADDRESS(2,COLUMN())),OFFSET($BN$2,0,0,ROW()-1,60),ROW()-1,FALSE))</f>
        <v/>
      </c>
      <c r="AV87">
        <f ca="1">IF(AND(ISNUMBER($AV$234),$B$158=1),$AV$234,HLOOKUP(INDIRECT(ADDRESS(2,COLUMN())),OFFSET($BN$2,0,0,ROW()-1,60),ROW()-1,FALSE))</f>
        <v>-2.1</v>
      </c>
      <c r="AW87">
        <f ca="1">IF(AND(ISNUMBER($AW$234),$B$158=1),$AW$234,HLOOKUP(INDIRECT(ADDRESS(2,COLUMN())),OFFSET($BN$2,0,0,ROW()-1,60),ROW()-1,FALSE))</f>
        <v>-3.2</v>
      </c>
      <c r="AX87">
        <f ca="1">IF(AND(ISNUMBER($AX$234),$B$158=1),$AX$234,HLOOKUP(INDIRECT(ADDRESS(2,COLUMN())),OFFSET($BN$2,0,0,ROW()-1,60),ROW()-1,FALSE))</f>
        <v>-4.5999999999999996</v>
      </c>
      <c r="AY87">
        <f ca="1">IF(AND(ISNUMBER($AY$234),$B$158=1),$AY$234,HLOOKUP(INDIRECT(ADDRESS(2,COLUMN())),OFFSET($BN$2,0,0,ROW()-1,60),ROW()-1,FALSE))</f>
        <v>-6.6</v>
      </c>
      <c r="AZ87">
        <f ca="1">IF(AND(ISNUMBER($AZ$234),$B$158=1),$AZ$234,HLOOKUP(INDIRECT(ADDRESS(2,COLUMN())),OFFSET($BN$2,0,0,ROW()-1,60),ROW()-1,FALSE))</f>
        <v>-5.4</v>
      </c>
      <c r="BA87">
        <f ca="1">IF(AND(ISNUMBER($BA$234),$B$158=1),$BA$234,HLOOKUP(INDIRECT(ADDRESS(2,COLUMN())),OFFSET($BN$2,0,0,ROW()-1,60),ROW()-1,FALSE))</f>
        <v>-4.4000000000000004</v>
      </c>
      <c r="BB87">
        <f ca="1">IF(AND(ISNUMBER($BB$234),$B$158=1),$BB$234,HLOOKUP(INDIRECT(ADDRESS(2,COLUMN())),OFFSET($BN$2,0,0,ROW()-1,60),ROW()-1,FALSE))</f>
        <v>-2.8</v>
      </c>
      <c r="BC87">
        <f ca="1">IF(AND(ISNUMBER($BC$234),$B$158=1),$BC$234,HLOOKUP(INDIRECT(ADDRESS(2,COLUMN())),OFFSET($BN$2,0,0,ROW()-1,60),ROW()-1,FALSE))</f>
        <v>-4.4000000000000004</v>
      </c>
      <c r="BD87">
        <f ca="1">IF(AND(ISNUMBER($BD$234),$B$158=1),$BD$234,HLOOKUP(INDIRECT(ADDRESS(2,COLUMN())),OFFSET($BN$2,0,0,ROW()-1,60),ROW()-1,FALSE))</f>
        <v>-3.1</v>
      </c>
      <c r="BE87">
        <f ca="1">IF(AND(ISNUMBER($BE$234),$B$158=1),$BE$234,HLOOKUP(INDIRECT(ADDRESS(2,COLUMN())),OFFSET($BN$2,0,0,ROW()-1,60),ROW()-1,FALSE))</f>
        <v>-5.4</v>
      </c>
      <c r="BF87" t="str">
        <f ca="1">IF(AND(ISNUMBER($BF$234),$B$158=1),$BF$234,HLOOKUP(INDIRECT(ADDRESS(2,COLUMN())),OFFSET($BN$2,0,0,ROW()-1,60),ROW()-1,FALSE))</f>
        <v/>
      </c>
      <c r="BG87" t="str">
        <f ca="1">IF(AND(ISNUMBER($BG$234),$B$158=1),$BG$234,HLOOKUP(INDIRECT(ADDRESS(2,COLUMN())),OFFSET($BN$2,0,0,ROW()-1,60),ROW()-1,FALSE))</f>
        <v/>
      </c>
      <c r="BH87" t="str">
        <f ca="1">IF(AND(ISNUMBER($BH$234),$B$158=1),$BH$234,HLOOKUP(INDIRECT(ADDRESS(2,COLUMN())),OFFSET($BN$2,0,0,ROW()-1,60),ROW()-1,FALSE))</f>
        <v/>
      </c>
      <c r="BI87" t="str">
        <f ca="1">IF(AND(ISNUMBER($BI$234),$B$158=1),$BI$234,HLOOKUP(INDIRECT(ADDRESS(2,COLUMN())),OFFSET($BN$2,0,0,ROW()-1,60),ROW()-1,FALSE))</f>
        <v/>
      </c>
      <c r="BJ87" t="str">
        <f ca="1">IF(AND(ISNUMBER($BJ$234),$B$158=1),$BJ$234,HLOOKUP(INDIRECT(ADDRESS(2,COLUMN())),OFFSET($BN$2,0,0,ROW()-1,60),ROW()-1,FALSE))</f>
        <v/>
      </c>
      <c r="BK87" t="str">
        <f ca="1">IF(AND(ISNUMBER($BK$234),$B$158=1),$BK$234,HLOOKUP(INDIRECT(ADDRESS(2,COLUMN())),OFFSET($BN$2,0,0,ROW()-1,60),ROW()-1,FALSE))</f>
        <v/>
      </c>
      <c r="BL87" t="str">
        <f ca="1">IF(AND(ISNUMBER($BL$234),$B$158=1),$BL$234,HLOOKUP(INDIRECT(ADDRESS(2,COLUMN())),OFFSET($BN$2,0,0,ROW()-1,60),ROW()-1,FALSE))</f>
        <v/>
      </c>
      <c r="BM87" t="str">
        <f ca="1">IF(AND(ISNUMBER($BM$234),$B$158=1),$BM$234,HLOOKUP(INDIRECT(ADDRESS(2,COLUMN())),OFFSET($BN$2,0,0,ROW()-1,60),ROW()-1,FALSE))</f>
        <v/>
      </c>
      <c r="BN87" t="str">
        <f>""</f>
        <v/>
      </c>
      <c r="BO87">
        <f>146</f>
        <v>146</v>
      </c>
      <c r="BP87">
        <f>176.1</f>
        <v>176.1</v>
      </c>
      <c r="BQ87">
        <f>163.1</f>
        <v>163.1</v>
      </c>
      <c r="BR87">
        <f>103.2</f>
        <v>103.2</v>
      </c>
      <c r="BS87">
        <f>117.6</f>
        <v>117.6</v>
      </c>
      <c r="BT87">
        <f>65.3</f>
        <v>65.3</v>
      </c>
      <c r="BU87">
        <f>137.5</f>
        <v>137.5</v>
      </c>
      <c r="BV87">
        <f>120.1</f>
        <v>120.1</v>
      </c>
      <c r="BW87">
        <f>106.8</f>
        <v>106.8</v>
      </c>
      <c r="BX87">
        <f>136.8</f>
        <v>136.80000000000001</v>
      </c>
      <c r="BY87">
        <f>137.2</f>
        <v>137.19999999999999</v>
      </c>
      <c r="BZ87">
        <f>111.5</f>
        <v>111.5</v>
      </c>
      <c r="CA87">
        <f>83.8</f>
        <v>83.8</v>
      </c>
      <c r="CB87">
        <f>114.7</f>
        <v>114.7</v>
      </c>
      <c r="CC87">
        <f>108.5</f>
        <v>108.5</v>
      </c>
      <c r="CD87">
        <f>65.6</f>
        <v>65.599999999999994</v>
      </c>
      <c r="CE87">
        <f>56.3</f>
        <v>56.3</v>
      </c>
      <c r="CF87">
        <f>86.9</f>
        <v>86.9</v>
      </c>
      <c r="CG87">
        <f>92.9</f>
        <v>92.9</v>
      </c>
      <c r="CH87">
        <f>8.2</f>
        <v>8.1999999999999993</v>
      </c>
      <c r="CI87">
        <f>5.4</f>
        <v>5.4</v>
      </c>
      <c r="CJ87">
        <f>11.2</f>
        <v>11.2</v>
      </c>
      <c r="CK87">
        <f>7</f>
        <v>7</v>
      </c>
      <c r="CL87">
        <f>9.8</f>
        <v>9.8000000000000007</v>
      </c>
      <c r="CM87">
        <f>7.1</f>
        <v>7.1</v>
      </c>
      <c r="CN87">
        <f>12.3</f>
        <v>12.3</v>
      </c>
      <c r="CO87">
        <f>7</f>
        <v>7</v>
      </c>
      <c r="CP87">
        <f>8.4</f>
        <v>8.4</v>
      </c>
      <c r="CQ87">
        <f>7.3</f>
        <v>7.3</v>
      </c>
      <c r="CR87">
        <f>10.4</f>
        <v>10.4</v>
      </c>
      <c r="CS87">
        <f>7</f>
        <v>7</v>
      </c>
      <c r="CT87">
        <f>8.4</f>
        <v>8.4</v>
      </c>
      <c r="CU87">
        <f>9.7</f>
        <v>9.6999999999999993</v>
      </c>
      <c r="CV87">
        <f>8.8</f>
        <v>8.8000000000000007</v>
      </c>
      <c r="CW87">
        <f>4.4</f>
        <v>4.4000000000000004</v>
      </c>
      <c r="CX87">
        <f>-0.9</f>
        <v>-0.9</v>
      </c>
      <c r="CY87">
        <f>-2.2</f>
        <v>-2.2000000000000002</v>
      </c>
      <c r="CZ87">
        <f>-2.3</f>
        <v>-2.2999999999999998</v>
      </c>
      <c r="DA87">
        <f>-2.5</f>
        <v>-2.5</v>
      </c>
      <c r="DB87" t="str">
        <f>""</f>
        <v/>
      </c>
      <c r="DC87" t="str">
        <f>""</f>
        <v/>
      </c>
      <c r="DD87">
        <f>-2.1</f>
        <v>-2.1</v>
      </c>
      <c r="DE87">
        <f>-3.2</f>
        <v>-3.2</v>
      </c>
      <c r="DF87">
        <f>-4.6</f>
        <v>-4.5999999999999996</v>
      </c>
      <c r="DG87">
        <f>-6.6</f>
        <v>-6.6</v>
      </c>
      <c r="DH87">
        <f>-5.4</f>
        <v>-5.4</v>
      </c>
      <c r="DI87">
        <f>-4.4</f>
        <v>-4.4000000000000004</v>
      </c>
      <c r="DJ87">
        <f>-2.8</f>
        <v>-2.8</v>
      </c>
      <c r="DK87">
        <f>-4.4</f>
        <v>-4.4000000000000004</v>
      </c>
      <c r="DL87">
        <f>-3.1</f>
        <v>-3.1</v>
      </c>
      <c r="DM87">
        <f>-5.4</f>
        <v>-5.4</v>
      </c>
      <c r="DN87" t="str">
        <f>""</f>
        <v/>
      </c>
      <c r="DO87" t="str">
        <f>""</f>
        <v/>
      </c>
      <c r="DP87" t="str">
        <f>""</f>
        <v/>
      </c>
      <c r="DQ87" t="str">
        <f>""</f>
        <v/>
      </c>
      <c r="DR87" t="str">
        <f>""</f>
        <v/>
      </c>
      <c r="DS87" t="str">
        <f>""</f>
        <v/>
      </c>
      <c r="DT87" t="str">
        <f>""</f>
        <v/>
      </c>
      <c r="DU87" t="str">
        <f>""</f>
        <v/>
      </c>
    </row>
    <row r="88" spans="1:125" x14ac:dyDescent="0.25">
      <c r="A88" t="str">
        <f>"    "</f>
        <v xml:space="preserve">    </v>
      </c>
      <c r="B88" t="str">
        <f>""</f>
        <v/>
      </c>
      <c r="E88" t="str">
        <f>"Static"</f>
        <v>Static</v>
      </c>
      <c r="F88" t="str">
        <f t="shared" ref="F88:AK88" ca="1" si="46">HLOOKUP(INDIRECT(ADDRESS(2,COLUMN())),OFFSET($BN$2,0,0,ROW()-1,60),ROW()-1,FALSE)</f>
        <v/>
      </c>
      <c r="G88" t="str">
        <f t="shared" ca="1" si="46"/>
        <v/>
      </c>
      <c r="H88" t="str">
        <f t="shared" ca="1" si="46"/>
        <v/>
      </c>
      <c r="I88" t="str">
        <f t="shared" ca="1" si="46"/>
        <v/>
      </c>
      <c r="J88" t="str">
        <f t="shared" ca="1" si="46"/>
        <v/>
      </c>
      <c r="K88" t="str">
        <f t="shared" ca="1" si="46"/>
        <v/>
      </c>
      <c r="L88" t="str">
        <f t="shared" ca="1" si="46"/>
        <v/>
      </c>
      <c r="M88" t="str">
        <f t="shared" ca="1" si="46"/>
        <v/>
      </c>
      <c r="N88" t="str">
        <f t="shared" ca="1" si="46"/>
        <v/>
      </c>
      <c r="O88" t="str">
        <f t="shared" ca="1" si="46"/>
        <v/>
      </c>
      <c r="P88" t="str">
        <f t="shared" ca="1" si="46"/>
        <v/>
      </c>
      <c r="Q88" t="str">
        <f t="shared" ca="1" si="46"/>
        <v/>
      </c>
      <c r="R88" t="str">
        <f t="shared" ca="1" si="46"/>
        <v/>
      </c>
      <c r="S88" t="str">
        <f t="shared" ca="1" si="46"/>
        <v/>
      </c>
      <c r="T88" t="str">
        <f t="shared" ca="1" si="46"/>
        <v/>
      </c>
      <c r="U88" t="str">
        <f t="shared" ca="1" si="46"/>
        <v/>
      </c>
      <c r="V88" t="str">
        <f t="shared" ca="1" si="46"/>
        <v/>
      </c>
      <c r="W88" t="str">
        <f t="shared" ca="1" si="46"/>
        <v/>
      </c>
      <c r="X88" t="str">
        <f t="shared" ca="1" si="46"/>
        <v/>
      </c>
      <c r="Y88" t="str">
        <f t="shared" ca="1" si="46"/>
        <v/>
      </c>
      <c r="Z88" t="str">
        <f t="shared" ca="1" si="46"/>
        <v/>
      </c>
      <c r="AA88" t="str">
        <f t="shared" ca="1" si="46"/>
        <v/>
      </c>
      <c r="AB88" t="str">
        <f t="shared" ca="1" si="46"/>
        <v/>
      </c>
      <c r="AC88" t="str">
        <f t="shared" ca="1" si="46"/>
        <v/>
      </c>
      <c r="AD88" t="str">
        <f t="shared" ca="1" si="46"/>
        <v/>
      </c>
      <c r="AE88" t="str">
        <f t="shared" ca="1" si="46"/>
        <v/>
      </c>
      <c r="AF88" t="str">
        <f t="shared" ca="1" si="46"/>
        <v/>
      </c>
      <c r="AG88" t="str">
        <f t="shared" ca="1" si="46"/>
        <v/>
      </c>
      <c r="AH88" t="str">
        <f t="shared" ca="1" si="46"/>
        <v/>
      </c>
      <c r="AI88" t="str">
        <f t="shared" ca="1" si="46"/>
        <v/>
      </c>
      <c r="AJ88" t="str">
        <f t="shared" ca="1" si="46"/>
        <v/>
      </c>
      <c r="AK88" t="str">
        <f t="shared" ca="1" si="46"/>
        <v/>
      </c>
      <c r="AL88" t="str">
        <f t="shared" ref="AL88:BM88" ca="1" si="47">HLOOKUP(INDIRECT(ADDRESS(2,COLUMN())),OFFSET($BN$2,0,0,ROW()-1,60),ROW()-1,FALSE)</f>
        <v/>
      </c>
      <c r="AM88" t="str">
        <f t="shared" ca="1" si="47"/>
        <v/>
      </c>
      <c r="AN88" t="str">
        <f t="shared" ca="1" si="47"/>
        <v/>
      </c>
      <c r="AO88" t="str">
        <f t="shared" ca="1" si="47"/>
        <v/>
      </c>
      <c r="AP88" t="str">
        <f t="shared" ca="1" si="47"/>
        <v/>
      </c>
      <c r="AQ88" t="str">
        <f t="shared" ca="1" si="47"/>
        <v/>
      </c>
      <c r="AR88" t="str">
        <f t="shared" ca="1" si="47"/>
        <v/>
      </c>
      <c r="AS88" t="str">
        <f t="shared" ca="1" si="47"/>
        <v/>
      </c>
      <c r="AT88" t="str">
        <f t="shared" ca="1" si="47"/>
        <v/>
      </c>
      <c r="AU88" t="str">
        <f t="shared" ca="1" si="47"/>
        <v/>
      </c>
      <c r="AV88" t="str">
        <f t="shared" ca="1" si="47"/>
        <v/>
      </c>
      <c r="AW88" t="str">
        <f t="shared" ca="1" si="47"/>
        <v/>
      </c>
      <c r="AX88" t="str">
        <f t="shared" ca="1" si="47"/>
        <v/>
      </c>
      <c r="AY88" t="str">
        <f t="shared" ca="1" si="47"/>
        <v/>
      </c>
      <c r="AZ88" t="str">
        <f t="shared" ca="1" si="47"/>
        <v/>
      </c>
      <c r="BA88" t="str">
        <f t="shared" ca="1" si="47"/>
        <v/>
      </c>
      <c r="BB88" t="str">
        <f t="shared" ca="1" si="47"/>
        <v/>
      </c>
      <c r="BC88" t="str">
        <f t="shared" ca="1" si="47"/>
        <v/>
      </c>
      <c r="BD88" t="str">
        <f t="shared" ca="1" si="47"/>
        <v/>
      </c>
      <c r="BE88" t="str">
        <f t="shared" ca="1" si="47"/>
        <v/>
      </c>
      <c r="BF88" t="str">
        <f t="shared" ca="1" si="47"/>
        <v/>
      </c>
      <c r="BG88" t="str">
        <f t="shared" ca="1" si="47"/>
        <v/>
      </c>
      <c r="BH88" t="str">
        <f t="shared" ca="1" si="47"/>
        <v/>
      </c>
      <c r="BI88" t="str">
        <f t="shared" ca="1" si="47"/>
        <v/>
      </c>
      <c r="BJ88" t="str">
        <f t="shared" ca="1" si="47"/>
        <v/>
      </c>
      <c r="BK88" t="str">
        <f t="shared" ca="1" si="47"/>
        <v/>
      </c>
      <c r="BL88" t="str">
        <f t="shared" ca="1" si="47"/>
        <v/>
      </c>
      <c r="BM88" t="str">
        <f t="shared" ca="1" si="47"/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  <c r="BT88" t="str">
        <f>""</f>
        <v/>
      </c>
      <c r="BU88" t="str">
        <f>""</f>
        <v/>
      </c>
      <c r="BV88" t="str">
        <f>""</f>
        <v/>
      </c>
      <c r="BW88" t="str">
        <f>""</f>
        <v/>
      </c>
      <c r="BX88" t="str">
        <f>""</f>
        <v/>
      </c>
      <c r="BY88" t="str">
        <f>""</f>
        <v/>
      </c>
      <c r="BZ88" t="str">
        <f>""</f>
        <v/>
      </c>
      <c r="CA88" t="str">
        <f>""</f>
        <v/>
      </c>
      <c r="CB88" t="str">
        <f>""</f>
        <v/>
      </c>
      <c r="CC88" t="str">
        <f>""</f>
        <v/>
      </c>
      <c r="CD88" t="str">
        <f>""</f>
        <v/>
      </c>
      <c r="CE88" t="str">
        <f>""</f>
        <v/>
      </c>
      <c r="CF88" t="str">
        <f>""</f>
        <v/>
      </c>
      <c r="CG88" t="str">
        <f>""</f>
        <v/>
      </c>
      <c r="CH88" t="str">
        <f>""</f>
        <v/>
      </c>
      <c r="CI88" t="str">
        <f>""</f>
        <v/>
      </c>
      <c r="CJ88" t="str">
        <f>""</f>
        <v/>
      </c>
      <c r="CK88" t="str">
        <f>""</f>
        <v/>
      </c>
      <c r="CL88" t="str">
        <f>""</f>
        <v/>
      </c>
      <c r="CM88" t="str">
        <f>""</f>
        <v/>
      </c>
      <c r="CN88" t="str">
        <f>""</f>
        <v/>
      </c>
      <c r="CO88" t="str">
        <f>""</f>
        <v/>
      </c>
      <c r="CP88" t="str">
        <f>""</f>
        <v/>
      </c>
      <c r="CQ88" t="str">
        <f>""</f>
        <v/>
      </c>
      <c r="CR88" t="str">
        <f>""</f>
        <v/>
      </c>
      <c r="CS88" t="str">
        <f>""</f>
        <v/>
      </c>
      <c r="CT88" t="str">
        <f>""</f>
        <v/>
      </c>
      <c r="CU88" t="str">
        <f>""</f>
        <v/>
      </c>
      <c r="CV88" t="str">
        <f>""</f>
        <v/>
      </c>
      <c r="CW88" t="str">
        <f>""</f>
        <v/>
      </c>
      <c r="CX88" t="str">
        <f>""</f>
        <v/>
      </c>
      <c r="CY88" t="str">
        <f>""</f>
        <v/>
      </c>
      <c r="CZ88" t="str">
        <f>""</f>
        <v/>
      </c>
      <c r="DA88" t="str">
        <f>""</f>
        <v/>
      </c>
      <c r="DB88" t="str">
        <f>""</f>
        <v/>
      </c>
      <c r="DC88" t="str">
        <f>""</f>
        <v/>
      </c>
      <c r="DD88" t="str">
        <f>""</f>
        <v/>
      </c>
      <c r="DE88" t="str">
        <f>""</f>
        <v/>
      </c>
      <c r="DF88" t="str">
        <f>""</f>
        <v/>
      </c>
      <c r="DG88" t="str">
        <f>""</f>
        <v/>
      </c>
      <c r="DH88" t="str">
        <f>""</f>
        <v/>
      </c>
      <c r="DI88" t="str">
        <f>""</f>
        <v/>
      </c>
      <c r="DJ88" t="str">
        <f>""</f>
        <v/>
      </c>
      <c r="DK88" t="str">
        <f>""</f>
        <v/>
      </c>
      <c r="DL88" t="str">
        <f>""</f>
        <v/>
      </c>
      <c r="DM88" t="str">
        <f>""</f>
        <v/>
      </c>
      <c r="DN88" t="str">
        <f>""</f>
        <v/>
      </c>
      <c r="DO88" t="str">
        <f>""</f>
        <v/>
      </c>
      <c r="DP88" t="str">
        <f>""</f>
        <v/>
      </c>
      <c r="DQ88" t="str">
        <f>""</f>
        <v/>
      </c>
      <c r="DR88" t="str">
        <f>""</f>
        <v/>
      </c>
      <c r="DS88" t="str">
        <f>""</f>
        <v/>
      </c>
      <c r="DT88" t="str">
        <f>""</f>
        <v/>
      </c>
      <c r="DU88" t="str">
        <f>""</f>
        <v/>
      </c>
    </row>
    <row r="89" spans="1:125" x14ac:dyDescent="0.25">
      <c r="A89" t="str">
        <f>"    Old Segment"</f>
        <v xml:space="preserve">    Old Segment</v>
      </c>
      <c r="B89" t="str">
        <f>""</f>
        <v/>
      </c>
      <c r="E89" t="str">
        <f>"Heading"</f>
        <v>Heading</v>
      </c>
      <c r="BN89" t="str">
        <f>""</f>
        <v/>
      </c>
      <c r="BO89" t="str">
        <f>""</f>
        <v/>
      </c>
      <c r="BP89" t="str">
        <f>""</f>
        <v/>
      </c>
      <c r="BQ89" t="str">
        <f>""</f>
        <v/>
      </c>
      <c r="BR89" t="str">
        <f>""</f>
        <v/>
      </c>
      <c r="BS89" t="str">
        <f>""</f>
        <v/>
      </c>
      <c r="BT89" t="str">
        <f>""</f>
        <v/>
      </c>
      <c r="BU89" t="str">
        <f>""</f>
        <v/>
      </c>
      <c r="BV89" t="str">
        <f>""</f>
        <v/>
      </c>
      <c r="BW89" t="str">
        <f>""</f>
        <v/>
      </c>
      <c r="BX89" t="str">
        <f>""</f>
        <v/>
      </c>
      <c r="BY89" t="str">
        <f>""</f>
        <v/>
      </c>
      <c r="BZ89" t="str">
        <f>""</f>
        <v/>
      </c>
      <c r="CA89" t="str">
        <f>""</f>
        <v/>
      </c>
      <c r="CB89" t="str">
        <f>""</f>
        <v/>
      </c>
      <c r="CC89" t="str">
        <f>""</f>
        <v/>
      </c>
      <c r="CD89" t="str">
        <f>""</f>
        <v/>
      </c>
      <c r="CE89" t="str">
        <f>""</f>
        <v/>
      </c>
      <c r="CF89" t="str">
        <f>""</f>
        <v/>
      </c>
      <c r="CG89" t="str">
        <f>""</f>
        <v/>
      </c>
      <c r="CH89" t="str">
        <f>""</f>
        <v/>
      </c>
      <c r="CI89" t="str">
        <f>""</f>
        <v/>
      </c>
      <c r="CJ89" t="str">
        <f>""</f>
        <v/>
      </c>
      <c r="CK89" t="str">
        <f>""</f>
        <v/>
      </c>
      <c r="CL89" t="str">
        <f>""</f>
        <v/>
      </c>
      <c r="CM89" t="str">
        <f>""</f>
        <v/>
      </c>
      <c r="CN89" t="str">
        <f>""</f>
        <v/>
      </c>
      <c r="CO89" t="str">
        <f>""</f>
        <v/>
      </c>
      <c r="CP89" t="str">
        <f>""</f>
        <v/>
      </c>
      <c r="CQ89" t="str">
        <f>""</f>
        <v/>
      </c>
      <c r="CR89" t="str">
        <f>""</f>
        <v/>
      </c>
      <c r="CS89" t="str">
        <f>""</f>
        <v/>
      </c>
      <c r="CT89" t="str">
        <f>""</f>
        <v/>
      </c>
      <c r="CU89" t="str">
        <f>""</f>
        <v/>
      </c>
      <c r="CV89" t="str">
        <f>""</f>
        <v/>
      </c>
      <c r="CW89" t="str">
        <f>""</f>
        <v/>
      </c>
      <c r="CX89" t="str">
        <f>""</f>
        <v/>
      </c>
      <c r="CY89" t="str">
        <f>""</f>
        <v/>
      </c>
      <c r="CZ89" t="str">
        <f>""</f>
        <v/>
      </c>
      <c r="DA89" t="str">
        <f>""</f>
        <v/>
      </c>
      <c r="DB89" t="str">
        <f>""</f>
        <v/>
      </c>
      <c r="DC89" t="str">
        <f>""</f>
        <v/>
      </c>
      <c r="DD89" t="str">
        <f>""</f>
        <v/>
      </c>
      <c r="DE89" t="str">
        <f>""</f>
        <v/>
      </c>
      <c r="DF89" t="str">
        <f>""</f>
        <v/>
      </c>
      <c r="DG89" t="str">
        <f>""</f>
        <v/>
      </c>
      <c r="DH89" t="str">
        <f>""</f>
        <v/>
      </c>
      <c r="DI89" t="str">
        <f>""</f>
        <v/>
      </c>
      <c r="DJ89" t="str">
        <f>""</f>
        <v/>
      </c>
      <c r="DK89" t="str">
        <f>""</f>
        <v/>
      </c>
      <c r="DL89" t="str">
        <f>""</f>
        <v/>
      </c>
      <c r="DM89" t="str">
        <f>""</f>
        <v/>
      </c>
      <c r="DN89" t="str">
        <f>""</f>
        <v/>
      </c>
      <c r="DO89" t="str">
        <f>""</f>
        <v/>
      </c>
      <c r="DP89" t="str">
        <f>""</f>
        <v/>
      </c>
      <c r="DQ89" t="str">
        <f>""</f>
        <v/>
      </c>
      <c r="DR89" t="str">
        <f>""</f>
        <v/>
      </c>
      <c r="DS89" t="str">
        <f>""</f>
        <v/>
      </c>
      <c r="DT89" t="str">
        <f>""</f>
        <v/>
      </c>
      <c r="DU89" t="str">
        <f>""</f>
        <v/>
      </c>
    </row>
    <row r="90" spans="1:125" x14ac:dyDescent="0.25">
      <c r="A90" t="str">
        <f>"        Sport Lifestyle (Divested 2Q18)"</f>
        <v xml:space="preserve">        Sport Lifestyle (Divested 2Q18)</v>
      </c>
      <c r="B90" t="str">
        <f>""</f>
        <v/>
      </c>
      <c r="E90" t="str">
        <f>"Heading"</f>
        <v>Heading</v>
      </c>
      <c r="BN90" t="str">
        <f>""</f>
        <v/>
      </c>
      <c r="BO90" t="str">
        <f>""</f>
        <v/>
      </c>
      <c r="BP90" t="str">
        <f>""</f>
        <v/>
      </c>
      <c r="BQ90" t="str">
        <f>""</f>
        <v/>
      </c>
      <c r="BR90" t="str">
        <f>""</f>
        <v/>
      </c>
      <c r="BS90" t="str">
        <f>""</f>
        <v/>
      </c>
      <c r="BT90" t="str">
        <f>""</f>
        <v/>
      </c>
      <c r="BU90" t="str">
        <f>""</f>
        <v/>
      </c>
      <c r="BV90" t="str">
        <f>""</f>
        <v/>
      </c>
      <c r="BW90" t="str">
        <f>""</f>
        <v/>
      </c>
      <c r="BX90" t="str">
        <f>""</f>
        <v/>
      </c>
      <c r="BY90" t="str">
        <f>""</f>
        <v/>
      </c>
      <c r="BZ90" t="str">
        <f>""</f>
        <v/>
      </c>
      <c r="CA90" t="str">
        <f>""</f>
        <v/>
      </c>
      <c r="CB90" t="str">
        <f>""</f>
        <v/>
      </c>
      <c r="CC90" t="str">
        <f>""</f>
        <v/>
      </c>
      <c r="CD90" t="str">
        <f>""</f>
        <v/>
      </c>
      <c r="CE90" t="str">
        <f>""</f>
        <v/>
      </c>
      <c r="CF90" t="str">
        <f>""</f>
        <v/>
      </c>
      <c r="CG90" t="str">
        <f>""</f>
        <v/>
      </c>
      <c r="CH90" t="str">
        <f>""</f>
        <v/>
      </c>
      <c r="CI90" t="str">
        <f>""</f>
        <v/>
      </c>
      <c r="CJ90" t="str">
        <f>""</f>
        <v/>
      </c>
      <c r="CK90" t="str">
        <f>""</f>
        <v/>
      </c>
      <c r="CL90" t="str">
        <f>""</f>
        <v/>
      </c>
      <c r="CM90" t="str">
        <f>""</f>
        <v/>
      </c>
      <c r="CN90" t="str">
        <f>""</f>
        <v/>
      </c>
      <c r="CO90" t="str">
        <f>""</f>
        <v/>
      </c>
      <c r="CP90" t="str">
        <f>""</f>
        <v/>
      </c>
      <c r="CQ90" t="str">
        <f>""</f>
        <v/>
      </c>
      <c r="CR90" t="str">
        <f>""</f>
        <v/>
      </c>
      <c r="CS90" t="str">
        <f>""</f>
        <v/>
      </c>
      <c r="CT90" t="str">
        <f>""</f>
        <v/>
      </c>
      <c r="CU90" t="str">
        <f>""</f>
        <v/>
      </c>
      <c r="CV90" t="str">
        <f>""</f>
        <v/>
      </c>
      <c r="CW90" t="str">
        <f>""</f>
        <v/>
      </c>
      <c r="CX90" t="str">
        <f>""</f>
        <v/>
      </c>
      <c r="CY90" t="str">
        <f>""</f>
        <v/>
      </c>
      <c r="CZ90" t="str">
        <f>""</f>
        <v/>
      </c>
      <c r="DA90" t="str">
        <f>""</f>
        <v/>
      </c>
      <c r="DB90" t="str">
        <f>""</f>
        <v/>
      </c>
      <c r="DC90" t="str">
        <f>""</f>
        <v/>
      </c>
      <c r="DD90" t="str">
        <f>""</f>
        <v/>
      </c>
      <c r="DE90" t="str">
        <f>""</f>
        <v/>
      </c>
      <c r="DF90" t="str">
        <f>""</f>
        <v/>
      </c>
      <c r="DG90" t="str">
        <f>""</f>
        <v/>
      </c>
      <c r="DH90" t="str">
        <f>""</f>
        <v/>
      </c>
      <c r="DI90" t="str">
        <f>""</f>
        <v/>
      </c>
      <c r="DJ90" t="str">
        <f>""</f>
        <v/>
      </c>
      <c r="DK90" t="str">
        <f>""</f>
        <v/>
      </c>
      <c r="DL90" t="str">
        <f>""</f>
        <v/>
      </c>
      <c r="DM90" t="str">
        <f>""</f>
        <v/>
      </c>
      <c r="DN90" t="str">
        <f>""</f>
        <v/>
      </c>
      <c r="DO90" t="str">
        <f>""</f>
        <v/>
      </c>
      <c r="DP90" t="str">
        <f>""</f>
        <v/>
      </c>
      <c r="DQ90" t="str">
        <f>""</f>
        <v/>
      </c>
      <c r="DR90" t="str">
        <f>""</f>
        <v/>
      </c>
      <c r="DS90" t="str">
        <f>""</f>
        <v/>
      </c>
      <c r="DT90" t="str">
        <f>""</f>
        <v/>
      </c>
      <c r="DU90" t="str">
        <f>""</f>
        <v/>
      </c>
    </row>
    <row r="91" spans="1:125" x14ac:dyDescent="0.25">
      <c r="A91" t="str">
        <f>"            Revenue"</f>
        <v xml:space="preserve">            Revenue</v>
      </c>
      <c r="B91" t="str">
        <f>"KER FP Equity"</f>
        <v>KER FP Equity</v>
      </c>
      <c r="C91" t="str">
        <f>"BI047"</f>
        <v>BI047</v>
      </c>
      <c r="D91" t="str">
        <f>"BICS_SEGMENT_DATA"</f>
        <v>BICS_SEGMENT_DATA</v>
      </c>
      <c r="E91" t="str">
        <f>"Dynamic"</f>
        <v>Dynamic</v>
      </c>
      <c r="F91" t="str">
        <f ca="1">IF(AND(ISNUMBER($F$235),$B$158=1),$F$235,HLOOKUP(INDIRECT(ADDRESS(2,COLUMN())),OFFSET($BN$2,0,0,ROW()-1,60),ROW()-1,FALSE))</f>
        <v/>
      </c>
      <c r="G91" t="str">
        <f ca="1">IF(AND(ISNUMBER($G$235),$B$158=1),$G$235,HLOOKUP(INDIRECT(ADDRESS(2,COLUMN())),OFFSET($BN$2,0,0,ROW()-1,60),ROW()-1,FALSE))</f>
        <v/>
      </c>
      <c r="H91" t="str">
        <f ca="1">IF(AND(ISNUMBER($H$235),$B$158=1),$H$235,HLOOKUP(INDIRECT(ADDRESS(2,COLUMN())),OFFSET($BN$2,0,0,ROW()-1,60),ROW()-1,FALSE))</f>
        <v/>
      </c>
      <c r="I91" t="str">
        <f ca="1">IF(AND(ISNUMBER($I$235),$B$158=1),$I$235,HLOOKUP(INDIRECT(ADDRESS(2,COLUMN())),OFFSET($BN$2,0,0,ROW()-1,60),ROW()-1,FALSE))</f>
        <v/>
      </c>
      <c r="J91" t="str">
        <f ca="1">IF(AND(ISNUMBER($J$235),$B$158=1),$J$235,HLOOKUP(INDIRECT(ADDRESS(2,COLUMN())),OFFSET($BN$2,0,0,ROW()-1,60),ROW()-1,FALSE))</f>
        <v/>
      </c>
      <c r="K91" t="str">
        <f ca="1">IF(AND(ISNUMBER($K$235),$B$158=1),$K$235,HLOOKUP(INDIRECT(ADDRESS(2,COLUMN())),OFFSET($BN$2,0,0,ROW()-1,60),ROW()-1,FALSE))</f>
        <v/>
      </c>
      <c r="L91" t="str">
        <f ca="1">IF(AND(ISNUMBER($L$235),$B$158=1),$L$235,HLOOKUP(INDIRECT(ADDRESS(2,COLUMN())),OFFSET($BN$2,0,0,ROW()-1,60),ROW()-1,FALSE))</f>
        <v/>
      </c>
      <c r="M91" t="str">
        <f ca="1">IF(AND(ISNUMBER($M$235),$B$158=1),$M$235,HLOOKUP(INDIRECT(ADDRESS(2,COLUMN())),OFFSET($BN$2,0,0,ROW()-1,60),ROW()-1,FALSE))</f>
        <v/>
      </c>
      <c r="N91" t="str">
        <f ca="1">IF(AND(ISNUMBER($N$235),$B$158=1),$N$235,HLOOKUP(INDIRECT(ADDRESS(2,COLUMN())),OFFSET($BN$2,0,0,ROW()-1,60),ROW()-1,FALSE))</f>
        <v/>
      </c>
      <c r="O91" t="str">
        <f ca="1">IF(AND(ISNUMBER($O$235),$B$158=1),$O$235,HLOOKUP(INDIRECT(ADDRESS(2,COLUMN())),OFFSET($BN$2,0,0,ROW()-1,60),ROW()-1,FALSE))</f>
        <v/>
      </c>
      <c r="P91" t="str">
        <f ca="1">IF(AND(ISNUMBER($P$235),$B$158=1),$P$235,HLOOKUP(INDIRECT(ADDRESS(2,COLUMN())),OFFSET($BN$2,0,0,ROW()-1,60),ROW()-1,FALSE))</f>
        <v/>
      </c>
      <c r="Q91" t="str">
        <f ca="1">IF(AND(ISNUMBER($Q$235),$B$158=1),$Q$235,HLOOKUP(INDIRECT(ADDRESS(2,COLUMN())),OFFSET($BN$2,0,0,ROW()-1,60),ROW()-1,FALSE))</f>
        <v/>
      </c>
      <c r="R91" t="str">
        <f ca="1">IF(AND(ISNUMBER($R$235),$B$158=1),$R$235,HLOOKUP(INDIRECT(ADDRESS(2,COLUMN())),OFFSET($BN$2,0,0,ROW()-1,60),ROW()-1,FALSE))</f>
        <v/>
      </c>
      <c r="S91" t="str">
        <f ca="1">IF(AND(ISNUMBER($S$235),$B$158=1),$S$235,HLOOKUP(INDIRECT(ADDRESS(2,COLUMN())),OFFSET($BN$2,0,0,ROW()-1,60),ROW()-1,FALSE))</f>
        <v/>
      </c>
      <c r="T91" t="str">
        <f ca="1">IF(AND(ISNUMBER($T$235),$B$158=1),$T$235,HLOOKUP(INDIRECT(ADDRESS(2,COLUMN())),OFFSET($BN$2,0,0,ROW()-1,60),ROW()-1,FALSE))</f>
        <v/>
      </c>
      <c r="U91" t="str">
        <f ca="1">IF(AND(ISNUMBER($U$235),$B$158=1),$U$235,HLOOKUP(INDIRECT(ADDRESS(2,COLUMN())),OFFSET($BN$2,0,0,ROW()-1,60),ROW()-1,FALSE))</f>
        <v/>
      </c>
      <c r="V91" t="str">
        <f ca="1">IF(AND(ISNUMBER($V$235),$B$158=1),$V$235,HLOOKUP(INDIRECT(ADDRESS(2,COLUMN())),OFFSET($BN$2,0,0,ROW()-1,60),ROW()-1,FALSE))</f>
        <v/>
      </c>
      <c r="W91" t="str">
        <f ca="1">IF(AND(ISNUMBER($W$235),$B$158=1),$W$235,HLOOKUP(INDIRECT(ADDRESS(2,COLUMN())),OFFSET($BN$2,0,0,ROW()-1,60),ROW()-1,FALSE))</f>
        <v/>
      </c>
      <c r="X91" t="str">
        <f ca="1">IF(AND(ISNUMBER($X$235),$B$158=1),$X$235,HLOOKUP(INDIRECT(ADDRESS(2,COLUMN())),OFFSET($BN$2,0,0,ROW()-1,60),ROW()-1,FALSE))</f>
        <v/>
      </c>
      <c r="Y91" t="str">
        <f ca="1">IF(AND(ISNUMBER($Y$235),$B$158=1),$Y$235,HLOOKUP(INDIRECT(ADDRESS(2,COLUMN())),OFFSET($BN$2,0,0,ROW()-1,60),ROW()-1,FALSE))</f>
        <v/>
      </c>
      <c r="Z91" t="str">
        <f ca="1">IF(AND(ISNUMBER($Z$235),$B$158=1),$Z$235,HLOOKUP(INDIRECT(ADDRESS(2,COLUMN())),OFFSET($BN$2,0,0,ROW()-1,60),ROW()-1,FALSE))</f>
        <v/>
      </c>
      <c r="AA91" t="str">
        <f ca="1">IF(AND(ISNUMBER($AA$235),$B$158=1),$AA$235,HLOOKUP(INDIRECT(ADDRESS(2,COLUMN())),OFFSET($BN$2,0,0,ROW()-1,60),ROW()-1,FALSE))</f>
        <v/>
      </c>
      <c r="AB91" t="str">
        <f ca="1">IF(AND(ISNUMBER($AB$235),$B$158=1),$AB$235,HLOOKUP(INDIRECT(ADDRESS(2,COLUMN())),OFFSET($BN$2,0,0,ROW()-1,60),ROW()-1,FALSE))</f>
        <v/>
      </c>
      <c r="AC91" t="str">
        <f ca="1">IF(AND(ISNUMBER($AC$235),$B$158=1),$AC$235,HLOOKUP(INDIRECT(ADDRESS(2,COLUMN())),OFFSET($BN$2,0,0,ROW()-1,60),ROW()-1,FALSE))</f>
        <v/>
      </c>
      <c r="AD91">
        <f ca="1">IF(AND(ISNUMBER($AD$235),$B$158=1),$AD$235,HLOOKUP(INDIRECT(ADDRESS(2,COLUMN())),OFFSET($BN$2,0,0,ROW()-1,60),ROW()-1,FALSE))</f>
        <v>951.9</v>
      </c>
      <c r="AE91">
        <f ca="1">IF(AND(ISNUMBER($AE$235),$B$158=1),$AE$235,HLOOKUP(INDIRECT(ADDRESS(2,COLUMN())),OFFSET($BN$2,0,0,ROW()-1,60),ROW()-1,FALSE))</f>
        <v>999.6</v>
      </c>
      <c r="AF91">
        <f ca="1">IF(AND(ISNUMBER($AF$235),$B$158=1),$AF$235,HLOOKUP(INDIRECT(ADDRESS(2,COLUMN())),OFFSET($BN$2,0,0,ROW()-1,60),ROW()-1,FALSE))</f>
        <v>841</v>
      </c>
      <c r="AG91">
        <f ca="1">IF(AND(ISNUMBER($AG$235),$B$158=1),$AG$235,HLOOKUP(INDIRECT(ADDRESS(2,COLUMN())),OFFSET($BN$2,0,0,ROW()-1,60),ROW()-1,FALSE))</f>
        <v>890</v>
      </c>
      <c r="AH91">
        <f ca="1">IF(AND(ISNUMBER($AH$235),$B$158=1),$AH$235,HLOOKUP(INDIRECT(ADDRESS(2,COLUMN())),OFFSET($BN$2,0,0,ROW()-1,60),ROW()-1,FALSE))</f>
        <v>824.3</v>
      </c>
      <c r="AI91">
        <f ca="1">IF(AND(ISNUMBER($AI$235),$B$158=1),$AI$235,HLOOKUP(INDIRECT(ADDRESS(2,COLUMN())),OFFSET($BN$2,0,0,ROW()-1,60),ROW()-1,FALSE))</f>
        <v>922.1</v>
      </c>
      <c r="AJ91">
        <f ca="1">IF(AND(ISNUMBER($AJ$235),$B$158=1),$AJ$235,HLOOKUP(INDIRECT(ADDRESS(2,COLUMN())),OFFSET($BN$2,0,0,ROW()-1,60),ROW()-1,FALSE))</f>
        <v>709.1</v>
      </c>
      <c r="AK91">
        <f ca="1">IF(AND(ISNUMBER($AK$235),$B$158=1),$AK$235,HLOOKUP(INDIRECT(ADDRESS(2,COLUMN())),OFFSET($BN$2,0,0,ROW()-1,60),ROW()-1,FALSE))</f>
        <v>790</v>
      </c>
      <c r="AL91">
        <f ca="1">IF(AND(ISNUMBER($AL$235),$B$158=1),$AL$235,HLOOKUP(INDIRECT(ADDRESS(2,COLUMN())),OFFSET($BN$2,0,0,ROW()-1,60),ROW()-1,FALSE))</f>
        <v>763.9</v>
      </c>
      <c r="AM91">
        <f ca="1">IF(AND(ISNUMBER($AM$235),$B$158=1),$AM$235,HLOOKUP(INDIRECT(ADDRESS(2,COLUMN())),OFFSET($BN$2,0,0,ROW()-1,60),ROW()-1,FALSE))</f>
        <v>896.2</v>
      </c>
      <c r="AN91">
        <f ca="1">IF(AND(ISNUMBER($AN$235),$B$158=1),$AN$235,HLOOKUP(INDIRECT(ADDRESS(2,COLUMN())),OFFSET($BN$2,0,0,ROW()-1,60),ROW()-1,FALSE))</f>
        <v>744.2</v>
      </c>
      <c r="AO91">
        <f ca="1">IF(AND(ISNUMBER($AO$235),$B$158=1),$AO$235,HLOOKUP(INDIRECT(ADDRESS(2,COLUMN())),OFFSET($BN$2,0,0,ROW()-1,60),ROW()-1,FALSE))</f>
        <v>843</v>
      </c>
      <c r="AP91">
        <f ca="1">IF(AND(ISNUMBER($AP$235),$B$158=1),$AP$235,HLOOKUP(INDIRECT(ADDRESS(2,COLUMN())),OFFSET($BN$2,0,0,ROW()-1,60),ROW()-1,FALSE))</f>
        <v>868.2</v>
      </c>
      <c r="AQ91">
        <f ca="1">IF(AND(ISNUMBER($AQ$235),$B$158=1),$AQ$235,HLOOKUP(INDIRECT(ADDRESS(2,COLUMN())),OFFSET($BN$2,0,0,ROW()-1,60),ROW()-1,FALSE))</f>
        <v>969.7</v>
      </c>
      <c r="AR91">
        <f ca="1">IF(AND(ISNUMBER($AR$235),$B$158=1),$AR$235,HLOOKUP(INDIRECT(ADDRESS(2,COLUMN())),OFFSET($BN$2,0,0,ROW()-1,60),ROW()-1,FALSE))</f>
        <v>807.5</v>
      </c>
      <c r="AS91">
        <f ca="1">IF(AND(ISNUMBER($AS$235),$B$158=1),$AS$235,HLOOKUP(INDIRECT(ADDRESS(2,COLUMN())),OFFSET($BN$2,0,0,ROW()-1,60),ROW()-1,FALSE))</f>
        <v>886.5</v>
      </c>
      <c r="AT91" t="str">
        <f ca="1">IF(AND(ISNUMBER($AT$235),$B$158=1),$AT$235,HLOOKUP(INDIRECT(ADDRESS(2,COLUMN())),OFFSET($BN$2,0,0,ROW()-1,60),ROW()-1,FALSE))</f>
        <v/>
      </c>
      <c r="AU91" t="str">
        <f ca="1">IF(AND(ISNUMBER($AU$235),$B$158=1),$AU$235,HLOOKUP(INDIRECT(ADDRESS(2,COLUMN())),OFFSET($BN$2,0,0,ROW()-1,60),ROW()-1,FALSE))</f>
        <v/>
      </c>
      <c r="AV91">
        <f ca="1">IF(AND(ISNUMBER($AV$235),$B$158=1),$AV$235,HLOOKUP(INDIRECT(ADDRESS(2,COLUMN())),OFFSET($BN$2,0,0,ROW()-1,60),ROW()-1,FALSE))</f>
        <v>1544.5</v>
      </c>
      <c r="AW91">
        <f ca="1">IF(AND(ISNUMBER($AW$235),$B$158=1),$AW$235,HLOOKUP(INDIRECT(ADDRESS(2,COLUMN())),OFFSET($BN$2,0,0,ROW()-1,60),ROW()-1,FALSE))</f>
        <v>1695.8</v>
      </c>
      <c r="AX91">
        <f ca="1">IF(AND(ISNUMBER($AX$235),$B$158=1),$AX$235,HLOOKUP(INDIRECT(ADDRESS(2,COLUMN())),OFFSET($BN$2,0,0,ROW()-1,60),ROW()-1,FALSE))</f>
        <v>3104.9</v>
      </c>
      <c r="AY91">
        <f ca="1">IF(AND(ISNUMBER($AY$235),$B$158=1),$AY$235,HLOOKUP(INDIRECT(ADDRESS(2,COLUMN())),OFFSET($BN$2,0,0,ROW()-1,60),ROW()-1,FALSE))</f>
        <v>2535.8000000000002</v>
      </c>
      <c r="AZ91">
        <f ca="1">IF(AND(ISNUMBER($AZ$235),$B$158=1),$AZ$235,HLOOKUP(INDIRECT(ADDRESS(2,COLUMN())),OFFSET($BN$2,0,0,ROW()-1,60),ROW()-1,FALSE))</f>
        <v>2402</v>
      </c>
      <c r="BA91">
        <f ca="1">IF(AND(ISNUMBER($BA$235),$B$158=1),$BA$235,HLOOKUP(INDIRECT(ADDRESS(2,COLUMN())),OFFSET($BN$2,0,0,ROW()-1,60),ROW()-1,FALSE))</f>
        <v>2509.1999999999998</v>
      </c>
      <c r="BB91">
        <f ca="1">IF(AND(ISNUMBER($BB$235),$B$158=1),$BB$235,HLOOKUP(INDIRECT(ADDRESS(2,COLUMN())),OFFSET($BN$2,0,0,ROW()-1,60),ROW()-1,FALSE))</f>
        <v>2946.8</v>
      </c>
      <c r="BC91">
        <f ca="1">IF(AND(ISNUMBER($BC$235),$B$158=1),$BC$235,HLOOKUP(INDIRECT(ADDRESS(2,COLUMN())),OFFSET($BN$2,0,0,ROW()-1,60),ROW()-1,FALSE))</f>
        <v>3748.6</v>
      </c>
      <c r="BD91">
        <f ca="1">IF(AND(ISNUMBER($BD$235),$B$158=1),$BD$235,HLOOKUP(INDIRECT(ADDRESS(2,COLUMN())),OFFSET($BN$2,0,0,ROW()-1,60),ROW()-1,FALSE))</f>
        <v>2986.5</v>
      </c>
      <c r="BE91">
        <f ca="1">IF(AND(ISNUMBER($BE$235),$B$158=1),$BE$235,HLOOKUP(INDIRECT(ADDRESS(2,COLUMN())),OFFSET($BN$2,0,0,ROW()-1,60),ROW()-1,FALSE))</f>
        <v>3927.6</v>
      </c>
      <c r="BF91" t="str">
        <f ca="1">IF(AND(ISNUMBER($BF$235),$B$158=1),$BF$235,HLOOKUP(INDIRECT(ADDRESS(2,COLUMN())),OFFSET($BN$2,0,0,ROW()-1,60),ROW()-1,FALSE))</f>
        <v/>
      </c>
      <c r="BG91" t="str">
        <f ca="1">IF(AND(ISNUMBER($BG$235),$B$158=1),$BG$235,HLOOKUP(INDIRECT(ADDRESS(2,COLUMN())),OFFSET($BN$2,0,0,ROW()-1,60),ROW()-1,FALSE))</f>
        <v/>
      </c>
      <c r="BH91" t="str">
        <f ca="1">IF(AND(ISNUMBER($BH$235),$B$158=1),$BH$235,HLOOKUP(INDIRECT(ADDRESS(2,COLUMN())),OFFSET($BN$2,0,0,ROW()-1,60),ROW()-1,FALSE))</f>
        <v/>
      </c>
      <c r="BI91" t="str">
        <f ca="1">IF(AND(ISNUMBER($BI$235),$B$158=1),$BI$235,HLOOKUP(INDIRECT(ADDRESS(2,COLUMN())),OFFSET($BN$2,0,0,ROW()-1,60),ROW()-1,FALSE))</f>
        <v/>
      </c>
      <c r="BJ91" t="str">
        <f ca="1">IF(AND(ISNUMBER($BJ$235),$B$158=1),$BJ$235,HLOOKUP(INDIRECT(ADDRESS(2,COLUMN())),OFFSET($BN$2,0,0,ROW()-1,60),ROW()-1,FALSE))</f>
        <v/>
      </c>
      <c r="BK91" t="str">
        <f ca="1">IF(AND(ISNUMBER($BK$235),$B$158=1),$BK$235,HLOOKUP(INDIRECT(ADDRESS(2,COLUMN())),OFFSET($BN$2,0,0,ROW()-1,60),ROW()-1,FALSE))</f>
        <v/>
      </c>
      <c r="BL91" t="str">
        <f ca="1">IF(AND(ISNUMBER($BL$235),$B$158=1),$BL$235,HLOOKUP(INDIRECT(ADDRESS(2,COLUMN())),OFFSET($BN$2,0,0,ROW()-1,60),ROW()-1,FALSE))</f>
        <v/>
      </c>
      <c r="BM91" t="str">
        <f ca="1">IF(AND(ISNUMBER($BM$235),$B$158=1),$BM$235,HLOOKUP(INDIRECT(ADDRESS(2,COLUMN())),OFFSET($BN$2,0,0,ROW()-1,60),ROW()-1,FALSE))</f>
        <v/>
      </c>
      <c r="BN91" t="str">
        <f>""</f>
        <v/>
      </c>
      <c r="BO91" t="str">
        <f>""</f>
        <v/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  <c r="BT91" t="str">
        <f>""</f>
        <v/>
      </c>
      <c r="BU91" t="str">
        <f>""</f>
        <v/>
      </c>
      <c r="BV91" t="str">
        <f>""</f>
        <v/>
      </c>
      <c r="BW91" t="str">
        <f>""</f>
        <v/>
      </c>
      <c r="BX91" t="str">
        <f>""</f>
        <v/>
      </c>
      <c r="BY91" t="str">
        <f>""</f>
        <v/>
      </c>
      <c r="BZ91" t="str">
        <f>""</f>
        <v/>
      </c>
      <c r="CA91" t="str">
        <f>""</f>
        <v/>
      </c>
      <c r="CB91" t="str">
        <f>""</f>
        <v/>
      </c>
      <c r="CC91" t="str">
        <f>""</f>
        <v/>
      </c>
      <c r="CD91" t="str">
        <f>""</f>
        <v/>
      </c>
      <c r="CE91" t="str">
        <f>""</f>
        <v/>
      </c>
      <c r="CF91" t="str">
        <f>""</f>
        <v/>
      </c>
      <c r="CG91" t="str">
        <f>""</f>
        <v/>
      </c>
      <c r="CH91" t="str">
        <f>""</f>
        <v/>
      </c>
      <c r="CI91" t="str">
        <f>""</f>
        <v/>
      </c>
      <c r="CJ91" t="str">
        <f>""</f>
        <v/>
      </c>
      <c r="CK91" t="str">
        <f>""</f>
        <v/>
      </c>
      <c r="CL91">
        <f>951.9</f>
        <v>951.9</v>
      </c>
      <c r="CM91">
        <f>999.6</f>
        <v>999.6</v>
      </c>
      <c r="CN91">
        <f>841</f>
        <v>841</v>
      </c>
      <c r="CO91">
        <f>890</f>
        <v>890</v>
      </c>
      <c r="CP91">
        <f>824.3</f>
        <v>824.3</v>
      </c>
      <c r="CQ91">
        <f>922.1</f>
        <v>922.1</v>
      </c>
      <c r="CR91">
        <f>709.1</f>
        <v>709.1</v>
      </c>
      <c r="CS91">
        <f>790</f>
        <v>790</v>
      </c>
      <c r="CT91">
        <f>763.9</f>
        <v>763.9</v>
      </c>
      <c r="CU91">
        <f>896.2</f>
        <v>896.2</v>
      </c>
      <c r="CV91">
        <f>744.2</f>
        <v>744.2</v>
      </c>
      <c r="CW91">
        <f>843</f>
        <v>843</v>
      </c>
      <c r="CX91">
        <f>868.2</f>
        <v>868.2</v>
      </c>
      <c r="CY91">
        <f>969.7</f>
        <v>969.7</v>
      </c>
      <c r="CZ91">
        <f>807.5</f>
        <v>807.5</v>
      </c>
      <c r="DA91">
        <f>886.5</f>
        <v>886.5</v>
      </c>
      <c r="DB91" t="str">
        <f>""</f>
        <v/>
      </c>
      <c r="DC91" t="str">
        <f>""</f>
        <v/>
      </c>
      <c r="DD91">
        <f>1544.5</f>
        <v>1544.5</v>
      </c>
      <c r="DE91">
        <f>1695.8</f>
        <v>1695.8</v>
      </c>
      <c r="DF91">
        <f>3104.9</f>
        <v>3104.9</v>
      </c>
      <c r="DG91">
        <f>2535.8</f>
        <v>2535.8000000000002</v>
      </c>
      <c r="DH91">
        <f>2402</f>
        <v>2402</v>
      </c>
      <c r="DI91">
        <f>2509.2</f>
        <v>2509.1999999999998</v>
      </c>
      <c r="DJ91">
        <f>2946.8</f>
        <v>2946.8</v>
      </c>
      <c r="DK91">
        <f>3748.6</f>
        <v>3748.6</v>
      </c>
      <c r="DL91">
        <f>2986.5</f>
        <v>2986.5</v>
      </c>
      <c r="DM91">
        <f>3927.6</f>
        <v>3927.6</v>
      </c>
      <c r="DN91" t="str">
        <f>""</f>
        <v/>
      </c>
      <c r="DO91" t="str">
        <f>""</f>
        <v/>
      </c>
      <c r="DP91" t="str">
        <f>""</f>
        <v/>
      </c>
      <c r="DQ91" t="str">
        <f>""</f>
        <v/>
      </c>
      <c r="DR91" t="str">
        <f>""</f>
        <v/>
      </c>
      <c r="DS91" t="str">
        <f>""</f>
        <v/>
      </c>
      <c r="DT91" t="str">
        <f>""</f>
        <v/>
      </c>
      <c r="DU91" t="str">
        <f>""</f>
        <v/>
      </c>
    </row>
    <row r="92" spans="1:125" x14ac:dyDescent="0.25">
      <c r="A92" t="str">
        <f>"                of Total Kering Sales (%)"</f>
        <v xml:space="preserve">                of Total Kering Sales (%)</v>
      </c>
      <c r="B92" t="str">
        <f>"KER FP Equity"</f>
        <v>KER FP Equity</v>
      </c>
      <c r="E92" t="str">
        <f>"Expression"</f>
        <v>Expression</v>
      </c>
      <c r="F92" t="str">
        <f ca="1">IF(AND($B$158=1,LEN($F$169) * LEN($F$91)&gt;0),($F$91/$F$169)*100,HLOOKUP(INDIRECT(ADDRESS(2,COLUMN())),OFFSET($BN$2,0,0,ROW()-1,60),ROW()-1,FALSE))</f>
        <v/>
      </c>
      <c r="G92" t="str">
        <f ca="1">IF(AND($B$158=1,LEN($G$169) * LEN($G$91)&gt;0),($G$91/$G$169)*100,HLOOKUP(INDIRECT(ADDRESS(2,COLUMN())),OFFSET($BN$2,0,0,ROW()-1,60),ROW()-1,FALSE))</f>
        <v/>
      </c>
      <c r="H92" t="str">
        <f ca="1">IF(AND($B$158=1,LEN($H$169) * LEN($H$91)&gt;0),($H$91/$H$169)*100,HLOOKUP(INDIRECT(ADDRESS(2,COLUMN())),OFFSET($BN$2,0,0,ROW()-1,60),ROW()-1,FALSE))</f>
        <v/>
      </c>
      <c r="I92" t="str">
        <f ca="1">IF(AND($B$158=1,LEN($I$169) * LEN($I$91)&gt;0),($I$91/$I$169)*100,HLOOKUP(INDIRECT(ADDRESS(2,COLUMN())),OFFSET($BN$2,0,0,ROW()-1,60),ROW()-1,FALSE))</f>
        <v/>
      </c>
      <c r="J92" t="str">
        <f ca="1">IF(AND($B$158=1,LEN($J$169) * LEN($J$91)&gt;0),($J$91/$J$169)*100,HLOOKUP(INDIRECT(ADDRESS(2,COLUMN())),OFFSET($BN$2,0,0,ROW()-1,60),ROW()-1,FALSE))</f>
        <v/>
      </c>
      <c r="K92" t="str">
        <f ca="1">IF(AND($B$158=1,LEN($K$169) * LEN($K$91)&gt;0),($K$91/$K$169)*100,HLOOKUP(INDIRECT(ADDRESS(2,COLUMN())),OFFSET($BN$2,0,0,ROW()-1,60),ROW()-1,FALSE))</f>
        <v/>
      </c>
      <c r="L92" t="str">
        <f ca="1">IF(AND($B$158=1,LEN($L$169) * LEN($L$91)&gt;0),($L$91/$L$169)*100,HLOOKUP(INDIRECT(ADDRESS(2,COLUMN())),OFFSET($BN$2,0,0,ROW()-1,60),ROW()-1,FALSE))</f>
        <v/>
      </c>
      <c r="M92" t="str">
        <f ca="1">IF(AND($B$158=1,LEN($M$169) * LEN($M$91)&gt;0),($M$91/$M$169)*100,HLOOKUP(INDIRECT(ADDRESS(2,COLUMN())),OFFSET($BN$2,0,0,ROW()-1,60),ROW()-1,FALSE))</f>
        <v/>
      </c>
      <c r="N92" t="str">
        <f ca="1">IF(AND($B$158=1,LEN($N$169) * LEN($N$91)&gt;0),($N$91/$N$169)*100,HLOOKUP(INDIRECT(ADDRESS(2,COLUMN())),OFFSET($BN$2,0,0,ROW()-1,60),ROW()-1,FALSE))</f>
        <v/>
      </c>
      <c r="O92" t="str">
        <f ca="1">IF(AND($B$158=1,LEN($O$169) * LEN($O$91)&gt;0),($O$91/$O$169)*100,HLOOKUP(INDIRECT(ADDRESS(2,COLUMN())),OFFSET($BN$2,0,0,ROW()-1,60),ROW()-1,FALSE))</f>
        <v/>
      </c>
      <c r="P92" t="str">
        <f ca="1">IF(AND($B$158=1,LEN($P$169) * LEN($P$91)&gt;0),($P$91/$P$169)*100,HLOOKUP(INDIRECT(ADDRESS(2,COLUMN())),OFFSET($BN$2,0,0,ROW()-1,60),ROW()-1,FALSE))</f>
        <v/>
      </c>
      <c r="Q92" t="str">
        <f ca="1">IF(AND($B$158=1,LEN($Q$169) * LEN($Q$91)&gt;0),($Q$91/$Q$169)*100,HLOOKUP(INDIRECT(ADDRESS(2,COLUMN())),OFFSET($BN$2,0,0,ROW()-1,60),ROW()-1,FALSE))</f>
        <v/>
      </c>
      <c r="R92" t="str">
        <f ca="1">IF(AND($B$158=1,LEN($R$169) * LEN($R$91)&gt;0),($R$91/$R$169)*100,HLOOKUP(INDIRECT(ADDRESS(2,COLUMN())),OFFSET($BN$2,0,0,ROW()-1,60),ROW()-1,FALSE))</f>
        <v/>
      </c>
      <c r="S92" t="str">
        <f ca="1">IF(AND($B$158=1,LEN($S$169) * LEN($S$91)&gt;0),($S$91/$S$169)*100,HLOOKUP(INDIRECT(ADDRESS(2,COLUMN())),OFFSET($BN$2,0,0,ROW()-1,60),ROW()-1,FALSE))</f>
        <v/>
      </c>
      <c r="T92" t="str">
        <f ca="1">IF(AND($B$158=1,LEN($T$169) * LEN($T$91)&gt;0),($T$91/$T$169)*100,HLOOKUP(INDIRECT(ADDRESS(2,COLUMN())),OFFSET($BN$2,0,0,ROW()-1,60),ROW()-1,FALSE))</f>
        <v/>
      </c>
      <c r="U92" t="str">
        <f ca="1">IF(AND($B$158=1,LEN($U$169) * LEN($U$91)&gt;0),($U$91/$U$169)*100,HLOOKUP(INDIRECT(ADDRESS(2,COLUMN())),OFFSET($BN$2,0,0,ROW()-1,60),ROW()-1,FALSE))</f>
        <v/>
      </c>
      <c r="V92" t="str">
        <f ca="1">IF(AND($B$158=1,LEN($V$169) * LEN($V$91)&gt;0),($V$91/$V$169)*100,HLOOKUP(INDIRECT(ADDRESS(2,COLUMN())),OFFSET($BN$2,0,0,ROW()-1,60),ROW()-1,FALSE))</f>
        <v/>
      </c>
      <c r="W92" t="str">
        <f ca="1">IF(AND($B$158=1,LEN($W$169) * LEN($W$91)&gt;0),($W$91/$W$169)*100,HLOOKUP(INDIRECT(ADDRESS(2,COLUMN())),OFFSET($BN$2,0,0,ROW()-1,60),ROW()-1,FALSE))</f>
        <v/>
      </c>
      <c r="X92" t="str">
        <f ca="1">IF(AND($B$158=1,LEN($X$169) * LEN($X$91)&gt;0),($X$91/$X$169)*100,HLOOKUP(INDIRECT(ADDRESS(2,COLUMN())),OFFSET($BN$2,0,0,ROW()-1,60),ROW()-1,FALSE))</f>
        <v/>
      </c>
      <c r="Y92" t="str">
        <f ca="1">IF(AND($B$158=1,LEN($Y$169) * LEN($Y$91)&gt;0),($Y$91/$Y$169)*100,HLOOKUP(INDIRECT(ADDRESS(2,COLUMN())),OFFSET($BN$2,0,0,ROW()-1,60),ROW()-1,FALSE))</f>
        <v/>
      </c>
      <c r="Z92" t="str">
        <f ca="1">IF(AND($B$158=1,LEN($Z$169) * LEN($Z$91)&gt;0),($Z$91/$Z$169)*100,HLOOKUP(INDIRECT(ADDRESS(2,COLUMN())),OFFSET($BN$2,0,0,ROW()-1,60),ROW()-1,FALSE))</f>
        <v/>
      </c>
      <c r="AA92" t="str">
        <f ca="1">IF(AND($B$158=1,LEN($AA$169) * LEN($AA$91)&gt;0),($AA$91/$AA$169)*100,HLOOKUP(INDIRECT(ADDRESS(2,COLUMN())),OFFSET($BN$2,0,0,ROW()-1,60),ROW()-1,FALSE))</f>
        <v/>
      </c>
      <c r="AB92" t="str">
        <f ca="1">IF(AND($B$158=1,LEN($AB$169) * LEN($AB$91)&gt;0),($AB$91/$AB$169)*100,HLOOKUP(INDIRECT(ADDRESS(2,COLUMN())),OFFSET($BN$2,0,0,ROW()-1,60),ROW()-1,FALSE))</f>
        <v/>
      </c>
      <c r="AC92" t="str">
        <f ca="1">IF(AND($B$158=1,LEN($AC$169) * LEN($AC$91)&gt;0),($AC$91/$AC$169)*100,HLOOKUP(INDIRECT(ADDRESS(2,COLUMN())),OFFSET($BN$2,0,0,ROW()-1,60),ROW()-1,FALSE))</f>
        <v/>
      </c>
      <c r="AD92">
        <f ca="1">IF(AND($B$158=1,LEN($AD$169) * LEN($AD$91)&gt;0),($AD$91/$AD$169)*100,HLOOKUP(INDIRECT(ADDRESS(2,COLUMN())),OFFSET($BN$2,0,0,ROW()-1,60),ROW()-1,FALSE))</f>
        <v>29.96694475</v>
      </c>
      <c r="AE92">
        <f ca="1">IF(AND($B$158=1,LEN($AE$169) * LEN($AE$91)&gt;0),($AE$91/$AE$169)*100,HLOOKUP(INDIRECT(ADDRESS(2,COLUMN())),OFFSET($BN$2,0,0,ROW()-1,60),ROW()-1,FALSE))</f>
        <v>34.526112189999999</v>
      </c>
      <c r="AF92">
        <f ca="1">IF(AND($B$158=1,LEN($AF$169) * LEN($AF$91)&gt;0),($AF$91/$AF$169)*100,HLOOKUP(INDIRECT(ADDRESS(2,COLUMN())),OFFSET($BN$2,0,0,ROW()-1,60),ROW()-1,FALSE))</f>
        <v>29.392234299999998</v>
      </c>
      <c r="AG92">
        <f ca="1">IF(AND($B$158=1,LEN($AG$169) * LEN($AG$91)&gt;0),($AG$91/$AG$169)*100,HLOOKUP(INDIRECT(ADDRESS(2,COLUMN())),OFFSET($BN$2,0,0,ROW()-1,60),ROW()-1,FALSE))</f>
        <v>33.572236889999999</v>
      </c>
      <c r="AH92">
        <f ca="1">IF(AND($B$158=1,LEN($AH$169) * LEN($AH$91)&gt;0),($AH$91/$AH$169)*100,HLOOKUP(INDIRECT(ADDRESS(2,COLUMN())),OFFSET($BN$2,0,0,ROW()-1,60),ROW()-1,FALSE))</f>
        <v>30.064191409999999</v>
      </c>
      <c r="AI92">
        <f ca="1">IF(AND($B$158=1,LEN($AI$169) * LEN($AI$91)&gt;0),($AI$91/$AI$169)*100,HLOOKUP(INDIRECT(ADDRESS(2,COLUMN())),OFFSET($BN$2,0,0,ROW()-1,60),ROW()-1,FALSE))</f>
        <v>35.667040579999998</v>
      </c>
      <c r="AJ92">
        <f ca="1">IF(AND($B$158=1,LEN($AJ$169) * LEN($AJ$91)&gt;0),($AJ$91/$AJ$169)*100,HLOOKUP(INDIRECT(ADDRESS(2,COLUMN())),OFFSET($BN$2,0,0,ROW()-1,60),ROW()-1,FALSE))</f>
        <v>30.184743739999998</v>
      </c>
      <c r="AK92">
        <f ca="1">IF(AND($B$158=1,LEN($AK$169) * LEN($AK$91)&gt;0),($AK$91/$AK$169)*100,HLOOKUP(INDIRECT(ADDRESS(2,COLUMN())),OFFSET($BN$2,0,0,ROW()-1,60),ROW()-1,FALSE))</f>
        <v>32.944120099999999</v>
      </c>
      <c r="AL92">
        <f ca="1">IF(AND($B$158=1,LEN($AL$169) * LEN($AL$91)&gt;0),($AL$91/$AL$169)*100,HLOOKUP(INDIRECT(ADDRESS(2,COLUMN())),OFFSET($BN$2,0,0,ROW()-1,60),ROW()-1,FALSE))</f>
        <v>30.29065387</v>
      </c>
      <c r="AM92">
        <f ca="1">IF(AND($B$158=1,LEN($AM$169) * LEN($AM$91)&gt;0),($AM$91/$AM$169)*100,HLOOKUP(INDIRECT(ADDRESS(2,COLUMN())),OFFSET($BN$2,0,0,ROW()-1,60),ROW()-1,FALSE))</f>
        <v>35.521204910000002</v>
      </c>
      <c r="AN92">
        <f ca="1">IF(AND($B$158=1,LEN($AN$169) * LEN($AN$91)&gt;0),($AN$91/$AN$169)*100,HLOOKUP(INDIRECT(ADDRESS(2,COLUMN())),OFFSET($BN$2,0,0,ROW()-1,60),ROW()-1,FALSE))</f>
        <v>32.244367420000003</v>
      </c>
      <c r="AO92">
        <f ca="1">IF(AND($B$158=1,LEN($AO$169) * LEN($AO$91)&gt;0),($AO$91/$AO$169)*100,HLOOKUP(INDIRECT(ADDRESS(2,COLUMN())),OFFSET($BN$2,0,0,ROW()-1,60),ROW()-1,FALSE))</f>
        <v>35.563617950000001</v>
      </c>
      <c r="AP92">
        <f ca="1">IF(AND($B$158=1,LEN($AP$169) * LEN($AP$91)&gt;0),($AP$91/$AP$169)*100,HLOOKUP(INDIRECT(ADDRESS(2,COLUMN())),OFFSET($BN$2,0,0,ROW()-1,60),ROW()-1,FALSE))</f>
        <v>33.884942629999998</v>
      </c>
      <c r="AQ92">
        <f ca="1">IF(AND($B$158=1,LEN($AQ$169) * LEN($AQ$91)&gt;0),($AQ$91/$AQ$169)*100,HLOOKUP(INDIRECT(ADDRESS(2,COLUMN())),OFFSET($BN$2,0,0,ROW()-1,60),ROW()-1,FALSE))</f>
        <v>37.872988599999999</v>
      </c>
      <c r="AR92">
        <f ca="1">IF(AND($B$158=1,LEN($AR$169) * LEN($AR$91)&gt;0),($AR$91/$AR$169)*100,HLOOKUP(INDIRECT(ADDRESS(2,COLUMN())),OFFSET($BN$2,0,0,ROW()-1,60),ROW()-1,FALSE))</f>
        <v>35.54450216</v>
      </c>
      <c r="AS92">
        <f ca="1">IF(AND($B$158=1,LEN($AS$169) * LEN($AS$91)&gt;0),($AS$91/$AS$169)*100,HLOOKUP(INDIRECT(ADDRESS(2,COLUMN())),OFFSET($BN$2,0,0,ROW()-1,60),ROW()-1,FALSE))</f>
        <v>37.853879329999998</v>
      </c>
      <c r="AT92" t="str">
        <f ca="1">IF(AND($B$158=1,LEN($AT$169) * LEN($AT$91)&gt;0),($AT$91/$AT$169)*100,HLOOKUP(INDIRECT(ADDRESS(2,COLUMN())),OFFSET($BN$2,0,0,ROW()-1,60),ROW()-1,FALSE))</f>
        <v/>
      </c>
      <c r="AU92" t="str">
        <f ca="1">IF(AND($B$158=1,LEN($AU$169) * LEN($AU$91)&gt;0),($AU$91/$AU$169)*100,HLOOKUP(INDIRECT(ADDRESS(2,COLUMN())),OFFSET($BN$2,0,0,ROW()-1,60),ROW()-1,FALSE))</f>
        <v/>
      </c>
      <c r="AV92">
        <f ca="1">IF(AND($B$158=1,LEN($AV$169) * LEN($AV$91)&gt;0),($AV$91/$AV$169)*100,HLOOKUP(INDIRECT(ADDRESS(2,COLUMN())),OFFSET($BN$2,0,0,ROW()-1,60),ROW()-1,FALSE))</f>
        <v>58.278620480000001</v>
      </c>
      <c r="AW92">
        <f ca="1">IF(AND($B$158=1,LEN($AW$169) * LEN($AW$91)&gt;0),($AW$91/$AW$169)*100,HLOOKUP(INDIRECT(ADDRESS(2,COLUMN())),OFFSET($BN$2,0,0,ROW()-1,60),ROW()-1,FALSE))</f>
        <v>60.096392369999997</v>
      </c>
      <c r="AX92">
        <f ca="1">IF(AND($B$158=1,LEN($AX$169) * LEN($AX$91)&gt;0),($AX$91/$AX$169)*100,HLOOKUP(INDIRECT(ADDRESS(2,COLUMN())),OFFSET($BN$2,0,0,ROW()-1,60),ROW()-1,FALSE))</f>
        <v>73.127016650000002</v>
      </c>
      <c r="AY92">
        <f ca="1">IF(AND($B$158=1,LEN($AY$169) * LEN($AY$91)&gt;0),($AY$91/$AY$169)*100,HLOOKUP(INDIRECT(ADDRESS(2,COLUMN())),OFFSET($BN$2,0,0,ROW()-1,60),ROW()-1,FALSE))</f>
        <v>71.026833229999994</v>
      </c>
      <c r="AZ92">
        <f ca="1">IF(AND($B$158=1,LEN($AZ$169) * LEN($AZ$91)&gt;0),($AZ$91/$AZ$169)*100,HLOOKUP(INDIRECT(ADDRESS(2,COLUMN())),OFFSET($BN$2,0,0,ROW()-1,60),ROW()-1,FALSE))</f>
        <v>59.900249379999998</v>
      </c>
      <c r="BA92">
        <f ca="1">IF(AND($B$158=1,LEN($BA$169) * LEN($BA$91)&gt;0),($BA$91/$BA$169)*100,HLOOKUP(INDIRECT(ADDRESS(2,COLUMN())),OFFSET($BN$2,0,0,ROW()-1,60),ROW()-1,FALSE))</f>
        <v>73.808683369999997</v>
      </c>
      <c r="BB92">
        <f ca="1">IF(AND($B$158=1,LEN($BB$169) * LEN($BB$91)&gt;0),($BB$91/$BB$169)*100,HLOOKUP(INDIRECT(ADDRESS(2,COLUMN())),OFFSET($BN$2,0,0,ROW()-1,60),ROW()-1,FALSE))</f>
        <v>62.363497840000001</v>
      </c>
      <c r="BC92">
        <f ca="1">IF(AND($B$158=1,LEN($BC$169) * LEN($BC$91)&gt;0),($BC$91/$BC$169)*100,HLOOKUP(INDIRECT(ADDRESS(2,COLUMN())),OFFSET($BN$2,0,0,ROW()-1,60),ROW()-1,FALSE))</f>
        <v>82.148488779999994</v>
      </c>
      <c r="BD92">
        <f ca="1">IF(AND($B$158=1,LEN($BD$169) * LEN($BD$91)&gt;0),($BD$91/$BD$169)*100,HLOOKUP(INDIRECT(ADDRESS(2,COLUMN())),OFFSET($BN$2,0,0,ROW()-1,60),ROW()-1,FALSE))</f>
        <v>66.987416730000007</v>
      </c>
      <c r="BE92">
        <f ca="1">IF(AND($B$158=1,LEN($BE$169) * LEN($BE$91)&gt;0),($BE$91/$BE$169)*100,HLOOKUP(INDIRECT(ADDRESS(2,COLUMN())),OFFSET($BN$2,0,0,ROW()-1,60),ROW()-1,FALSE))</f>
        <v>82.218965879999999</v>
      </c>
      <c r="BF92" t="str">
        <f ca="1">IF(AND($B$158=1,LEN($BF$169) * LEN($BF$91)&gt;0),($BF$91/$BF$169)*100,HLOOKUP(INDIRECT(ADDRESS(2,COLUMN())),OFFSET($BN$2,0,0,ROW()-1,60),ROW()-1,FALSE))</f>
        <v/>
      </c>
      <c r="BG92" t="str">
        <f ca="1">IF(AND($B$158=1,LEN($BG$169) * LEN($BG$91)&gt;0),($BG$91/$BG$169)*100,HLOOKUP(INDIRECT(ADDRESS(2,COLUMN())),OFFSET($BN$2,0,0,ROW()-1,60),ROW()-1,FALSE))</f>
        <v/>
      </c>
      <c r="BH92" t="str">
        <f ca="1">IF(AND($B$158=1,LEN($BH$169) * LEN($BH$91)&gt;0),($BH$91/$BH$169)*100,HLOOKUP(INDIRECT(ADDRESS(2,COLUMN())),OFFSET($BN$2,0,0,ROW()-1,60),ROW()-1,FALSE))</f>
        <v/>
      </c>
      <c r="BI92" t="str">
        <f ca="1">IF(AND($B$158=1,LEN($BI$169) * LEN($BI$91)&gt;0),($BI$91/$BI$169)*100,HLOOKUP(INDIRECT(ADDRESS(2,COLUMN())),OFFSET($BN$2,0,0,ROW()-1,60),ROW()-1,FALSE))</f>
        <v/>
      </c>
      <c r="BJ92" t="str">
        <f ca="1">IF(AND($B$158=1,LEN($BJ$169) * LEN($BJ$91)&gt;0),($BJ$91/$BJ$169)*100,HLOOKUP(INDIRECT(ADDRESS(2,COLUMN())),OFFSET($BN$2,0,0,ROW()-1,60),ROW()-1,FALSE))</f>
        <v/>
      </c>
      <c r="BK92" t="str">
        <f ca="1">IF(AND($B$158=1,LEN($BK$169) * LEN($BK$91)&gt;0),($BK$91/$BK$169)*100,HLOOKUP(INDIRECT(ADDRESS(2,COLUMN())),OFFSET($BN$2,0,0,ROW()-1,60),ROW()-1,FALSE))</f>
        <v/>
      </c>
      <c r="BL92" t="str">
        <f ca="1">IF(AND($B$158=1,LEN($BL$169) * LEN($BL$91)&gt;0),($BL$91/$BL$169)*100,HLOOKUP(INDIRECT(ADDRESS(2,COLUMN())),OFFSET($BN$2,0,0,ROW()-1,60),ROW()-1,FALSE))</f>
        <v/>
      </c>
      <c r="BM92" t="str">
        <f ca="1">IF(AND($B$158=1,LEN($BM$169) * LEN($BM$91)&gt;0),($BM$91/$BM$169)*100,HLOOKUP(INDIRECT(ADDRESS(2,COLUMN())),OFFSET($BN$2,0,0,ROW()-1,60),ROW()-1,FALSE))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  <c r="BT92" t="str">
        <f>""</f>
        <v/>
      </c>
      <c r="BU92" t="str">
        <f>""</f>
        <v/>
      </c>
      <c r="BV92" t="str">
        <f>""</f>
        <v/>
      </c>
      <c r="BW92" t="str">
        <f>""</f>
        <v/>
      </c>
      <c r="BX92" t="str">
        <f>""</f>
        <v/>
      </c>
      <c r="BY92" t="str">
        <f>""</f>
        <v/>
      </c>
      <c r="BZ92" t="str">
        <f>""</f>
        <v/>
      </c>
      <c r="CA92" t="str">
        <f>""</f>
        <v/>
      </c>
      <c r="CB92" t="str">
        <f>""</f>
        <v/>
      </c>
      <c r="CC92" t="str">
        <f>""</f>
        <v/>
      </c>
      <c r="CD92" t="str">
        <f>""</f>
        <v/>
      </c>
      <c r="CE92" t="str">
        <f>""</f>
        <v/>
      </c>
      <c r="CF92" t="str">
        <f>""</f>
        <v/>
      </c>
      <c r="CG92" t="str">
        <f>""</f>
        <v/>
      </c>
      <c r="CH92" t="str">
        <f>""</f>
        <v/>
      </c>
      <c r="CI92" t="str">
        <f>""</f>
        <v/>
      </c>
      <c r="CJ92" t="str">
        <f>""</f>
        <v/>
      </c>
      <c r="CK92" t="str">
        <f>""</f>
        <v/>
      </c>
      <c r="CL92">
        <f>29.96694475</f>
        <v>29.96694475</v>
      </c>
      <c r="CM92">
        <f>34.52611219</f>
        <v>34.526112189999999</v>
      </c>
      <c r="CN92">
        <f>29.3922343</f>
        <v>29.392234299999998</v>
      </c>
      <c r="CO92">
        <f>33.57223689</f>
        <v>33.572236889999999</v>
      </c>
      <c r="CP92">
        <f>30.06419141</f>
        <v>30.064191409999999</v>
      </c>
      <c r="CQ92">
        <f>35.66704058</f>
        <v>35.667040579999998</v>
      </c>
      <c r="CR92">
        <f>30.18474374</f>
        <v>30.184743739999998</v>
      </c>
      <c r="CS92">
        <f>32.9441201</f>
        <v>32.944120099999999</v>
      </c>
      <c r="CT92">
        <f>30.29065387</f>
        <v>30.29065387</v>
      </c>
      <c r="CU92">
        <f>35.52120491</f>
        <v>35.521204910000002</v>
      </c>
      <c r="CV92">
        <f>32.24436742</f>
        <v>32.244367420000003</v>
      </c>
      <c r="CW92">
        <f>35.56361795</f>
        <v>35.563617950000001</v>
      </c>
      <c r="CX92">
        <f>33.88494263</f>
        <v>33.884942629999998</v>
      </c>
      <c r="CY92">
        <f>37.8729886</f>
        <v>37.872988599999999</v>
      </c>
      <c r="CZ92">
        <f>35.54450216</f>
        <v>35.54450216</v>
      </c>
      <c r="DA92">
        <f>37.85387933</f>
        <v>37.853879329999998</v>
      </c>
      <c r="DB92" t="str">
        <f>""</f>
        <v/>
      </c>
      <c r="DC92" t="str">
        <f>""</f>
        <v/>
      </c>
      <c r="DD92">
        <f>58.27862048</f>
        <v>58.278620480000001</v>
      </c>
      <c r="DE92">
        <f>60.09639237</f>
        <v>60.096392369999997</v>
      </c>
      <c r="DF92">
        <f>73.12701665</f>
        <v>73.127016650000002</v>
      </c>
      <c r="DG92">
        <f>71.02683323</f>
        <v>71.026833229999994</v>
      </c>
      <c r="DH92">
        <f>59.90024938</f>
        <v>59.900249379999998</v>
      </c>
      <c r="DI92">
        <f>73.80868337</f>
        <v>73.808683369999997</v>
      </c>
      <c r="DJ92">
        <f>62.36349784</f>
        <v>62.363497840000001</v>
      </c>
      <c r="DK92">
        <f>82.14848878</f>
        <v>82.148488779999994</v>
      </c>
      <c r="DL92">
        <f>66.98741673</f>
        <v>66.987416730000007</v>
      </c>
      <c r="DM92">
        <f>82.21896588</f>
        <v>82.218965879999999</v>
      </c>
      <c r="DN92" t="str">
        <f>""</f>
        <v/>
      </c>
      <c r="DO92" t="str">
        <f>""</f>
        <v/>
      </c>
      <c r="DP92" t="str">
        <f>""</f>
        <v/>
      </c>
      <c r="DQ92" t="str">
        <f>""</f>
        <v/>
      </c>
      <c r="DR92" t="str">
        <f>""</f>
        <v/>
      </c>
      <c r="DS92" t="str">
        <f>""</f>
        <v/>
      </c>
      <c r="DT92" t="str">
        <f>""</f>
        <v/>
      </c>
      <c r="DU92" t="str">
        <f>""</f>
        <v/>
      </c>
    </row>
    <row r="93" spans="1:125" x14ac:dyDescent="0.25">
      <c r="A93" t="str">
        <f>"            Recurring Operating Income"</f>
        <v xml:space="preserve">            Recurring Operating Income</v>
      </c>
      <c r="B93" t="str">
        <f>"KER FP Equity"</f>
        <v>KER FP Equity</v>
      </c>
      <c r="C93" t="str">
        <f>"BI047"</f>
        <v>BI047</v>
      </c>
      <c r="D93" t="str">
        <f>"BICS_SEGMENT_DATA"</f>
        <v>BICS_SEGMENT_DATA</v>
      </c>
      <c r="E93" t="str">
        <f>"Dynamic"</f>
        <v>Dynamic</v>
      </c>
      <c r="F93" t="str">
        <f ca="1">IF(AND(ISNUMBER($F$236),$B$158=1),$F$236,HLOOKUP(INDIRECT(ADDRESS(2,COLUMN())),OFFSET($BN$2,0,0,ROW()-1,60),ROW()-1,FALSE))</f>
        <v/>
      </c>
      <c r="G93" t="str">
        <f ca="1">IF(AND(ISNUMBER($G$236),$B$158=1),$G$236,HLOOKUP(INDIRECT(ADDRESS(2,COLUMN())),OFFSET($BN$2,0,0,ROW()-1,60),ROW()-1,FALSE))</f>
        <v/>
      </c>
      <c r="H93" t="str">
        <f ca="1">IF(AND(ISNUMBER($H$236),$B$158=1),$H$236,HLOOKUP(INDIRECT(ADDRESS(2,COLUMN())),OFFSET($BN$2,0,0,ROW()-1,60),ROW()-1,FALSE))</f>
        <v/>
      </c>
      <c r="I93" t="str">
        <f ca="1">IF(AND(ISNUMBER($I$236),$B$158=1),$I$236,HLOOKUP(INDIRECT(ADDRESS(2,COLUMN())),OFFSET($BN$2,0,0,ROW()-1,60),ROW()-1,FALSE))</f>
        <v/>
      </c>
      <c r="J93" t="str">
        <f ca="1">IF(AND(ISNUMBER($J$236),$B$158=1),$J$236,HLOOKUP(INDIRECT(ADDRESS(2,COLUMN())),OFFSET($BN$2,0,0,ROW()-1,60),ROW()-1,FALSE))</f>
        <v/>
      </c>
      <c r="K93" t="str">
        <f ca="1">IF(AND(ISNUMBER($K$236),$B$158=1),$K$236,HLOOKUP(INDIRECT(ADDRESS(2,COLUMN())),OFFSET($BN$2,0,0,ROW()-1,60),ROW()-1,FALSE))</f>
        <v/>
      </c>
      <c r="L93" t="str">
        <f ca="1">IF(AND(ISNUMBER($L$236),$B$158=1),$L$236,HLOOKUP(INDIRECT(ADDRESS(2,COLUMN())),OFFSET($BN$2,0,0,ROW()-1,60),ROW()-1,FALSE))</f>
        <v/>
      </c>
      <c r="M93" t="str">
        <f ca="1">IF(AND(ISNUMBER($M$236),$B$158=1),$M$236,HLOOKUP(INDIRECT(ADDRESS(2,COLUMN())),OFFSET($BN$2,0,0,ROW()-1,60),ROW()-1,FALSE))</f>
        <v/>
      </c>
      <c r="N93" t="str">
        <f ca="1">IF(AND(ISNUMBER($N$236),$B$158=1),$N$236,HLOOKUP(INDIRECT(ADDRESS(2,COLUMN())),OFFSET($BN$2,0,0,ROW()-1,60),ROW()-1,FALSE))</f>
        <v/>
      </c>
      <c r="O93" t="str">
        <f ca="1">IF(AND(ISNUMBER($O$236),$B$158=1),$O$236,HLOOKUP(INDIRECT(ADDRESS(2,COLUMN())),OFFSET($BN$2,0,0,ROW()-1,60),ROW()-1,FALSE))</f>
        <v/>
      </c>
      <c r="P93" t="str">
        <f ca="1">IF(AND(ISNUMBER($P$236),$B$158=1),$P$236,HLOOKUP(INDIRECT(ADDRESS(2,COLUMN())),OFFSET($BN$2,0,0,ROW()-1,60),ROW()-1,FALSE))</f>
        <v/>
      </c>
      <c r="Q93" t="str">
        <f ca="1">IF(AND(ISNUMBER($Q$236),$B$158=1),$Q$236,HLOOKUP(INDIRECT(ADDRESS(2,COLUMN())),OFFSET($BN$2,0,0,ROW()-1,60),ROW()-1,FALSE))</f>
        <v/>
      </c>
      <c r="R93" t="str">
        <f ca="1">IF(AND(ISNUMBER($R$236),$B$158=1),$R$236,HLOOKUP(INDIRECT(ADDRESS(2,COLUMN())),OFFSET($BN$2,0,0,ROW()-1,60),ROW()-1,FALSE))</f>
        <v/>
      </c>
      <c r="S93" t="str">
        <f ca="1">IF(AND(ISNUMBER($S$236),$B$158=1),$S$236,HLOOKUP(INDIRECT(ADDRESS(2,COLUMN())),OFFSET($BN$2,0,0,ROW()-1,60),ROW()-1,FALSE))</f>
        <v/>
      </c>
      <c r="T93" t="str">
        <f ca="1">IF(AND(ISNUMBER($T$236),$B$158=1),$T$236,HLOOKUP(INDIRECT(ADDRESS(2,COLUMN())),OFFSET($BN$2,0,0,ROW()-1,60),ROW()-1,FALSE))</f>
        <v/>
      </c>
      <c r="U93" t="str">
        <f ca="1">IF(AND(ISNUMBER($U$236),$B$158=1),$U$236,HLOOKUP(INDIRECT(ADDRESS(2,COLUMN())),OFFSET($BN$2,0,0,ROW()-1,60),ROW()-1,FALSE))</f>
        <v/>
      </c>
      <c r="V93" t="str">
        <f ca="1">IF(AND(ISNUMBER($V$236),$B$158=1),$V$236,HLOOKUP(INDIRECT(ADDRESS(2,COLUMN())),OFFSET($BN$2,0,0,ROW()-1,60),ROW()-1,FALSE))</f>
        <v/>
      </c>
      <c r="W93" t="str">
        <f ca="1">IF(AND(ISNUMBER($W$236),$B$158=1),$W$236,HLOOKUP(INDIRECT(ADDRESS(2,COLUMN())),OFFSET($BN$2,0,0,ROW()-1,60),ROW()-1,FALSE))</f>
        <v/>
      </c>
      <c r="X93" t="str">
        <f ca="1">IF(AND(ISNUMBER($X$236),$B$158=1),$X$236,HLOOKUP(INDIRECT(ADDRESS(2,COLUMN())),OFFSET($BN$2,0,0,ROW()-1,60),ROW()-1,FALSE))</f>
        <v/>
      </c>
      <c r="Y93" t="str">
        <f ca="1">IF(AND(ISNUMBER($Y$236),$B$158=1),$Y$236,HLOOKUP(INDIRECT(ADDRESS(2,COLUMN())),OFFSET($BN$2,0,0,ROW()-1,60),ROW()-1,FALSE))</f>
        <v/>
      </c>
      <c r="Z93" t="str">
        <f ca="1">IF(AND(ISNUMBER($Z$236),$B$158=1),$Z$236,HLOOKUP(INDIRECT(ADDRESS(2,COLUMN())),OFFSET($BN$2,0,0,ROW()-1,60),ROW()-1,FALSE))</f>
        <v/>
      </c>
      <c r="AA93" t="str">
        <f ca="1">IF(AND(ISNUMBER($AA$236),$B$158=1),$AA$236,HLOOKUP(INDIRECT(ADDRESS(2,COLUMN())),OFFSET($BN$2,0,0,ROW()-1,60),ROW()-1,FALSE))</f>
        <v/>
      </c>
      <c r="AB93" t="str">
        <f ca="1">IF(AND(ISNUMBER($AB$236),$B$158=1),$AB$236,HLOOKUP(INDIRECT(ADDRESS(2,COLUMN())),OFFSET($BN$2,0,0,ROW()-1,60),ROW()-1,FALSE))</f>
        <v/>
      </c>
      <c r="AC93" t="str">
        <f ca="1">IF(AND(ISNUMBER($AC$236),$B$158=1),$AC$236,HLOOKUP(INDIRECT(ADDRESS(2,COLUMN())),OFFSET($BN$2,0,0,ROW()-1,60),ROW()-1,FALSE))</f>
        <v/>
      </c>
      <c r="AD93" t="str">
        <f ca="1">IF(AND(ISNUMBER($AD$236),$B$158=1),$AD$236,HLOOKUP(INDIRECT(ADDRESS(2,COLUMN())),OFFSET($BN$2,0,0,ROW()-1,60),ROW()-1,FALSE))</f>
        <v/>
      </c>
      <c r="AE93" t="str">
        <f ca="1">IF(AND(ISNUMBER($AE$236),$B$158=1),$AE$236,HLOOKUP(INDIRECT(ADDRESS(2,COLUMN())),OFFSET($BN$2,0,0,ROW()-1,60),ROW()-1,FALSE))</f>
        <v/>
      </c>
      <c r="AF93" t="str">
        <f ca="1">IF(AND(ISNUMBER($AF$236),$B$158=1),$AF$236,HLOOKUP(INDIRECT(ADDRESS(2,COLUMN())),OFFSET($BN$2,0,0,ROW()-1,60),ROW()-1,FALSE))</f>
        <v/>
      </c>
      <c r="AG93" t="str">
        <f ca="1">IF(AND(ISNUMBER($AG$236),$B$158=1),$AG$236,HLOOKUP(INDIRECT(ADDRESS(2,COLUMN())),OFFSET($BN$2,0,0,ROW()-1,60),ROW()-1,FALSE))</f>
        <v/>
      </c>
      <c r="AH93" t="str">
        <f ca="1">IF(AND(ISNUMBER($AH$236),$B$158=1),$AH$236,HLOOKUP(INDIRECT(ADDRESS(2,COLUMN())),OFFSET($BN$2,0,0,ROW()-1,60),ROW()-1,FALSE))</f>
        <v/>
      </c>
      <c r="AI93" t="str">
        <f ca="1">IF(AND(ISNUMBER($AI$236),$B$158=1),$AI$236,HLOOKUP(INDIRECT(ADDRESS(2,COLUMN())),OFFSET($BN$2,0,0,ROW()-1,60),ROW()-1,FALSE))</f>
        <v/>
      </c>
      <c r="AJ93" t="str">
        <f ca="1">IF(AND(ISNUMBER($AJ$236),$B$158=1),$AJ$236,HLOOKUP(INDIRECT(ADDRESS(2,COLUMN())),OFFSET($BN$2,0,0,ROW()-1,60),ROW()-1,FALSE))</f>
        <v/>
      </c>
      <c r="AK93" t="str">
        <f ca="1">IF(AND(ISNUMBER($AK$236),$B$158=1),$AK$236,HLOOKUP(INDIRECT(ADDRESS(2,COLUMN())),OFFSET($BN$2,0,0,ROW()-1,60),ROW()-1,FALSE))</f>
        <v/>
      </c>
      <c r="AL93" t="str">
        <f ca="1">IF(AND(ISNUMBER($AL$236),$B$158=1),$AL$236,HLOOKUP(INDIRECT(ADDRESS(2,COLUMN())),OFFSET($BN$2,0,0,ROW()-1,60),ROW()-1,FALSE))</f>
        <v/>
      </c>
      <c r="AM93" t="str">
        <f ca="1">IF(AND(ISNUMBER($AM$236),$B$158=1),$AM$236,HLOOKUP(INDIRECT(ADDRESS(2,COLUMN())),OFFSET($BN$2,0,0,ROW()-1,60),ROW()-1,FALSE))</f>
        <v/>
      </c>
      <c r="AN93" t="str">
        <f ca="1">IF(AND(ISNUMBER($AN$236),$B$158=1),$AN$236,HLOOKUP(INDIRECT(ADDRESS(2,COLUMN())),OFFSET($BN$2,0,0,ROW()-1,60),ROW()-1,FALSE))</f>
        <v/>
      </c>
      <c r="AO93" t="str">
        <f ca="1">IF(AND(ISNUMBER($AO$236),$B$158=1),$AO$236,HLOOKUP(INDIRECT(ADDRESS(2,COLUMN())),OFFSET($BN$2,0,0,ROW()-1,60),ROW()-1,FALSE))</f>
        <v/>
      </c>
      <c r="AP93" t="str">
        <f ca="1">IF(AND(ISNUMBER($AP$236),$B$158=1),$AP$236,HLOOKUP(INDIRECT(ADDRESS(2,COLUMN())),OFFSET($BN$2,0,0,ROW()-1,60),ROW()-1,FALSE))</f>
        <v/>
      </c>
      <c r="AQ93" t="str">
        <f ca="1">IF(AND(ISNUMBER($AQ$236),$B$158=1),$AQ$236,HLOOKUP(INDIRECT(ADDRESS(2,COLUMN())),OFFSET($BN$2,0,0,ROW()-1,60),ROW()-1,FALSE))</f>
        <v/>
      </c>
      <c r="AR93" t="str">
        <f ca="1">IF(AND(ISNUMBER($AR$236),$B$158=1),$AR$236,HLOOKUP(INDIRECT(ADDRESS(2,COLUMN())),OFFSET($BN$2,0,0,ROW()-1,60),ROW()-1,FALSE))</f>
        <v/>
      </c>
      <c r="AS93" t="str">
        <f ca="1">IF(AND(ISNUMBER($AS$236),$B$158=1),$AS$236,HLOOKUP(INDIRECT(ADDRESS(2,COLUMN())),OFFSET($BN$2,0,0,ROW()-1,60),ROW()-1,FALSE))</f>
        <v/>
      </c>
      <c r="AT93" t="str">
        <f ca="1">IF(AND(ISNUMBER($AT$236),$B$158=1),$AT$236,HLOOKUP(INDIRECT(ADDRESS(2,COLUMN())),OFFSET($BN$2,0,0,ROW()-1,60),ROW()-1,FALSE))</f>
        <v/>
      </c>
      <c r="AU93" t="str">
        <f ca="1">IF(AND(ISNUMBER($AU$236),$B$158=1),$AU$236,HLOOKUP(INDIRECT(ADDRESS(2,COLUMN())),OFFSET($BN$2,0,0,ROW()-1,60),ROW()-1,FALSE))</f>
        <v/>
      </c>
      <c r="AV93" t="str">
        <f ca="1">IF(AND(ISNUMBER($AV$236),$B$158=1),$AV$236,HLOOKUP(INDIRECT(ADDRESS(2,COLUMN())),OFFSET($BN$2,0,0,ROW()-1,60),ROW()-1,FALSE))</f>
        <v/>
      </c>
      <c r="AW93" t="str">
        <f ca="1">IF(AND(ISNUMBER($AW$236),$B$158=1),$AW$236,HLOOKUP(INDIRECT(ADDRESS(2,COLUMN())),OFFSET($BN$2,0,0,ROW()-1,60),ROW()-1,FALSE))</f>
        <v/>
      </c>
      <c r="AX93" t="str">
        <f ca="1">IF(AND(ISNUMBER($AX$236),$B$158=1),$AX$236,HLOOKUP(INDIRECT(ADDRESS(2,COLUMN())),OFFSET($BN$2,0,0,ROW()-1,60),ROW()-1,FALSE))</f>
        <v/>
      </c>
      <c r="AY93" t="str">
        <f ca="1">IF(AND(ISNUMBER($AY$236),$B$158=1),$AY$236,HLOOKUP(INDIRECT(ADDRESS(2,COLUMN())),OFFSET($BN$2,0,0,ROW()-1,60),ROW()-1,FALSE))</f>
        <v/>
      </c>
      <c r="AZ93" t="str">
        <f ca="1">IF(AND(ISNUMBER($AZ$236),$B$158=1),$AZ$236,HLOOKUP(INDIRECT(ADDRESS(2,COLUMN())),OFFSET($BN$2,0,0,ROW()-1,60),ROW()-1,FALSE))</f>
        <v/>
      </c>
      <c r="BA93" t="str">
        <f ca="1">IF(AND(ISNUMBER($BA$236),$B$158=1),$BA$236,HLOOKUP(INDIRECT(ADDRESS(2,COLUMN())),OFFSET($BN$2,0,0,ROW()-1,60),ROW()-1,FALSE))</f>
        <v/>
      </c>
      <c r="BB93" t="str">
        <f ca="1">IF(AND(ISNUMBER($BB$236),$B$158=1),$BB$236,HLOOKUP(INDIRECT(ADDRESS(2,COLUMN())),OFFSET($BN$2,0,0,ROW()-1,60),ROW()-1,FALSE))</f>
        <v/>
      </c>
      <c r="BC93" t="str">
        <f ca="1">IF(AND(ISNUMBER($BC$236),$B$158=1),$BC$236,HLOOKUP(INDIRECT(ADDRESS(2,COLUMN())),OFFSET($BN$2,0,0,ROW()-1,60),ROW()-1,FALSE))</f>
        <v/>
      </c>
      <c r="BD93" t="str">
        <f ca="1">IF(AND(ISNUMBER($BD$236),$B$158=1),$BD$236,HLOOKUP(INDIRECT(ADDRESS(2,COLUMN())),OFFSET($BN$2,0,0,ROW()-1,60),ROW()-1,FALSE))</f>
        <v/>
      </c>
      <c r="BE93" t="str">
        <f ca="1">IF(AND(ISNUMBER($BE$236),$B$158=1),$BE$236,HLOOKUP(INDIRECT(ADDRESS(2,COLUMN())),OFFSET($BN$2,0,0,ROW()-1,60),ROW()-1,FALSE))</f>
        <v/>
      </c>
      <c r="BF93" t="str">
        <f ca="1">IF(AND(ISNUMBER($BF$236),$B$158=1),$BF$236,HLOOKUP(INDIRECT(ADDRESS(2,COLUMN())),OFFSET($BN$2,0,0,ROW()-1,60),ROW()-1,FALSE))</f>
        <v/>
      </c>
      <c r="BG93" t="str">
        <f ca="1">IF(AND(ISNUMBER($BG$236),$B$158=1),$BG$236,HLOOKUP(INDIRECT(ADDRESS(2,COLUMN())),OFFSET($BN$2,0,0,ROW()-1,60),ROW()-1,FALSE))</f>
        <v/>
      </c>
      <c r="BH93" t="str">
        <f ca="1">IF(AND(ISNUMBER($BH$236),$B$158=1),$BH$236,HLOOKUP(INDIRECT(ADDRESS(2,COLUMN())),OFFSET($BN$2,0,0,ROW()-1,60),ROW()-1,FALSE))</f>
        <v/>
      </c>
      <c r="BI93" t="str">
        <f ca="1">IF(AND(ISNUMBER($BI$236),$B$158=1),$BI$236,HLOOKUP(INDIRECT(ADDRESS(2,COLUMN())),OFFSET($BN$2,0,0,ROW()-1,60),ROW()-1,FALSE))</f>
        <v/>
      </c>
      <c r="BJ93" t="str">
        <f ca="1">IF(AND(ISNUMBER($BJ$236),$B$158=1),$BJ$236,HLOOKUP(INDIRECT(ADDRESS(2,COLUMN())),OFFSET($BN$2,0,0,ROW()-1,60),ROW()-1,FALSE))</f>
        <v/>
      </c>
      <c r="BK93" t="str">
        <f ca="1">IF(AND(ISNUMBER($BK$236),$B$158=1),$BK$236,HLOOKUP(INDIRECT(ADDRESS(2,COLUMN())),OFFSET($BN$2,0,0,ROW()-1,60),ROW()-1,FALSE))</f>
        <v/>
      </c>
      <c r="BL93" t="str">
        <f ca="1">IF(AND(ISNUMBER($BL$236),$B$158=1),$BL$236,HLOOKUP(INDIRECT(ADDRESS(2,COLUMN())),OFFSET($BN$2,0,0,ROW()-1,60),ROW()-1,FALSE))</f>
        <v/>
      </c>
      <c r="BM93" t="str">
        <f ca="1">IF(AND(ISNUMBER($BM$236),$B$158=1),$BM$236,HLOOKUP(INDIRECT(ADDRESS(2,COLUMN())),OFFSET($BN$2,0,0,ROW()-1,60),ROW()-1,FALSE))</f>
        <v/>
      </c>
      <c r="BN93" t="str">
        <f>""</f>
        <v/>
      </c>
      <c r="BO93" t="str">
        <f>""</f>
        <v/>
      </c>
      <c r="BP93" t="str">
        <f>""</f>
        <v/>
      </c>
      <c r="BQ93" t="str">
        <f>""</f>
        <v/>
      </c>
      <c r="BR93" t="str">
        <f>""</f>
        <v/>
      </c>
      <c r="BS93" t="str">
        <f>""</f>
        <v/>
      </c>
      <c r="BT93" t="str">
        <f>""</f>
        <v/>
      </c>
      <c r="BU93" t="str">
        <f>""</f>
        <v/>
      </c>
      <c r="BV93" t="str">
        <f>""</f>
        <v/>
      </c>
      <c r="BW93" t="str">
        <f>""</f>
        <v/>
      </c>
      <c r="BX93" t="str">
        <f>""</f>
        <v/>
      </c>
      <c r="BY93" t="str">
        <f>""</f>
        <v/>
      </c>
      <c r="BZ93" t="str">
        <f>""</f>
        <v/>
      </c>
      <c r="CA93" t="str">
        <f>""</f>
        <v/>
      </c>
      <c r="CB93" t="str">
        <f>""</f>
        <v/>
      </c>
      <c r="CC93" t="str">
        <f>""</f>
        <v/>
      </c>
      <c r="CD93" t="str">
        <f>""</f>
        <v/>
      </c>
      <c r="CE93" t="str">
        <f>""</f>
        <v/>
      </c>
      <c r="CF93" t="str">
        <f>""</f>
        <v/>
      </c>
      <c r="CG93" t="str">
        <f>""</f>
        <v/>
      </c>
      <c r="CH93" t="str">
        <f>""</f>
        <v/>
      </c>
      <c r="CI93" t="str">
        <f>""</f>
        <v/>
      </c>
      <c r="CJ93" t="str">
        <f>""</f>
        <v/>
      </c>
      <c r="CK93" t="str">
        <f>""</f>
        <v/>
      </c>
      <c r="CL93" t="str">
        <f>""</f>
        <v/>
      </c>
      <c r="CM93" t="str">
        <f>""</f>
        <v/>
      </c>
      <c r="CN93" t="str">
        <f>""</f>
        <v/>
      </c>
      <c r="CO93" t="str">
        <f>""</f>
        <v/>
      </c>
      <c r="CP93" t="str">
        <f>""</f>
        <v/>
      </c>
      <c r="CQ93" t="str">
        <f>""</f>
        <v/>
      </c>
      <c r="CR93" t="str">
        <f>""</f>
        <v/>
      </c>
      <c r="CS93" t="str">
        <f>""</f>
        <v/>
      </c>
      <c r="CT93" t="str">
        <f>""</f>
        <v/>
      </c>
      <c r="CU93" t="str">
        <f>""</f>
        <v/>
      </c>
      <c r="CV93" t="str">
        <f>""</f>
        <v/>
      </c>
      <c r="CW93" t="str">
        <f>""</f>
        <v/>
      </c>
      <c r="CX93" t="str">
        <f>""</f>
        <v/>
      </c>
      <c r="CY93" t="str">
        <f>""</f>
        <v/>
      </c>
      <c r="CZ93" t="str">
        <f>""</f>
        <v/>
      </c>
      <c r="DA93" t="str">
        <f>""</f>
        <v/>
      </c>
      <c r="DB93" t="str">
        <f>""</f>
        <v/>
      </c>
      <c r="DC93" t="str">
        <f>""</f>
        <v/>
      </c>
      <c r="DD93" t="str">
        <f>""</f>
        <v/>
      </c>
      <c r="DE93" t="str">
        <f>""</f>
        <v/>
      </c>
      <c r="DF93" t="str">
        <f>""</f>
        <v/>
      </c>
      <c r="DG93" t="str">
        <f>""</f>
        <v/>
      </c>
      <c r="DH93" t="str">
        <f>""</f>
        <v/>
      </c>
      <c r="DI93" t="str">
        <f>""</f>
        <v/>
      </c>
      <c r="DJ93" t="str">
        <f>""</f>
        <v/>
      </c>
      <c r="DK93" t="str">
        <f>""</f>
        <v/>
      </c>
      <c r="DL93" t="str">
        <f>""</f>
        <v/>
      </c>
      <c r="DM93" t="str">
        <f>""</f>
        <v/>
      </c>
      <c r="DN93" t="str">
        <f>""</f>
        <v/>
      </c>
      <c r="DO93" t="str">
        <f>""</f>
        <v/>
      </c>
      <c r="DP93" t="str">
        <f>""</f>
        <v/>
      </c>
      <c r="DQ93" t="str">
        <f>""</f>
        <v/>
      </c>
      <c r="DR93" t="str">
        <f>""</f>
        <v/>
      </c>
      <c r="DS93" t="str">
        <f>""</f>
        <v/>
      </c>
      <c r="DT93" t="str">
        <f>""</f>
        <v/>
      </c>
      <c r="DU93" t="str">
        <f>""</f>
        <v/>
      </c>
    </row>
    <row r="94" spans="1:125" x14ac:dyDescent="0.25">
      <c r="A94" t="str">
        <f>"            Recurring Operating Margin (%)"</f>
        <v xml:space="preserve">            Recurring Operating Margin (%)</v>
      </c>
      <c r="B94" t="str">
        <f>"KER FP Equity"</f>
        <v>KER FP Equity</v>
      </c>
      <c r="E94" t="str">
        <f>"Expression"</f>
        <v>Expression</v>
      </c>
      <c r="F94" t="str">
        <f ca="1">IF(AND($B$158=1,LEN($F$93) * LEN($F$91)&gt;0),$F$93/$F$91*100,HLOOKUP(INDIRECT(ADDRESS(2,COLUMN())),OFFSET($BN$2,0,0,ROW()-1,60),ROW()-1,FALSE))</f>
        <v/>
      </c>
      <c r="G94" t="str">
        <f ca="1">IF(AND($B$158=1,LEN($G$93) * LEN($G$91)&gt;0),$G$93/$G$91*100,HLOOKUP(INDIRECT(ADDRESS(2,COLUMN())),OFFSET($BN$2,0,0,ROW()-1,60),ROW()-1,FALSE))</f>
        <v/>
      </c>
      <c r="H94" t="str">
        <f ca="1">IF(AND($B$158=1,LEN($H$93) * LEN($H$91)&gt;0),$H$93/$H$91*100,HLOOKUP(INDIRECT(ADDRESS(2,COLUMN())),OFFSET($BN$2,0,0,ROW()-1,60),ROW()-1,FALSE))</f>
        <v/>
      </c>
      <c r="I94" t="str">
        <f ca="1">IF(AND($B$158=1,LEN($I$93) * LEN($I$91)&gt;0),$I$93/$I$91*100,HLOOKUP(INDIRECT(ADDRESS(2,COLUMN())),OFFSET($BN$2,0,0,ROW()-1,60),ROW()-1,FALSE))</f>
        <v/>
      </c>
      <c r="J94" t="str">
        <f ca="1">IF(AND($B$158=1,LEN($J$93) * LEN($J$91)&gt;0),$J$93/$J$91*100,HLOOKUP(INDIRECT(ADDRESS(2,COLUMN())),OFFSET($BN$2,0,0,ROW()-1,60),ROW()-1,FALSE))</f>
        <v/>
      </c>
      <c r="K94" t="str">
        <f ca="1">IF(AND($B$158=1,LEN($K$93) * LEN($K$91)&gt;0),$K$93/$K$91*100,HLOOKUP(INDIRECT(ADDRESS(2,COLUMN())),OFFSET($BN$2,0,0,ROW()-1,60),ROW()-1,FALSE))</f>
        <v/>
      </c>
      <c r="L94" t="str">
        <f ca="1">IF(AND($B$158=1,LEN($L$93) * LEN($L$91)&gt;0),$L$93/$L$91*100,HLOOKUP(INDIRECT(ADDRESS(2,COLUMN())),OFFSET($BN$2,0,0,ROW()-1,60),ROW()-1,FALSE))</f>
        <v/>
      </c>
      <c r="M94" t="str">
        <f ca="1">IF(AND($B$158=1,LEN($M$93) * LEN($M$91)&gt;0),$M$93/$M$91*100,HLOOKUP(INDIRECT(ADDRESS(2,COLUMN())),OFFSET($BN$2,0,0,ROW()-1,60),ROW()-1,FALSE))</f>
        <v/>
      </c>
      <c r="N94" t="str">
        <f ca="1">IF(AND($B$158=1,LEN($N$93) * LEN($N$91)&gt;0),$N$93/$N$91*100,HLOOKUP(INDIRECT(ADDRESS(2,COLUMN())),OFFSET($BN$2,0,0,ROW()-1,60),ROW()-1,FALSE))</f>
        <v/>
      </c>
      <c r="O94" t="str">
        <f ca="1">IF(AND($B$158=1,LEN($O$93) * LEN($O$91)&gt;0),$O$93/$O$91*100,HLOOKUP(INDIRECT(ADDRESS(2,COLUMN())),OFFSET($BN$2,0,0,ROW()-1,60),ROW()-1,FALSE))</f>
        <v/>
      </c>
      <c r="P94" t="str">
        <f ca="1">IF(AND($B$158=1,LEN($P$93) * LEN($P$91)&gt;0),$P$93/$P$91*100,HLOOKUP(INDIRECT(ADDRESS(2,COLUMN())),OFFSET($BN$2,0,0,ROW()-1,60),ROW()-1,FALSE))</f>
        <v/>
      </c>
      <c r="Q94" t="str">
        <f ca="1">IF(AND($B$158=1,LEN($Q$93) * LEN($Q$91)&gt;0),$Q$93/$Q$91*100,HLOOKUP(INDIRECT(ADDRESS(2,COLUMN())),OFFSET($BN$2,0,0,ROW()-1,60),ROW()-1,FALSE))</f>
        <v/>
      </c>
      <c r="R94" t="str">
        <f ca="1">IF(AND($B$158=1,LEN($R$93) * LEN($R$91)&gt;0),$R$93/$R$91*100,HLOOKUP(INDIRECT(ADDRESS(2,COLUMN())),OFFSET($BN$2,0,0,ROW()-1,60),ROW()-1,FALSE))</f>
        <v/>
      </c>
      <c r="S94" t="str">
        <f ca="1">IF(AND($B$158=1,LEN($S$93) * LEN($S$91)&gt;0),$S$93/$S$91*100,HLOOKUP(INDIRECT(ADDRESS(2,COLUMN())),OFFSET($BN$2,0,0,ROW()-1,60),ROW()-1,FALSE))</f>
        <v/>
      </c>
      <c r="T94" t="str">
        <f ca="1">IF(AND($B$158=1,LEN($T$93) * LEN($T$91)&gt;0),$T$93/$T$91*100,HLOOKUP(INDIRECT(ADDRESS(2,COLUMN())),OFFSET($BN$2,0,0,ROW()-1,60),ROW()-1,FALSE))</f>
        <v/>
      </c>
      <c r="U94" t="str">
        <f ca="1">IF(AND($B$158=1,LEN($U$93) * LEN($U$91)&gt;0),$U$93/$U$91*100,HLOOKUP(INDIRECT(ADDRESS(2,COLUMN())),OFFSET($BN$2,0,0,ROW()-1,60),ROW()-1,FALSE))</f>
        <v/>
      </c>
      <c r="V94" t="str">
        <f ca="1">IF(AND($B$158=1,LEN($V$93) * LEN($V$91)&gt;0),$V$93/$V$91*100,HLOOKUP(INDIRECT(ADDRESS(2,COLUMN())),OFFSET($BN$2,0,0,ROW()-1,60),ROW()-1,FALSE))</f>
        <v/>
      </c>
      <c r="W94" t="str">
        <f ca="1">IF(AND($B$158=1,LEN($W$93) * LEN($W$91)&gt;0),$W$93/$W$91*100,HLOOKUP(INDIRECT(ADDRESS(2,COLUMN())),OFFSET($BN$2,0,0,ROW()-1,60),ROW()-1,FALSE))</f>
        <v/>
      </c>
      <c r="X94" t="str">
        <f ca="1">IF(AND($B$158=1,LEN($X$93) * LEN($X$91)&gt;0),$X$93/$X$91*100,HLOOKUP(INDIRECT(ADDRESS(2,COLUMN())),OFFSET($BN$2,0,0,ROW()-1,60),ROW()-1,FALSE))</f>
        <v/>
      </c>
      <c r="Y94" t="str">
        <f ca="1">IF(AND($B$158=1,LEN($Y$93) * LEN($Y$91)&gt;0),$Y$93/$Y$91*100,HLOOKUP(INDIRECT(ADDRESS(2,COLUMN())),OFFSET($BN$2,0,0,ROW()-1,60),ROW()-1,FALSE))</f>
        <v/>
      </c>
      <c r="Z94" t="str">
        <f ca="1">IF(AND($B$158=1,LEN($Z$93) * LEN($Z$91)&gt;0),$Z$93/$Z$91*100,HLOOKUP(INDIRECT(ADDRESS(2,COLUMN())),OFFSET($BN$2,0,0,ROW()-1,60),ROW()-1,FALSE))</f>
        <v/>
      </c>
      <c r="AA94" t="str">
        <f ca="1">IF(AND($B$158=1,LEN($AA$93) * LEN($AA$91)&gt;0),$AA$93/$AA$91*100,HLOOKUP(INDIRECT(ADDRESS(2,COLUMN())),OFFSET($BN$2,0,0,ROW()-1,60),ROW()-1,FALSE))</f>
        <v/>
      </c>
      <c r="AB94" t="str">
        <f ca="1">IF(AND($B$158=1,LEN($AB$93) * LEN($AB$91)&gt;0),$AB$93/$AB$91*100,HLOOKUP(INDIRECT(ADDRESS(2,COLUMN())),OFFSET($BN$2,0,0,ROW()-1,60),ROW()-1,FALSE))</f>
        <v/>
      </c>
      <c r="AC94" t="str">
        <f ca="1">IF(AND($B$158=1,LEN($AC$93) * LEN($AC$91)&gt;0),$AC$93/$AC$91*100,HLOOKUP(INDIRECT(ADDRESS(2,COLUMN())),OFFSET($BN$2,0,0,ROW()-1,60),ROW()-1,FALSE))</f>
        <v/>
      </c>
      <c r="AD94" t="str">
        <f ca="1">IF(AND($B$158=1,LEN($AD$93) * LEN($AD$91)&gt;0),$AD$93/$AD$91*100,HLOOKUP(INDIRECT(ADDRESS(2,COLUMN())),OFFSET($BN$2,0,0,ROW()-1,60),ROW()-1,FALSE))</f>
        <v/>
      </c>
      <c r="AE94" t="str">
        <f ca="1">IF(AND($B$158=1,LEN($AE$93) * LEN($AE$91)&gt;0),$AE$93/$AE$91*100,HLOOKUP(INDIRECT(ADDRESS(2,COLUMN())),OFFSET($BN$2,0,0,ROW()-1,60),ROW()-1,FALSE))</f>
        <v/>
      </c>
      <c r="AF94" t="str">
        <f ca="1">IF(AND($B$158=1,LEN($AF$93) * LEN($AF$91)&gt;0),$AF$93/$AF$91*100,HLOOKUP(INDIRECT(ADDRESS(2,COLUMN())),OFFSET($BN$2,0,0,ROW()-1,60),ROW()-1,FALSE))</f>
        <v/>
      </c>
      <c r="AG94" t="str">
        <f ca="1">IF(AND($B$158=1,LEN($AG$93) * LEN($AG$91)&gt;0),$AG$93/$AG$91*100,HLOOKUP(INDIRECT(ADDRESS(2,COLUMN())),OFFSET($BN$2,0,0,ROW()-1,60),ROW()-1,FALSE))</f>
        <v/>
      </c>
      <c r="AH94" t="str">
        <f ca="1">IF(AND($B$158=1,LEN($AH$93) * LEN($AH$91)&gt;0),$AH$93/$AH$91*100,HLOOKUP(INDIRECT(ADDRESS(2,COLUMN())),OFFSET($BN$2,0,0,ROW()-1,60),ROW()-1,FALSE))</f>
        <v/>
      </c>
      <c r="AI94" t="str">
        <f ca="1">IF(AND($B$158=1,LEN($AI$93) * LEN($AI$91)&gt;0),$AI$93/$AI$91*100,HLOOKUP(INDIRECT(ADDRESS(2,COLUMN())),OFFSET($BN$2,0,0,ROW()-1,60),ROW()-1,FALSE))</f>
        <v/>
      </c>
      <c r="AJ94" t="str">
        <f ca="1">IF(AND($B$158=1,LEN($AJ$93) * LEN($AJ$91)&gt;0),$AJ$93/$AJ$91*100,HLOOKUP(INDIRECT(ADDRESS(2,COLUMN())),OFFSET($BN$2,0,0,ROW()-1,60),ROW()-1,FALSE))</f>
        <v/>
      </c>
      <c r="AK94" t="str">
        <f ca="1">IF(AND($B$158=1,LEN($AK$93) * LEN($AK$91)&gt;0),$AK$93/$AK$91*100,HLOOKUP(INDIRECT(ADDRESS(2,COLUMN())),OFFSET($BN$2,0,0,ROW()-1,60),ROW()-1,FALSE))</f>
        <v/>
      </c>
      <c r="AL94" t="str">
        <f ca="1">IF(AND($B$158=1,LEN($AL$93) * LEN($AL$91)&gt;0),$AL$93/$AL$91*100,HLOOKUP(INDIRECT(ADDRESS(2,COLUMN())),OFFSET($BN$2,0,0,ROW()-1,60),ROW()-1,FALSE))</f>
        <v/>
      </c>
      <c r="AM94" t="str">
        <f ca="1">IF(AND($B$158=1,LEN($AM$93) * LEN($AM$91)&gt;0),$AM$93/$AM$91*100,HLOOKUP(INDIRECT(ADDRESS(2,COLUMN())),OFFSET($BN$2,0,0,ROW()-1,60),ROW()-1,FALSE))</f>
        <v/>
      </c>
      <c r="AN94" t="str">
        <f ca="1">IF(AND($B$158=1,LEN($AN$93) * LEN($AN$91)&gt;0),$AN$93/$AN$91*100,HLOOKUP(INDIRECT(ADDRESS(2,COLUMN())),OFFSET($BN$2,0,0,ROW()-1,60),ROW()-1,FALSE))</f>
        <v/>
      </c>
      <c r="AO94" t="str">
        <f ca="1">IF(AND($B$158=1,LEN($AO$93) * LEN($AO$91)&gt;0),$AO$93/$AO$91*100,HLOOKUP(INDIRECT(ADDRESS(2,COLUMN())),OFFSET($BN$2,0,0,ROW()-1,60),ROW()-1,FALSE))</f>
        <v/>
      </c>
      <c r="AP94" t="str">
        <f ca="1">IF(AND($B$158=1,LEN($AP$93) * LEN($AP$91)&gt;0),$AP$93/$AP$91*100,HLOOKUP(INDIRECT(ADDRESS(2,COLUMN())),OFFSET($BN$2,0,0,ROW()-1,60),ROW()-1,FALSE))</f>
        <v/>
      </c>
      <c r="AQ94" t="str">
        <f ca="1">IF(AND($B$158=1,LEN($AQ$93) * LEN($AQ$91)&gt;0),$AQ$93/$AQ$91*100,HLOOKUP(INDIRECT(ADDRESS(2,COLUMN())),OFFSET($BN$2,0,0,ROW()-1,60),ROW()-1,FALSE))</f>
        <v/>
      </c>
      <c r="AR94" t="str">
        <f ca="1">IF(AND($B$158=1,LEN($AR$93) * LEN($AR$91)&gt;0),$AR$93/$AR$91*100,HLOOKUP(INDIRECT(ADDRESS(2,COLUMN())),OFFSET($BN$2,0,0,ROW()-1,60),ROW()-1,FALSE))</f>
        <v/>
      </c>
      <c r="AS94" t="str">
        <f ca="1">IF(AND($B$158=1,LEN($AS$93) * LEN($AS$91)&gt;0),$AS$93/$AS$91*100,HLOOKUP(INDIRECT(ADDRESS(2,COLUMN())),OFFSET($BN$2,0,0,ROW()-1,60),ROW()-1,FALSE))</f>
        <v/>
      </c>
      <c r="AT94" t="str">
        <f ca="1">IF(AND($B$158=1,LEN($AT$93) * LEN($AT$91)&gt;0),$AT$93/$AT$91*100,HLOOKUP(INDIRECT(ADDRESS(2,COLUMN())),OFFSET($BN$2,0,0,ROW()-1,60),ROW()-1,FALSE))</f>
        <v/>
      </c>
      <c r="AU94" t="str">
        <f ca="1">IF(AND($B$158=1,LEN($AU$93) * LEN($AU$91)&gt;0),$AU$93/$AU$91*100,HLOOKUP(INDIRECT(ADDRESS(2,COLUMN())),OFFSET($BN$2,0,0,ROW()-1,60),ROW()-1,FALSE))</f>
        <v/>
      </c>
      <c r="AV94" t="str">
        <f ca="1">IF(AND($B$158=1,LEN($AV$93) * LEN($AV$91)&gt;0),$AV$93/$AV$91*100,HLOOKUP(INDIRECT(ADDRESS(2,COLUMN())),OFFSET($BN$2,0,0,ROW()-1,60),ROW()-1,FALSE))</f>
        <v/>
      </c>
      <c r="AW94" t="str">
        <f ca="1">IF(AND($B$158=1,LEN($AW$93) * LEN($AW$91)&gt;0),$AW$93/$AW$91*100,HLOOKUP(INDIRECT(ADDRESS(2,COLUMN())),OFFSET($BN$2,0,0,ROW()-1,60),ROW()-1,FALSE))</f>
        <v/>
      </c>
      <c r="AX94" t="str">
        <f ca="1">IF(AND($B$158=1,LEN($AX$93) * LEN($AX$91)&gt;0),$AX$93/$AX$91*100,HLOOKUP(INDIRECT(ADDRESS(2,COLUMN())),OFFSET($BN$2,0,0,ROW()-1,60),ROW()-1,FALSE))</f>
        <v/>
      </c>
      <c r="AY94" t="str">
        <f ca="1">IF(AND($B$158=1,LEN($AY$93) * LEN($AY$91)&gt;0),$AY$93/$AY$91*100,HLOOKUP(INDIRECT(ADDRESS(2,COLUMN())),OFFSET($BN$2,0,0,ROW()-1,60),ROW()-1,FALSE))</f>
        <v/>
      </c>
      <c r="AZ94" t="str">
        <f ca="1">IF(AND($B$158=1,LEN($AZ$93) * LEN($AZ$91)&gt;0),$AZ$93/$AZ$91*100,HLOOKUP(INDIRECT(ADDRESS(2,COLUMN())),OFFSET($BN$2,0,0,ROW()-1,60),ROW()-1,FALSE))</f>
        <v/>
      </c>
      <c r="BA94" t="str">
        <f ca="1">IF(AND($B$158=1,LEN($BA$93) * LEN($BA$91)&gt;0),$BA$93/$BA$91*100,HLOOKUP(INDIRECT(ADDRESS(2,COLUMN())),OFFSET($BN$2,0,0,ROW()-1,60),ROW()-1,FALSE))</f>
        <v/>
      </c>
      <c r="BB94" t="str">
        <f ca="1">IF(AND($B$158=1,LEN($BB$93) * LEN($BB$91)&gt;0),$BB$93/$BB$91*100,HLOOKUP(INDIRECT(ADDRESS(2,COLUMN())),OFFSET($BN$2,0,0,ROW()-1,60),ROW()-1,FALSE))</f>
        <v/>
      </c>
      <c r="BC94" t="str">
        <f ca="1">IF(AND($B$158=1,LEN($BC$93) * LEN($BC$91)&gt;0),$BC$93/$BC$91*100,HLOOKUP(INDIRECT(ADDRESS(2,COLUMN())),OFFSET($BN$2,0,0,ROW()-1,60),ROW()-1,FALSE))</f>
        <v/>
      </c>
      <c r="BD94" t="str">
        <f ca="1">IF(AND($B$158=1,LEN($BD$93) * LEN($BD$91)&gt;0),$BD$93/$BD$91*100,HLOOKUP(INDIRECT(ADDRESS(2,COLUMN())),OFFSET($BN$2,0,0,ROW()-1,60),ROW()-1,FALSE))</f>
        <v/>
      </c>
      <c r="BE94" t="str">
        <f ca="1">IF(AND($B$158=1,LEN($BE$93) * LEN($BE$91)&gt;0),$BE$93/$BE$91*100,HLOOKUP(INDIRECT(ADDRESS(2,COLUMN())),OFFSET($BN$2,0,0,ROW()-1,60),ROW()-1,FALSE))</f>
        <v/>
      </c>
      <c r="BF94" t="str">
        <f ca="1">IF(AND($B$158=1,LEN($BF$93) * LEN($BF$91)&gt;0),$BF$93/$BF$91*100,HLOOKUP(INDIRECT(ADDRESS(2,COLUMN())),OFFSET($BN$2,0,0,ROW()-1,60),ROW()-1,FALSE))</f>
        <v/>
      </c>
      <c r="BG94" t="str">
        <f ca="1">IF(AND($B$158=1,LEN($BG$93) * LEN($BG$91)&gt;0),$BG$93/$BG$91*100,HLOOKUP(INDIRECT(ADDRESS(2,COLUMN())),OFFSET($BN$2,0,0,ROW()-1,60),ROW()-1,FALSE))</f>
        <v/>
      </c>
      <c r="BH94" t="str">
        <f ca="1">IF(AND($B$158=1,LEN($BH$93) * LEN($BH$91)&gt;0),$BH$93/$BH$91*100,HLOOKUP(INDIRECT(ADDRESS(2,COLUMN())),OFFSET($BN$2,0,0,ROW()-1,60),ROW()-1,FALSE))</f>
        <v/>
      </c>
      <c r="BI94" t="str">
        <f ca="1">IF(AND($B$158=1,LEN($BI$93) * LEN($BI$91)&gt;0),$BI$93/$BI$91*100,HLOOKUP(INDIRECT(ADDRESS(2,COLUMN())),OFFSET($BN$2,0,0,ROW()-1,60),ROW()-1,FALSE))</f>
        <v/>
      </c>
      <c r="BJ94" t="str">
        <f ca="1">IF(AND($B$158=1,LEN($BJ$93) * LEN($BJ$91)&gt;0),$BJ$93/$BJ$91*100,HLOOKUP(INDIRECT(ADDRESS(2,COLUMN())),OFFSET($BN$2,0,0,ROW()-1,60),ROW()-1,FALSE))</f>
        <v/>
      </c>
      <c r="BK94" t="str">
        <f ca="1">IF(AND($B$158=1,LEN($BK$93) * LEN($BK$91)&gt;0),$BK$93/$BK$91*100,HLOOKUP(INDIRECT(ADDRESS(2,COLUMN())),OFFSET($BN$2,0,0,ROW()-1,60),ROW()-1,FALSE))</f>
        <v/>
      </c>
      <c r="BL94" t="str">
        <f ca="1">IF(AND($B$158=1,LEN($BL$93) * LEN($BL$91)&gt;0),$BL$93/$BL$91*100,HLOOKUP(INDIRECT(ADDRESS(2,COLUMN())),OFFSET($BN$2,0,0,ROW()-1,60),ROW()-1,FALSE))</f>
        <v/>
      </c>
      <c r="BM94" t="str">
        <f ca="1">IF(AND($B$158=1,LEN($BM$93) * LEN($BM$91)&gt;0),$BM$93/$BM$91*100,HLOOKUP(INDIRECT(ADDRESS(2,COLUMN())),OFFSET($BN$2,0,0,ROW()-1,60),ROW()-1,FALSE))</f>
        <v/>
      </c>
      <c r="BN94" t="str">
        <f>""</f>
        <v/>
      </c>
      <c r="BO94" t="str">
        <f>""</f>
        <v/>
      </c>
      <c r="BP94" t="str">
        <f>""</f>
        <v/>
      </c>
      <c r="BQ94" t="str">
        <f>""</f>
        <v/>
      </c>
      <c r="BR94" t="str">
        <f>""</f>
        <v/>
      </c>
      <c r="BS94" t="str">
        <f>""</f>
        <v/>
      </c>
      <c r="BT94" t="str">
        <f>""</f>
        <v/>
      </c>
      <c r="BU94" t="str">
        <f>""</f>
        <v/>
      </c>
      <c r="BV94" t="str">
        <f>""</f>
        <v/>
      </c>
      <c r="BW94" t="str">
        <f>""</f>
        <v/>
      </c>
      <c r="BX94" t="str">
        <f>""</f>
        <v/>
      </c>
      <c r="BY94" t="str">
        <f>""</f>
        <v/>
      </c>
      <c r="BZ94" t="str">
        <f>""</f>
        <v/>
      </c>
      <c r="CA94" t="str">
        <f>""</f>
        <v/>
      </c>
      <c r="CB94" t="str">
        <f>""</f>
        <v/>
      </c>
      <c r="CC94" t="str">
        <f>""</f>
        <v/>
      </c>
      <c r="CD94" t="str">
        <f>""</f>
        <v/>
      </c>
      <c r="CE94" t="str">
        <f>""</f>
        <v/>
      </c>
      <c r="CF94" t="str">
        <f>""</f>
        <v/>
      </c>
      <c r="CG94" t="str">
        <f>""</f>
        <v/>
      </c>
      <c r="CH94" t="str">
        <f>""</f>
        <v/>
      </c>
      <c r="CI94" t="str">
        <f>""</f>
        <v/>
      </c>
      <c r="CJ94" t="str">
        <f>""</f>
        <v/>
      </c>
      <c r="CK94" t="str">
        <f>""</f>
        <v/>
      </c>
      <c r="CL94" t="str">
        <f>""</f>
        <v/>
      </c>
      <c r="CM94" t="str">
        <f>""</f>
        <v/>
      </c>
      <c r="CN94" t="str">
        <f>""</f>
        <v/>
      </c>
      <c r="CO94" t="str">
        <f>""</f>
        <v/>
      </c>
      <c r="CP94" t="str">
        <f>""</f>
        <v/>
      </c>
      <c r="CQ94" t="str">
        <f>""</f>
        <v/>
      </c>
      <c r="CR94" t="str">
        <f>""</f>
        <v/>
      </c>
      <c r="CS94" t="str">
        <f>""</f>
        <v/>
      </c>
      <c r="CT94" t="str">
        <f>""</f>
        <v/>
      </c>
      <c r="CU94" t="str">
        <f>""</f>
        <v/>
      </c>
      <c r="CV94" t="str">
        <f>""</f>
        <v/>
      </c>
      <c r="CW94" t="str">
        <f>""</f>
        <v/>
      </c>
      <c r="CX94" t="str">
        <f>""</f>
        <v/>
      </c>
      <c r="CY94" t="str">
        <f>""</f>
        <v/>
      </c>
      <c r="CZ94" t="str">
        <f>""</f>
        <v/>
      </c>
      <c r="DA94" t="str">
        <f>""</f>
        <v/>
      </c>
      <c r="DB94" t="str">
        <f>""</f>
        <v/>
      </c>
      <c r="DC94" t="str">
        <f>""</f>
        <v/>
      </c>
      <c r="DD94" t="str">
        <f>""</f>
        <v/>
      </c>
      <c r="DE94" t="str">
        <f>""</f>
        <v/>
      </c>
      <c r="DF94" t="str">
        <f>""</f>
        <v/>
      </c>
      <c r="DG94" t="str">
        <f>""</f>
        <v/>
      </c>
      <c r="DH94" t="str">
        <f>""</f>
        <v/>
      </c>
      <c r="DI94" t="str">
        <f>""</f>
        <v/>
      </c>
      <c r="DJ94" t="str">
        <f>""</f>
        <v/>
      </c>
      <c r="DK94" t="str">
        <f>""</f>
        <v/>
      </c>
      <c r="DL94" t="str">
        <f>""</f>
        <v/>
      </c>
      <c r="DM94" t="str">
        <f>""</f>
        <v/>
      </c>
      <c r="DN94" t="str">
        <f>""</f>
        <v/>
      </c>
      <c r="DO94" t="str">
        <f>""</f>
        <v/>
      </c>
      <c r="DP94" t="str">
        <f>""</f>
        <v/>
      </c>
      <c r="DQ94" t="str">
        <f>""</f>
        <v/>
      </c>
      <c r="DR94" t="str">
        <f>""</f>
        <v/>
      </c>
      <c r="DS94" t="str">
        <f>""</f>
        <v/>
      </c>
      <c r="DT94" t="str">
        <f>""</f>
        <v/>
      </c>
      <c r="DU94" t="str">
        <f>""</f>
        <v/>
      </c>
    </row>
    <row r="95" spans="1:125" x14ac:dyDescent="0.25">
      <c r="A95" t="str">
        <f>""</f>
        <v/>
      </c>
      <c r="B95" t="str">
        <f>""</f>
        <v/>
      </c>
      <c r="E95" t="str">
        <f>"Static"</f>
        <v>Static</v>
      </c>
      <c r="F95" t="str">
        <f t="shared" ref="F95:AK95" ca="1" si="48">HLOOKUP(INDIRECT(ADDRESS(2,COLUMN())),OFFSET($BN$2,0,0,ROW()-1,60),ROW()-1,FALSE)</f>
        <v/>
      </c>
      <c r="G95" t="str">
        <f t="shared" ca="1" si="48"/>
        <v/>
      </c>
      <c r="H95" t="str">
        <f t="shared" ca="1" si="48"/>
        <v/>
      </c>
      <c r="I95" t="str">
        <f t="shared" ca="1" si="48"/>
        <v/>
      </c>
      <c r="J95" t="str">
        <f t="shared" ca="1" si="48"/>
        <v/>
      </c>
      <c r="K95" t="str">
        <f t="shared" ca="1" si="48"/>
        <v/>
      </c>
      <c r="L95" t="str">
        <f t="shared" ca="1" si="48"/>
        <v/>
      </c>
      <c r="M95" t="str">
        <f t="shared" ca="1" si="48"/>
        <v/>
      </c>
      <c r="N95" t="str">
        <f t="shared" ca="1" si="48"/>
        <v/>
      </c>
      <c r="O95" t="str">
        <f t="shared" ca="1" si="48"/>
        <v/>
      </c>
      <c r="P95" t="str">
        <f t="shared" ca="1" si="48"/>
        <v/>
      </c>
      <c r="Q95" t="str">
        <f t="shared" ca="1" si="48"/>
        <v/>
      </c>
      <c r="R95" t="str">
        <f t="shared" ca="1" si="48"/>
        <v/>
      </c>
      <c r="S95" t="str">
        <f t="shared" ca="1" si="48"/>
        <v/>
      </c>
      <c r="T95" t="str">
        <f t="shared" ca="1" si="48"/>
        <v/>
      </c>
      <c r="U95" t="str">
        <f t="shared" ca="1" si="48"/>
        <v/>
      </c>
      <c r="V95" t="str">
        <f t="shared" ca="1" si="48"/>
        <v/>
      </c>
      <c r="W95" t="str">
        <f t="shared" ca="1" si="48"/>
        <v/>
      </c>
      <c r="X95" t="str">
        <f t="shared" ca="1" si="48"/>
        <v/>
      </c>
      <c r="Y95" t="str">
        <f t="shared" ca="1" si="48"/>
        <v/>
      </c>
      <c r="Z95" t="str">
        <f t="shared" ca="1" si="48"/>
        <v/>
      </c>
      <c r="AA95" t="str">
        <f t="shared" ca="1" si="48"/>
        <v/>
      </c>
      <c r="AB95" t="str">
        <f t="shared" ca="1" si="48"/>
        <v/>
      </c>
      <c r="AC95" t="str">
        <f t="shared" ca="1" si="48"/>
        <v/>
      </c>
      <c r="AD95" t="str">
        <f t="shared" ca="1" si="48"/>
        <v/>
      </c>
      <c r="AE95" t="str">
        <f t="shared" ca="1" si="48"/>
        <v/>
      </c>
      <c r="AF95" t="str">
        <f t="shared" ca="1" si="48"/>
        <v/>
      </c>
      <c r="AG95" t="str">
        <f t="shared" ca="1" si="48"/>
        <v/>
      </c>
      <c r="AH95" t="str">
        <f t="shared" ca="1" si="48"/>
        <v/>
      </c>
      <c r="AI95" t="str">
        <f t="shared" ca="1" si="48"/>
        <v/>
      </c>
      <c r="AJ95" t="str">
        <f t="shared" ca="1" si="48"/>
        <v/>
      </c>
      <c r="AK95" t="str">
        <f t="shared" ca="1" si="48"/>
        <v/>
      </c>
      <c r="AL95" t="str">
        <f t="shared" ref="AL95:BM95" ca="1" si="49">HLOOKUP(INDIRECT(ADDRESS(2,COLUMN())),OFFSET($BN$2,0,0,ROW()-1,60),ROW()-1,FALSE)</f>
        <v/>
      </c>
      <c r="AM95" t="str">
        <f t="shared" ca="1" si="49"/>
        <v/>
      </c>
      <c r="AN95" t="str">
        <f t="shared" ca="1" si="49"/>
        <v/>
      </c>
      <c r="AO95" t="str">
        <f t="shared" ca="1" si="49"/>
        <v/>
      </c>
      <c r="AP95" t="str">
        <f t="shared" ca="1" si="49"/>
        <v/>
      </c>
      <c r="AQ95" t="str">
        <f t="shared" ca="1" si="49"/>
        <v/>
      </c>
      <c r="AR95" t="str">
        <f t="shared" ca="1" si="49"/>
        <v/>
      </c>
      <c r="AS95" t="str">
        <f t="shared" ca="1" si="49"/>
        <v/>
      </c>
      <c r="AT95" t="str">
        <f t="shared" ca="1" si="49"/>
        <v/>
      </c>
      <c r="AU95" t="str">
        <f t="shared" ca="1" si="49"/>
        <v/>
      </c>
      <c r="AV95" t="str">
        <f t="shared" ca="1" si="49"/>
        <v/>
      </c>
      <c r="AW95" t="str">
        <f t="shared" ca="1" si="49"/>
        <v/>
      </c>
      <c r="AX95" t="str">
        <f t="shared" ca="1" si="49"/>
        <v/>
      </c>
      <c r="AY95" t="str">
        <f t="shared" ca="1" si="49"/>
        <v/>
      </c>
      <c r="AZ95" t="str">
        <f t="shared" ca="1" si="49"/>
        <v/>
      </c>
      <c r="BA95" t="str">
        <f t="shared" ca="1" si="49"/>
        <v/>
      </c>
      <c r="BB95" t="str">
        <f t="shared" ca="1" si="49"/>
        <v/>
      </c>
      <c r="BC95" t="str">
        <f t="shared" ca="1" si="49"/>
        <v/>
      </c>
      <c r="BD95" t="str">
        <f t="shared" ca="1" si="49"/>
        <v/>
      </c>
      <c r="BE95" t="str">
        <f t="shared" ca="1" si="49"/>
        <v/>
      </c>
      <c r="BF95" t="str">
        <f t="shared" ca="1" si="49"/>
        <v/>
      </c>
      <c r="BG95" t="str">
        <f t="shared" ca="1" si="49"/>
        <v/>
      </c>
      <c r="BH95" t="str">
        <f t="shared" ca="1" si="49"/>
        <v/>
      </c>
      <c r="BI95" t="str">
        <f t="shared" ca="1" si="49"/>
        <v/>
      </c>
      <c r="BJ95" t="str">
        <f t="shared" ca="1" si="49"/>
        <v/>
      </c>
      <c r="BK95" t="str">
        <f t="shared" ca="1" si="49"/>
        <v/>
      </c>
      <c r="BL95" t="str">
        <f t="shared" ca="1" si="49"/>
        <v/>
      </c>
      <c r="BM95" t="str">
        <f t="shared" ca="1" si="49"/>
        <v/>
      </c>
      <c r="BN95" t="str">
        <f>""</f>
        <v/>
      </c>
      <c r="BO95" t="str">
        <f>""</f>
        <v/>
      </c>
      <c r="BP95" t="str">
        <f>""</f>
        <v/>
      </c>
      <c r="BQ95" t="str">
        <f>""</f>
        <v/>
      </c>
      <c r="BR95" t="str">
        <f>""</f>
        <v/>
      </c>
      <c r="BS95" t="str">
        <f>""</f>
        <v/>
      </c>
      <c r="BT95" t="str">
        <f>""</f>
        <v/>
      </c>
      <c r="BU95" t="str">
        <f>""</f>
        <v/>
      </c>
      <c r="BV95" t="str">
        <f>""</f>
        <v/>
      </c>
      <c r="BW95" t="str">
        <f>""</f>
        <v/>
      </c>
      <c r="BX95" t="str">
        <f>""</f>
        <v/>
      </c>
      <c r="BY95" t="str">
        <f>""</f>
        <v/>
      </c>
      <c r="BZ95" t="str">
        <f>""</f>
        <v/>
      </c>
      <c r="CA95" t="str">
        <f>""</f>
        <v/>
      </c>
      <c r="CB95" t="str">
        <f>""</f>
        <v/>
      </c>
      <c r="CC95" t="str">
        <f>""</f>
        <v/>
      </c>
      <c r="CD95" t="str">
        <f>""</f>
        <v/>
      </c>
      <c r="CE95" t="str">
        <f>""</f>
        <v/>
      </c>
      <c r="CF95" t="str">
        <f>""</f>
        <v/>
      </c>
      <c r="CG95" t="str">
        <f>""</f>
        <v/>
      </c>
      <c r="CH95" t="str">
        <f>""</f>
        <v/>
      </c>
      <c r="CI95" t="str">
        <f>""</f>
        <v/>
      </c>
      <c r="CJ95" t="str">
        <f>""</f>
        <v/>
      </c>
      <c r="CK95" t="str">
        <f>""</f>
        <v/>
      </c>
      <c r="CL95" t="str">
        <f>""</f>
        <v/>
      </c>
      <c r="CM95" t="str">
        <f>""</f>
        <v/>
      </c>
      <c r="CN95" t="str">
        <f>""</f>
        <v/>
      </c>
      <c r="CO95" t="str">
        <f>""</f>
        <v/>
      </c>
      <c r="CP95" t="str">
        <f>""</f>
        <v/>
      </c>
      <c r="CQ95" t="str">
        <f>""</f>
        <v/>
      </c>
      <c r="CR95" t="str">
        <f>""</f>
        <v/>
      </c>
      <c r="CS95" t="str">
        <f>""</f>
        <v/>
      </c>
      <c r="CT95" t="str">
        <f>""</f>
        <v/>
      </c>
      <c r="CU95" t="str">
        <f>""</f>
        <v/>
      </c>
      <c r="CV95" t="str">
        <f>""</f>
        <v/>
      </c>
      <c r="CW95" t="str">
        <f>""</f>
        <v/>
      </c>
      <c r="CX95" t="str">
        <f>""</f>
        <v/>
      </c>
      <c r="CY95" t="str">
        <f>""</f>
        <v/>
      </c>
      <c r="CZ95" t="str">
        <f>""</f>
        <v/>
      </c>
      <c r="DA95" t="str">
        <f>""</f>
        <v/>
      </c>
      <c r="DB95" t="str">
        <f>""</f>
        <v/>
      </c>
      <c r="DC95" t="str">
        <f>""</f>
        <v/>
      </c>
      <c r="DD95" t="str">
        <f>""</f>
        <v/>
      </c>
      <c r="DE95" t="str">
        <f>""</f>
        <v/>
      </c>
      <c r="DF95" t="str">
        <f>""</f>
        <v/>
      </c>
      <c r="DG95" t="str">
        <f>""</f>
        <v/>
      </c>
      <c r="DH95" t="str">
        <f>""</f>
        <v/>
      </c>
      <c r="DI95" t="str">
        <f>""</f>
        <v/>
      </c>
      <c r="DJ95" t="str">
        <f>""</f>
        <v/>
      </c>
      <c r="DK95" t="str">
        <f>""</f>
        <v/>
      </c>
      <c r="DL95" t="str">
        <f>""</f>
        <v/>
      </c>
      <c r="DM95" t="str">
        <f>""</f>
        <v/>
      </c>
      <c r="DN95" t="str">
        <f>""</f>
        <v/>
      </c>
      <c r="DO95" t="str">
        <f>""</f>
        <v/>
      </c>
      <c r="DP95" t="str">
        <f>""</f>
        <v/>
      </c>
      <c r="DQ95" t="str">
        <f>""</f>
        <v/>
      </c>
      <c r="DR95" t="str">
        <f>""</f>
        <v/>
      </c>
      <c r="DS95" t="str">
        <f>""</f>
        <v/>
      </c>
      <c r="DT95" t="str">
        <f>""</f>
        <v/>
      </c>
      <c r="DU95" t="str">
        <f>""</f>
        <v/>
      </c>
    </row>
    <row r="96" spans="1:125" x14ac:dyDescent="0.25">
      <c r="A96" t="str">
        <f>"Brand Breakdown"</f>
        <v>Brand Breakdown</v>
      </c>
      <c r="B96" t="str">
        <f>""</f>
        <v/>
      </c>
      <c r="E96" t="str">
        <f>"Heading"</f>
        <v>Heading</v>
      </c>
      <c r="BN96" t="str">
        <f>""</f>
        <v/>
      </c>
      <c r="BO96" t="str">
        <f>""</f>
        <v/>
      </c>
      <c r="BP96" t="str">
        <f>""</f>
        <v/>
      </c>
      <c r="BQ96" t="str">
        <f>""</f>
        <v/>
      </c>
      <c r="BR96" t="str">
        <f>""</f>
        <v/>
      </c>
      <c r="BS96" t="str">
        <f>""</f>
        <v/>
      </c>
      <c r="BT96" t="str">
        <f>""</f>
        <v/>
      </c>
      <c r="BU96" t="str">
        <f>""</f>
        <v/>
      </c>
      <c r="BV96" t="str">
        <f>""</f>
        <v/>
      </c>
      <c r="BW96" t="str">
        <f>""</f>
        <v/>
      </c>
      <c r="BX96" t="str">
        <f>""</f>
        <v/>
      </c>
      <c r="BY96" t="str">
        <f>""</f>
        <v/>
      </c>
      <c r="BZ96" t="str">
        <f>""</f>
        <v/>
      </c>
      <c r="CA96" t="str">
        <f>""</f>
        <v/>
      </c>
      <c r="CB96" t="str">
        <f>""</f>
        <v/>
      </c>
      <c r="CC96" t="str">
        <f>""</f>
        <v/>
      </c>
      <c r="CD96" t="str">
        <f>""</f>
        <v/>
      </c>
      <c r="CE96" t="str">
        <f>""</f>
        <v/>
      </c>
      <c r="CF96" t="str">
        <f>""</f>
        <v/>
      </c>
      <c r="CG96" t="str">
        <f>""</f>
        <v/>
      </c>
      <c r="CH96" t="str">
        <f>""</f>
        <v/>
      </c>
      <c r="CI96" t="str">
        <f>""</f>
        <v/>
      </c>
      <c r="CJ96" t="str">
        <f>""</f>
        <v/>
      </c>
      <c r="CK96" t="str">
        <f>""</f>
        <v/>
      </c>
      <c r="CL96" t="str">
        <f>""</f>
        <v/>
      </c>
      <c r="CM96" t="str">
        <f>""</f>
        <v/>
      </c>
      <c r="CN96" t="str">
        <f>""</f>
        <v/>
      </c>
      <c r="CO96" t="str">
        <f>""</f>
        <v/>
      </c>
      <c r="CP96" t="str">
        <f>""</f>
        <v/>
      </c>
      <c r="CQ96" t="str">
        <f>""</f>
        <v/>
      </c>
      <c r="CR96" t="str">
        <f>""</f>
        <v/>
      </c>
      <c r="CS96" t="str">
        <f>""</f>
        <v/>
      </c>
      <c r="CT96" t="str">
        <f>""</f>
        <v/>
      </c>
      <c r="CU96" t="str">
        <f>""</f>
        <v/>
      </c>
      <c r="CV96" t="str">
        <f>""</f>
        <v/>
      </c>
      <c r="CW96" t="str">
        <f>""</f>
        <v/>
      </c>
      <c r="CX96" t="str">
        <f>""</f>
        <v/>
      </c>
      <c r="CY96" t="str">
        <f>""</f>
        <v/>
      </c>
      <c r="CZ96" t="str">
        <f>""</f>
        <v/>
      </c>
      <c r="DA96" t="str">
        <f>""</f>
        <v/>
      </c>
      <c r="DB96" t="str">
        <f>""</f>
        <v/>
      </c>
      <c r="DC96" t="str">
        <f>""</f>
        <v/>
      </c>
      <c r="DD96" t="str">
        <f>""</f>
        <v/>
      </c>
      <c r="DE96" t="str">
        <f>""</f>
        <v/>
      </c>
      <c r="DF96" t="str">
        <f>""</f>
        <v/>
      </c>
      <c r="DG96" t="str">
        <f>""</f>
        <v/>
      </c>
      <c r="DH96" t="str">
        <f>""</f>
        <v/>
      </c>
      <c r="DI96" t="str">
        <f>""</f>
        <v/>
      </c>
      <c r="DJ96" t="str">
        <f>""</f>
        <v/>
      </c>
      <c r="DK96" t="str">
        <f>""</f>
        <v/>
      </c>
      <c r="DL96" t="str">
        <f>""</f>
        <v/>
      </c>
      <c r="DM96" t="str">
        <f>""</f>
        <v/>
      </c>
      <c r="DN96" t="str">
        <f>""</f>
        <v/>
      </c>
      <c r="DO96" t="str">
        <f>""</f>
        <v/>
      </c>
      <c r="DP96" t="str">
        <f>""</f>
        <v/>
      </c>
      <c r="DQ96" t="str">
        <f>""</f>
        <v/>
      </c>
      <c r="DR96" t="str">
        <f>""</f>
        <v/>
      </c>
      <c r="DS96" t="str">
        <f>""</f>
        <v/>
      </c>
      <c r="DT96" t="str">
        <f>""</f>
        <v/>
      </c>
      <c r="DU96" t="str">
        <f>""</f>
        <v/>
      </c>
    </row>
    <row r="97" spans="1:125" x14ac:dyDescent="0.25">
      <c r="A97" t="str">
        <f>"    "</f>
        <v xml:space="preserve">    </v>
      </c>
      <c r="B97" t="str">
        <f>""</f>
        <v/>
      </c>
      <c r="E97" t="str">
        <f>"Static"</f>
        <v>Static</v>
      </c>
      <c r="F97" t="str">
        <f t="shared" ref="F97:O98" ca="1" si="50">HLOOKUP(INDIRECT(ADDRESS(2,COLUMN())),OFFSET($BN$2,0,0,ROW()-1,60),ROW()-1,FALSE)</f>
        <v/>
      </c>
      <c r="G97" t="str">
        <f t="shared" ca="1" si="50"/>
        <v/>
      </c>
      <c r="H97" t="str">
        <f t="shared" ca="1" si="50"/>
        <v/>
      </c>
      <c r="I97" t="str">
        <f t="shared" ca="1" si="50"/>
        <v/>
      </c>
      <c r="J97" t="str">
        <f t="shared" ca="1" si="50"/>
        <v/>
      </c>
      <c r="K97" t="str">
        <f t="shared" ca="1" si="50"/>
        <v/>
      </c>
      <c r="L97" t="str">
        <f t="shared" ca="1" si="50"/>
        <v/>
      </c>
      <c r="M97" t="str">
        <f t="shared" ca="1" si="50"/>
        <v/>
      </c>
      <c r="N97" t="str">
        <f t="shared" ca="1" si="50"/>
        <v/>
      </c>
      <c r="O97" t="str">
        <f t="shared" ca="1" si="50"/>
        <v/>
      </c>
      <c r="P97" t="str">
        <f t="shared" ref="P97:Y98" ca="1" si="51">HLOOKUP(INDIRECT(ADDRESS(2,COLUMN())),OFFSET($BN$2,0,0,ROW()-1,60),ROW()-1,FALSE)</f>
        <v/>
      </c>
      <c r="Q97" t="str">
        <f t="shared" ca="1" si="51"/>
        <v/>
      </c>
      <c r="R97" t="str">
        <f t="shared" ca="1" si="51"/>
        <v/>
      </c>
      <c r="S97" t="str">
        <f t="shared" ca="1" si="51"/>
        <v/>
      </c>
      <c r="T97" t="str">
        <f t="shared" ca="1" si="51"/>
        <v/>
      </c>
      <c r="U97" t="str">
        <f t="shared" ca="1" si="51"/>
        <v/>
      </c>
      <c r="V97" t="str">
        <f t="shared" ca="1" si="51"/>
        <v/>
      </c>
      <c r="W97" t="str">
        <f t="shared" ca="1" si="51"/>
        <v/>
      </c>
      <c r="X97" t="str">
        <f t="shared" ca="1" si="51"/>
        <v/>
      </c>
      <c r="Y97" t="str">
        <f t="shared" ca="1" si="51"/>
        <v/>
      </c>
      <c r="Z97" t="str">
        <f t="shared" ref="Z97:AI98" ca="1" si="52">HLOOKUP(INDIRECT(ADDRESS(2,COLUMN())),OFFSET($BN$2,0,0,ROW()-1,60),ROW()-1,FALSE)</f>
        <v/>
      </c>
      <c r="AA97" t="str">
        <f t="shared" ca="1" si="52"/>
        <v/>
      </c>
      <c r="AB97" t="str">
        <f t="shared" ca="1" si="52"/>
        <v/>
      </c>
      <c r="AC97" t="str">
        <f t="shared" ca="1" si="52"/>
        <v/>
      </c>
      <c r="AD97" t="str">
        <f t="shared" ca="1" si="52"/>
        <v/>
      </c>
      <c r="AE97" t="str">
        <f t="shared" ca="1" si="52"/>
        <v/>
      </c>
      <c r="AF97" t="str">
        <f t="shared" ca="1" si="52"/>
        <v/>
      </c>
      <c r="AG97" t="str">
        <f t="shared" ca="1" si="52"/>
        <v/>
      </c>
      <c r="AH97" t="str">
        <f t="shared" ca="1" si="52"/>
        <v/>
      </c>
      <c r="AI97" t="str">
        <f t="shared" ca="1" si="52"/>
        <v/>
      </c>
      <c r="AJ97" t="str">
        <f t="shared" ref="AJ97:AS98" ca="1" si="53">HLOOKUP(INDIRECT(ADDRESS(2,COLUMN())),OFFSET($BN$2,0,0,ROW()-1,60),ROW()-1,FALSE)</f>
        <v/>
      </c>
      <c r="AK97" t="str">
        <f t="shared" ca="1" si="53"/>
        <v/>
      </c>
      <c r="AL97" t="str">
        <f t="shared" ca="1" si="53"/>
        <v/>
      </c>
      <c r="AM97" t="str">
        <f t="shared" ca="1" si="53"/>
        <v/>
      </c>
      <c r="AN97" t="str">
        <f t="shared" ca="1" si="53"/>
        <v/>
      </c>
      <c r="AO97" t="str">
        <f t="shared" ca="1" si="53"/>
        <v/>
      </c>
      <c r="AP97" t="str">
        <f t="shared" ca="1" si="53"/>
        <v/>
      </c>
      <c r="AQ97" t="str">
        <f t="shared" ca="1" si="53"/>
        <v/>
      </c>
      <c r="AR97" t="str">
        <f t="shared" ca="1" si="53"/>
        <v/>
      </c>
      <c r="AS97" t="str">
        <f t="shared" ca="1" si="53"/>
        <v/>
      </c>
      <c r="AT97" t="str">
        <f t="shared" ref="AT97:BC98" ca="1" si="54">HLOOKUP(INDIRECT(ADDRESS(2,COLUMN())),OFFSET($BN$2,0,0,ROW()-1,60),ROW()-1,FALSE)</f>
        <v/>
      </c>
      <c r="AU97" t="str">
        <f t="shared" ca="1" si="54"/>
        <v/>
      </c>
      <c r="AV97" t="str">
        <f t="shared" ca="1" si="54"/>
        <v/>
      </c>
      <c r="AW97" t="str">
        <f t="shared" ca="1" si="54"/>
        <v/>
      </c>
      <c r="AX97" t="str">
        <f t="shared" ca="1" si="54"/>
        <v/>
      </c>
      <c r="AY97" t="str">
        <f t="shared" ca="1" si="54"/>
        <v/>
      </c>
      <c r="AZ97" t="str">
        <f t="shared" ca="1" si="54"/>
        <v/>
      </c>
      <c r="BA97" t="str">
        <f t="shared" ca="1" si="54"/>
        <v/>
      </c>
      <c r="BB97" t="str">
        <f t="shared" ca="1" si="54"/>
        <v/>
      </c>
      <c r="BC97" t="str">
        <f t="shared" ca="1" si="54"/>
        <v/>
      </c>
      <c r="BD97" t="str">
        <f t="shared" ref="BD97:BM98" ca="1" si="55">HLOOKUP(INDIRECT(ADDRESS(2,COLUMN())),OFFSET($BN$2,0,0,ROW()-1,60),ROW()-1,FALSE)</f>
        <v/>
      </c>
      <c r="BE97" t="str">
        <f t="shared" ca="1" si="55"/>
        <v/>
      </c>
      <c r="BF97" t="str">
        <f t="shared" ca="1" si="55"/>
        <v/>
      </c>
      <c r="BG97" t="str">
        <f t="shared" ca="1" si="55"/>
        <v/>
      </c>
      <c r="BH97" t="str">
        <f t="shared" ca="1" si="55"/>
        <v/>
      </c>
      <c r="BI97" t="str">
        <f t="shared" ca="1" si="55"/>
        <v/>
      </c>
      <c r="BJ97" t="str">
        <f t="shared" ca="1" si="55"/>
        <v/>
      </c>
      <c r="BK97" t="str">
        <f t="shared" ca="1" si="55"/>
        <v/>
      </c>
      <c r="BL97" t="str">
        <f t="shared" ca="1" si="55"/>
        <v/>
      </c>
      <c r="BM97" t="str">
        <f t="shared" ca="1" si="55"/>
        <v/>
      </c>
      <c r="BN97" t="str">
        <f>""</f>
        <v/>
      </c>
      <c r="BO97" t="str">
        <f>""</f>
        <v/>
      </c>
      <c r="BP97" t="str">
        <f>""</f>
        <v/>
      </c>
      <c r="BQ97" t="str">
        <f>""</f>
        <v/>
      </c>
      <c r="BR97" t="str">
        <f>""</f>
        <v/>
      </c>
      <c r="BS97" t="str">
        <f>""</f>
        <v/>
      </c>
      <c r="BT97" t="str">
        <f>""</f>
        <v/>
      </c>
      <c r="BU97" t="str">
        <f>""</f>
        <v/>
      </c>
      <c r="BV97" t="str">
        <f>""</f>
        <v/>
      </c>
      <c r="BW97" t="str">
        <f>""</f>
        <v/>
      </c>
      <c r="BX97" t="str">
        <f>""</f>
        <v/>
      </c>
      <c r="BY97" t="str">
        <f>""</f>
        <v/>
      </c>
      <c r="BZ97" t="str">
        <f>""</f>
        <v/>
      </c>
      <c r="CA97" t="str">
        <f>""</f>
        <v/>
      </c>
      <c r="CB97" t="str">
        <f>""</f>
        <v/>
      </c>
      <c r="CC97" t="str">
        <f>""</f>
        <v/>
      </c>
      <c r="CD97" t="str">
        <f>""</f>
        <v/>
      </c>
      <c r="CE97" t="str">
        <f>""</f>
        <v/>
      </c>
      <c r="CF97" t="str">
        <f>""</f>
        <v/>
      </c>
      <c r="CG97" t="str">
        <f>""</f>
        <v/>
      </c>
      <c r="CH97" t="str">
        <f>""</f>
        <v/>
      </c>
      <c r="CI97" t="str">
        <f>""</f>
        <v/>
      </c>
      <c r="CJ97" t="str">
        <f>""</f>
        <v/>
      </c>
      <c r="CK97" t="str">
        <f>""</f>
        <v/>
      </c>
      <c r="CL97" t="str">
        <f>""</f>
        <v/>
      </c>
      <c r="CM97" t="str">
        <f>""</f>
        <v/>
      </c>
      <c r="CN97" t="str">
        <f>""</f>
        <v/>
      </c>
      <c r="CO97" t="str">
        <f>""</f>
        <v/>
      </c>
      <c r="CP97" t="str">
        <f>""</f>
        <v/>
      </c>
      <c r="CQ97" t="str">
        <f>""</f>
        <v/>
      </c>
      <c r="CR97" t="str">
        <f>""</f>
        <v/>
      </c>
      <c r="CS97" t="str">
        <f>""</f>
        <v/>
      </c>
      <c r="CT97" t="str">
        <f>""</f>
        <v/>
      </c>
      <c r="CU97" t="str">
        <f>""</f>
        <v/>
      </c>
      <c r="CV97" t="str">
        <f>""</f>
        <v/>
      </c>
      <c r="CW97" t="str">
        <f>""</f>
        <v/>
      </c>
      <c r="CX97" t="str">
        <f>""</f>
        <v/>
      </c>
      <c r="CY97" t="str">
        <f>""</f>
        <v/>
      </c>
      <c r="CZ97" t="str">
        <f>""</f>
        <v/>
      </c>
      <c r="DA97" t="str">
        <f>""</f>
        <v/>
      </c>
      <c r="DB97" t="str">
        <f>""</f>
        <v/>
      </c>
      <c r="DC97" t="str">
        <f>""</f>
        <v/>
      </c>
      <c r="DD97" t="str">
        <f>""</f>
        <v/>
      </c>
      <c r="DE97" t="str">
        <f>""</f>
        <v/>
      </c>
      <c r="DF97" t="str">
        <f>""</f>
        <v/>
      </c>
      <c r="DG97" t="str">
        <f>""</f>
        <v/>
      </c>
      <c r="DH97" t="str">
        <f>""</f>
        <v/>
      </c>
      <c r="DI97" t="str">
        <f>""</f>
        <v/>
      </c>
      <c r="DJ97" t="str">
        <f>""</f>
        <v/>
      </c>
      <c r="DK97" t="str">
        <f>""</f>
        <v/>
      </c>
      <c r="DL97" t="str">
        <f>""</f>
        <v/>
      </c>
      <c r="DM97" t="str">
        <f>""</f>
        <v/>
      </c>
      <c r="DN97" t="str">
        <f>""</f>
        <v/>
      </c>
      <c r="DO97" t="str">
        <f>""</f>
        <v/>
      </c>
      <c r="DP97" t="str">
        <f>""</f>
        <v/>
      </c>
      <c r="DQ97" t="str">
        <f>""</f>
        <v/>
      </c>
      <c r="DR97" t="str">
        <f>""</f>
        <v/>
      </c>
      <c r="DS97" t="str">
        <f>""</f>
        <v/>
      </c>
      <c r="DT97" t="str">
        <f>""</f>
        <v/>
      </c>
      <c r="DU97" t="str">
        <f>""</f>
        <v/>
      </c>
    </row>
    <row r="98" spans="1:125" x14ac:dyDescent="0.25">
      <c r="A98" t="str">
        <f>"    Gucci"</f>
        <v xml:space="preserve">    Gucci</v>
      </c>
      <c r="B98" t="str">
        <f>""</f>
        <v/>
      </c>
      <c r="E98" t="str">
        <f>"Static"</f>
        <v>Static</v>
      </c>
      <c r="F98" t="str">
        <f t="shared" ca="1" si="50"/>
        <v/>
      </c>
      <c r="G98" t="str">
        <f t="shared" ca="1" si="50"/>
        <v/>
      </c>
      <c r="H98" t="str">
        <f t="shared" ca="1" si="50"/>
        <v/>
      </c>
      <c r="I98" t="str">
        <f t="shared" ca="1" si="50"/>
        <v/>
      </c>
      <c r="J98" t="str">
        <f t="shared" ca="1" si="50"/>
        <v/>
      </c>
      <c r="K98" t="str">
        <f t="shared" ca="1" si="50"/>
        <v/>
      </c>
      <c r="L98" t="str">
        <f t="shared" ca="1" si="50"/>
        <v/>
      </c>
      <c r="M98" t="str">
        <f t="shared" ca="1" si="50"/>
        <v/>
      </c>
      <c r="N98" t="str">
        <f t="shared" ca="1" si="50"/>
        <v/>
      </c>
      <c r="O98" t="str">
        <f t="shared" ca="1" si="50"/>
        <v/>
      </c>
      <c r="P98" t="str">
        <f t="shared" ca="1" si="51"/>
        <v/>
      </c>
      <c r="Q98" t="str">
        <f t="shared" ca="1" si="51"/>
        <v/>
      </c>
      <c r="R98" t="str">
        <f t="shared" ca="1" si="51"/>
        <v/>
      </c>
      <c r="S98" t="str">
        <f t="shared" ca="1" si="51"/>
        <v/>
      </c>
      <c r="T98" t="str">
        <f t="shared" ca="1" si="51"/>
        <v/>
      </c>
      <c r="U98" t="str">
        <f t="shared" ca="1" si="51"/>
        <v/>
      </c>
      <c r="V98" t="str">
        <f t="shared" ca="1" si="51"/>
        <v/>
      </c>
      <c r="W98" t="str">
        <f t="shared" ca="1" si="51"/>
        <v/>
      </c>
      <c r="X98" t="str">
        <f t="shared" ca="1" si="51"/>
        <v/>
      </c>
      <c r="Y98" t="str">
        <f t="shared" ca="1" si="51"/>
        <v/>
      </c>
      <c r="Z98" t="str">
        <f t="shared" ca="1" si="52"/>
        <v/>
      </c>
      <c r="AA98" t="str">
        <f t="shared" ca="1" si="52"/>
        <v/>
      </c>
      <c r="AB98" t="str">
        <f t="shared" ca="1" si="52"/>
        <v/>
      </c>
      <c r="AC98" t="str">
        <f t="shared" ca="1" si="52"/>
        <v/>
      </c>
      <c r="AD98" t="str">
        <f t="shared" ca="1" si="52"/>
        <v/>
      </c>
      <c r="AE98" t="str">
        <f t="shared" ca="1" si="52"/>
        <v/>
      </c>
      <c r="AF98" t="str">
        <f t="shared" ca="1" si="52"/>
        <v/>
      </c>
      <c r="AG98" t="str">
        <f t="shared" ca="1" si="52"/>
        <v/>
      </c>
      <c r="AH98" t="str">
        <f t="shared" ca="1" si="52"/>
        <v/>
      </c>
      <c r="AI98" t="str">
        <f t="shared" ca="1" si="52"/>
        <v/>
      </c>
      <c r="AJ98" t="str">
        <f t="shared" ca="1" si="53"/>
        <v/>
      </c>
      <c r="AK98" t="str">
        <f t="shared" ca="1" si="53"/>
        <v/>
      </c>
      <c r="AL98" t="str">
        <f t="shared" ca="1" si="53"/>
        <v/>
      </c>
      <c r="AM98" t="str">
        <f t="shared" ca="1" si="53"/>
        <v/>
      </c>
      <c r="AN98" t="str">
        <f t="shared" ca="1" si="53"/>
        <v/>
      </c>
      <c r="AO98" t="str">
        <f t="shared" ca="1" si="53"/>
        <v/>
      </c>
      <c r="AP98" t="str">
        <f t="shared" ca="1" si="53"/>
        <v/>
      </c>
      <c r="AQ98" t="str">
        <f t="shared" ca="1" si="53"/>
        <v/>
      </c>
      <c r="AR98" t="str">
        <f t="shared" ca="1" si="53"/>
        <v/>
      </c>
      <c r="AS98" t="str">
        <f t="shared" ca="1" si="53"/>
        <v/>
      </c>
      <c r="AT98" t="str">
        <f t="shared" ca="1" si="54"/>
        <v/>
      </c>
      <c r="AU98" t="str">
        <f t="shared" ca="1" si="54"/>
        <v/>
      </c>
      <c r="AV98" t="str">
        <f t="shared" ca="1" si="54"/>
        <v/>
      </c>
      <c r="AW98" t="str">
        <f t="shared" ca="1" si="54"/>
        <v/>
      </c>
      <c r="AX98" t="str">
        <f t="shared" ca="1" si="54"/>
        <v/>
      </c>
      <c r="AY98" t="str">
        <f t="shared" ca="1" si="54"/>
        <v/>
      </c>
      <c r="AZ98" t="str">
        <f t="shared" ca="1" si="54"/>
        <v/>
      </c>
      <c r="BA98" t="str">
        <f t="shared" ca="1" si="54"/>
        <v/>
      </c>
      <c r="BB98" t="str">
        <f t="shared" ca="1" si="54"/>
        <v/>
      </c>
      <c r="BC98" t="str">
        <f t="shared" ca="1" si="54"/>
        <v/>
      </c>
      <c r="BD98" t="str">
        <f t="shared" ca="1" si="55"/>
        <v/>
      </c>
      <c r="BE98" t="str">
        <f t="shared" ca="1" si="55"/>
        <v/>
      </c>
      <c r="BF98" t="str">
        <f t="shared" ca="1" si="55"/>
        <v/>
      </c>
      <c r="BG98" t="str">
        <f t="shared" ca="1" si="55"/>
        <v/>
      </c>
      <c r="BH98" t="str">
        <f t="shared" ca="1" si="55"/>
        <v/>
      </c>
      <c r="BI98" t="str">
        <f t="shared" ca="1" si="55"/>
        <v/>
      </c>
      <c r="BJ98" t="str">
        <f t="shared" ca="1" si="55"/>
        <v/>
      </c>
      <c r="BK98" t="str">
        <f t="shared" ca="1" si="55"/>
        <v/>
      </c>
      <c r="BL98" t="str">
        <f t="shared" ca="1" si="55"/>
        <v/>
      </c>
      <c r="BM98" t="str">
        <f t="shared" ca="1" si="55"/>
        <v/>
      </c>
      <c r="BN98" t="str">
        <f>""</f>
        <v/>
      </c>
      <c r="BO98" t="str">
        <f>""</f>
        <v/>
      </c>
      <c r="BP98" t="str">
        <f>""</f>
        <v/>
      </c>
      <c r="BQ98" t="str">
        <f>""</f>
        <v/>
      </c>
      <c r="BR98" t="str">
        <f>""</f>
        <v/>
      </c>
      <c r="BS98" t="str">
        <f>""</f>
        <v/>
      </c>
      <c r="BT98" t="str">
        <f>""</f>
        <v/>
      </c>
      <c r="BU98" t="str">
        <f>""</f>
        <v/>
      </c>
      <c r="BV98" t="str">
        <f>""</f>
        <v/>
      </c>
      <c r="BW98" t="str">
        <f>""</f>
        <v/>
      </c>
      <c r="BX98" t="str">
        <f>""</f>
        <v/>
      </c>
      <c r="BY98" t="str">
        <f>""</f>
        <v/>
      </c>
      <c r="BZ98" t="str">
        <f>""</f>
        <v/>
      </c>
      <c r="CA98" t="str">
        <f>""</f>
        <v/>
      </c>
      <c r="CB98" t="str">
        <f>""</f>
        <v/>
      </c>
      <c r="CC98" t="str">
        <f>""</f>
        <v/>
      </c>
      <c r="CD98" t="str">
        <f>""</f>
        <v/>
      </c>
      <c r="CE98" t="str">
        <f>""</f>
        <v/>
      </c>
      <c r="CF98" t="str">
        <f>""</f>
        <v/>
      </c>
      <c r="CG98" t="str">
        <f>""</f>
        <v/>
      </c>
      <c r="CH98" t="str">
        <f>""</f>
        <v/>
      </c>
      <c r="CI98" t="str">
        <f>""</f>
        <v/>
      </c>
      <c r="CJ98" t="str">
        <f>""</f>
        <v/>
      </c>
      <c r="CK98" t="str">
        <f>""</f>
        <v/>
      </c>
      <c r="CL98" t="str">
        <f>""</f>
        <v/>
      </c>
      <c r="CM98" t="str">
        <f>""</f>
        <v/>
      </c>
      <c r="CN98" t="str">
        <f>""</f>
        <v/>
      </c>
      <c r="CO98" t="str">
        <f>""</f>
        <v/>
      </c>
      <c r="CP98" t="str">
        <f>""</f>
        <v/>
      </c>
      <c r="CQ98" t="str">
        <f>""</f>
        <v/>
      </c>
      <c r="CR98" t="str">
        <f>""</f>
        <v/>
      </c>
      <c r="CS98" t="str">
        <f>""</f>
        <v/>
      </c>
      <c r="CT98" t="str">
        <f>""</f>
        <v/>
      </c>
      <c r="CU98" t="str">
        <f>""</f>
        <v/>
      </c>
      <c r="CV98" t="str">
        <f>""</f>
        <v/>
      </c>
      <c r="CW98" t="str">
        <f>""</f>
        <v/>
      </c>
      <c r="CX98" t="str">
        <f>""</f>
        <v/>
      </c>
      <c r="CY98" t="str">
        <f>""</f>
        <v/>
      </c>
      <c r="CZ98" t="str">
        <f>""</f>
        <v/>
      </c>
      <c r="DA98" t="str">
        <f>""</f>
        <v/>
      </c>
      <c r="DB98" t="str">
        <f>""</f>
        <v/>
      </c>
      <c r="DC98" t="str">
        <f>""</f>
        <v/>
      </c>
      <c r="DD98" t="str">
        <f>""</f>
        <v/>
      </c>
      <c r="DE98" t="str">
        <f>""</f>
        <v/>
      </c>
      <c r="DF98" t="str">
        <f>""</f>
        <v/>
      </c>
      <c r="DG98" t="str">
        <f>""</f>
        <v/>
      </c>
      <c r="DH98" t="str">
        <f>""</f>
        <v/>
      </c>
      <c r="DI98" t="str">
        <f>""</f>
        <v/>
      </c>
      <c r="DJ98" t="str">
        <f>""</f>
        <v/>
      </c>
      <c r="DK98" t="str">
        <f>""</f>
        <v/>
      </c>
      <c r="DL98" t="str">
        <f>""</f>
        <v/>
      </c>
      <c r="DM98" t="str">
        <f>""</f>
        <v/>
      </c>
      <c r="DN98" t="str">
        <f>""</f>
        <v/>
      </c>
      <c r="DO98" t="str">
        <f>""</f>
        <v/>
      </c>
      <c r="DP98" t="str">
        <f>""</f>
        <v/>
      </c>
      <c r="DQ98" t="str">
        <f>""</f>
        <v/>
      </c>
      <c r="DR98" t="str">
        <f>""</f>
        <v/>
      </c>
      <c r="DS98" t="str">
        <f>""</f>
        <v/>
      </c>
      <c r="DT98" t="str">
        <f>""</f>
        <v/>
      </c>
      <c r="DU98" t="str">
        <f>""</f>
        <v/>
      </c>
    </row>
    <row r="99" spans="1:125" x14ac:dyDescent="0.25">
      <c r="A99" t="str">
        <f>"        Revenue"</f>
        <v xml:space="preserve">        Revenue</v>
      </c>
      <c r="B99" t="str">
        <f>"KER FP Equity"</f>
        <v>KER FP Equity</v>
      </c>
      <c r="C99" t="str">
        <f>"BI047"</f>
        <v>BI047</v>
      </c>
      <c r="D99" t="str">
        <f>"BICS_SEGMENT_DATA"</f>
        <v>BICS_SEGMENT_DATA</v>
      </c>
      <c r="E99" t="str">
        <f>"Dynamic"</f>
        <v>Dynamic</v>
      </c>
      <c r="F99" t="str">
        <f ca="1">IF(AND(ISNUMBER($F$237),$B$158=1),$F$237,HLOOKUP(INDIRECT(ADDRESS(2,COLUMN())),OFFSET($BN$2,0,0,ROW()-1,60),ROW()-1,FALSE))</f>
        <v/>
      </c>
      <c r="G99">
        <f ca="1">IF(AND(ISNUMBER($G$237),$B$158=1),$G$237,HLOOKUP(INDIRECT(ADDRESS(2,COLUMN())),OFFSET($BN$2,0,0,ROW()-1,60),ROW()-1,FALSE))</f>
        <v>2181.8000000000002</v>
      </c>
      <c r="H99">
        <f ca="1">IF(AND(ISNUMBER($H$237),$B$158=1),$H$237,HLOOKUP(INDIRECT(ADDRESS(2,COLUMN())),OFFSET($BN$2,0,0,ROW()-1,60),ROW()-1,FALSE))</f>
        <v>2311.6</v>
      </c>
      <c r="I99">
        <f ca="1">IF(AND(ISNUMBER($I$237),$B$158=1),$I$237,HLOOKUP(INDIRECT(ADDRESS(2,COLUMN())),OFFSET($BN$2,0,0,ROW()-1,60),ROW()-1,FALSE))</f>
        <v>2167.6999999999998</v>
      </c>
      <c r="J99">
        <f ca="1">IF(AND(ISNUMBER($J$237),$B$158=1),$J$237,HLOOKUP(INDIRECT(ADDRESS(2,COLUMN())),OFFSET($BN$2,0,0,ROW()-1,60),ROW()-1,FALSE))</f>
        <v>2280.6</v>
      </c>
      <c r="K99">
        <f ca="1">IF(AND(ISNUMBER($K$237),$B$158=1),$K$237,HLOOKUP(INDIRECT(ADDRESS(2,COLUMN())),OFFSET($BN$2,0,0,ROW()-1,60),ROW()-1,FALSE))</f>
        <v>2087.8000000000002</v>
      </c>
      <c r="L99">
        <f ca="1">IF(AND(ISNUMBER($L$237),$B$158=1),$L$237,HLOOKUP(INDIRECT(ADDRESS(2,COLUMN())),OFFSET($BN$2,0,0,ROW()-1,60),ROW()-1,FALSE))</f>
        <v>1268.0999999999999</v>
      </c>
      <c r="M99">
        <f ca="1">IF(AND(ISNUMBER($M$237),$B$158=1),$M$237,HLOOKUP(INDIRECT(ADDRESS(2,COLUMN())),OFFSET($BN$2,0,0,ROW()-1,60),ROW()-1,FALSE))</f>
        <v>1804.1</v>
      </c>
      <c r="N99">
        <f ca="1">IF(AND(ISNUMBER($N$237),$B$158=1),$N$237,HLOOKUP(INDIRECT(ADDRESS(2,COLUMN())),OFFSET($BN$2,0,0,ROW()-1,60),ROW()-1,FALSE))</f>
        <v>2636.6</v>
      </c>
      <c r="O99">
        <f ca="1">IF(AND(ISNUMBER($O$237),$B$158=1),$O$237,HLOOKUP(INDIRECT(ADDRESS(2,COLUMN())),OFFSET($BN$2,0,0,ROW()-1,60),ROW()-1,FALSE))</f>
        <v>2374.6999999999998</v>
      </c>
      <c r="P99">
        <f ca="1">IF(AND(ISNUMBER($P$237),$B$158=1),$P$237,HLOOKUP(INDIRECT(ADDRESS(2,COLUMN())),OFFSET($BN$2,0,0,ROW()-1,60),ROW()-1,FALSE))</f>
        <v>2291.5</v>
      </c>
      <c r="Q99">
        <f ca="1">IF(AND(ISNUMBER($Q$237),$B$158=1),$Q$237,HLOOKUP(INDIRECT(ADDRESS(2,COLUMN())),OFFSET($BN$2,0,0,ROW()-1,60),ROW()-1,FALSE))</f>
        <v>2325.6</v>
      </c>
      <c r="R99">
        <f ca="1">IF(AND(ISNUMBER($R$237),$B$158=1),$R$237,HLOOKUP(INDIRECT(ADDRESS(2,COLUMN())),OFFSET($BN$2,0,0,ROW()-1,60),ROW()-1,FALSE))</f>
        <v>2336.1</v>
      </c>
      <c r="S99">
        <f ca="1">IF(AND(ISNUMBER($S$237),$B$158=1),$S$237,HLOOKUP(INDIRECT(ADDRESS(2,COLUMN())),OFFSET($BN$2,0,0,ROW()-1,60),ROW()-1,FALSE))</f>
        <v>2096</v>
      </c>
      <c r="T99">
        <f ca="1">IF(AND(ISNUMBER($T$237),$B$158=1),$T$237,HLOOKUP(INDIRECT(ADDRESS(2,COLUMN())),OFFSET($BN$2,0,0,ROW()-1,60),ROW()-1,FALSE))</f>
        <v>1986.2</v>
      </c>
      <c r="U99">
        <f ca="1">IF(AND(ISNUMBER($U$237),$B$158=1),$U$237,HLOOKUP(INDIRECT(ADDRESS(2,COLUMN())),OFFSET($BN$2,0,0,ROW()-1,60),ROW()-1,FALSE))</f>
        <v>1866.6</v>
      </c>
      <c r="V99">
        <f ca="1">IF(AND(ISNUMBER($V$237),$B$158=1),$V$237,HLOOKUP(INDIRECT(ADDRESS(2,COLUMN())),OFFSET($BN$2,0,0,ROW()-1,60),ROW()-1,FALSE))</f>
        <v>5665.6</v>
      </c>
      <c r="W99">
        <f ca="1">IF(AND(ISNUMBER($W$237),$B$158=1),$W$237,HLOOKUP(INDIRECT(ADDRESS(2,COLUMN())),OFFSET($BN$2,0,0,ROW()-1,60),ROW()-1,FALSE))</f>
        <v>1553.8</v>
      </c>
      <c r="X99">
        <f ca="1">IF(AND(ISNUMBER($X$237),$B$158=1),$X$237,HLOOKUP(INDIRECT(ADDRESS(2,COLUMN())),OFFSET($BN$2,0,0,ROW()-1,60),ROW()-1,FALSE))</f>
        <v>1478.5</v>
      </c>
      <c r="Y99">
        <f ca="1">IF(AND(ISNUMBER($Y$237),$B$158=1),$Y$237,HLOOKUP(INDIRECT(ADDRESS(2,COLUMN())),OFFSET($BN$2,0,0,ROW()-1,60),ROW()-1,FALSE))</f>
        <v>1354</v>
      </c>
      <c r="Z99">
        <f ca="1">IF(AND(ISNUMBER($Z$237),$B$158=1),$Z$237,HLOOKUP(INDIRECT(ADDRESS(2,COLUMN())),OFFSET($BN$2,0,0,ROW()-1,60),ROW()-1,FALSE))</f>
        <v>1342.5</v>
      </c>
      <c r="AA99">
        <f ca="1">IF(AND(ISNUMBER($AA$237),$B$158=1),$AA$237,HLOOKUP(INDIRECT(ADDRESS(2,COLUMN())),OFFSET($BN$2,0,0,ROW()-1,60),ROW()-1,FALSE))</f>
        <v>1088.3</v>
      </c>
      <c r="AB99">
        <f ca="1">IF(AND(ISNUMBER($AB$237),$B$158=1),$AB$237,HLOOKUP(INDIRECT(ADDRESS(2,COLUMN())),OFFSET($BN$2,0,0,ROW()-1,60),ROW()-1,FALSE))</f>
        <v>1053.3</v>
      </c>
      <c r="AC99">
        <f ca="1">IF(AND(ISNUMBER($AC$237),$B$158=1),$AC$237,HLOOKUP(INDIRECT(ADDRESS(2,COLUMN())),OFFSET($BN$2,0,0,ROW()-1,60),ROW()-1,FALSE))</f>
        <v>894.2</v>
      </c>
      <c r="AD99">
        <f ca="1">IF(AND(ISNUMBER($AD$237),$B$158=1),$AD$237,HLOOKUP(INDIRECT(ADDRESS(2,COLUMN())),OFFSET($BN$2,0,0,ROW()-1,60),ROW()-1,FALSE))</f>
        <v>1099.7</v>
      </c>
      <c r="AE99">
        <f ca="1">IF(AND(ISNUMBER($AE$237),$B$158=1),$AE$237,HLOOKUP(INDIRECT(ADDRESS(2,COLUMN())),OFFSET($BN$2,0,0,ROW()-1,60),ROW()-1,FALSE))</f>
        <v>924.1</v>
      </c>
      <c r="AF99">
        <f ca="1">IF(AND(ISNUMBER($AF$237),$B$158=1),$AF$237,HLOOKUP(INDIRECT(ADDRESS(2,COLUMN())),OFFSET($BN$2,0,0,ROW()-1,60),ROW()-1,FALSE))</f>
        <v>1005.2</v>
      </c>
      <c r="AG99">
        <f ca="1">IF(AND(ISNUMBER($AG$237),$B$158=1),$AG$237,HLOOKUP(INDIRECT(ADDRESS(2,COLUMN())),OFFSET($BN$2,0,0,ROW()-1,60),ROW()-1,FALSE))</f>
        <v>869</v>
      </c>
      <c r="AH99">
        <f ca="1">IF(AND(ISNUMBER($AH$237),$B$158=1),$AH$237,HLOOKUP(INDIRECT(ADDRESS(2,COLUMN())),OFFSET($BN$2,0,0,ROW()-1,60),ROW()-1,FALSE))</f>
        <v>969.9</v>
      </c>
      <c r="AI99">
        <f ca="1">IF(AND(ISNUMBER($AI$237),$B$158=1),$AI$237,HLOOKUP(INDIRECT(ADDRESS(2,COLUMN())),OFFSET($BN$2,0,0,ROW()-1,60),ROW()-1,FALSE))</f>
        <v>851</v>
      </c>
      <c r="AJ99">
        <f ca="1">IF(AND(ISNUMBER($AJ$237),$B$158=1),$AJ$237,HLOOKUP(INDIRECT(ADDRESS(2,COLUMN())),OFFSET($BN$2,0,0,ROW()-1,60),ROW()-1,FALSE))</f>
        <v>838.2</v>
      </c>
      <c r="AK99">
        <f ca="1">IF(AND(ISNUMBER($AK$237),$B$158=1),$AK$237,HLOOKUP(INDIRECT(ADDRESS(2,COLUMN())),OFFSET($BN$2,0,0,ROW()-1,60),ROW()-1,FALSE))</f>
        <v>838</v>
      </c>
      <c r="AL99" t="str">
        <f ca="1">IF(AND(ISNUMBER($AL$237),$B$158=1),$AL$237,HLOOKUP(INDIRECT(ADDRESS(2,COLUMN())),OFFSET($BN$2,0,0,ROW()-1,60),ROW()-1,FALSE))</f>
        <v/>
      </c>
      <c r="AM99">
        <f ca="1">IF(AND(ISNUMBER($AM$237),$B$158=1),$AM$237,HLOOKUP(INDIRECT(ADDRESS(2,COLUMN())),OFFSET($BN$2,0,0,ROW()-1,60),ROW()-1,FALSE))</f>
        <v>864.8</v>
      </c>
      <c r="AN99">
        <f ca="1">IF(AND(ISNUMBER($AN$237),$B$158=1),$AN$237,HLOOKUP(INDIRECT(ADDRESS(2,COLUMN())),OFFSET($BN$2,0,0,ROW()-1,60),ROW()-1,FALSE))</f>
        <v>888.9</v>
      </c>
      <c r="AO99">
        <f ca="1">IF(AND(ISNUMBER($AO$237),$B$158=1),$AO$237,HLOOKUP(INDIRECT(ADDRESS(2,COLUMN())),OFFSET($BN$2,0,0,ROW()-1,60),ROW()-1,FALSE))</f>
        <v>865.9</v>
      </c>
      <c r="AP99">
        <f ca="1">IF(AND(ISNUMBER($AP$237),$B$158=1),$AP$237,HLOOKUP(INDIRECT(ADDRESS(2,COLUMN())),OFFSET($BN$2,0,0,ROW()-1,60),ROW()-1,FALSE))</f>
        <v>996.4</v>
      </c>
      <c r="AQ99">
        <f ca="1">IF(AND(ISNUMBER($AQ$237),$B$158=1),$AQ$237,HLOOKUP(INDIRECT(ADDRESS(2,COLUMN())),OFFSET($BN$2,0,0,ROW()-1,60),ROW()-1,FALSE))</f>
        <v>914.6</v>
      </c>
      <c r="AR99">
        <f ca="1">IF(AND(ISNUMBER($AR$237),$B$158=1),$AR$237,HLOOKUP(INDIRECT(ADDRESS(2,COLUMN())),OFFSET($BN$2,0,0,ROW()-1,60),ROW()-1,FALSE))</f>
        <v>879.9</v>
      </c>
      <c r="AS99">
        <f ca="1">IF(AND(ISNUMBER($AS$237),$B$158=1),$AS$237,HLOOKUP(INDIRECT(ADDRESS(2,COLUMN())),OFFSET($BN$2,0,0,ROW()-1,60),ROW()-1,FALSE))</f>
        <v>847.9</v>
      </c>
      <c r="AT99" t="str">
        <f ca="1">IF(AND(ISNUMBER($AT$237),$B$158=1),$AT$237,HLOOKUP(INDIRECT(ADDRESS(2,COLUMN())),OFFSET($BN$2,0,0,ROW()-1,60),ROW()-1,FALSE))</f>
        <v/>
      </c>
      <c r="AU99" t="str">
        <f ca="1">IF(AND(ISNUMBER($AU$237),$B$158=1),$AU$237,HLOOKUP(INDIRECT(ADDRESS(2,COLUMN())),OFFSET($BN$2,0,0,ROW()-1,60),ROW()-1,FALSE))</f>
        <v/>
      </c>
      <c r="AV99">
        <f ca="1">IF(AND(ISNUMBER($AV$237),$B$158=1),$AV$237,HLOOKUP(INDIRECT(ADDRESS(2,COLUMN())),OFFSET($BN$2,0,0,ROW()-1,60),ROW()-1,FALSE))</f>
        <v>737.7</v>
      </c>
      <c r="AW99">
        <f ca="1">IF(AND(ISNUMBER($AW$237),$B$158=1),$AW$237,HLOOKUP(INDIRECT(ADDRESS(2,COLUMN())),OFFSET($BN$2,0,0,ROW()-1,60),ROW()-1,FALSE))</f>
        <v>730.8</v>
      </c>
      <c r="AX99">
        <f ca="1">IF(AND(ISNUMBER($AX$237),$B$158=1),$AX$237,HLOOKUP(INDIRECT(ADDRESS(2,COLUMN())),OFFSET($BN$2,0,0,ROW()-1,60),ROW()-1,FALSE))</f>
        <v>780.7</v>
      </c>
      <c r="AY99">
        <f ca="1">IF(AND(ISNUMBER($AY$237),$B$158=1),$AY$237,HLOOKUP(INDIRECT(ADDRESS(2,COLUMN())),OFFSET($BN$2,0,0,ROW()-1,60),ROW()-1,FALSE))</f>
        <v>670</v>
      </c>
      <c r="AZ99">
        <f ca="1">IF(AND(ISNUMBER($AZ$237),$B$158=1),$AZ$237,HLOOKUP(INDIRECT(ADDRESS(2,COLUMN())),OFFSET($BN$2,0,0,ROW()-1,60),ROW()-1,FALSE))</f>
        <v>626.70000000000005</v>
      </c>
      <c r="BA99">
        <f ca="1">IF(AND(ISNUMBER($BA$237),$B$158=1),$BA$237,HLOOKUP(INDIRECT(ADDRESS(2,COLUMN())),OFFSET($BN$2,0,0,ROW()-1,60),ROW()-1,FALSE))</f>
        <v>588.70000000000005</v>
      </c>
      <c r="BB99">
        <f ca="1">IF(AND(ISNUMBER($BB$237),$B$158=1),$BB$237,HLOOKUP(INDIRECT(ADDRESS(2,COLUMN())),OFFSET($BN$2,0,0,ROW()-1,60),ROW()-1,FALSE))</f>
        <v>633.29999999999995</v>
      </c>
      <c r="BC99">
        <f ca="1">IF(AND(ISNUMBER($BC$237),$B$158=1),$BC$237,HLOOKUP(INDIRECT(ADDRESS(2,COLUMN())),OFFSET($BN$2,0,0,ROW()-1,60),ROW()-1,FALSE))</f>
        <v>531.20000000000005</v>
      </c>
      <c r="BD99">
        <f ca="1">IF(AND(ISNUMBER($BD$237),$B$158=1),$BD$237,HLOOKUP(INDIRECT(ADDRESS(2,COLUMN())),OFFSET($BN$2,0,0,ROW()-1,60),ROW()-1,FALSE))</f>
        <v>534.79999999999995</v>
      </c>
      <c r="BE99">
        <f ca="1">IF(AND(ISNUMBER($BE$237),$B$158=1),$BE$237,HLOOKUP(INDIRECT(ADDRESS(2,COLUMN())),OFFSET($BN$2,0,0,ROW()-1,60),ROW()-1,FALSE))</f>
        <v>567.1</v>
      </c>
      <c r="BF99" t="str">
        <f ca="1">IF(AND(ISNUMBER($BF$237),$B$158=1),$BF$237,HLOOKUP(INDIRECT(ADDRESS(2,COLUMN())),OFFSET($BN$2,0,0,ROW()-1,60),ROW()-1,FALSE))</f>
        <v/>
      </c>
      <c r="BG99" t="str">
        <f ca="1">IF(AND(ISNUMBER($BG$237),$B$158=1),$BG$237,HLOOKUP(INDIRECT(ADDRESS(2,COLUMN())),OFFSET($BN$2,0,0,ROW()-1,60),ROW()-1,FALSE))</f>
        <v/>
      </c>
      <c r="BH99" t="str">
        <f ca="1">IF(AND(ISNUMBER($BH$237),$B$158=1),$BH$237,HLOOKUP(INDIRECT(ADDRESS(2,COLUMN())),OFFSET($BN$2,0,0,ROW()-1,60),ROW()-1,FALSE))</f>
        <v/>
      </c>
      <c r="BI99" t="str">
        <f ca="1">IF(AND(ISNUMBER($BI$237),$B$158=1),$BI$237,HLOOKUP(INDIRECT(ADDRESS(2,COLUMN())),OFFSET($BN$2,0,0,ROW()-1,60),ROW()-1,FALSE))</f>
        <v/>
      </c>
      <c r="BJ99" t="str">
        <f ca="1">IF(AND(ISNUMBER($BJ$237),$B$158=1),$BJ$237,HLOOKUP(INDIRECT(ADDRESS(2,COLUMN())),OFFSET($BN$2,0,0,ROW()-1,60),ROW()-1,FALSE))</f>
        <v/>
      </c>
      <c r="BK99" t="str">
        <f ca="1">IF(AND(ISNUMBER($BK$237),$B$158=1),$BK$237,HLOOKUP(INDIRECT(ADDRESS(2,COLUMN())),OFFSET($BN$2,0,0,ROW()-1,60),ROW()-1,FALSE))</f>
        <v/>
      </c>
      <c r="BL99" t="str">
        <f ca="1">IF(AND(ISNUMBER($BL$237),$B$158=1),$BL$237,HLOOKUP(INDIRECT(ADDRESS(2,COLUMN())),OFFSET($BN$2,0,0,ROW()-1,60),ROW()-1,FALSE))</f>
        <v/>
      </c>
      <c r="BM99" t="str">
        <f ca="1">IF(AND(ISNUMBER($BM$237),$B$158=1),$BM$237,HLOOKUP(INDIRECT(ADDRESS(2,COLUMN())),OFFSET($BN$2,0,0,ROW()-1,60),ROW()-1,FALSE))</f>
        <v/>
      </c>
      <c r="BN99" t="str">
        <f>""</f>
        <v/>
      </c>
      <c r="BO99">
        <f>2181.8</f>
        <v>2181.8000000000002</v>
      </c>
      <c r="BP99">
        <f>2311.6</f>
        <v>2311.6</v>
      </c>
      <c r="BQ99">
        <f>2167.7</f>
        <v>2167.6999999999998</v>
      </c>
      <c r="BR99">
        <f>2280.6</f>
        <v>2280.6</v>
      </c>
      <c r="BS99">
        <f>2087.8</f>
        <v>2087.8000000000002</v>
      </c>
      <c r="BT99">
        <f>1268.1</f>
        <v>1268.0999999999999</v>
      </c>
      <c r="BU99">
        <f>1804.1</f>
        <v>1804.1</v>
      </c>
      <c r="BV99">
        <f>2636.6</f>
        <v>2636.6</v>
      </c>
      <c r="BW99">
        <f>2374.7</f>
        <v>2374.6999999999998</v>
      </c>
      <c r="BX99">
        <f>2291.5</f>
        <v>2291.5</v>
      </c>
      <c r="BY99">
        <f>2325.6</f>
        <v>2325.6</v>
      </c>
      <c r="BZ99">
        <f>2336.1</f>
        <v>2336.1</v>
      </c>
      <c r="CA99">
        <f>2096</f>
        <v>2096</v>
      </c>
      <c r="CB99">
        <f>1986.2</f>
        <v>1986.2</v>
      </c>
      <c r="CC99">
        <f>1866.6</f>
        <v>1866.6</v>
      </c>
      <c r="CD99">
        <f>5665.6</f>
        <v>5665.6</v>
      </c>
      <c r="CE99">
        <f>1553.8</f>
        <v>1553.8</v>
      </c>
      <c r="CF99">
        <f>1478.5</f>
        <v>1478.5</v>
      </c>
      <c r="CG99">
        <f>1354</f>
        <v>1354</v>
      </c>
      <c r="CH99">
        <f>1342.5</f>
        <v>1342.5</v>
      </c>
      <c r="CI99">
        <f>1088.3</f>
        <v>1088.3</v>
      </c>
      <c r="CJ99">
        <f>1053.3</f>
        <v>1053.3</v>
      </c>
      <c r="CK99">
        <f>894.2</f>
        <v>894.2</v>
      </c>
      <c r="CL99">
        <f>1099.7</f>
        <v>1099.7</v>
      </c>
      <c r="CM99">
        <f>924.1</f>
        <v>924.1</v>
      </c>
      <c r="CN99">
        <f>1005.2</f>
        <v>1005.2</v>
      </c>
      <c r="CO99">
        <f>869</f>
        <v>869</v>
      </c>
      <c r="CP99">
        <f>969.9</f>
        <v>969.9</v>
      </c>
      <c r="CQ99">
        <f>851</f>
        <v>851</v>
      </c>
      <c r="CR99">
        <f>838.2</f>
        <v>838.2</v>
      </c>
      <c r="CS99">
        <f>838</f>
        <v>838</v>
      </c>
      <c r="CT99" t="str">
        <f>""</f>
        <v/>
      </c>
      <c r="CU99">
        <f>864.8</f>
        <v>864.8</v>
      </c>
      <c r="CV99">
        <f>888.9</f>
        <v>888.9</v>
      </c>
      <c r="CW99">
        <f>865.9</f>
        <v>865.9</v>
      </c>
      <c r="CX99">
        <f>996.4</f>
        <v>996.4</v>
      </c>
      <c r="CY99">
        <f>914.6</f>
        <v>914.6</v>
      </c>
      <c r="CZ99">
        <f>879.9</f>
        <v>879.9</v>
      </c>
      <c r="DA99">
        <f>847.9</f>
        <v>847.9</v>
      </c>
      <c r="DB99" t="str">
        <f>""</f>
        <v/>
      </c>
      <c r="DC99" t="str">
        <f>""</f>
        <v/>
      </c>
      <c r="DD99">
        <f>737.7</f>
        <v>737.7</v>
      </c>
      <c r="DE99">
        <f>730.8</f>
        <v>730.8</v>
      </c>
      <c r="DF99">
        <f>780.7</f>
        <v>780.7</v>
      </c>
      <c r="DG99">
        <f>670</f>
        <v>670</v>
      </c>
      <c r="DH99">
        <f>626.7</f>
        <v>626.70000000000005</v>
      </c>
      <c r="DI99">
        <f>588.7</f>
        <v>588.70000000000005</v>
      </c>
      <c r="DJ99">
        <f>633.3</f>
        <v>633.29999999999995</v>
      </c>
      <c r="DK99">
        <f>531.2</f>
        <v>531.20000000000005</v>
      </c>
      <c r="DL99">
        <f>534.8</f>
        <v>534.79999999999995</v>
      </c>
      <c r="DM99">
        <f>567.1</f>
        <v>567.1</v>
      </c>
      <c r="DN99" t="str">
        <f>""</f>
        <v/>
      </c>
      <c r="DO99" t="str">
        <f>""</f>
        <v/>
      </c>
      <c r="DP99" t="str">
        <f>""</f>
        <v/>
      </c>
      <c r="DQ99" t="str">
        <f>""</f>
        <v/>
      </c>
      <c r="DR99" t="str">
        <f>""</f>
        <v/>
      </c>
      <c r="DS99" t="str">
        <f>""</f>
        <v/>
      </c>
      <c r="DT99" t="str">
        <f>""</f>
        <v/>
      </c>
      <c r="DU99" t="str">
        <f>""</f>
        <v/>
      </c>
    </row>
    <row r="100" spans="1:125" x14ac:dyDescent="0.25">
      <c r="A100" t="str">
        <f>"            of Total Kering Sales (%)"</f>
        <v xml:space="preserve">            of Total Kering Sales (%)</v>
      </c>
      <c r="B100" t="str">
        <f>"KER FP Equity"</f>
        <v>KER FP Equity</v>
      </c>
      <c r="E100" t="str">
        <f>"Expression"</f>
        <v>Expression</v>
      </c>
      <c r="F100" t="str">
        <f ca="1">IF(AND($B$158=1,LEN($F$169) * LEN($F$99)&gt;0),($F$99/$F$169)*100,HLOOKUP(INDIRECT(ADDRESS(2,COLUMN())),OFFSET($BN$2,0,0,ROW()-1,60),ROW()-1,FALSE))</f>
        <v/>
      </c>
      <c r="G100">
        <f ca="1">IF(AND($B$158=1,LEN($G$169) * LEN($G$99)&gt;0),($G$99/$G$169)*100,HLOOKUP(INDIRECT(ADDRESS(2,COLUMN())),OFFSET($BN$2,0,0,ROW()-1,60),ROW()-1,FALSE))</f>
        <v>52.0989541</v>
      </c>
      <c r="H100">
        <f ca="1">IF(AND($B$158=1,LEN($H$169) * LEN($H$99)&gt;0),($H$99/$H$169)*100,HLOOKUP(INDIRECT(ADDRESS(2,COLUMN())),OFFSET($BN$2,0,0,ROW()-1,60),ROW()-1,FALSE))</f>
        <v>55.604733959999997</v>
      </c>
      <c r="I100">
        <f ca="1">IF(AND($B$158=1,LEN($I$169) * LEN($I$99)&gt;0),($I$99/$I$169)*100,HLOOKUP(INDIRECT(ADDRESS(2,COLUMN())),OFFSET($BN$2,0,0,ROW()-1,60),ROW()-1,FALSE))</f>
        <v>55.724935729999999</v>
      </c>
      <c r="J100">
        <f ca="1">IF(AND($B$158=1,LEN($J$169) * LEN($J$99)&gt;0),($J$99/$J$169)*100,HLOOKUP(INDIRECT(ADDRESS(2,COLUMN())),OFFSET($BN$2,0,0,ROW()-1,60),ROW()-1,FALSE))</f>
        <v>56.955197040000002</v>
      </c>
      <c r="K100">
        <f ca="1">IF(AND($B$158=1,LEN($K$169) * LEN($K$99)&gt;0),($K$99/$K$169)*100,HLOOKUP(INDIRECT(ADDRESS(2,COLUMN())),OFFSET($BN$2,0,0,ROW()-1,60),ROW()-1,FALSE))</f>
        <v>56.158377489999999</v>
      </c>
      <c r="L100">
        <f ca="1">IF(AND($B$158=1,LEN($L$169) * LEN($L$99)&gt;0),($L$99/$L$169)*100,HLOOKUP(INDIRECT(ADDRESS(2,COLUMN())),OFFSET($BN$2,0,0,ROW()-1,60),ROW()-1,FALSE))</f>
        <v>58.300767780000001</v>
      </c>
      <c r="M100">
        <f ca="1">IF(AND($B$158=1,LEN($M$169) * LEN($M$99)&gt;0),($M$99/$M$169)*100,HLOOKUP(INDIRECT(ADDRESS(2,COLUMN())),OFFSET($BN$2,0,0,ROW()-1,60),ROW()-1,FALSE))</f>
        <v>56.321803199999998</v>
      </c>
      <c r="N100">
        <f ca="1">IF(AND($B$158=1,LEN($N$169) * LEN($N$99)&gt;0),($N$99/$N$169)*100,HLOOKUP(INDIRECT(ADDRESS(2,COLUMN())),OFFSET($BN$2,0,0,ROW()-1,60),ROW()-1,FALSE))</f>
        <v>60.465542939999999</v>
      </c>
      <c r="O100">
        <f ca="1">IF(AND($B$158=1,LEN($O$169) * LEN($O$99)&gt;0),($O$99/$O$169)*100,HLOOKUP(INDIRECT(ADDRESS(2,COLUMN())),OFFSET($BN$2,0,0,ROW()-1,60),ROW()-1,FALSE))</f>
        <v>61.13113319</v>
      </c>
      <c r="P100">
        <f ca="1">IF(AND($B$158=1,LEN($P$169) * LEN($P$99)&gt;0),($P$99/$P$169)*100,HLOOKUP(INDIRECT(ADDRESS(2,COLUMN())),OFFSET($BN$2,0,0,ROW()-1,60),ROW()-1,FALSE))</f>
        <v>59.4715943</v>
      </c>
      <c r="Q100">
        <f ca="1">IF(AND($B$158=1,LEN($Q$169) * LEN($Q$99)&gt;0),($Q$99/$Q$169)*100,HLOOKUP(INDIRECT(ADDRESS(2,COLUMN())),OFFSET($BN$2,0,0,ROW()-1,60),ROW()-1,FALSE))</f>
        <v>61.437666759999999</v>
      </c>
      <c r="R100">
        <f ca="1">IF(AND($B$158=1,LEN($R$169) * LEN($R$99)&gt;0),($R$99/$R$169)*100,HLOOKUP(INDIRECT(ADDRESS(2,COLUMN())),OFFSET($BN$2,0,0,ROW()-1,60),ROW()-1,FALSE))</f>
        <v>61.004334880000002</v>
      </c>
      <c r="S100">
        <f ca="1">IF(AND($B$158=1,LEN($S$169) * LEN($S$99)&gt;0),($S$99/$S$169)*100,HLOOKUP(INDIRECT(ADDRESS(2,COLUMN())),OFFSET($BN$2,0,0,ROW()-1,60),ROW()-1,FALSE))</f>
        <v>61.610817169999997</v>
      </c>
      <c r="T100">
        <f ca="1">IF(AND($B$158=1,LEN($T$169) * LEN($T$99)&gt;0),($T$99/$T$169)*100,HLOOKUP(INDIRECT(ADDRESS(2,COLUMN())),OFFSET($BN$2,0,0,ROW()-1,60),ROW()-1,FALSE))</f>
        <v>59.717378230000001</v>
      </c>
      <c r="U100">
        <f ca="1">IF(AND($B$158=1,LEN($U$169) * LEN($U$99)&gt;0),($U$99/$U$169)*100,HLOOKUP(INDIRECT(ADDRESS(2,COLUMN())),OFFSET($BN$2,0,0,ROW()-1,60),ROW()-1,FALSE))</f>
        <v>60.092717790000002</v>
      </c>
      <c r="V100">
        <f ca="1">IF(AND($B$158=1,LEN($V$169) * LEN($V$99)&gt;0),($V$99/$V$169)*100,HLOOKUP(INDIRECT(ADDRESS(2,COLUMN())),OFFSET($BN$2,0,0,ROW()-1,60),ROW()-1,FALSE))</f>
        <v>133.10466349999999</v>
      </c>
      <c r="W100">
        <f ca="1">IF(AND($B$158=1,LEN($W$169) * LEN($W$99)&gt;0),($W$99/$W$169)*100,HLOOKUP(INDIRECT(ADDRESS(2,COLUMN())),OFFSET($BN$2,0,0,ROW()-1,60),ROW()-1,FALSE))</f>
        <v>58.299564760000003</v>
      </c>
      <c r="X100">
        <f ca="1">IF(AND($B$158=1,LEN($X$169) * LEN($X$99)&gt;0),($X$99/$X$169)*100,HLOOKUP(INDIRECT(ADDRESS(2,COLUMN())),OFFSET($BN$2,0,0,ROW()-1,60),ROW()-1,FALSE))</f>
        <v>56.268077329999997</v>
      </c>
      <c r="Y100">
        <f ca="1">IF(AND($B$158=1,LEN($Y$169) * LEN($Y$99)&gt;0),($Y$99/$Y$169)*100,HLOOKUP(INDIRECT(ADDRESS(2,COLUMN())),OFFSET($BN$2,0,0,ROW()-1,60),ROW()-1,FALSE))</f>
        <v>37.890023790000001</v>
      </c>
      <c r="Z100">
        <f ca="1">IF(AND($B$158=1,LEN($Z$169) * LEN($Z$99)&gt;0),($Z$99/$Z$169)*100,HLOOKUP(INDIRECT(ADDRESS(2,COLUMN())),OFFSET($BN$2,0,0,ROW()-1,60),ROW()-1,FALSE))</f>
        <v>38.277307329999999</v>
      </c>
      <c r="AA100">
        <f ca="1">IF(AND($B$158=1,LEN($AA$169) * LEN($AA$99)&gt;0),($AA$99/$AA$169)*100,HLOOKUP(INDIRECT(ADDRESS(2,COLUMN())),OFFSET($BN$2,0,0,ROW()-1,60),ROW()-1,FALSE))</f>
        <v>34.172763529999997</v>
      </c>
      <c r="AB100">
        <f ca="1">IF(AND($B$158=1,LEN($AB$169) * LEN($AB$99)&gt;0),($AB$99/$AB$169)*100,HLOOKUP(INDIRECT(ADDRESS(2,COLUMN())),OFFSET($BN$2,0,0,ROW()-1,60),ROW()-1,FALSE))</f>
        <v>35.475396580000002</v>
      </c>
      <c r="AC100">
        <f ca="1">IF(AND($B$158=1,LEN($AC$169) * LEN($AC$99)&gt;0),($AC$99/$AC$169)*100,HLOOKUP(INDIRECT(ADDRESS(2,COLUMN())),OFFSET($BN$2,0,0,ROW()-1,60),ROW()-1,FALSE))</f>
        <v>32.829135770000001</v>
      </c>
      <c r="AD100">
        <f ca="1">IF(AND($B$158=1,LEN($AD$169) * LEN($AD$99)&gt;0),($AD$99/$AD$169)*100,HLOOKUP(INDIRECT(ADDRESS(2,COLUMN())),OFFSET($BN$2,0,0,ROW()-1,60),ROW()-1,FALSE))</f>
        <v>34.619864630000002</v>
      </c>
      <c r="AE100">
        <f ca="1">IF(AND($B$158=1,LEN($AE$169) * LEN($AE$99)&gt;0),($AE$99/$AE$169)*100,HLOOKUP(INDIRECT(ADDRESS(2,COLUMN())),OFFSET($BN$2,0,0,ROW()-1,60),ROW()-1,FALSE))</f>
        <v>31.918347610000001</v>
      </c>
      <c r="AF100">
        <f ca="1">IF(AND($B$158=1,LEN($AF$169) * LEN($AF$99)&gt;0),($AF$99/$AF$169)*100,HLOOKUP(INDIRECT(ADDRESS(2,COLUMN())),OFFSET($BN$2,0,0,ROW()-1,60),ROW()-1,FALSE))</f>
        <v>35.130884559999998</v>
      </c>
      <c r="AG100">
        <f ca="1">IF(AND($B$158=1,LEN($AG$169) * LEN($AG$99)&gt;0),($AG$99/$AG$169)*100,HLOOKUP(INDIRECT(ADDRESS(2,COLUMN())),OFFSET($BN$2,0,0,ROW()-1,60),ROW()-1,FALSE))</f>
        <v>32.780082989999997</v>
      </c>
      <c r="AH100">
        <f ca="1">IF(AND($B$158=1,LEN($AH$169) * LEN($AH$99)&gt;0),($AH$99/$AH$169)*100,HLOOKUP(INDIRECT(ADDRESS(2,COLUMN())),OFFSET($BN$2,0,0,ROW()-1,60),ROW()-1,FALSE))</f>
        <v>35.374571449999998</v>
      </c>
      <c r="AI100">
        <f ca="1">IF(AND($B$158=1,LEN($AI$169) * LEN($AI$99)&gt;0),($AI$99/$AI$169)*100,HLOOKUP(INDIRECT(ADDRESS(2,COLUMN())),OFFSET($BN$2,0,0,ROW()-1,60),ROW()-1,FALSE))</f>
        <v>32.916876180000003</v>
      </c>
      <c r="AJ100">
        <f ca="1">IF(AND($B$158=1,LEN($AJ$169) * LEN($AJ$99)&gt;0),($AJ$99/$AJ$169)*100,HLOOKUP(INDIRECT(ADDRESS(2,COLUMN())),OFFSET($BN$2,0,0,ROW()-1,60),ROW()-1,FALSE))</f>
        <v>35.680231569999997</v>
      </c>
      <c r="AK100">
        <f ca="1">IF(AND($B$158=1,LEN($AK$169) * LEN($AK$99)&gt;0),($AK$99/$AK$169)*100,HLOOKUP(INDIRECT(ADDRESS(2,COLUMN())),OFFSET($BN$2,0,0,ROW()-1,60),ROW()-1,FALSE))</f>
        <v>34.945788159999999</v>
      </c>
      <c r="AL100" t="str">
        <f ca="1">IF(AND($B$158=1,LEN($AL$169) * LEN($AL$99)&gt;0),($AL$99/$AL$169)*100,HLOOKUP(INDIRECT(ADDRESS(2,COLUMN())),OFFSET($BN$2,0,0,ROW()-1,60),ROW()-1,FALSE))</f>
        <v/>
      </c>
      <c r="AM100">
        <f ca="1">IF(AND($B$158=1,LEN($AM$169) * LEN($AM$99)&gt;0),($AM$99/$AM$169)*100,HLOOKUP(INDIRECT(ADDRESS(2,COLUMN())),OFFSET($BN$2,0,0,ROW()-1,60),ROW()-1,FALSE))</f>
        <v>34.276654780000001</v>
      </c>
      <c r="AN100">
        <f ca="1">IF(AND($B$158=1,LEN($AN$169) * LEN($AN$99)&gt;0),($AN$99/$AN$169)*100,HLOOKUP(INDIRECT(ADDRESS(2,COLUMN())),OFFSET($BN$2,0,0,ROW()-1,60),ROW()-1,FALSE))</f>
        <v>38.513864820000002</v>
      </c>
      <c r="AO100">
        <f ca="1">IF(AND($B$158=1,LEN($AO$169) * LEN($AO$99)&gt;0),($AO$99/$AO$169)*100,HLOOKUP(INDIRECT(ADDRESS(2,COLUMN())),OFFSET($BN$2,0,0,ROW()-1,60),ROW()-1,FALSE))</f>
        <v>36.529699630000003</v>
      </c>
      <c r="AP100">
        <f ca="1">IF(AND($B$158=1,LEN($AP$169) * LEN($AP$99)&gt;0),($AP$99/$AP$169)*100,HLOOKUP(INDIRECT(ADDRESS(2,COLUMN())),OFFSET($BN$2,0,0,ROW()-1,60),ROW()-1,FALSE))</f>
        <v>38.888455229999998</v>
      </c>
      <c r="AQ100">
        <f ca="1">IF(AND($B$158=1,LEN($AQ$169) * LEN($AQ$99)&gt;0),($AQ$99/$AQ$169)*100,HLOOKUP(INDIRECT(ADDRESS(2,COLUMN())),OFFSET($BN$2,0,0,ROW()-1,60),ROW()-1,FALSE))</f>
        <v>35.720981100000003</v>
      </c>
      <c r="AR100">
        <f ca="1">IF(AND($B$158=1,LEN($AR$169) * LEN($AR$99)&gt;0),($AR$99/$AR$169)*100,HLOOKUP(INDIRECT(ADDRESS(2,COLUMN())),OFFSET($BN$2,0,0,ROW()-1,60),ROW()-1,FALSE))</f>
        <v>38.731402410000001</v>
      </c>
      <c r="AS100">
        <f ca="1">IF(AND($B$158=1,LEN($AS$169) * LEN($AS$99)&gt;0),($AS$99/$AS$169)*100,HLOOKUP(INDIRECT(ADDRESS(2,COLUMN())),OFFSET($BN$2,0,0,ROW()-1,60),ROW()-1,FALSE))</f>
        <v>36.205644990000003</v>
      </c>
      <c r="AT100" t="str">
        <f ca="1">IF(AND($B$158=1,LEN($AT$169) * LEN($AT$99)&gt;0),($AT$99/$AT$169)*100,HLOOKUP(INDIRECT(ADDRESS(2,COLUMN())),OFFSET($BN$2,0,0,ROW()-1,60),ROW()-1,FALSE))</f>
        <v/>
      </c>
      <c r="AU100" t="str">
        <f ca="1">IF(AND($B$158=1,LEN($AU$169) * LEN($AU$99)&gt;0),($AU$99/$AU$169)*100,HLOOKUP(INDIRECT(ADDRESS(2,COLUMN())),OFFSET($BN$2,0,0,ROW()-1,60),ROW()-1,FALSE))</f>
        <v/>
      </c>
      <c r="AV100">
        <f ca="1">IF(AND($B$158=1,LEN($AV$169) * LEN($AV$99)&gt;0),($AV$99/$AV$169)*100,HLOOKUP(INDIRECT(ADDRESS(2,COLUMN())),OFFSET($BN$2,0,0,ROW()-1,60),ROW()-1,FALSE))</f>
        <v>27.83563505</v>
      </c>
      <c r="AW100">
        <f ca="1">IF(AND($B$158=1,LEN($AW$169) * LEN($AW$99)&gt;0),($AW$99/$AW$169)*100,HLOOKUP(INDIRECT(ADDRESS(2,COLUMN())),OFFSET($BN$2,0,0,ROW()-1,60),ROW()-1,FALSE))</f>
        <v>25.89836275</v>
      </c>
      <c r="AX100">
        <f ca="1">IF(AND($B$158=1,LEN($AX$169) * LEN($AX$99)&gt;0),($AX$99/$AX$169)*100,HLOOKUP(INDIRECT(ADDRESS(2,COLUMN())),OFFSET($BN$2,0,0,ROW()-1,60),ROW()-1,FALSE))</f>
        <v>18.387149959999999</v>
      </c>
      <c r="AY100">
        <f ca="1">IF(AND($B$158=1,LEN($AY$169) * LEN($AY$99)&gt;0),($AY$99/$AY$169)*100,HLOOKUP(INDIRECT(ADDRESS(2,COLUMN())),OFFSET($BN$2,0,0,ROW()-1,60),ROW()-1,FALSE))</f>
        <v>18.766455659999998</v>
      </c>
      <c r="AZ100">
        <f ca="1">IF(AND($B$158=1,LEN($AZ$169) * LEN($AZ$99)&gt;0),($AZ$99/$AZ$169)*100,HLOOKUP(INDIRECT(ADDRESS(2,COLUMN())),OFFSET($BN$2,0,0,ROW()-1,60),ROW()-1,FALSE))</f>
        <v>15.62842893</v>
      </c>
      <c r="BA100">
        <f ca="1">IF(AND($B$158=1,LEN($BA$169) * LEN($BA$99)&gt;0),($BA$99/$BA$169)*100,HLOOKUP(INDIRECT(ADDRESS(2,COLUMN())),OFFSET($BN$2,0,0,ROW()-1,60),ROW()-1,FALSE))</f>
        <v>17.316743150000001</v>
      </c>
      <c r="BB100">
        <f ca="1">IF(AND($B$158=1,LEN($BB$169) * LEN($BB$99)&gt;0),($BB$99/$BB$169)*100,HLOOKUP(INDIRECT(ADDRESS(2,COLUMN())),OFFSET($BN$2,0,0,ROW()-1,60),ROW()-1,FALSE))</f>
        <v>13.4026073</v>
      </c>
      <c r="BC100">
        <f ca="1">IF(AND($B$158=1,LEN($BC$169) * LEN($BC$99)&gt;0),($BC$99/$BC$169)*100,HLOOKUP(INDIRECT(ADDRESS(2,COLUMN())),OFFSET($BN$2,0,0,ROW()-1,60),ROW()-1,FALSE))</f>
        <v>11.64095322</v>
      </c>
      <c r="BD100">
        <f ca="1">IF(AND($B$158=1,LEN($BD$169) * LEN($BD$99)&gt;0),($BD$99/$BD$169)*100,HLOOKUP(INDIRECT(ADDRESS(2,COLUMN())),OFFSET($BN$2,0,0,ROW()-1,60),ROW()-1,FALSE))</f>
        <v>11.995603709999999</v>
      </c>
      <c r="BE100">
        <f ca="1">IF(AND($B$158=1,LEN($BE$169) * LEN($BE$99)&gt;0),($BE$99/$BE$169)*100,HLOOKUP(INDIRECT(ADDRESS(2,COLUMN())),OFFSET($BN$2,0,0,ROW()-1,60),ROW()-1,FALSE))</f>
        <v>11.871467450000001</v>
      </c>
      <c r="BF100" t="str">
        <f ca="1">IF(AND($B$158=1,LEN($BF$169) * LEN($BF$99)&gt;0),($BF$99/$BF$169)*100,HLOOKUP(INDIRECT(ADDRESS(2,COLUMN())),OFFSET($BN$2,0,0,ROW()-1,60),ROW()-1,FALSE))</f>
        <v/>
      </c>
      <c r="BG100" t="str">
        <f ca="1">IF(AND($B$158=1,LEN($BG$169) * LEN($BG$99)&gt;0),($BG$99/$BG$169)*100,HLOOKUP(INDIRECT(ADDRESS(2,COLUMN())),OFFSET($BN$2,0,0,ROW()-1,60),ROW()-1,FALSE))</f>
        <v/>
      </c>
      <c r="BH100" t="str">
        <f ca="1">IF(AND($B$158=1,LEN($BH$169) * LEN($BH$99)&gt;0),($BH$99/$BH$169)*100,HLOOKUP(INDIRECT(ADDRESS(2,COLUMN())),OFFSET($BN$2,0,0,ROW()-1,60),ROW()-1,FALSE))</f>
        <v/>
      </c>
      <c r="BI100" t="str">
        <f ca="1">IF(AND($B$158=1,LEN($BI$169) * LEN($BI$99)&gt;0),($BI$99/$BI$169)*100,HLOOKUP(INDIRECT(ADDRESS(2,COLUMN())),OFFSET($BN$2,0,0,ROW()-1,60),ROW()-1,FALSE))</f>
        <v/>
      </c>
      <c r="BJ100" t="str">
        <f ca="1">IF(AND($B$158=1,LEN($BJ$169) * LEN($BJ$99)&gt;0),($BJ$99/$BJ$169)*100,HLOOKUP(INDIRECT(ADDRESS(2,COLUMN())),OFFSET($BN$2,0,0,ROW()-1,60),ROW()-1,FALSE))</f>
        <v/>
      </c>
      <c r="BK100" t="str">
        <f ca="1">IF(AND($B$158=1,LEN($BK$169) * LEN($BK$99)&gt;0),($BK$99/$BK$169)*100,HLOOKUP(INDIRECT(ADDRESS(2,COLUMN())),OFFSET($BN$2,0,0,ROW()-1,60),ROW()-1,FALSE))</f>
        <v/>
      </c>
      <c r="BL100" t="str">
        <f ca="1">IF(AND($B$158=1,LEN($BL$169) * LEN($BL$99)&gt;0),($BL$99/$BL$169)*100,HLOOKUP(INDIRECT(ADDRESS(2,COLUMN())),OFFSET($BN$2,0,0,ROW()-1,60),ROW()-1,FALSE))</f>
        <v/>
      </c>
      <c r="BM100" t="str">
        <f ca="1">IF(AND($B$158=1,LEN($BM$169) * LEN($BM$99)&gt;0),($BM$99/$BM$169)*100,HLOOKUP(INDIRECT(ADDRESS(2,COLUMN())),OFFSET($BN$2,0,0,ROW()-1,60),ROW()-1,FALSE))</f>
        <v/>
      </c>
      <c r="BN100" t="str">
        <f>""</f>
        <v/>
      </c>
      <c r="BO100">
        <f>52.0989541</f>
        <v>52.0989541</v>
      </c>
      <c r="BP100">
        <f>55.60473396</f>
        <v>55.604733959999997</v>
      </c>
      <c r="BQ100">
        <f>55.72493573</f>
        <v>55.724935729999999</v>
      </c>
      <c r="BR100">
        <f>56.95519704</f>
        <v>56.955197040000002</v>
      </c>
      <c r="BS100">
        <f>56.15837749</f>
        <v>56.158377489999999</v>
      </c>
      <c r="BT100">
        <f>58.30076778</f>
        <v>58.300767780000001</v>
      </c>
      <c r="BU100">
        <f>56.3218032</f>
        <v>56.321803199999998</v>
      </c>
      <c r="BV100">
        <f>60.46554294</f>
        <v>60.465542939999999</v>
      </c>
      <c r="BW100">
        <f>61.13113319</f>
        <v>61.13113319</v>
      </c>
      <c r="BX100">
        <f>59.4715943</f>
        <v>59.4715943</v>
      </c>
      <c r="BY100">
        <f>61.43766676</f>
        <v>61.437666759999999</v>
      </c>
      <c r="BZ100">
        <f>61.00433488</f>
        <v>61.004334880000002</v>
      </c>
      <c r="CA100">
        <f>61.61081717</f>
        <v>61.610817169999997</v>
      </c>
      <c r="CB100">
        <f>59.71737823</f>
        <v>59.717378230000001</v>
      </c>
      <c r="CC100">
        <f>60.09271779</f>
        <v>60.092717790000002</v>
      </c>
      <c r="CD100">
        <f>133.1046635</f>
        <v>133.10466349999999</v>
      </c>
      <c r="CE100">
        <f>58.29956476</f>
        <v>58.299564760000003</v>
      </c>
      <c r="CF100">
        <f>56.26807733</f>
        <v>56.268077329999997</v>
      </c>
      <c r="CG100">
        <f>37.89002379</f>
        <v>37.890023790000001</v>
      </c>
      <c r="CH100">
        <f>38.27730733</f>
        <v>38.277307329999999</v>
      </c>
      <c r="CI100">
        <f>34.17276353</f>
        <v>34.172763529999997</v>
      </c>
      <c r="CJ100">
        <f>35.47539658</f>
        <v>35.475396580000002</v>
      </c>
      <c r="CK100">
        <f>32.82913577</f>
        <v>32.829135770000001</v>
      </c>
      <c r="CL100">
        <f>34.61986463</f>
        <v>34.619864630000002</v>
      </c>
      <c r="CM100">
        <f>31.91834761</f>
        <v>31.918347610000001</v>
      </c>
      <c r="CN100">
        <f>35.13088456</f>
        <v>35.130884559999998</v>
      </c>
      <c r="CO100">
        <f>32.78008299</f>
        <v>32.780082989999997</v>
      </c>
      <c r="CP100">
        <f>35.37457145</f>
        <v>35.374571449999998</v>
      </c>
      <c r="CQ100">
        <f>32.91687618</f>
        <v>32.916876180000003</v>
      </c>
      <c r="CR100">
        <f>35.68023157</f>
        <v>35.680231569999997</v>
      </c>
      <c r="CS100">
        <f>34.94578816</f>
        <v>34.945788159999999</v>
      </c>
      <c r="CT100" t="str">
        <f>""</f>
        <v/>
      </c>
      <c r="CU100">
        <f>34.27665478</f>
        <v>34.276654780000001</v>
      </c>
      <c r="CV100">
        <f>38.51386482</f>
        <v>38.513864820000002</v>
      </c>
      <c r="CW100">
        <f>36.52969963</f>
        <v>36.529699630000003</v>
      </c>
      <c r="CX100">
        <f>38.88845523</f>
        <v>38.888455229999998</v>
      </c>
      <c r="CY100">
        <f>35.7209811</f>
        <v>35.720981100000003</v>
      </c>
      <c r="CZ100">
        <f>38.73140241</f>
        <v>38.731402410000001</v>
      </c>
      <c r="DA100">
        <f>36.20564499</f>
        <v>36.205644990000003</v>
      </c>
      <c r="DB100" t="str">
        <f>""</f>
        <v/>
      </c>
      <c r="DC100" t="str">
        <f>""</f>
        <v/>
      </c>
      <c r="DD100">
        <f>27.83563505</f>
        <v>27.83563505</v>
      </c>
      <c r="DE100">
        <f>25.89836275</f>
        <v>25.89836275</v>
      </c>
      <c r="DF100">
        <f>18.38714996</f>
        <v>18.387149959999999</v>
      </c>
      <c r="DG100">
        <f>18.76645566</f>
        <v>18.766455659999998</v>
      </c>
      <c r="DH100">
        <f>15.62842893</f>
        <v>15.62842893</v>
      </c>
      <c r="DI100">
        <f>17.31674315</f>
        <v>17.316743150000001</v>
      </c>
      <c r="DJ100">
        <f>13.4026073</f>
        <v>13.4026073</v>
      </c>
      <c r="DK100">
        <f>11.64095322</f>
        <v>11.64095322</v>
      </c>
      <c r="DL100">
        <f>11.99560371</f>
        <v>11.995603709999999</v>
      </c>
      <c r="DM100">
        <f>11.87146745</f>
        <v>11.871467450000001</v>
      </c>
      <c r="DN100" t="str">
        <f>""</f>
        <v/>
      </c>
      <c r="DO100" t="str">
        <f>""</f>
        <v/>
      </c>
      <c r="DP100" t="str">
        <f>""</f>
        <v/>
      </c>
      <c r="DQ100" t="str">
        <f>""</f>
        <v/>
      </c>
      <c r="DR100" t="str">
        <f>""</f>
        <v/>
      </c>
      <c r="DS100" t="str">
        <f>""</f>
        <v/>
      </c>
      <c r="DT100" t="str">
        <f>""</f>
        <v/>
      </c>
      <c r="DU100" t="str">
        <f>""</f>
        <v/>
      </c>
    </row>
    <row r="101" spans="1:125" x14ac:dyDescent="0.25">
      <c r="A101" t="str">
        <f>"        Recurring Operating Income"</f>
        <v xml:space="preserve">        Recurring Operating Income</v>
      </c>
      <c r="B101" t="str">
        <f>"KER FP Equity"</f>
        <v>KER FP Equity</v>
      </c>
      <c r="C101" t="str">
        <f>"BI047"</f>
        <v>BI047</v>
      </c>
      <c r="D101" t="str">
        <f>"BICS_SEGMENT_DATA"</f>
        <v>BICS_SEGMENT_DATA</v>
      </c>
      <c r="E101" t="str">
        <f>"Dynamic"</f>
        <v>Dynamic</v>
      </c>
      <c r="F101" t="str">
        <f ca="1">IF(AND(ISNUMBER($F$238),$B$158=1),$F$238,HLOOKUP(INDIRECT(ADDRESS(2,COLUMN())),OFFSET($BN$2,0,0,ROW()-1,60),ROW()-1,FALSE))</f>
        <v/>
      </c>
      <c r="G101" t="str">
        <f ca="1">IF(AND(ISNUMBER($G$238),$B$158=1),$G$238,HLOOKUP(INDIRECT(ADDRESS(2,COLUMN())),OFFSET($BN$2,0,0,ROW()-1,60),ROW()-1,FALSE))</f>
        <v/>
      </c>
      <c r="H101" t="str">
        <f ca="1">IF(AND(ISNUMBER($H$238),$B$158=1),$H$238,HLOOKUP(INDIRECT(ADDRESS(2,COLUMN())),OFFSET($BN$2,0,0,ROW()-1,60),ROW()-1,FALSE))</f>
        <v/>
      </c>
      <c r="I101" t="str">
        <f ca="1">IF(AND(ISNUMBER($I$238),$B$158=1),$I$238,HLOOKUP(INDIRECT(ADDRESS(2,COLUMN())),OFFSET($BN$2,0,0,ROW()-1,60),ROW()-1,FALSE))</f>
        <v/>
      </c>
      <c r="J101" t="str">
        <f ca="1">IF(AND(ISNUMBER($J$238),$B$158=1),$J$238,HLOOKUP(INDIRECT(ADDRESS(2,COLUMN())),OFFSET($BN$2,0,0,ROW()-1,60),ROW()-1,FALSE))</f>
        <v/>
      </c>
      <c r="K101" t="str">
        <f ca="1">IF(AND(ISNUMBER($K$238),$B$158=1),$K$238,HLOOKUP(INDIRECT(ADDRESS(2,COLUMN())),OFFSET($BN$2,0,0,ROW()-1,60),ROW()-1,FALSE))</f>
        <v/>
      </c>
      <c r="L101" t="str">
        <f ca="1">IF(AND(ISNUMBER($L$238),$B$158=1),$L$238,HLOOKUP(INDIRECT(ADDRESS(2,COLUMN())),OFFSET($BN$2,0,0,ROW()-1,60),ROW()-1,FALSE))</f>
        <v/>
      </c>
      <c r="M101" t="str">
        <f ca="1">IF(AND(ISNUMBER($M$238),$B$158=1),$M$238,HLOOKUP(INDIRECT(ADDRESS(2,COLUMN())),OFFSET($BN$2,0,0,ROW()-1,60),ROW()-1,FALSE))</f>
        <v/>
      </c>
      <c r="N101" t="str">
        <f ca="1">IF(AND(ISNUMBER($N$238),$B$158=1),$N$238,HLOOKUP(INDIRECT(ADDRESS(2,COLUMN())),OFFSET($BN$2,0,0,ROW()-1,60),ROW()-1,FALSE))</f>
        <v/>
      </c>
      <c r="O101" t="str">
        <f ca="1">IF(AND(ISNUMBER($O$238),$B$158=1),$O$238,HLOOKUP(INDIRECT(ADDRESS(2,COLUMN())),OFFSET($BN$2,0,0,ROW()-1,60),ROW()-1,FALSE))</f>
        <v/>
      </c>
      <c r="P101" t="str">
        <f ca="1">IF(AND(ISNUMBER($P$238),$B$158=1),$P$238,HLOOKUP(INDIRECT(ADDRESS(2,COLUMN())),OFFSET($BN$2,0,0,ROW()-1,60),ROW()-1,FALSE))</f>
        <v/>
      </c>
      <c r="Q101" t="str">
        <f ca="1">IF(AND(ISNUMBER($Q$238),$B$158=1),$Q$238,HLOOKUP(INDIRECT(ADDRESS(2,COLUMN())),OFFSET($BN$2,0,0,ROW()-1,60),ROW()-1,FALSE))</f>
        <v/>
      </c>
      <c r="R101" t="str">
        <f ca="1">IF(AND(ISNUMBER($R$238),$B$158=1),$R$238,HLOOKUP(INDIRECT(ADDRESS(2,COLUMN())),OFFSET($BN$2,0,0,ROW()-1,60),ROW()-1,FALSE))</f>
        <v/>
      </c>
      <c r="S101" t="str">
        <f ca="1">IF(AND(ISNUMBER($S$238),$B$158=1),$S$238,HLOOKUP(INDIRECT(ADDRESS(2,COLUMN())),OFFSET($BN$2,0,0,ROW()-1,60),ROW()-1,FALSE))</f>
        <v/>
      </c>
      <c r="T101" t="str">
        <f ca="1">IF(AND(ISNUMBER($T$238),$B$158=1),$T$238,HLOOKUP(INDIRECT(ADDRESS(2,COLUMN())),OFFSET($BN$2,0,0,ROW()-1,60),ROW()-1,FALSE))</f>
        <v/>
      </c>
      <c r="U101" t="str">
        <f ca="1">IF(AND(ISNUMBER($U$238),$B$158=1),$U$238,HLOOKUP(INDIRECT(ADDRESS(2,COLUMN())),OFFSET($BN$2,0,0,ROW()-1,60),ROW()-1,FALSE))</f>
        <v/>
      </c>
      <c r="V101" t="str">
        <f ca="1">IF(AND(ISNUMBER($V$238),$B$158=1),$V$238,HLOOKUP(INDIRECT(ADDRESS(2,COLUMN())),OFFSET($BN$2,0,0,ROW()-1,60),ROW()-1,FALSE))</f>
        <v/>
      </c>
      <c r="W101" t="str">
        <f ca="1">IF(AND(ISNUMBER($W$238),$B$158=1),$W$238,HLOOKUP(INDIRECT(ADDRESS(2,COLUMN())),OFFSET($BN$2,0,0,ROW()-1,60),ROW()-1,FALSE))</f>
        <v/>
      </c>
      <c r="X101" t="str">
        <f ca="1">IF(AND(ISNUMBER($X$238),$B$158=1),$X$238,HLOOKUP(INDIRECT(ADDRESS(2,COLUMN())),OFFSET($BN$2,0,0,ROW()-1,60),ROW()-1,FALSE))</f>
        <v/>
      </c>
      <c r="Y101" t="str">
        <f ca="1">IF(AND(ISNUMBER($Y$238),$B$158=1),$Y$238,HLOOKUP(INDIRECT(ADDRESS(2,COLUMN())),OFFSET($BN$2,0,0,ROW()-1,60),ROW()-1,FALSE))</f>
        <v/>
      </c>
      <c r="Z101" t="str">
        <f ca="1">IF(AND(ISNUMBER($Z$238),$B$158=1),$Z$238,HLOOKUP(INDIRECT(ADDRESS(2,COLUMN())),OFFSET($BN$2,0,0,ROW()-1,60),ROW()-1,FALSE))</f>
        <v/>
      </c>
      <c r="AA101" t="str">
        <f ca="1">IF(AND(ISNUMBER($AA$238),$B$158=1),$AA$238,HLOOKUP(INDIRECT(ADDRESS(2,COLUMN())),OFFSET($BN$2,0,0,ROW()-1,60),ROW()-1,FALSE))</f>
        <v/>
      </c>
      <c r="AB101" t="str">
        <f ca="1">IF(AND(ISNUMBER($AB$238),$B$158=1),$AB$238,HLOOKUP(INDIRECT(ADDRESS(2,COLUMN())),OFFSET($BN$2,0,0,ROW()-1,60),ROW()-1,FALSE))</f>
        <v/>
      </c>
      <c r="AC101" t="str">
        <f ca="1">IF(AND(ISNUMBER($AC$238),$B$158=1),$AC$238,HLOOKUP(INDIRECT(ADDRESS(2,COLUMN())),OFFSET($BN$2,0,0,ROW()-1,60),ROW()-1,FALSE))</f>
        <v/>
      </c>
      <c r="AD101" t="str">
        <f ca="1">IF(AND(ISNUMBER($AD$238),$B$158=1),$AD$238,HLOOKUP(INDIRECT(ADDRESS(2,COLUMN())),OFFSET($BN$2,0,0,ROW()-1,60),ROW()-1,FALSE))</f>
        <v/>
      </c>
      <c r="AE101" t="str">
        <f ca="1">IF(AND(ISNUMBER($AE$238),$B$158=1),$AE$238,HLOOKUP(INDIRECT(ADDRESS(2,COLUMN())),OFFSET($BN$2,0,0,ROW()-1,60),ROW()-1,FALSE))</f>
        <v/>
      </c>
      <c r="AF101" t="str">
        <f ca="1">IF(AND(ISNUMBER($AF$238),$B$158=1),$AF$238,HLOOKUP(INDIRECT(ADDRESS(2,COLUMN())),OFFSET($BN$2,0,0,ROW()-1,60),ROW()-1,FALSE))</f>
        <v/>
      </c>
      <c r="AG101" t="str">
        <f ca="1">IF(AND(ISNUMBER($AG$238),$B$158=1),$AG$238,HLOOKUP(INDIRECT(ADDRESS(2,COLUMN())),OFFSET($BN$2,0,0,ROW()-1,60),ROW()-1,FALSE))</f>
        <v/>
      </c>
      <c r="AH101" t="str">
        <f ca="1">IF(AND(ISNUMBER($AH$238),$B$158=1),$AH$238,HLOOKUP(INDIRECT(ADDRESS(2,COLUMN())),OFFSET($BN$2,0,0,ROW()-1,60),ROW()-1,FALSE))</f>
        <v/>
      </c>
      <c r="AI101" t="str">
        <f ca="1">IF(AND(ISNUMBER($AI$238),$B$158=1),$AI$238,HLOOKUP(INDIRECT(ADDRESS(2,COLUMN())),OFFSET($BN$2,0,0,ROW()-1,60),ROW()-1,FALSE))</f>
        <v/>
      </c>
      <c r="AJ101" t="str">
        <f ca="1">IF(AND(ISNUMBER($AJ$238),$B$158=1),$AJ$238,HLOOKUP(INDIRECT(ADDRESS(2,COLUMN())),OFFSET($BN$2,0,0,ROW()-1,60),ROW()-1,FALSE))</f>
        <v/>
      </c>
      <c r="AK101" t="str">
        <f ca="1">IF(AND(ISNUMBER($AK$238),$B$158=1),$AK$238,HLOOKUP(INDIRECT(ADDRESS(2,COLUMN())),OFFSET($BN$2,0,0,ROW()-1,60),ROW()-1,FALSE))</f>
        <v/>
      </c>
      <c r="AL101" t="str">
        <f ca="1">IF(AND(ISNUMBER($AL$238),$B$158=1),$AL$238,HLOOKUP(INDIRECT(ADDRESS(2,COLUMN())),OFFSET($BN$2,0,0,ROW()-1,60),ROW()-1,FALSE))</f>
        <v/>
      </c>
      <c r="AM101" t="str">
        <f ca="1">IF(AND(ISNUMBER($AM$238),$B$158=1),$AM$238,HLOOKUP(INDIRECT(ADDRESS(2,COLUMN())),OFFSET($BN$2,0,0,ROW()-1,60),ROW()-1,FALSE))</f>
        <v/>
      </c>
      <c r="AN101" t="str">
        <f ca="1">IF(AND(ISNUMBER($AN$238),$B$158=1),$AN$238,HLOOKUP(INDIRECT(ADDRESS(2,COLUMN())),OFFSET($BN$2,0,0,ROW()-1,60),ROW()-1,FALSE))</f>
        <v/>
      </c>
      <c r="AO101" t="str">
        <f ca="1">IF(AND(ISNUMBER($AO$238),$B$158=1),$AO$238,HLOOKUP(INDIRECT(ADDRESS(2,COLUMN())),OFFSET($BN$2,0,0,ROW()-1,60),ROW()-1,FALSE))</f>
        <v/>
      </c>
      <c r="AP101" t="str">
        <f ca="1">IF(AND(ISNUMBER($AP$238),$B$158=1),$AP$238,HLOOKUP(INDIRECT(ADDRESS(2,COLUMN())),OFFSET($BN$2,0,0,ROW()-1,60),ROW()-1,FALSE))</f>
        <v/>
      </c>
      <c r="AQ101" t="str">
        <f ca="1">IF(AND(ISNUMBER($AQ$238),$B$158=1),$AQ$238,HLOOKUP(INDIRECT(ADDRESS(2,COLUMN())),OFFSET($BN$2,0,0,ROW()-1,60),ROW()-1,FALSE))</f>
        <v/>
      </c>
      <c r="AR101" t="str">
        <f ca="1">IF(AND(ISNUMBER($AR$238),$B$158=1),$AR$238,HLOOKUP(INDIRECT(ADDRESS(2,COLUMN())),OFFSET($BN$2,0,0,ROW()-1,60),ROW()-1,FALSE))</f>
        <v/>
      </c>
      <c r="AS101" t="str">
        <f ca="1">IF(AND(ISNUMBER($AS$238),$B$158=1),$AS$238,HLOOKUP(INDIRECT(ADDRESS(2,COLUMN())),OFFSET($BN$2,0,0,ROW()-1,60),ROW()-1,FALSE))</f>
        <v/>
      </c>
      <c r="AT101" t="str">
        <f ca="1">IF(AND(ISNUMBER($AT$238),$B$158=1),$AT$238,HLOOKUP(INDIRECT(ADDRESS(2,COLUMN())),OFFSET($BN$2,0,0,ROW()-1,60),ROW()-1,FALSE))</f>
        <v/>
      </c>
      <c r="AU101" t="str">
        <f ca="1">IF(AND(ISNUMBER($AU$238),$B$158=1),$AU$238,HLOOKUP(INDIRECT(ADDRESS(2,COLUMN())),OFFSET($BN$2,0,0,ROW()-1,60),ROW()-1,FALSE))</f>
        <v/>
      </c>
      <c r="AV101" t="str">
        <f ca="1">IF(AND(ISNUMBER($AV$238),$B$158=1),$AV$238,HLOOKUP(INDIRECT(ADDRESS(2,COLUMN())),OFFSET($BN$2,0,0,ROW()-1,60),ROW()-1,FALSE))</f>
        <v/>
      </c>
      <c r="AW101" t="str">
        <f ca="1">IF(AND(ISNUMBER($AW$238),$B$158=1),$AW$238,HLOOKUP(INDIRECT(ADDRESS(2,COLUMN())),OFFSET($BN$2,0,0,ROW()-1,60),ROW()-1,FALSE))</f>
        <v/>
      </c>
      <c r="AX101" t="str">
        <f ca="1">IF(AND(ISNUMBER($AX$238),$B$158=1),$AX$238,HLOOKUP(INDIRECT(ADDRESS(2,COLUMN())),OFFSET($BN$2,0,0,ROW()-1,60),ROW()-1,FALSE))</f>
        <v/>
      </c>
      <c r="AY101" t="str">
        <f ca="1">IF(AND(ISNUMBER($AY$238),$B$158=1),$AY$238,HLOOKUP(INDIRECT(ADDRESS(2,COLUMN())),OFFSET($BN$2,0,0,ROW()-1,60),ROW()-1,FALSE))</f>
        <v/>
      </c>
      <c r="AZ101" t="str">
        <f ca="1">IF(AND(ISNUMBER($AZ$238),$B$158=1),$AZ$238,HLOOKUP(INDIRECT(ADDRESS(2,COLUMN())),OFFSET($BN$2,0,0,ROW()-1,60),ROW()-1,FALSE))</f>
        <v/>
      </c>
      <c r="BA101" t="str">
        <f ca="1">IF(AND(ISNUMBER($BA$238),$B$158=1),$BA$238,HLOOKUP(INDIRECT(ADDRESS(2,COLUMN())),OFFSET($BN$2,0,0,ROW()-1,60),ROW()-1,FALSE))</f>
        <v/>
      </c>
      <c r="BB101" t="str">
        <f ca="1">IF(AND(ISNUMBER($BB$238),$B$158=1),$BB$238,HLOOKUP(INDIRECT(ADDRESS(2,COLUMN())),OFFSET($BN$2,0,0,ROW()-1,60),ROW()-1,FALSE))</f>
        <v/>
      </c>
      <c r="BC101" t="str">
        <f ca="1">IF(AND(ISNUMBER($BC$238),$B$158=1),$BC$238,HLOOKUP(INDIRECT(ADDRESS(2,COLUMN())),OFFSET($BN$2,0,0,ROW()-1,60),ROW()-1,FALSE))</f>
        <v/>
      </c>
      <c r="BD101" t="str">
        <f ca="1">IF(AND(ISNUMBER($BD$238),$B$158=1),$BD$238,HLOOKUP(INDIRECT(ADDRESS(2,COLUMN())),OFFSET($BN$2,0,0,ROW()-1,60),ROW()-1,FALSE))</f>
        <v/>
      </c>
      <c r="BE101" t="str">
        <f ca="1">IF(AND(ISNUMBER($BE$238),$B$158=1),$BE$238,HLOOKUP(INDIRECT(ADDRESS(2,COLUMN())),OFFSET($BN$2,0,0,ROW()-1,60),ROW()-1,FALSE))</f>
        <v/>
      </c>
      <c r="BF101" t="str">
        <f ca="1">IF(AND(ISNUMBER($BF$238),$B$158=1),$BF$238,HLOOKUP(INDIRECT(ADDRESS(2,COLUMN())),OFFSET($BN$2,0,0,ROW()-1,60),ROW()-1,FALSE))</f>
        <v/>
      </c>
      <c r="BG101" t="str">
        <f ca="1">IF(AND(ISNUMBER($BG$238),$B$158=1),$BG$238,HLOOKUP(INDIRECT(ADDRESS(2,COLUMN())),OFFSET($BN$2,0,0,ROW()-1,60),ROW()-1,FALSE))</f>
        <v/>
      </c>
      <c r="BH101" t="str">
        <f ca="1">IF(AND(ISNUMBER($BH$238),$B$158=1),$BH$238,HLOOKUP(INDIRECT(ADDRESS(2,COLUMN())),OFFSET($BN$2,0,0,ROW()-1,60),ROW()-1,FALSE))</f>
        <v/>
      </c>
      <c r="BI101" t="str">
        <f ca="1">IF(AND(ISNUMBER($BI$238),$B$158=1),$BI$238,HLOOKUP(INDIRECT(ADDRESS(2,COLUMN())),OFFSET($BN$2,0,0,ROW()-1,60),ROW()-1,FALSE))</f>
        <v/>
      </c>
      <c r="BJ101" t="str">
        <f ca="1">IF(AND(ISNUMBER($BJ$238),$B$158=1),$BJ$238,HLOOKUP(INDIRECT(ADDRESS(2,COLUMN())),OFFSET($BN$2,0,0,ROW()-1,60),ROW()-1,FALSE))</f>
        <v/>
      </c>
      <c r="BK101" t="str">
        <f ca="1">IF(AND(ISNUMBER($BK$238),$B$158=1),$BK$238,HLOOKUP(INDIRECT(ADDRESS(2,COLUMN())),OFFSET($BN$2,0,0,ROW()-1,60),ROW()-1,FALSE))</f>
        <v/>
      </c>
      <c r="BL101" t="str">
        <f ca="1">IF(AND(ISNUMBER($BL$238),$B$158=1),$BL$238,HLOOKUP(INDIRECT(ADDRESS(2,COLUMN())),OFFSET($BN$2,0,0,ROW()-1,60),ROW()-1,FALSE))</f>
        <v/>
      </c>
      <c r="BM101" t="str">
        <f ca="1">IF(AND(ISNUMBER($BM$238),$B$158=1),$BM$238,HLOOKUP(INDIRECT(ADDRESS(2,COLUMN())),OFFSET($BN$2,0,0,ROW()-1,60),ROW()-1,FALSE))</f>
        <v/>
      </c>
      <c r="BN101" t="str">
        <f>""</f>
        <v/>
      </c>
      <c r="BO101" t="str">
        <f>""</f>
        <v/>
      </c>
      <c r="BP101" t="str">
        <f>""</f>
        <v/>
      </c>
      <c r="BQ101" t="str">
        <f>""</f>
        <v/>
      </c>
      <c r="BR101" t="str">
        <f>""</f>
        <v/>
      </c>
      <c r="BS101" t="str">
        <f>""</f>
        <v/>
      </c>
      <c r="BT101" t="str">
        <f>""</f>
        <v/>
      </c>
      <c r="BU101" t="str">
        <f>""</f>
        <v/>
      </c>
      <c r="BV101" t="str">
        <f>""</f>
        <v/>
      </c>
      <c r="BW101" t="str">
        <f>""</f>
        <v/>
      </c>
      <c r="BX101" t="str">
        <f>""</f>
        <v/>
      </c>
      <c r="BY101" t="str">
        <f>""</f>
        <v/>
      </c>
      <c r="BZ101" t="str">
        <f>""</f>
        <v/>
      </c>
      <c r="CA101" t="str">
        <f>""</f>
        <v/>
      </c>
      <c r="CB101" t="str">
        <f>""</f>
        <v/>
      </c>
      <c r="CC101" t="str">
        <f>""</f>
        <v/>
      </c>
      <c r="CD101" t="str">
        <f>""</f>
        <v/>
      </c>
      <c r="CE101" t="str">
        <f>""</f>
        <v/>
      </c>
      <c r="CF101" t="str">
        <f>""</f>
        <v/>
      </c>
      <c r="CG101" t="str">
        <f>""</f>
        <v/>
      </c>
      <c r="CH101" t="str">
        <f>""</f>
        <v/>
      </c>
      <c r="CI101" t="str">
        <f>""</f>
        <v/>
      </c>
      <c r="CJ101" t="str">
        <f>""</f>
        <v/>
      </c>
      <c r="CK101" t="str">
        <f>""</f>
        <v/>
      </c>
      <c r="CL101" t="str">
        <f>""</f>
        <v/>
      </c>
      <c r="CM101" t="str">
        <f>""</f>
        <v/>
      </c>
      <c r="CN101" t="str">
        <f>""</f>
        <v/>
      </c>
      <c r="CO101" t="str">
        <f>""</f>
        <v/>
      </c>
      <c r="CP101" t="str">
        <f>""</f>
        <v/>
      </c>
      <c r="CQ101" t="str">
        <f>""</f>
        <v/>
      </c>
      <c r="CR101" t="str">
        <f>""</f>
        <v/>
      </c>
      <c r="CS101" t="str">
        <f>""</f>
        <v/>
      </c>
      <c r="CT101" t="str">
        <f>""</f>
        <v/>
      </c>
      <c r="CU101" t="str">
        <f>""</f>
        <v/>
      </c>
      <c r="CV101" t="str">
        <f>""</f>
        <v/>
      </c>
      <c r="CW101" t="str">
        <f>""</f>
        <v/>
      </c>
      <c r="CX101" t="str">
        <f>""</f>
        <v/>
      </c>
      <c r="CY101" t="str">
        <f>""</f>
        <v/>
      </c>
      <c r="CZ101" t="str">
        <f>""</f>
        <v/>
      </c>
      <c r="DA101" t="str">
        <f>""</f>
        <v/>
      </c>
      <c r="DB101" t="str">
        <f>""</f>
        <v/>
      </c>
      <c r="DC101" t="str">
        <f>""</f>
        <v/>
      </c>
      <c r="DD101" t="str">
        <f>""</f>
        <v/>
      </c>
      <c r="DE101" t="str">
        <f>""</f>
        <v/>
      </c>
      <c r="DF101" t="str">
        <f>""</f>
        <v/>
      </c>
      <c r="DG101" t="str">
        <f>""</f>
        <v/>
      </c>
      <c r="DH101" t="str">
        <f>""</f>
        <v/>
      </c>
      <c r="DI101" t="str">
        <f>""</f>
        <v/>
      </c>
      <c r="DJ101" t="str">
        <f>""</f>
        <v/>
      </c>
      <c r="DK101" t="str">
        <f>""</f>
        <v/>
      </c>
      <c r="DL101" t="str">
        <f>""</f>
        <v/>
      </c>
      <c r="DM101" t="str">
        <f>""</f>
        <v/>
      </c>
      <c r="DN101" t="str">
        <f>""</f>
        <v/>
      </c>
      <c r="DO101" t="str">
        <f>""</f>
        <v/>
      </c>
      <c r="DP101" t="str">
        <f>""</f>
        <v/>
      </c>
      <c r="DQ101" t="str">
        <f>""</f>
        <v/>
      </c>
      <c r="DR101" t="str">
        <f>""</f>
        <v/>
      </c>
      <c r="DS101" t="str">
        <f>""</f>
        <v/>
      </c>
      <c r="DT101" t="str">
        <f>""</f>
        <v/>
      </c>
      <c r="DU101" t="str">
        <f>""</f>
        <v/>
      </c>
    </row>
    <row r="102" spans="1:125" x14ac:dyDescent="0.25">
      <c r="A102" t="str">
        <f>"        Recurring Operating Margin (%)"</f>
        <v xml:space="preserve">        Recurring Operating Margin (%)</v>
      </c>
      <c r="B102" t="str">
        <f>"KER FP Equity"</f>
        <v>KER FP Equity</v>
      </c>
      <c r="E102" t="str">
        <f>"Expression"</f>
        <v>Expression</v>
      </c>
      <c r="F102" t="str">
        <f ca="1">IF(AND($B$158=1,LEN($F$101) * LEN($F$99)&gt;0),$F$101/$F$99*100,HLOOKUP(INDIRECT(ADDRESS(2,COLUMN())),OFFSET($BN$2,0,0,ROW()-1,60),ROW()-1,FALSE))</f>
        <v/>
      </c>
      <c r="G102" t="str">
        <f ca="1">IF(AND($B$158=1,LEN($G$101) * LEN($G$99)&gt;0),$G$101/$G$99*100,HLOOKUP(INDIRECT(ADDRESS(2,COLUMN())),OFFSET($BN$2,0,0,ROW()-1,60),ROW()-1,FALSE))</f>
        <v/>
      </c>
      <c r="H102" t="str">
        <f ca="1">IF(AND($B$158=1,LEN($H$101) * LEN($H$99)&gt;0),$H$101/$H$99*100,HLOOKUP(INDIRECT(ADDRESS(2,COLUMN())),OFFSET($BN$2,0,0,ROW()-1,60),ROW()-1,FALSE))</f>
        <v/>
      </c>
      <c r="I102" t="str">
        <f ca="1">IF(AND($B$158=1,LEN($I$101) * LEN($I$99)&gt;0),$I$101/$I$99*100,HLOOKUP(INDIRECT(ADDRESS(2,COLUMN())),OFFSET($BN$2,0,0,ROW()-1,60),ROW()-1,FALSE))</f>
        <v/>
      </c>
      <c r="J102" t="str">
        <f ca="1">IF(AND($B$158=1,LEN($J$101) * LEN($J$99)&gt;0),$J$101/$J$99*100,HLOOKUP(INDIRECT(ADDRESS(2,COLUMN())),OFFSET($BN$2,0,0,ROW()-1,60),ROW()-1,FALSE))</f>
        <v/>
      </c>
      <c r="K102" t="str">
        <f ca="1">IF(AND($B$158=1,LEN($K$101) * LEN($K$99)&gt;0),$K$101/$K$99*100,HLOOKUP(INDIRECT(ADDRESS(2,COLUMN())),OFFSET($BN$2,0,0,ROW()-1,60),ROW()-1,FALSE))</f>
        <v/>
      </c>
      <c r="L102" t="str">
        <f ca="1">IF(AND($B$158=1,LEN($L$101) * LEN($L$99)&gt;0),$L$101/$L$99*100,HLOOKUP(INDIRECT(ADDRESS(2,COLUMN())),OFFSET($BN$2,0,0,ROW()-1,60),ROW()-1,FALSE))</f>
        <v/>
      </c>
      <c r="M102" t="str">
        <f ca="1">IF(AND($B$158=1,LEN($M$101) * LEN($M$99)&gt;0),$M$101/$M$99*100,HLOOKUP(INDIRECT(ADDRESS(2,COLUMN())),OFFSET($BN$2,0,0,ROW()-1,60),ROW()-1,FALSE))</f>
        <v/>
      </c>
      <c r="N102" t="str">
        <f ca="1">IF(AND($B$158=1,LEN($N$101) * LEN($N$99)&gt;0),$N$101/$N$99*100,HLOOKUP(INDIRECT(ADDRESS(2,COLUMN())),OFFSET($BN$2,0,0,ROW()-1,60),ROW()-1,FALSE))</f>
        <v/>
      </c>
      <c r="O102" t="str">
        <f ca="1">IF(AND($B$158=1,LEN($O$101) * LEN($O$99)&gt;0),$O$101/$O$99*100,HLOOKUP(INDIRECT(ADDRESS(2,COLUMN())),OFFSET($BN$2,0,0,ROW()-1,60),ROW()-1,FALSE))</f>
        <v/>
      </c>
      <c r="P102" t="str">
        <f ca="1">IF(AND($B$158=1,LEN($P$101) * LEN($P$99)&gt;0),$P$101/$P$99*100,HLOOKUP(INDIRECT(ADDRESS(2,COLUMN())),OFFSET($BN$2,0,0,ROW()-1,60),ROW()-1,FALSE))</f>
        <v/>
      </c>
      <c r="Q102" t="str">
        <f ca="1">IF(AND($B$158=1,LEN($Q$101) * LEN($Q$99)&gt;0),$Q$101/$Q$99*100,HLOOKUP(INDIRECT(ADDRESS(2,COLUMN())),OFFSET($BN$2,0,0,ROW()-1,60),ROW()-1,FALSE))</f>
        <v/>
      </c>
      <c r="R102" t="str">
        <f ca="1">IF(AND($B$158=1,LEN($R$101) * LEN($R$99)&gt;0),$R$101/$R$99*100,HLOOKUP(INDIRECT(ADDRESS(2,COLUMN())),OFFSET($BN$2,0,0,ROW()-1,60),ROW()-1,FALSE))</f>
        <v/>
      </c>
      <c r="S102" t="str">
        <f ca="1">IF(AND($B$158=1,LEN($S$101) * LEN($S$99)&gt;0),$S$101/$S$99*100,HLOOKUP(INDIRECT(ADDRESS(2,COLUMN())),OFFSET($BN$2,0,0,ROW()-1,60),ROW()-1,FALSE))</f>
        <v/>
      </c>
      <c r="T102" t="str">
        <f ca="1">IF(AND($B$158=1,LEN($T$101) * LEN($T$99)&gt;0),$T$101/$T$99*100,HLOOKUP(INDIRECT(ADDRESS(2,COLUMN())),OFFSET($BN$2,0,0,ROW()-1,60),ROW()-1,FALSE))</f>
        <v/>
      </c>
      <c r="U102" t="str">
        <f ca="1">IF(AND($B$158=1,LEN($U$101) * LEN($U$99)&gt;0),$U$101/$U$99*100,HLOOKUP(INDIRECT(ADDRESS(2,COLUMN())),OFFSET($BN$2,0,0,ROW()-1,60),ROW()-1,FALSE))</f>
        <v/>
      </c>
      <c r="V102" t="str">
        <f ca="1">IF(AND($B$158=1,LEN($V$101) * LEN($V$99)&gt;0),$V$101/$V$99*100,HLOOKUP(INDIRECT(ADDRESS(2,COLUMN())),OFFSET($BN$2,0,0,ROW()-1,60),ROW()-1,FALSE))</f>
        <v/>
      </c>
      <c r="W102" t="str">
        <f ca="1">IF(AND($B$158=1,LEN($W$101) * LEN($W$99)&gt;0),$W$101/$W$99*100,HLOOKUP(INDIRECT(ADDRESS(2,COLUMN())),OFFSET($BN$2,0,0,ROW()-1,60),ROW()-1,FALSE))</f>
        <v/>
      </c>
      <c r="X102" t="str">
        <f ca="1">IF(AND($B$158=1,LEN($X$101) * LEN($X$99)&gt;0),$X$101/$X$99*100,HLOOKUP(INDIRECT(ADDRESS(2,COLUMN())),OFFSET($BN$2,0,0,ROW()-1,60),ROW()-1,FALSE))</f>
        <v/>
      </c>
      <c r="Y102" t="str">
        <f ca="1">IF(AND($B$158=1,LEN($Y$101) * LEN($Y$99)&gt;0),$Y$101/$Y$99*100,HLOOKUP(INDIRECT(ADDRESS(2,COLUMN())),OFFSET($BN$2,0,0,ROW()-1,60),ROW()-1,FALSE))</f>
        <v/>
      </c>
      <c r="Z102" t="str">
        <f ca="1">IF(AND($B$158=1,LEN($Z$101) * LEN($Z$99)&gt;0),$Z$101/$Z$99*100,HLOOKUP(INDIRECT(ADDRESS(2,COLUMN())),OFFSET($BN$2,0,0,ROW()-1,60),ROW()-1,FALSE))</f>
        <v/>
      </c>
      <c r="AA102" t="str">
        <f ca="1">IF(AND($B$158=1,LEN($AA$101) * LEN($AA$99)&gt;0),$AA$101/$AA$99*100,HLOOKUP(INDIRECT(ADDRESS(2,COLUMN())),OFFSET($BN$2,0,0,ROW()-1,60),ROW()-1,FALSE))</f>
        <v/>
      </c>
      <c r="AB102" t="str">
        <f ca="1">IF(AND($B$158=1,LEN($AB$101) * LEN($AB$99)&gt;0),$AB$101/$AB$99*100,HLOOKUP(INDIRECT(ADDRESS(2,COLUMN())),OFFSET($BN$2,0,0,ROW()-1,60),ROW()-1,FALSE))</f>
        <v/>
      </c>
      <c r="AC102" t="str">
        <f ca="1">IF(AND($B$158=1,LEN($AC$101) * LEN($AC$99)&gt;0),$AC$101/$AC$99*100,HLOOKUP(INDIRECT(ADDRESS(2,COLUMN())),OFFSET($BN$2,0,0,ROW()-1,60),ROW()-1,FALSE))</f>
        <v/>
      </c>
      <c r="AD102" t="str">
        <f ca="1">IF(AND($B$158=1,LEN($AD$101) * LEN($AD$99)&gt;0),$AD$101/$AD$99*100,HLOOKUP(INDIRECT(ADDRESS(2,COLUMN())),OFFSET($BN$2,0,0,ROW()-1,60),ROW()-1,FALSE))</f>
        <v/>
      </c>
      <c r="AE102" t="str">
        <f ca="1">IF(AND($B$158=1,LEN($AE$101) * LEN($AE$99)&gt;0),$AE$101/$AE$99*100,HLOOKUP(INDIRECT(ADDRESS(2,COLUMN())),OFFSET($BN$2,0,0,ROW()-1,60),ROW()-1,FALSE))</f>
        <v/>
      </c>
      <c r="AF102" t="str">
        <f ca="1">IF(AND($B$158=1,LEN($AF$101) * LEN($AF$99)&gt;0),$AF$101/$AF$99*100,HLOOKUP(INDIRECT(ADDRESS(2,COLUMN())),OFFSET($BN$2,0,0,ROW()-1,60),ROW()-1,FALSE))</f>
        <v/>
      </c>
      <c r="AG102" t="str">
        <f ca="1">IF(AND($B$158=1,LEN($AG$101) * LEN($AG$99)&gt;0),$AG$101/$AG$99*100,HLOOKUP(INDIRECT(ADDRESS(2,COLUMN())),OFFSET($BN$2,0,0,ROW()-1,60),ROW()-1,FALSE))</f>
        <v/>
      </c>
      <c r="AH102" t="str">
        <f ca="1">IF(AND($B$158=1,LEN($AH$101) * LEN($AH$99)&gt;0),$AH$101/$AH$99*100,HLOOKUP(INDIRECT(ADDRESS(2,COLUMN())),OFFSET($BN$2,0,0,ROW()-1,60),ROW()-1,FALSE))</f>
        <v/>
      </c>
      <c r="AI102" t="str">
        <f ca="1">IF(AND($B$158=1,LEN($AI$101) * LEN($AI$99)&gt;0),$AI$101/$AI$99*100,HLOOKUP(INDIRECT(ADDRESS(2,COLUMN())),OFFSET($BN$2,0,0,ROW()-1,60),ROW()-1,FALSE))</f>
        <v/>
      </c>
      <c r="AJ102" t="str">
        <f ca="1">IF(AND($B$158=1,LEN($AJ$101) * LEN($AJ$99)&gt;0),$AJ$101/$AJ$99*100,HLOOKUP(INDIRECT(ADDRESS(2,COLUMN())),OFFSET($BN$2,0,0,ROW()-1,60),ROW()-1,FALSE))</f>
        <v/>
      </c>
      <c r="AK102" t="str">
        <f ca="1">IF(AND($B$158=1,LEN($AK$101) * LEN($AK$99)&gt;0),$AK$101/$AK$99*100,HLOOKUP(INDIRECT(ADDRESS(2,COLUMN())),OFFSET($BN$2,0,0,ROW()-1,60),ROW()-1,FALSE))</f>
        <v/>
      </c>
      <c r="AL102" t="str">
        <f ca="1">IF(AND($B$158=1,LEN($AL$101) * LEN($AL$99)&gt;0),$AL$101/$AL$99*100,HLOOKUP(INDIRECT(ADDRESS(2,COLUMN())),OFFSET($BN$2,0,0,ROW()-1,60),ROW()-1,FALSE))</f>
        <v/>
      </c>
      <c r="AM102" t="str">
        <f ca="1">IF(AND($B$158=1,LEN($AM$101) * LEN($AM$99)&gt;0),$AM$101/$AM$99*100,HLOOKUP(INDIRECT(ADDRESS(2,COLUMN())),OFFSET($BN$2,0,0,ROW()-1,60),ROW()-1,FALSE))</f>
        <v/>
      </c>
      <c r="AN102" t="str">
        <f ca="1">IF(AND($B$158=1,LEN($AN$101) * LEN($AN$99)&gt;0),$AN$101/$AN$99*100,HLOOKUP(INDIRECT(ADDRESS(2,COLUMN())),OFFSET($BN$2,0,0,ROW()-1,60),ROW()-1,FALSE))</f>
        <v/>
      </c>
      <c r="AO102" t="str">
        <f ca="1">IF(AND($B$158=1,LEN($AO$101) * LEN($AO$99)&gt;0),$AO$101/$AO$99*100,HLOOKUP(INDIRECT(ADDRESS(2,COLUMN())),OFFSET($BN$2,0,0,ROW()-1,60),ROW()-1,FALSE))</f>
        <v/>
      </c>
      <c r="AP102" t="str">
        <f ca="1">IF(AND($B$158=1,LEN($AP$101) * LEN($AP$99)&gt;0),$AP$101/$AP$99*100,HLOOKUP(INDIRECT(ADDRESS(2,COLUMN())),OFFSET($BN$2,0,0,ROW()-1,60),ROW()-1,FALSE))</f>
        <v/>
      </c>
      <c r="AQ102" t="str">
        <f ca="1">IF(AND($B$158=1,LEN($AQ$101) * LEN($AQ$99)&gt;0),$AQ$101/$AQ$99*100,HLOOKUP(INDIRECT(ADDRESS(2,COLUMN())),OFFSET($BN$2,0,0,ROW()-1,60),ROW()-1,FALSE))</f>
        <v/>
      </c>
      <c r="AR102" t="str">
        <f ca="1">IF(AND($B$158=1,LEN($AR$101) * LEN($AR$99)&gt;0),$AR$101/$AR$99*100,HLOOKUP(INDIRECT(ADDRESS(2,COLUMN())),OFFSET($BN$2,0,0,ROW()-1,60),ROW()-1,FALSE))</f>
        <v/>
      </c>
      <c r="AS102" t="str">
        <f ca="1">IF(AND($B$158=1,LEN($AS$101) * LEN($AS$99)&gt;0),$AS$101/$AS$99*100,HLOOKUP(INDIRECT(ADDRESS(2,COLUMN())),OFFSET($BN$2,0,0,ROW()-1,60),ROW()-1,FALSE))</f>
        <v/>
      </c>
      <c r="AT102" t="str">
        <f ca="1">IF(AND($B$158=1,LEN($AT$101) * LEN($AT$99)&gt;0),$AT$101/$AT$99*100,HLOOKUP(INDIRECT(ADDRESS(2,COLUMN())),OFFSET($BN$2,0,0,ROW()-1,60),ROW()-1,FALSE))</f>
        <v/>
      </c>
      <c r="AU102" t="str">
        <f ca="1">IF(AND($B$158=1,LEN($AU$101) * LEN($AU$99)&gt;0),$AU$101/$AU$99*100,HLOOKUP(INDIRECT(ADDRESS(2,COLUMN())),OFFSET($BN$2,0,0,ROW()-1,60),ROW()-1,FALSE))</f>
        <v/>
      </c>
      <c r="AV102" t="str">
        <f ca="1">IF(AND($B$158=1,LEN($AV$101) * LEN($AV$99)&gt;0),$AV$101/$AV$99*100,HLOOKUP(INDIRECT(ADDRESS(2,COLUMN())),OFFSET($BN$2,0,0,ROW()-1,60),ROW()-1,FALSE))</f>
        <v/>
      </c>
      <c r="AW102" t="str">
        <f ca="1">IF(AND($B$158=1,LEN($AW$101) * LEN($AW$99)&gt;0),$AW$101/$AW$99*100,HLOOKUP(INDIRECT(ADDRESS(2,COLUMN())),OFFSET($BN$2,0,0,ROW()-1,60),ROW()-1,FALSE))</f>
        <v/>
      </c>
      <c r="AX102" t="str">
        <f ca="1">IF(AND($B$158=1,LEN($AX$101) * LEN($AX$99)&gt;0),$AX$101/$AX$99*100,HLOOKUP(INDIRECT(ADDRESS(2,COLUMN())),OFFSET($BN$2,0,0,ROW()-1,60),ROW()-1,FALSE))</f>
        <v/>
      </c>
      <c r="AY102" t="str">
        <f ca="1">IF(AND($B$158=1,LEN($AY$101) * LEN($AY$99)&gt;0),$AY$101/$AY$99*100,HLOOKUP(INDIRECT(ADDRESS(2,COLUMN())),OFFSET($BN$2,0,0,ROW()-1,60),ROW()-1,FALSE))</f>
        <v/>
      </c>
      <c r="AZ102" t="str">
        <f ca="1">IF(AND($B$158=1,LEN($AZ$101) * LEN($AZ$99)&gt;0),$AZ$101/$AZ$99*100,HLOOKUP(INDIRECT(ADDRESS(2,COLUMN())),OFFSET($BN$2,0,0,ROW()-1,60),ROW()-1,FALSE))</f>
        <v/>
      </c>
      <c r="BA102" t="str">
        <f ca="1">IF(AND($B$158=1,LEN($BA$101) * LEN($BA$99)&gt;0),$BA$101/$BA$99*100,HLOOKUP(INDIRECT(ADDRESS(2,COLUMN())),OFFSET($BN$2,0,0,ROW()-1,60),ROW()-1,FALSE))</f>
        <v/>
      </c>
      <c r="BB102" t="str">
        <f ca="1">IF(AND($B$158=1,LEN($BB$101) * LEN($BB$99)&gt;0),$BB$101/$BB$99*100,HLOOKUP(INDIRECT(ADDRESS(2,COLUMN())),OFFSET($BN$2,0,0,ROW()-1,60),ROW()-1,FALSE))</f>
        <v/>
      </c>
      <c r="BC102" t="str">
        <f ca="1">IF(AND($B$158=1,LEN($BC$101) * LEN($BC$99)&gt;0),$BC$101/$BC$99*100,HLOOKUP(INDIRECT(ADDRESS(2,COLUMN())),OFFSET($BN$2,0,0,ROW()-1,60),ROW()-1,FALSE))</f>
        <v/>
      </c>
      <c r="BD102" t="str">
        <f ca="1">IF(AND($B$158=1,LEN($BD$101) * LEN($BD$99)&gt;0),$BD$101/$BD$99*100,HLOOKUP(INDIRECT(ADDRESS(2,COLUMN())),OFFSET($BN$2,0,0,ROW()-1,60),ROW()-1,FALSE))</f>
        <v/>
      </c>
      <c r="BE102" t="str">
        <f ca="1">IF(AND($B$158=1,LEN($BE$101) * LEN($BE$99)&gt;0),$BE$101/$BE$99*100,HLOOKUP(INDIRECT(ADDRESS(2,COLUMN())),OFFSET($BN$2,0,0,ROW()-1,60),ROW()-1,FALSE))</f>
        <v/>
      </c>
      <c r="BF102" t="str">
        <f ca="1">IF(AND($B$158=1,LEN($BF$101) * LEN($BF$99)&gt;0),$BF$101/$BF$99*100,HLOOKUP(INDIRECT(ADDRESS(2,COLUMN())),OFFSET($BN$2,0,0,ROW()-1,60),ROW()-1,FALSE))</f>
        <v/>
      </c>
      <c r="BG102" t="str">
        <f ca="1">IF(AND($B$158=1,LEN($BG$101) * LEN($BG$99)&gt;0),$BG$101/$BG$99*100,HLOOKUP(INDIRECT(ADDRESS(2,COLUMN())),OFFSET($BN$2,0,0,ROW()-1,60),ROW()-1,FALSE))</f>
        <v/>
      </c>
      <c r="BH102" t="str">
        <f ca="1">IF(AND($B$158=1,LEN($BH$101) * LEN($BH$99)&gt;0),$BH$101/$BH$99*100,HLOOKUP(INDIRECT(ADDRESS(2,COLUMN())),OFFSET($BN$2,0,0,ROW()-1,60),ROW()-1,FALSE))</f>
        <v/>
      </c>
      <c r="BI102" t="str">
        <f ca="1">IF(AND($B$158=1,LEN($BI$101) * LEN($BI$99)&gt;0),$BI$101/$BI$99*100,HLOOKUP(INDIRECT(ADDRESS(2,COLUMN())),OFFSET($BN$2,0,0,ROW()-1,60),ROW()-1,FALSE))</f>
        <v/>
      </c>
      <c r="BJ102" t="str">
        <f ca="1">IF(AND($B$158=1,LEN($BJ$101) * LEN($BJ$99)&gt;0),$BJ$101/$BJ$99*100,HLOOKUP(INDIRECT(ADDRESS(2,COLUMN())),OFFSET($BN$2,0,0,ROW()-1,60),ROW()-1,FALSE))</f>
        <v/>
      </c>
      <c r="BK102" t="str">
        <f ca="1">IF(AND($B$158=1,LEN($BK$101) * LEN($BK$99)&gt;0),$BK$101/$BK$99*100,HLOOKUP(INDIRECT(ADDRESS(2,COLUMN())),OFFSET($BN$2,0,0,ROW()-1,60),ROW()-1,FALSE))</f>
        <v/>
      </c>
      <c r="BL102" t="str">
        <f ca="1">IF(AND($B$158=1,LEN($BL$101) * LEN($BL$99)&gt;0),$BL$101/$BL$99*100,HLOOKUP(INDIRECT(ADDRESS(2,COLUMN())),OFFSET($BN$2,0,0,ROW()-1,60),ROW()-1,FALSE))</f>
        <v/>
      </c>
      <c r="BM102" t="str">
        <f ca="1">IF(AND($B$158=1,LEN($BM$101) * LEN($BM$99)&gt;0),$BM$101/$BM$99*100,HLOOKUP(INDIRECT(ADDRESS(2,COLUMN())),OFFSET($BN$2,0,0,ROW()-1,60),ROW()-1,FALSE))</f>
        <v/>
      </c>
      <c r="BN102" t="str">
        <f>""</f>
        <v/>
      </c>
      <c r="BO102" t="str">
        <f>""</f>
        <v/>
      </c>
      <c r="BP102" t="str">
        <f>""</f>
        <v/>
      </c>
      <c r="BQ102" t="str">
        <f>""</f>
        <v/>
      </c>
      <c r="BR102" t="str">
        <f>""</f>
        <v/>
      </c>
      <c r="BS102" t="str">
        <f>""</f>
        <v/>
      </c>
      <c r="BT102" t="str">
        <f>""</f>
        <v/>
      </c>
      <c r="BU102" t="str">
        <f>""</f>
        <v/>
      </c>
      <c r="BV102" t="str">
        <f>""</f>
        <v/>
      </c>
      <c r="BW102" t="str">
        <f>""</f>
        <v/>
      </c>
      <c r="BX102" t="str">
        <f>""</f>
        <v/>
      </c>
      <c r="BY102" t="str">
        <f>""</f>
        <v/>
      </c>
      <c r="BZ102" t="str">
        <f>""</f>
        <v/>
      </c>
      <c r="CA102" t="str">
        <f>""</f>
        <v/>
      </c>
      <c r="CB102" t="str">
        <f>""</f>
        <v/>
      </c>
      <c r="CC102" t="str">
        <f>""</f>
        <v/>
      </c>
      <c r="CD102" t="str">
        <f>""</f>
        <v/>
      </c>
      <c r="CE102" t="str">
        <f>""</f>
        <v/>
      </c>
      <c r="CF102" t="str">
        <f>""</f>
        <v/>
      </c>
      <c r="CG102" t="str">
        <f>""</f>
        <v/>
      </c>
      <c r="CH102" t="str">
        <f>""</f>
        <v/>
      </c>
      <c r="CI102" t="str">
        <f>""</f>
        <v/>
      </c>
      <c r="CJ102" t="str">
        <f>""</f>
        <v/>
      </c>
      <c r="CK102" t="str">
        <f>""</f>
        <v/>
      </c>
      <c r="CL102" t="str">
        <f>""</f>
        <v/>
      </c>
      <c r="CM102" t="str">
        <f>""</f>
        <v/>
      </c>
      <c r="CN102" t="str">
        <f>""</f>
        <v/>
      </c>
      <c r="CO102" t="str">
        <f>""</f>
        <v/>
      </c>
      <c r="CP102" t="str">
        <f>""</f>
        <v/>
      </c>
      <c r="CQ102" t="str">
        <f>""</f>
        <v/>
      </c>
      <c r="CR102" t="str">
        <f>""</f>
        <v/>
      </c>
      <c r="CS102" t="str">
        <f>""</f>
        <v/>
      </c>
      <c r="CT102" t="str">
        <f>""</f>
        <v/>
      </c>
      <c r="CU102" t="str">
        <f>""</f>
        <v/>
      </c>
      <c r="CV102" t="str">
        <f>""</f>
        <v/>
      </c>
      <c r="CW102" t="str">
        <f>""</f>
        <v/>
      </c>
      <c r="CX102" t="str">
        <f>""</f>
        <v/>
      </c>
      <c r="CY102" t="str">
        <f>""</f>
        <v/>
      </c>
      <c r="CZ102" t="str">
        <f>""</f>
        <v/>
      </c>
      <c r="DA102" t="str">
        <f>""</f>
        <v/>
      </c>
      <c r="DB102" t="str">
        <f>""</f>
        <v/>
      </c>
      <c r="DC102" t="str">
        <f>""</f>
        <v/>
      </c>
      <c r="DD102" t="str">
        <f>""</f>
        <v/>
      </c>
      <c r="DE102" t="str">
        <f>""</f>
        <v/>
      </c>
      <c r="DF102" t="str">
        <f>""</f>
        <v/>
      </c>
      <c r="DG102" t="str">
        <f>""</f>
        <v/>
      </c>
      <c r="DH102" t="str">
        <f>""</f>
        <v/>
      </c>
      <c r="DI102" t="str">
        <f>""</f>
        <v/>
      </c>
      <c r="DJ102" t="str">
        <f>""</f>
        <v/>
      </c>
      <c r="DK102" t="str">
        <f>""</f>
        <v/>
      </c>
      <c r="DL102" t="str">
        <f>""</f>
        <v/>
      </c>
      <c r="DM102" t="str">
        <f>""</f>
        <v/>
      </c>
      <c r="DN102" t="str">
        <f>""</f>
        <v/>
      </c>
      <c r="DO102" t="str">
        <f>""</f>
        <v/>
      </c>
      <c r="DP102" t="str">
        <f>""</f>
        <v/>
      </c>
      <c r="DQ102" t="str">
        <f>""</f>
        <v/>
      </c>
      <c r="DR102" t="str">
        <f>""</f>
        <v/>
      </c>
      <c r="DS102" t="str">
        <f>""</f>
        <v/>
      </c>
      <c r="DT102" t="str">
        <f>""</f>
        <v/>
      </c>
      <c r="DU102" t="str">
        <f>""</f>
        <v/>
      </c>
    </row>
    <row r="103" spans="1:125" x14ac:dyDescent="0.25">
      <c r="A103" t="str">
        <f>"    Saint Laurent"</f>
        <v xml:space="preserve">    Saint Laurent</v>
      </c>
      <c r="B103" t="str">
        <f>""</f>
        <v/>
      </c>
      <c r="E103" t="str">
        <f>"Static"</f>
        <v>Static</v>
      </c>
      <c r="F103" t="str">
        <f t="shared" ref="F103:AK103" ca="1" si="56">HLOOKUP(INDIRECT(ADDRESS(2,COLUMN())),OFFSET($BN$2,0,0,ROW()-1,60),ROW()-1,FALSE)</f>
        <v/>
      </c>
      <c r="G103" t="str">
        <f t="shared" ca="1" si="56"/>
        <v/>
      </c>
      <c r="H103" t="str">
        <f t="shared" ca="1" si="56"/>
        <v/>
      </c>
      <c r="I103" t="str">
        <f t="shared" ca="1" si="56"/>
        <v/>
      </c>
      <c r="J103" t="str">
        <f t="shared" ca="1" si="56"/>
        <v/>
      </c>
      <c r="K103" t="str">
        <f t="shared" ca="1" si="56"/>
        <v/>
      </c>
      <c r="L103" t="str">
        <f t="shared" ca="1" si="56"/>
        <v/>
      </c>
      <c r="M103" t="str">
        <f t="shared" ca="1" si="56"/>
        <v/>
      </c>
      <c r="N103" t="str">
        <f t="shared" ca="1" si="56"/>
        <v/>
      </c>
      <c r="O103" t="str">
        <f t="shared" ca="1" si="56"/>
        <v/>
      </c>
      <c r="P103" t="str">
        <f t="shared" ca="1" si="56"/>
        <v/>
      </c>
      <c r="Q103" t="str">
        <f t="shared" ca="1" si="56"/>
        <v/>
      </c>
      <c r="R103" t="str">
        <f t="shared" ca="1" si="56"/>
        <v/>
      </c>
      <c r="S103" t="str">
        <f t="shared" ca="1" si="56"/>
        <v/>
      </c>
      <c r="T103" t="str">
        <f t="shared" ca="1" si="56"/>
        <v/>
      </c>
      <c r="U103" t="str">
        <f t="shared" ca="1" si="56"/>
        <v/>
      </c>
      <c r="V103" t="str">
        <f t="shared" ca="1" si="56"/>
        <v/>
      </c>
      <c r="W103" t="str">
        <f t="shared" ca="1" si="56"/>
        <v/>
      </c>
      <c r="X103" t="str">
        <f t="shared" ca="1" si="56"/>
        <v/>
      </c>
      <c r="Y103" t="str">
        <f t="shared" ca="1" si="56"/>
        <v/>
      </c>
      <c r="Z103" t="str">
        <f t="shared" ca="1" si="56"/>
        <v/>
      </c>
      <c r="AA103" t="str">
        <f t="shared" ca="1" si="56"/>
        <v/>
      </c>
      <c r="AB103" t="str">
        <f t="shared" ca="1" si="56"/>
        <v/>
      </c>
      <c r="AC103" t="str">
        <f t="shared" ca="1" si="56"/>
        <v/>
      </c>
      <c r="AD103" t="str">
        <f t="shared" ca="1" si="56"/>
        <v/>
      </c>
      <c r="AE103" t="str">
        <f t="shared" ca="1" si="56"/>
        <v/>
      </c>
      <c r="AF103" t="str">
        <f t="shared" ca="1" si="56"/>
        <v/>
      </c>
      <c r="AG103" t="str">
        <f t="shared" ca="1" si="56"/>
        <v/>
      </c>
      <c r="AH103" t="str">
        <f t="shared" ca="1" si="56"/>
        <v/>
      </c>
      <c r="AI103" t="str">
        <f t="shared" ca="1" si="56"/>
        <v/>
      </c>
      <c r="AJ103" t="str">
        <f t="shared" ca="1" si="56"/>
        <v/>
      </c>
      <c r="AK103" t="str">
        <f t="shared" ca="1" si="56"/>
        <v/>
      </c>
      <c r="AL103" t="str">
        <f t="shared" ref="AL103:BM103" ca="1" si="57">HLOOKUP(INDIRECT(ADDRESS(2,COLUMN())),OFFSET($BN$2,0,0,ROW()-1,60),ROW()-1,FALSE)</f>
        <v/>
      </c>
      <c r="AM103" t="str">
        <f t="shared" ca="1" si="57"/>
        <v/>
      </c>
      <c r="AN103" t="str">
        <f t="shared" ca="1" si="57"/>
        <v/>
      </c>
      <c r="AO103" t="str">
        <f t="shared" ca="1" si="57"/>
        <v/>
      </c>
      <c r="AP103" t="str">
        <f t="shared" ca="1" si="57"/>
        <v/>
      </c>
      <c r="AQ103" t="str">
        <f t="shared" ca="1" si="57"/>
        <v/>
      </c>
      <c r="AR103" t="str">
        <f t="shared" ca="1" si="57"/>
        <v/>
      </c>
      <c r="AS103" t="str">
        <f t="shared" ca="1" si="57"/>
        <v/>
      </c>
      <c r="AT103" t="str">
        <f t="shared" ca="1" si="57"/>
        <v/>
      </c>
      <c r="AU103" t="str">
        <f t="shared" ca="1" si="57"/>
        <v/>
      </c>
      <c r="AV103" t="str">
        <f t="shared" ca="1" si="57"/>
        <v/>
      </c>
      <c r="AW103" t="str">
        <f t="shared" ca="1" si="57"/>
        <v/>
      </c>
      <c r="AX103" t="str">
        <f t="shared" ca="1" si="57"/>
        <v/>
      </c>
      <c r="AY103" t="str">
        <f t="shared" ca="1" si="57"/>
        <v/>
      </c>
      <c r="AZ103" t="str">
        <f t="shared" ca="1" si="57"/>
        <v/>
      </c>
      <c r="BA103" t="str">
        <f t="shared" ca="1" si="57"/>
        <v/>
      </c>
      <c r="BB103" t="str">
        <f t="shared" ca="1" si="57"/>
        <v/>
      </c>
      <c r="BC103" t="str">
        <f t="shared" ca="1" si="57"/>
        <v/>
      </c>
      <c r="BD103" t="str">
        <f t="shared" ca="1" si="57"/>
        <v/>
      </c>
      <c r="BE103" t="str">
        <f t="shared" ca="1" si="57"/>
        <v/>
      </c>
      <c r="BF103" t="str">
        <f t="shared" ca="1" si="57"/>
        <v/>
      </c>
      <c r="BG103" t="str">
        <f t="shared" ca="1" si="57"/>
        <v/>
      </c>
      <c r="BH103" t="str">
        <f t="shared" ca="1" si="57"/>
        <v/>
      </c>
      <c r="BI103" t="str">
        <f t="shared" ca="1" si="57"/>
        <v/>
      </c>
      <c r="BJ103" t="str">
        <f t="shared" ca="1" si="57"/>
        <v/>
      </c>
      <c r="BK103" t="str">
        <f t="shared" ca="1" si="57"/>
        <v/>
      </c>
      <c r="BL103" t="str">
        <f t="shared" ca="1" si="57"/>
        <v/>
      </c>
      <c r="BM103" t="str">
        <f t="shared" ca="1" si="57"/>
        <v/>
      </c>
      <c r="BN103" t="str">
        <f>""</f>
        <v/>
      </c>
      <c r="BO103" t="str">
        <f>""</f>
        <v/>
      </c>
      <c r="BP103" t="str">
        <f>""</f>
        <v/>
      </c>
      <c r="BQ103" t="str">
        <f>""</f>
        <v/>
      </c>
      <c r="BR103" t="str">
        <f>""</f>
        <v/>
      </c>
      <c r="BS103" t="str">
        <f>""</f>
        <v/>
      </c>
      <c r="BT103" t="str">
        <f>""</f>
        <v/>
      </c>
      <c r="BU103" t="str">
        <f>""</f>
        <v/>
      </c>
      <c r="BV103" t="str">
        <f>""</f>
        <v/>
      </c>
      <c r="BW103" t="str">
        <f>""</f>
        <v/>
      </c>
      <c r="BX103" t="str">
        <f>""</f>
        <v/>
      </c>
      <c r="BY103" t="str">
        <f>""</f>
        <v/>
      </c>
      <c r="BZ103" t="str">
        <f>""</f>
        <v/>
      </c>
      <c r="CA103" t="str">
        <f>""</f>
        <v/>
      </c>
      <c r="CB103" t="str">
        <f>""</f>
        <v/>
      </c>
      <c r="CC103" t="str">
        <f>""</f>
        <v/>
      </c>
      <c r="CD103" t="str">
        <f>""</f>
        <v/>
      </c>
      <c r="CE103" t="str">
        <f>""</f>
        <v/>
      </c>
      <c r="CF103" t="str">
        <f>""</f>
        <v/>
      </c>
      <c r="CG103" t="str">
        <f>""</f>
        <v/>
      </c>
      <c r="CH103" t="str">
        <f>""</f>
        <v/>
      </c>
      <c r="CI103" t="str">
        <f>""</f>
        <v/>
      </c>
      <c r="CJ103" t="str">
        <f>""</f>
        <v/>
      </c>
      <c r="CK103" t="str">
        <f>""</f>
        <v/>
      </c>
      <c r="CL103" t="str">
        <f>""</f>
        <v/>
      </c>
      <c r="CM103" t="str">
        <f>""</f>
        <v/>
      </c>
      <c r="CN103" t="str">
        <f>""</f>
        <v/>
      </c>
      <c r="CO103" t="str">
        <f>""</f>
        <v/>
      </c>
      <c r="CP103" t="str">
        <f>""</f>
        <v/>
      </c>
      <c r="CQ103" t="str">
        <f>""</f>
        <v/>
      </c>
      <c r="CR103" t="str">
        <f>""</f>
        <v/>
      </c>
      <c r="CS103" t="str">
        <f>""</f>
        <v/>
      </c>
      <c r="CT103" t="str">
        <f>""</f>
        <v/>
      </c>
      <c r="CU103" t="str">
        <f>""</f>
        <v/>
      </c>
      <c r="CV103" t="str">
        <f>""</f>
        <v/>
      </c>
      <c r="CW103" t="str">
        <f>""</f>
        <v/>
      </c>
      <c r="CX103" t="str">
        <f>""</f>
        <v/>
      </c>
      <c r="CY103" t="str">
        <f>""</f>
        <v/>
      </c>
      <c r="CZ103" t="str">
        <f>""</f>
        <v/>
      </c>
      <c r="DA103" t="str">
        <f>""</f>
        <v/>
      </c>
      <c r="DB103" t="str">
        <f>""</f>
        <v/>
      </c>
      <c r="DC103" t="str">
        <f>""</f>
        <v/>
      </c>
      <c r="DD103" t="str">
        <f>""</f>
        <v/>
      </c>
      <c r="DE103" t="str">
        <f>""</f>
        <v/>
      </c>
      <c r="DF103" t="str">
        <f>""</f>
        <v/>
      </c>
      <c r="DG103" t="str">
        <f>""</f>
        <v/>
      </c>
      <c r="DH103" t="str">
        <f>""</f>
        <v/>
      </c>
      <c r="DI103" t="str">
        <f>""</f>
        <v/>
      </c>
      <c r="DJ103" t="str">
        <f>""</f>
        <v/>
      </c>
      <c r="DK103" t="str">
        <f>""</f>
        <v/>
      </c>
      <c r="DL103" t="str">
        <f>""</f>
        <v/>
      </c>
      <c r="DM103" t="str">
        <f>""</f>
        <v/>
      </c>
      <c r="DN103" t="str">
        <f>""</f>
        <v/>
      </c>
      <c r="DO103" t="str">
        <f>""</f>
        <v/>
      </c>
      <c r="DP103" t="str">
        <f>""</f>
        <v/>
      </c>
      <c r="DQ103" t="str">
        <f>""</f>
        <v/>
      </c>
      <c r="DR103" t="str">
        <f>""</f>
        <v/>
      </c>
      <c r="DS103" t="str">
        <f>""</f>
        <v/>
      </c>
      <c r="DT103" t="str">
        <f>""</f>
        <v/>
      </c>
      <c r="DU103" t="str">
        <f>""</f>
        <v/>
      </c>
    </row>
    <row r="104" spans="1:125" x14ac:dyDescent="0.25">
      <c r="A104" t="str">
        <f>"        Revenue"</f>
        <v xml:space="preserve">        Revenue</v>
      </c>
      <c r="B104" t="str">
        <f>"KER FP Equity"</f>
        <v>KER FP Equity</v>
      </c>
      <c r="C104" t="str">
        <f>"BI047"</f>
        <v>BI047</v>
      </c>
      <c r="D104" t="str">
        <f>"BICS_SEGMENT_DATA"</f>
        <v>BICS_SEGMENT_DATA</v>
      </c>
      <c r="E104" t="str">
        <f>"Dynamic"</f>
        <v>Dynamic</v>
      </c>
      <c r="F104" t="str">
        <f ca="1">IF(AND(ISNUMBER($F$239),$B$158=1),$F$239,HLOOKUP(INDIRECT(ADDRESS(2,COLUMN())),OFFSET($BN$2,0,0,ROW()-1,60),ROW()-1,FALSE))</f>
        <v/>
      </c>
      <c r="G104">
        <f ca="1">IF(AND(ISNUMBER($G$239),$B$158=1),$G$239,HLOOKUP(INDIRECT(ADDRESS(2,COLUMN())),OFFSET($BN$2,0,0,ROW()-1,60),ROW()-1,FALSE))</f>
        <v>652.9</v>
      </c>
      <c r="H104">
        <f ca="1">IF(AND(ISNUMBER($H$239),$B$158=1),$H$239,HLOOKUP(INDIRECT(ADDRESS(2,COLUMN())),OFFSET($BN$2,0,0,ROW()-1,60),ROW()-1,FALSE))</f>
        <v>528.79999999999995</v>
      </c>
      <c r="I104">
        <f ca="1">IF(AND(ISNUMBER($I$239),$B$158=1),$I$239,HLOOKUP(INDIRECT(ADDRESS(2,COLUMN())),OFFSET($BN$2,0,0,ROW()-1,60),ROW()-1,FALSE))</f>
        <v>516.70000000000005</v>
      </c>
      <c r="J104">
        <f ca="1">IF(AND(ISNUMBER($J$239),$B$158=1),$J$239,HLOOKUP(INDIRECT(ADDRESS(2,COLUMN())),OFFSET($BN$2,0,0,ROW()-1,60),ROW()-1,FALSE))</f>
        <v>552.6</v>
      </c>
      <c r="K104">
        <f ca="1">IF(AND(ISNUMBER($K$239),$B$158=1),$K$239,HLOOKUP(INDIRECT(ADDRESS(2,COLUMN())),OFFSET($BN$2,0,0,ROW()-1,60),ROW()-1,FALSE))</f>
        <v>510.7</v>
      </c>
      <c r="L104">
        <f ca="1">IF(AND(ISNUMBER($L$239),$B$158=1),$L$239,HLOOKUP(INDIRECT(ADDRESS(2,COLUMN())),OFFSET($BN$2,0,0,ROW()-1,60),ROW()-1,FALSE))</f>
        <v>246.5</v>
      </c>
      <c r="M104">
        <f ca="1">IF(AND(ISNUMBER($M$239),$B$158=1),$M$239,HLOOKUP(INDIRECT(ADDRESS(2,COLUMN())),OFFSET($BN$2,0,0,ROW()-1,60),ROW()-1,FALSE))</f>
        <v>434.6</v>
      </c>
      <c r="N104">
        <f ca="1">IF(AND(ISNUMBER($N$239),$B$158=1),$N$239,HLOOKUP(INDIRECT(ADDRESS(2,COLUMN())),OFFSET($BN$2,0,0,ROW()-1,60),ROW()-1,FALSE))</f>
        <v>569.6</v>
      </c>
      <c r="O104">
        <f ca="1">IF(AND(ISNUMBER($O$239),$B$158=1),$O$239,HLOOKUP(INDIRECT(ADDRESS(2,COLUMN())),OFFSET($BN$2,0,0,ROW()-1,60),ROW()-1,FALSE))</f>
        <v>506.5</v>
      </c>
      <c r="P104">
        <f ca="1">IF(AND(ISNUMBER($P$239),$B$158=1),$P$239,HLOOKUP(INDIRECT(ADDRESS(2,COLUMN())),OFFSET($BN$2,0,0,ROW()-1,60),ROW()-1,FALSE))</f>
        <v>475.5</v>
      </c>
      <c r="Q104">
        <f ca="1">IF(AND(ISNUMBER($Q$239),$B$158=1),$Q$239,HLOOKUP(INDIRECT(ADDRESS(2,COLUMN())),OFFSET($BN$2,0,0,ROW()-1,60),ROW()-1,FALSE))</f>
        <v>497.5</v>
      </c>
      <c r="R104">
        <f ca="1">IF(AND(ISNUMBER($R$239),$B$158=1),$R$239,HLOOKUP(INDIRECT(ADDRESS(2,COLUMN())),OFFSET($BN$2,0,0,ROW()-1,60),ROW()-1,FALSE))</f>
        <v>488.4</v>
      </c>
      <c r="S104">
        <f ca="1">IF(AND(ISNUMBER($S$239),$B$158=1),$S$239,HLOOKUP(INDIRECT(ADDRESS(2,COLUMN())),OFFSET($BN$2,0,0,ROW()-1,60),ROW()-1,FALSE))</f>
        <v>446.9</v>
      </c>
      <c r="T104">
        <f ca="1">IF(AND(ISNUMBER($T$239),$B$158=1),$T$239,HLOOKUP(INDIRECT(ADDRESS(2,COLUMN())),OFFSET($BN$2,0,0,ROW()-1,60),ROW()-1,FALSE))</f>
        <v>400</v>
      </c>
      <c r="U104">
        <f ca="1">IF(AND(ISNUMBER($U$239),$B$158=1),$U$239,HLOOKUP(INDIRECT(ADDRESS(2,COLUMN())),OFFSET($BN$2,0,0,ROW()-1,60),ROW()-1,FALSE))</f>
        <v>408.2</v>
      </c>
      <c r="V104">
        <f ca="1">IF(AND(ISNUMBER($V$239),$B$158=1),$V$239,HLOOKUP(INDIRECT(ADDRESS(2,COLUMN())),OFFSET($BN$2,0,0,ROW()-1,60),ROW()-1,FALSE))</f>
        <v>406.9</v>
      </c>
      <c r="W104">
        <f ca="1">IF(AND(ISNUMBER($W$239),$B$158=1),$W$239,HLOOKUP(INDIRECT(ADDRESS(2,COLUMN())),OFFSET($BN$2,0,0,ROW()-1,60),ROW()-1,FALSE))</f>
        <v>383.7</v>
      </c>
      <c r="X104">
        <f ca="1">IF(AND(ISNUMBER($X$239),$B$158=1),$X$239,HLOOKUP(INDIRECT(ADDRESS(2,COLUMN())),OFFSET($BN$2,0,0,ROW()-1,60),ROW()-1,FALSE))</f>
        <v>346.4</v>
      </c>
      <c r="Y104">
        <f ca="1">IF(AND(ISNUMBER($Y$239),$B$158=1),$Y$239,HLOOKUP(INDIRECT(ADDRESS(2,COLUMN())),OFFSET($BN$2,0,0,ROW()-1,60),ROW()-1,FALSE))</f>
        <v>364.4</v>
      </c>
      <c r="Z104">
        <f ca="1">IF(AND(ISNUMBER($Z$239),$B$158=1),$Z$239,HLOOKUP(INDIRECT(ADDRESS(2,COLUMN())),OFFSET($BN$2,0,0,ROW()-1,60),ROW()-1,FALSE))</f>
        <v>346.2</v>
      </c>
      <c r="AA104">
        <f ca="1">IF(AND(ISNUMBER($AA$239),$B$158=1),$AA$239,HLOOKUP(INDIRECT(ADDRESS(2,COLUMN())),OFFSET($BN$2,0,0,ROW()-1,60),ROW()-1,FALSE))</f>
        <v>326.10000000000002</v>
      </c>
      <c r="AB104">
        <f ca="1">IF(AND(ISNUMBER($AB$239),$B$158=1),$AB$239,HLOOKUP(INDIRECT(ADDRESS(2,COLUMN())),OFFSET($BN$2,0,0,ROW()-1,60),ROW()-1,FALSE))</f>
        <v>278.7</v>
      </c>
      <c r="AC104">
        <f ca="1">IF(AND(ISNUMBER($AC$239),$B$158=1),$AC$239,HLOOKUP(INDIRECT(ADDRESS(2,COLUMN())),OFFSET($BN$2,0,0,ROW()-1,60),ROW()-1,FALSE))</f>
        <v>269.2</v>
      </c>
      <c r="AD104">
        <f ca="1">IF(AND(ISNUMBER($AD$239),$B$158=1),$AD$239,HLOOKUP(INDIRECT(ADDRESS(2,COLUMN())),OFFSET($BN$2,0,0,ROW()-1,60),ROW()-1,FALSE))</f>
        <v>287.10000000000002</v>
      </c>
      <c r="AE104">
        <f ca="1">IF(AND(ISNUMBER($AE$239),$B$158=1),$AE$239,HLOOKUP(INDIRECT(ADDRESS(2,COLUMN())),OFFSET($BN$2,0,0,ROW()-1,60),ROW()-1,FALSE))</f>
        <v>243.4</v>
      </c>
      <c r="AF104">
        <f ca="1">IF(AND(ISNUMBER($AF$239),$B$158=1),$AF$239,HLOOKUP(INDIRECT(ADDRESS(2,COLUMN())),OFFSET($BN$2,0,0,ROW()-1,60),ROW()-1,FALSE))</f>
        <v>231.7</v>
      </c>
      <c r="AG104">
        <f ca="1">IF(AND(ISNUMBER($AG$239),$B$158=1),$AG$239,HLOOKUP(INDIRECT(ADDRESS(2,COLUMN())),OFFSET($BN$2,0,0,ROW()-1,60),ROW()-1,FALSE))</f>
        <v>211.4</v>
      </c>
      <c r="AH104">
        <f ca="1">IF(AND(ISNUMBER($AH$239),$B$158=1),$AH$239,HLOOKUP(INDIRECT(ADDRESS(2,COLUMN())),OFFSET($BN$2,0,0,ROW()-1,60),ROW()-1,FALSE))</f>
        <v>208.9</v>
      </c>
      <c r="AI104">
        <f ca="1">IF(AND(ISNUMBER($AI$239),$B$158=1),$AI$239,HLOOKUP(INDIRECT(ADDRESS(2,COLUMN())),OFFSET($BN$2,0,0,ROW()-1,60),ROW()-1,FALSE))</f>
        <v>177.8</v>
      </c>
      <c r="AJ104">
        <f ca="1">IF(AND(ISNUMBER($AJ$239),$B$158=1),$AJ$239,HLOOKUP(INDIRECT(ADDRESS(2,COLUMN())),OFFSET($BN$2,0,0,ROW()-1,60),ROW()-1,FALSE))</f>
        <v>162.6</v>
      </c>
      <c r="AK104" t="str">
        <f ca="1">IF(AND(ISNUMBER($AK$239),$B$158=1),$AK$239,HLOOKUP(INDIRECT(ADDRESS(2,COLUMN())),OFFSET($BN$2,0,0,ROW()-1,60),ROW()-1,FALSE))</f>
        <v/>
      </c>
      <c r="AL104">
        <f ca="1">IF(AND(ISNUMBER($AL$239),$B$158=1),$AL$239,HLOOKUP(INDIRECT(ADDRESS(2,COLUMN())),OFFSET($BN$2,0,0,ROW()-1,60),ROW()-1,FALSE))</f>
        <v>162.30000000000001</v>
      </c>
      <c r="AM104">
        <f ca="1">IF(AND(ISNUMBER($AM$239),$B$158=1),$AM$239,HLOOKUP(INDIRECT(ADDRESS(2,COLUMN())),OFFSET($BN$2,0,0,ROW()-1,60),ROW()-1,FALSE))</f>
        <v>139.30000000000001</v>
      </c>
      <c r="AN104">
        <f ca="1">IF(AND(ISNUMBER($AN$239),$B$158=1),$AN$239,HLOOKUP(INDIRECT(ADDRESS(2,COLUMN())),OFFSET($BN$2,0,0,ROW()-1,60),ROW()-1,FALSE))</f>
        <v>128.1</v>
      </c>
      <c r="AO104" t="str">
        <f ca="1">IF(AND(ISNUMBER($AO$239),$B$158=1),$AO$239,HLOOKUP(INDIRECT(ADDRESS(2,COLUMN())),OFFSET($BN$2,0,0,ROW()-1,60),ROW()-1,FALSE))</f>
        <v/>
      </c>
      <c r="AP104">
        <f ca="1">IF(AND(ISNUMBER($AP$239),$B$158=1),$AP$239,HLOOKUP(INDIRECT(ADDRESS(2,COLUMN())),OFFSET($BN$2,0,0,ROW()-1,60),ROW()-1,FALSE))</f>
        <v>119.3</v>
      </c>
      <c r="AQ104">
        <f ca="1">IF(AND(ISNUMBER($AQ$239),$B$158=1),$AQ$239,HLOOKUP(INDIRECT(ADDRESS(2,COLUMN())),OFFSET($BN$2,0,0,ROW()-1,60),ROW()-1,FALSE))</f>
        <v>130</v>
      </c>
      <c r="AR104">
        <f ca="1">IF(AND(ISNUMBER($AR$239),$B$158=1),$AR$239,HLOOKUP(INDIRECT(ADDRESS(2,COLUMN())),OFFSET($BN$2,0,0,ROW()-1,60),ROW()-1,FALSE))</f>
        <v>114.7</v>
      </c>
      <c r="AS104">
        <f ca="1">IF(AND(ISNUMBER($AS$239),$B$158=1),$AS$239,HLOOKUP(INDIRECT(ADDRESS(2,COLUMN())),OFFSET($BN$2,0,0,ROW()-1,60),ROW()-1,FALSE))</f>
        <v>108.8</v>
      </c>
      <c r="AT104" t="str">
        <f ca="1">IF(AND(ISNUMBER($AT$239),$B$158=1),$AT$239,HLOOKUP(INDIRECT(ADDRESS(2,COLUMN())),OFFSET($BN$2,0,0,ROW()-1,60),ROW()-1,FALSE))</f>
        <v/>
      </c>
      <c r="AU104" t="str">
        <f ca="1">IF(AND(ISNUMBER($AU$239),$B$158=1),$AU$239,HLOOKUP(INDIRECT(ADDRESS(2,COLUMN())),OFFSET($BN$2,0,0,ROW()-1,60),ROW()-1,FALSE))</f>
        <v/>
      </c>
      <c r="AV104">
        <f ca="1">IF(AND(ISNUMBER($AV$239),$B$158=1),$AV$239,HLOOKUP(INDIRECT(ADDRESS(2,COLUMN())),OFFSET($BN$2,0,0,ROW()-1,60),ROW()-1,FALSE))</f>
        <v>76.7</v>
      </c>
      <c r="AW104">
        <f ca="1">IF(AND(ISNUMBER($AW$239),$B$158=1),$AW$239,HLOOKUP(INDIRECT(ADDRESS(2,COLUMN())),OFFSET($BN$2,0,0,ROW()-1,60),ROW()-1,FALSE))</f>
        <v>76</v>
      </c>
      <c r="AX104" t="str">
        <f ca="1">IF(AND(ISNUMBER($AX$239),$B$158=1),$AX$239,HLOOKUP(INDIRECT(ADDRESS(2,COLUMN())),OFFSET($BN$2,0,0,ROW()-1,60),ROW()-1,FALSE))</f>
        <v/>
      </c>
      <c r="AY104">
        <f ca="1">IF(AND(ISNUMBER($AY$239),$B$158=1),$AY$239,HLOOKUP(INDIRECT(ADDRESS(2,COLUMN())),OFFSET($BN$2,0,0,ROW()-1,60),ROW()-1,FALSE))</f>
        <v>73.7</v>
      </c>
      <c r="AZ104">
        <f ca="1">IF(AND(ISNUMBER($AZ$239),$B$158=1),$AZ$239,HLOOKUP(INDIRECT(ADDRESS(2,COLUMN())),OFFSET($BN$2,0,0,ROW()-1,60),ROW()-1,FALSE))</f>
        <v>59.2</v>
      </c>
      <c r="BA104">
        <f ca="1">IF(AND(ISNUMBER($BA$239),$B$158=1),$BA$239,HLOOKUP(INDIRECT(ADDRESS(2,COLUMN())),OFFSET($BN$2,0,0,ROW()-1,60),ROW()-1,FALSE))</f>
        <v>58.7</v>
      </c>
      <c r="BB104" t="str">
        <f ca="1">IF(AND(ISNUMBER($BB$239),$B$158=1),$BB$239,HLOOKUP(INDIRECT(ADDRESS(2,COLUMN())),OFFSET($BN$2,0,0,ROW()-1,60),ROW()-1,FALSE))</f>
        <v/>
      </c>
      <c r="BC104" t="str">
        <f ca="1">IF(AND(ISNUMBER($BC$239),$B$158=1),$BC$239,HLOOKUP(INDIRECT(ADDRESS(2,COLUMN())),OFFSET($BN$2,0,0,ROW()-1,60),ROW()-1,FALSE))</f>
        <v/>
      </c>
      <c r="BD104">
        <f ca="1">IF(AND(ISNUMBER($BD$239),$B$158=1),$BD$239,HLOOKUP(INDIRECT(ADDRESS(2,COLUMN())),OFFSET($BN$2,0,0,ROW()-1,60),ROW()-1,FALSE))</f>
        <v>53.3</v>
      </c>
      <c r="BE104">
        <f ca="1">IF(AND(ISNUMBER($BE$239),$B$158=1),$BE$239,HLOOKUP(INDIRECT(ADDRESS(2,COLUMN())),OFFSET($BN$2,0,0,ROW()-1,60),ROW()-1,FALSE))</f>
        <v>59.7</v>
      </c>
      <c r="BF104" t="str">
        <f ca="1">IF(AND(ISNUMBER($BF$239),$B$158=1),$BF$239,HLOOKUP(INDIRECT(ADDRESS(2,COLUMN())),OFFSET($BN$2,0,0,ROW()-1,60),ROW()-1,FALSE))</f>
        <v/>
      </c>
      <c r="BG104" t="str">
        <f ca="1">IF(AND(ISNUMBER($BG$239),$B$158=1),$BG$239,HLOOKUP(INDIRECT(ADDRESS(2,COLUMN())),OFFSET($BN$2,0,0,ROW()-1,60),ROW()-1,FALSE))</f>
        <v/>
      </c>
      <c r="BH104" t="str">
        <f ca="1">IF(AND(ISNUMBER($BH$239),$B$158=1),$BH$239,HLOOKUP(INDIRECT(ADDRESS(2,COLUMN())),OFFSET($BN$2,0,0,ROW()-1,60),ROW()-1,FALSE))</f>
        <v/>
      </c>
      <c r="BI104" t="str">
        <f ca="1">IF(AND(ISNUMBER($BI$239),$B$158=1),$BI$239,HLOOKUP(INDIRECT(ADDRESS(2,COLUMN())),OFFSET($BN$2,0,0,ROW()-1,60),ROW()-1,FALSE))</f>
        <v/>
      </c>
      <c r="BJ104" t="str">
        <f ca="1">IF(AND(ISNUMBER($BJ$239),$B$158=1),$BJ$239,HLOOKUP(INDIRECT(ADDRESS(2,COLUMN())),OFFSET($BN$2,0,0,ROW()-1,60),ROW()-1,FALSE))</f>
        <v/>
      </c>
      <c r="BK104" t="str">
        <f ca="1">IF(AND(ISNUMBER($BK$239),$B$158=1),$BK$239,HLOOKUP(INDIRECT(ADDRESS(2,COLUMN())),OFFSET($BN$2,0,0,ROW()-1,60),ROW()-1,FALSE))</f>
        <v/>
      </c>
      <c r="BL104" t="str">
        <f ca="1">IF(AND(ISNUMBER($BL$239),$B$158=1),$BL$239,HLOOKUP(INDIRECT(ADDRESS(2,COLUMN())),OFFSET($BN$2,0,0,ROW()-1,60),ROW()-1,FALSE))</f>
        <v/>
      </c>
      <c r="BM104" t="str">
        <f ca="1">IF(AND(ISNUMBER($BM$239),$B$158=1),$BM$239,HLOOKUP(INDIRECT(ADDRESS(2,COLUMN())),OFFSET($BN$2,0,0,ROW()-1,60),ROW()-1,FALSE))</f>
        <v/>
      </c>
      <c r="BN104" t="str">
        <f>""</f>
        <v/>
      </c>
      <c r="BO104">
        <f>652.9</f>
        <v>652.9</v>
      </c>
      <c r="BP104">
        <f>528.8</f>
        <v>528.79999999999995</v>
      </c>
      <c r="BQ104">
        <f>516.7</f>
        <v>516.70000000000005</v>
      </c>
      <c r="BR104">
        <f>552.6</f>
        <v>552.6</v>
      </c>
      <c r="BS104">
        <f>510.7</f>
        <v>510.7</v>
      </c>
      <c r="BT104">
        <f>246.5</f>
        <v>246.5</v>
      </c>
      <c r="BU104">
        <f>434.6</f>
        <v>434.6</v>
      </c>
      <c r="BV104">
        <f>569.6</f>
        <v>569.6</v>
      </c>
      <c r="BW104">
        <f>506.5</f>
        <v>506.5</v>
      </c>
      <c r="BX104">
        <f>475.5</f>
        <v>475.5</v>
      </c>
      <c r="BY104">
        <f>497.5</f>
        <v>497.5</v>
      </c>
      <c r="BZ104">
        <f>488.4</f>
        <v>488.4</v>
      </c>
      <c r="CA104">
        <f>446.9</f>
        <v>446.9</v>
      </c>
      <c r="CB104">
        <f>400</f>
        <v>400</v>
      </c>
      <c r="CC104">
        <f>408.2</f>
        <v>408.2</v>
      </c>
      <c r="CD104">
        <f>406.9</f>
        <v>406.9</v>
      </c>
      <c r="CE104">
        <f>383.7</f>
        <v>383.7</v>
      </c>
      <c r="CF104">
        <f>346.4</f>
        <v>346.4</v>
      </c>
      <c r="CG104">
        <f>364.4</f>
        <v>364.4</v>
      </c>
      <c r="CH104">
        <f>346.2</f>
        <v>346.2</v>
      </c>
      <c r="CI104">
        <f>326.1</f>
        <v>326.10000000000002</v>
      </c>
      <c r="CJ104">
        <f>278.7</f>
        <v>278.7</v>
      </c>
      <c r="CK104">
        <f>269.2</f>
        <v>269.2</v>
      </c>
      <c r="CL104">
        <f>287.1</f>
        <v>287.10000000000002</v>
      </c>
      <c r="CM104">
        <f>243.4</f>
        <v>243.4</v>
      </c>
      <c r="CN104">
        <f>231.7</f>
        <v>231.7</v>
      </c>
      <c r="CO104">
        <f>211.4</f>
        <v>211.4</v>
      </c>
      <c r="CP104">
        <f>208.9</f>
        <v>208.9</v>
      </c>
      <c r="CQ104">
        <f>177.8</f>
        <v>177.8</v>
      </c>
      <c r="CR104">
        <f>162.6</f>
        <v>162.6</v>
      </c>
      <c r="CS104" t="str">
        <f>""</f>
        <v/>
      </c>
      <c r="CT104">
        <f>162.3</f>
        <v>162.30000000000001</v>
      </c>
      <c r="CU104">
        <f>139.3</f>
        <v>139.30000000000001</v>
      </c>
      <c r="CV104">
        <f>128.1</f>
        <v>128.1</v>
      </c>
      <c r="CW104" t="str">
        <f>""</f>
        <v/>
      </c>
      <c r="CX104">
        <f>119.3</f>
        <v>119.3</v>
      </c>
      <c r="CY104">
        <f>130</f>
        <v>130</v>
      </c>
      <c r="CZ104">
        <f>114.7</f>
        <v>114.7</v>
      </c>
      <c r="DA104">
        <f>108.8</f>
        <v>108.8</v>
      </c>
      <c r="DB104" t="str">
        <f>""</f>
        <v/>
      </c>
      <c r="DC104" t="str">
        <f>""</f>
        <v/>
      </c>
      <c r="DD104">
        <f>76.7</f>
        <v>76.7</v>
      </c>
      <c r="DE104">
        <f>76</f>
        <v>76</v>
      </c>
      <c r="DF104" t="str">
        <f>""</f>
        <v/>
      </c>
      <c r="DG104">
        <f>73.7</f>
        <v>73.7</v>
      </c>
      <c r="DH104">
        <f>59.2</f>
        <v>59.2</v>
      </c>
      <c r="DI104">
        <f>58.7</f>
        <v>58.7</v>
      </c>
      <c r="DJ104" t="str">
        <f>""</f>
        <v/>
      </c>
      <c r="DK104" t="str">
        <f>""</f>
        <v/>
      </c>
      <c r="DL104">
        <f>53.3</f>
        <v>53.3</v>
      </c>
      <c r="DM104">
        <f>59.7</f>
        <v>59.7</v>
      </c>
      <c r="DN104" t="str">
        <f>""</f>
        <v/>
      </c>
      <c r="DO104" t="str">
        <f>""</f>
        <v/>
      </c>
      <c r="DP104" t="str">
        <f>""</f>
        <v/>
      </c>
      <c r="DQ104" t="str">
        <f>""</f>
        <v/>
      </c>
      <c r="DR104" t="str">
        <f>""</f>
        <v/>
      </c>
      <c r="DS104" t="str">
        <f>""</f>
        <v/>
      </c>
      <c r="DT104" t="str">
        <f>""</f>
        <v/>
      </c>
      <c r="DU104" t="str">
        <f>""</f>
        <v/>
      </c>
    </row>
    <row r="105" spans="1:125" x14ac:dyDescent="0.25">
      <c r="A105" t="str">
        <f>"            of Total Kering Sales (%)"</f>
        <v xml:space="preserve">            of Total Kering Sales (%)</v>
      </c>
      <c r="B105" t="str">
        <f>"KER FP Equity"</f>
        <v>KER FP Equity</v>
      </c>
      <c r="E105" t="str">
        <f>"Expression"</f>
        <v>Expression</v>
      </c>
      <c r="F105" t="str">
        <f ca="1">IF(AND($B$158=1,LEN($F$169) * LEN($F$104)&gt;0),($F$104/$F$169)*100,HLOOKUP(INDIRECT(ADDRESS(2,COLUMN())),OFFSET($BN$2,0,0,ROW()-1,60),ROW()-1,FALSE))</f>
        <v/>
      </c>
      <c r="G105">
        <f ca="1">IF(AND($B$158=1,LEN($G$169) * LEN($G$104)&gt;0),($G$104/$G$169)*100,HLOOKUP(INDIRECT(ADDRESS(2,COLUMN())),OFFSET($BN$2,0,0,ROW()-1,60),ROW()-1,FALSE))</f>
        <v>15.59052486</v>
      </c>
      <c r="H105">
        <f ca="1">IF(AND($B$158=1,LEN($H$169) * LEN($H$104)&gt;0),($H$104/$H$169)*100,HLOOKUP(INDIRECT(ADDRESS(2,COLUMN())),OFFSET($BN$2,0,0,ROW()-1,60),ROW()-1,FALSE))</f>
        <v>12.720100070000001</v>
      </c>
      <c r="I105">
        <f ca="1">IF(AND($B$158=1,LEN($I$169) * LEN($I$104)&gt;0),($I$104/$I$169)*100,HLOOKUP(INDIRECT(ADDRESS(2,COLUMN())),OFFSET($BN$2,0,0,ROW()-1,60),ROW()-1,FALSE))</f>
        <v>13.282776350000001</v>
      </c>
      <c r="J105">
        <f ca="1">IF(AND($B$158=1,LEN($J$169) * LEN($J$104)&gt;0),($J$104/$J$169)*100,HLOOKUP(INDIRECT(ADDRESS(2,COLUMN())),OFFSET($BN$2,0,0,ROW()-1,60),ROW()-1,FALSE))</f>
        <v>13.80050947</v>
      </c>
      <c r="K105">
        <f ca="1">IF(AND($B$158=1,LEN($K$169) * LEN($K$104)&gt;0),($K$104/$K$169)*100,HLOOKUP(INDIRECT(ADDRESS(2,COLUMN())),OFFSET($BN$2,0,0,ROW()-1,60),ROW()-1,FALSE))</f>
        <v>13.736987920000001</v>
      </c>
      <c r="L105">
        <f ca="1">IF(AND($B$158=1,LEN($L$169) * LEN($L$104)&gt;0),($L$104/$L$169)*100,HLOOKUP(INDIRECT(ADDRESS(2,COLUMN())),OFFSET($BN$2,0,0,ROW()-1,60),ROW()-1,FALSE))</f>
        <v>11.332812280000001</v>
      </c>
      <c r="M105">
        <f ca="1">IF(AND($B$158=1,LEN($M$169) * LEN($M$104)&gt;0),($M$104/$M$169)*100,HLOOKUP(INDIRECT(ADDRESS(2,COLUMN())),OFFSET($BN$2,0,0,ROW()-1,60),ROW()-1,FALSE))</f>
        <v>13.567682319999999</v>
      </c>
      <c r="N105">
        <f ca="1">IF(AND($B$158=1,LEN($N$169) * LEN($N$104)&gt;0),($N$104/$N$169)*100,HLOOKUP(INDIRECT(ADDRESS(2,COLUMN())),OFFSET($BN$2,0,0,ROW()-1,60),ROW()-1,FALSE))</f>
        <v>13.06272216</v>
      </c>
      <c r="O105">
        <f ca="1">IF(AND($B$158=1,LEN($O$169) * LEN($O$104)&gt;0),($O$104/$O$169)*100,HLOOKUP(INDIRECT(ADDRESS(2,COLUMN())),OFFSET($BN$2,0,0,ROW()-1,60),ROW()-1,FALSE))</f>
        <v>13.0386655</v>
      </c>
      <c r="P105">
        <f ca="1">IF(AND($B$158=1,LEN($P$169) * LEN($P$104)&gt;0),($P$104/$P$169)*100,HLOOKUP(INDIRECT(ADDRESS(2,COLUMN())),OFFSET($BN$2,0,0,ROW()-1,60),ROW()-1,FALSE))</f>
        <v>12.34071267</v>
      </c>
      <c r="Q105">
        <f ca="1">IF(AND($B$158=1,LEN($Q$169) * LEN($Q$104)&gt;0),($Q$104/$Q$169)*100,HLOOKUP(INDIRECT(ADDRESS(2,COLUMN())),OFFSET($BN$2,0,0,ROW()-1,60),ROW()-1,FALSE))</f>
        <v>13.14294772</v>
      </c>
      <c r="R105">
        <f ca="1">IF(AND($B$158=1,LEN($R$169) * LEN($R$104)&gt;0),($R$104/$R$169)*100,HLOOKUP(INDIRECT(ADDRESS(2,COLUMN())),OFFSET($BN$2,0,0,ROW()-1,60),ROW()-1,FALSE))</f>
        <v>12.75395623</v>
      </c>
      <c r="S105">
        <f ca="1">IF(AND($B$158=1,LEN($S$169) * LEN($S$104)&gt;0),($S$104/$S$169)*100,HLOOKUP(INDIRECT(ADDRESS(2,COLUMN())),OFFSET($BN$2,0,0,ROW()-1,60),ROW()-1,FALSE))</f>
        <v>13.13639036</v>
      </c>
      <c r="T105">
        <f ca="1">IF(AND($B$158=1,LEN($T$169) * LEN($T$104)&gt;0),($T$104/$T$169)*100,HLOOKUP(INDIRECT(ADDRESS(2,COLUMN())),OFFSET($BN$2,0,0,ROW()-1,60),ROW()-1,FALSE))</f>
        <v>12.026458209999999</v>
      </c>
      <c r="U105">
        <f ca="1">IF(AND($B$158=1,LEN($U$169) * LEN($U$104)&gt;0),($U$104/$U$169)*100,HLOOKUP(INDIRECT(ADDRESS(2,COLUMN())),OFFSET($BN$2,0,0,ROW()-1,60),ROW()-1,FALSE))</f>
        <v>13.141459019999999</v>
      </c>
      <c r="V105">
        <f ca="1">IF(AND($B$158=1,LEN($V$169) * LEN($V$104)&gt;0),($V$104/$V$169)*100,HLOOKUP(INDIRECT(ADDRESS(2,COLUMN())),OFFSET($BN$2,0,0,ROW()-1,60),ROW()-1,FALSE))</f>
        <v>9.5594972400000007</v>
      </c>
      <c r="W105">
        <f ca="1">IF(AND($B$158=1,LEN($W$169) * LEN($W$104)&gt;0),($W$104/$W$169)*100,HLOOKUP(INDIRECT(ADDRESS(2,COLUMN())),OFFSET($BN$2,0,0,ROW()-1,60),ROW()-1,FALSE))</f>
        <v>14.39666817</v>
      </c>
      <c r="X105">
        <f ca="1">IF(AND($B$158=1,LEN($X$169) * LEN($X$104)&gt;0),($X$104/$X$169)*100,HLOOKUP(INDIRECT(ADDRESS(2,COLUMN())),OFFSET($BN$2,0,0,ROW()-1,60),ROW()-1,FALSE))</f>
        <v>13.1831329</v>
      </c>
      <c r="Y105">
        <f ca="1">IF(AND($B$158=1,LEN($Y$169) * LEN($Y$104)&gt;0),($Y$104/$Y$169)*100,HLOOKUP(INDIRECT(ADDRESS(2,COLUMN())),OFFSET($BN$2,0,0,ROW()-1,60),ROW()-1,FALSE))</f>
        <v>10.19728557</v>
      </c>
      <c r="Z105">
        <f ca="1">IF(AND($B$158=1,LEN($Z$169) * LEN($Z$104)&gt;0),($Z$104/$Z$169)*100,HLOOKUP(INDIRECT(ADDRESS(2,COLUMN())),OFFSET($BN$2,0,0,ROW()-1,60),ROW()-1,FALSE))</f>
        <v>9.8708408179999996</v>
      </c>
      <c r="AA105">
        <f ca="1">IF(AND($B$158=1,LEN($AA$169) * LEN($AA$104)&gt;0),($AA$104/$AA$169)*100,HLOOKUP(INDIRECT(ADDRESS(2,COLUMN())),OFFSET($BN$2,0,0,ROW()-1,60),ROW()-1,FALSE))</f>
        <v>10.23958301</v>
      </c>
      <c r="AB105">
        <f ca="1">IF(AND($B$158=1,LEN($AB$169) * LEN($AB$104)&gt;0),($AB$104/$AB$169)*100,HLOOKUP(INDIRECT(ADDRESS(2,COLUMN())),OFFSET($BN$2,0,0,ROW()-1,60),ROW()-1,FALSE))</f>
        <v>9.3866828330000001</v>
      </c>
      <c r="AC105">
        <f ca="1">IF(AND($B$158=1,LEN($AC$169) * LEN($AC$104)&gt;0),($AC$104/$AC$169)*100,HLOOKUP(INDIRECT(ADDRESS(2,COLUMN())),OFFSET($BN$2,0,0,ROW()-1,60),ROW()-1,FALSE))</f>
        <v>9.8832513399999993</v>
      </c>
      <c r="AD105">
        <f ca="1">IF(AND($B$158=1,LEN($AD$169) * LEN($AD$104)&gt;0),($AD$104/$AD$169)*100,HLOOKUP(INDIRECT(ADDRESS(2,COLUMN())),OFFSET($BN$2,0,0,ROW()-1,60),ROW()-1,FALSE))</f>
        <v>9.0382496460000006</v>
      </c>
      <c r="AE105">
        <f ca="1">IF(AND($B$158=1,LEN($AE$169) * LEN($AE$104)&gt;0),($AE$104/$AE$169)*100,HLOOKUP(INDIRECT(ADDRESS(2,COLUMN())),OFFSET($BN$2,0,0,ROW()-1,60),ROW()-1,FALSE))</f>
        <v>8.4070185130000006</v>
      </c>
      <c r="AF105">
        <f ca="1">IF(AND($B$158=1,LEN($AF$169) * LEN($AF$104)&gt;0),($AF$104/$AF$169)*100,HLOOKUP(INDIRECT(ADDRESS(2,COLUMN())),OFFSET($BN$2,0,0,ROW()-1,60),ROW()-1,FALSE))</f>
        <v>8.0977178209999998</v>
      </c>
      <c r="AG105">
        <f ca="1">IF(AND($B$158=1,LEN($AG$169) * LEN($AG$104)&gt;0),($AG$104/$AG$169)*100,HLOOKUP(INDIRECT(ADDRESS(2,COLUMN())),OFFSET($BN$2,0,0,ROW()-1,60),ROW()-1,FALSE))</f>
        <v>7.9743493020000003</v>
      </c>
      <c r="AH105">
        <f ca="1">IF(AND($B$158=1,LEN($AH$169) * LEN($AH$104)&gt;0),($AH$104/$AH$169)*100,HLOOKUP(INDIRECT(ADDRESS(2,COLUMN())),OFFSET($BN$2,0,0,ROW()-1,60),ROW()-1,FALSE))</f>
        <v>7.6190823549999998</v>
      </c>
      <c r="AI105">
        <f ca="1">IF(AND($B$158=1,LEN($AI$169) * LEN($AI$104)&gt;0),($AI$104/$AI$169)*100,HLOOKUP(INDIRECT(ADDRESS(2,COLUMN())),OFFSET($BN$2,0,0,ROW()-1,60),ROW()-1,FALSE))</f>
        <v>6.877344989</v>
      </c>
      <c r="AJ105">
        <f ca="1">IF(AND($B$158=1,LEN($AJ$169) * LEN($AJ$104)&gt;0),($AJ$104/$AJ$169)*100,HLOOKUP(INDIRECT(ADDRESS(2,COLUMN())),OFFSET($BN$2,0,0,ROW()-1,60),ROW()-1,FALSE))</f>
        <v>6.9215051929999998</v>
      </c>
      <c r="AK105" t="str">
        <f ca="1">IF(AND($B$158=1,LEN($AK$169) * LEN($AK$104)&gt;0),($AK$104/$AK$169)*100,HLOOKUP(INDIRECT(ADDRESS(2,COLUMN())),OFFSET($BN$2,0,0,ROW()-1,60),ROW()-1,FALSE))</f>
        <v/>
      </c>
      <c r="AL105">
        <f ca="1">IF(AND($B$158=1,LEN($AL$169) * LEN($AL$104)&gt;0),($AL$104/$AL$169)*100,HLOOKUP(INDIRECT(ADDRESS(2,COLUMN())),OFFSET($BN$2,0,0,ROW()-1,60),ROW()-1,FALSE))</f>
        <v>6.4356239339999997</v>
      </c>
      <c r="AM105">
        <f ca="1">IF(AND($B$158=1,LEN($AM$169) * LEN($AM$104)&gt;0),($AM$104/$AM$169)*100,HLOOKUP(INDIRECT(ADDRESS(2,COLUMN())),OFFSET($BN$2,0,0,ROW()-1,60),ROW()-1,FALSE))</f>
        <v>5.5212049150000002</v>
      </c>
      <c r="AN105">
        <f ca="1">IF(AND($B$158=1,LEN($AN$169) * LEN($AN$104)&gt;0),($AN$104/$AN$169)*100,HLOOKUP(INDIRECT(ADDRESS(2,COLUMN())),OFFSET($BN$2,0,0,ROW()-1,60),ROW()-1,FALSE))</f>
        <v>5.5502599650000004</v>
      </c>
      <c r="AO105" t="str">
        <f ca="1">IF(AND($B$158=1,LEN($AO$169) * LEN($AO$104)&gt;0),($AO$104/$AO$169)*100,HLOOKUP(INDIRECT(ADDRESS(2,COLUMN())),OFFSET($BN$2,0,0,ROW()-1,60),ROW()-1,FALSE))</f>
        <v/>
      </c>
      <c r="AP105">
        <f ca="1">IF(AND($B$158=1,LEN($AP$169) * LEN($AP$104)&gt;0),($AP$104/$AP$169)*100,HLOOKUP(INDIRECT(ADDRESS(2,COLUMN())),OFFSET($BN$2,0,0,ROW()-1,60),ROW()-1,FALSE))</f>
        <v>4.6561548669999997</v>
      </c>
      <c r="AQ105">
        <f ca="1">IF(AND($B$158=1,LEN($AQ$169) * LEN($AQ$104)&gt;0),($AQ$104/$AQ$169)*100,HLOOKUP(INDIRECT(ADDRESS(2,COLUMN())),OFFSET($BN$2,0,0,ROW()-1,60),ROW()-1,FALSE))</f>
        <v>5.0773316670000002</v>
      </c>
      <c r="AR105">
        <f ca="1">IF(AND($B$158=1,LEN($AR$169) * LEN($AR$104)&gt;0),($AR$104/$AR$169)*100,HLOOKUP(INDIRECT(ADDRESS(2,COLUMN())),OFFSET($BN$2,0,0,ROW()-1,60),ROW()-1,FALSE))</f>
        <v>5.0488599350000003</v>
      </c>
      <c r="AS105">
        <f ca="1">IF(AND($B$158=1,LEN($AS$169) * LEN($AS$104)&gt;0),($AS$104/$AS$169)*100,HLOOKUP(INDIRECT(ADDRESS(2,COLUMN())),OFFSET($BN$2,0,0,ROW()-1,60),ROW()-1,FALSE))</f>
        <v>4.6458004180000003</v>
      </c>
      <c r="AT105" t="str">
        <f ca="1">IF(AND($B$158=1,LEN($AT$169) * LEN($AT$104)&gt;0),($AT$104/$AT$169)*100,HLOOKUP(INDIRECT(ADDRESS(2,COLUMN())),OFFSET($BN$2,0,0,ROW()-1,60),ROW()-1,FALSE))</f>
        <v/>
      </c>
      <c r="AU105" t="str">
        <f ca="1">IF(AND($B$158=1,LEN($AU$169) * LEN($AU$104)&gt;0),($AU$104/$AU$169)*100,HLOOKUP(INDIRECT(ADDRESS(2,COLUMN())),OFFSET($BN$2,0,0,ROW()-1,60),ROW()-1,FALSE))</f>
        <v/>
      </c>
      <c r="AV105">
        <f ca="1">IF(AND($B$158=1,LEN($AV$169) * LEN($AV$104)&gt;0),($AV$104/$AV$169)*100,HLOOKUP(INDIRECT(ADDRESS(2,COLUMN())),OFFSET($BN$2,0,0,ROW()-1,60),ROW()-1,FALSE))</f>
        <v>2.8941211980000001</v>
      </c>
      <c r="AW105">
        <f ca="1">IF(AND($B$158=1,LEN($AW$169) * LEN($AW$104)&gt;0),($AW$104/$AW$169)*100,HLOOKUP(INDIRECT(ADDRESS(2,COLUMN())),OFFSET($BN$2,0,0,ROW()-1,60),ROW()-1,FALSE))</f>
        <v>2.6933163229999999</v>
      </c>
      <c r="AX105" t="str">
        <f ca="1">IF(AND($B$158=1,LEN($AX$169) * LEN($AX$104)&gt;0),($AX$104/$AX$169)*100,HLOOKUP(INDIRECT(ADDRESS(2,COLUMN())),OFFSET($BN$2,0,0,ROW()-1,60),ROW()-1,FALSE))</f>
        <v/>
      </c>
      <c r="AY105">
        <f ca="1">IF(AND($B$158=1,LEN($AY$169) * LEN($AY$104)&gt;0),($AY$104/$AY$169)*100,HLOOKUP(INDIRECT(ADDRESS(2,COLUMN())),OFFSET($BN$2,0,0,ROW()-1,60),ROW()-1,FALSE))</f>
        <v>2.0643101229999998</v>
      </c>
      <c r="AZ105">
        <f ca="1">IF(AND($B$158=1,LEN($AZ$169) * LEN($AZ$104)&gt;0),($AZ$104/$AZ$169)*100,HLOOKUP(INDIRECT(ADDRESS(2,COLUMN())),OFFSET($BN$2,0,0,ROW()-1,60),ROW()-1,FALSE))</f>
        <v>1.476309227</v>
      </c>
      <c r="BA105">
        <f ca="1">IF(AND($B$158=1,LEN($BA$169) * LEN($BA$104)&gt;0),($BA$104/$BA$169)*100,HLOOKUP(INDIRECT(ADDRESS(2,COLUMN())),OFFSET($BN$2,0,0,ROW()-1,60),ROW()-1,FALSE))</f>
        <v>1.726673726</v>
      </c>
      <c r="BB105" t="str">
        <f ca="1">IF(AND($B$158=1,LEN($BB$169) * LEN($BB$104)&gt;0),($BB$104/$BB$169)*100,HLOOKUP(INDIRECT(ADDRESS(2,COLUMN())),OFFSET($BN$2,0,0,ROW()-1,60),ROW()-1,FALSE))</f>
        <v/>
      </c>
      <c r="BC105" t="str">
        <f ca="1">IF(AND($B$158=1,LEN($BC$169) * LEN($BC$104)&gt;0),($BC$104/$BC$169)*100,HLOOKUP(INDIRECT(ADDRESS(2,COLUMN())),OFFSET($BN$2,0,0,ROW()-1,60),ROW()-1,FALSE))</f>
        <v/>
      </c>
      <c r="BD105">
        <f ca="1">IF(AND($B$158=1,LEN($BD$169) * LEN($BD$104)&gt;0),($BD$104/$BD$169)*100,HLOOKUP(INDIRECT(ADDRESS(2,COLUMN())),OFFSET($BN$2,0,0,ROW()-1,60),ROW()-1,FALSE))</f>
        <v>1.1955229570000001</v>
      </c>
      <c r="BE105">
        <f ca="1">IF(AND($B$158=1,LEN($BE$169) * LEN($BE$104)&gt;0),($BE$104/$BE$169)*100,HLOOKUP(INDIRECT(ADDRESS(2,COLUMN())),OFFSET($BN$2,0,0,ROW()-1,60),ROW()-1,FALSE))</f>
        <v>1.2497383289999999</v>
      </c>
      <c r="BF105" t="str">
        <f ca="1">IF(AND($B$158=1,LEN($BF$169) * LEN($BF$104)&gt;0),($BF$104/$BF$169)*100,HLOOKUP(INDIRECT(ADDRESS(2,COLUMN())),OFFSET($BN$2,0,0,ROW()-1,60),ROW()-1,FALSE))</f>
        <v/>
      </c>
      <c r="BG105" t="str">
        <f ca="1">IF(AND($B$158=1,LEN($BG$169) * LEN($BG$104)&gt;0),($BG$104/$BG$169)*100,HLOOKUP(INDIRECT(ADDRESS(2,COLUMN())),OFFSET($BN$2,0,0,ROW()-1,60),ROW()-1,FALSE))</f>
        <v/>
      </c>
      <c r="BH105" t="str">
        <f ca="1">IF(AND($B$158=1,LEN($BH$169) * LEN($BH$104)&gt;0),($BH$104/$BH$169)*100,HLOOKUP(INDIRECT(ADDRESS(2,COLUMN())),OFFSET($BN$2,0,0,ROW()-1,60),ROW()-1,FALSE))</f>
        <v/>
      </c>
      <c r="BI105" t="str">
        <f ca="1">IF(AND($B$158=1,LEN($BI$169) * LEN($BI$104)&gt;0),($BI$104/$BI$169)*100,HLOOKUP(INDIRECT(ADDRESS(2,COLUMN())),OFFSET($BN$2,0,0,ROW()-1,60),ROW()-1,FALSE))</f>
        <v/>
      </c>
      <c r="BJ105" t="str">
        <f ca="1">IF(AND($B$158=1,LEN($BJ$169) * LEN($BJ$104)&gt;0),($BJ$104/$BJ$169)*100,HLOOKUP(INDIRECT(ADDRESS(2,COLUMN())),OFFSET($BN$2,0,0,ROW()-1,60),ROW()-1,FALSE))</f>
        <v/>
      </c>
      <c r="BK105" t="str">
        <f ca="1">IF(AND($B$158=1,LEN($BK$169) * LEN($BK$104)&gt;0),($BK$104/$BK$169)*100,HLOOKUP(INDIRECT(ADDRESS(2,COLUMN())),OFFSET($BN$2,0,0,ROW()-1,60),ROW()-1,FALSE))</f>
        <v/>
      </c>
      <c r="BL105" t="str">
        <f ca="1">IF(AND($B$158=1,LEN($BL$169) * LEN($BL$104)&gt;0),($BL$104/$BL$169)*100,HLOOKUP(INDIRECT(ADDRESS(2,COLUMN())),OFFSET($BN$2,0,0,ROW()-1,60),ROW()-1,FALSE))</f>
        <v/>
      </c>
      <c r="BM105" t="str">
        <f ca="1">IF(AND($B$158=1,LEN($BM$169) * LEN($BM$104)&gt;0),($BM$104/$BM$169)*100,HLOOKUP(INDIRECT(ADDRESS(2,COLUMN())),OFFSET($BN$2,0,0,ROW()-1,60),ROW()-1,FALSE))</f>
        <v/>
      </c>
      <c r="BN105" t="str">
        <f>""</f>
        <v/>
      </c>
      <c r="BO105">
        <f>15.59052486</f>
        <v>15.59052486</v>
      </c>
      <c r="BP105">
        <f>12.72010007</f>
        <v>12.720100070000001</v>
      </c>
      <c r="BQ105">
        <f>13.28277635</f>
        <v>13.282776350000001</v>
      </c>
      <c r="BR105">
        <f>13.80050947</f>
        <v>13.80050947</v>
      </c>
      <c r="BS105">
        <f>13.73698792</f>
        <v>13.736987920000001</v>
      </c>
      <c r="BT105">
        <f>11.33281228</f>
        <v>11.332812280000001</v>
      </c>
      <c r="BU105">
        <f>13.56768232</f>
        <v>13.567682319999999</v>
      </c>
      <c r="BV105">
        <f>13.06272216</f>
        <v>13.06272216</v>
      </c>
      <c r="BW105">
        <f>13.0386655</f>
        <v>13.0386655</v>
      </c>
      <c r="BX105">
        <f>12.34071267</f>
        <v>12.34071267</v>
      </c>
      <c r="BY105">
        <f>13.14294772</f>
        <v>13.14294772</v>
      </c>
      <c r="BZ105">
        <f>12.75395623</f>
        <v>12.75395623</v>
      </c>
      <c r="CA105">
        <f>13.13639036</f>
        <v>13.13639036</v>
      </c>
      <c r="CB105">
        <f>12.02645821</f>
        <v>12.026458209999999</v>
      </c>
      <c r="CC105">
        <f>13.14145902</f>
        <v>13.141459019999999</v>
      </c>
      <c r="CD105">
        <f>9.55949724</f>
        <v>9.5594972400000007</v>
      </c>
      <c r="CE105">
        <f>14.39666817</f>
        <v>14.39666817</v>
      </c>
      <c r="CF105">
        <f>13.1831329</f>
        <v>13.1831329</v>
      </c>
      <c r="CG105">
        <f>10.19728557</f>
        <v>10.19728557</v>
      </c>
      <c r="CH105">
        <f>9.870840818</f>
        <v>9.8708408179999996</v>
      </c>
      <c r="CI105">
        <f>10.23958301</f>
        <v>10.23958301</v>
      </c>
      <c r="CJ105">
        <f>9.386682833</f>
        <v>9.3866828330000001</v>
      </c>
      <c r="CK105">
        <f>9.88325134</f>
        <v>9.8832513399999993</v>
      </c>
      <c r="CL105">
        <f>9.038249646</f>
        <v>9.0382496460000006</v>
      </c>
      <c r="CM105">
        <f>8.407018513</f>
        <v>8.4070185130000006</v>
      </c>
      <c r="CN105">
        <f>8.097717821</f>
        <v>8.0977178209999998</v>
      </c>
      <c r="CO105">
        <f>7.974349302</f>
        <v>7.9743493020000003</v>
      </c>
      <c r="CP105">
        <f>7.619082355</f>
        <v>7.6190823549999998</v>
      </c>
      <c r="CQ105">
        <f>6.877344989</f>
        <v>6.877344989</v>
      </c>
      <c r="CR105">
        <f>6.921505193</f>
        <v>6.9215051929999998</v>
      </c>
      <c r="CS105" t="str">
        <f>""</f>
        <v/>
      </c>
      <c r="CT105">
        <f>6.435623934</f>
        <v>6.4356239339999997</v>
      </c>
      <c r="CU105">
        <f>5.521204915</f>
        <v>5.5212049150000002</v>
      </c>
      <c r="CV105">
        <f>5.550259965</f>
        <v>5.5502599650000004</v>
      </c>
      <c r="CW105" t="str">
        <f>""</f>
        <v/>
      </c>
      <c r="CX105">
        <f>4.656154867</f>
        <v>4.6561548669999997</v>
      </c>
      <c r="CY105">
        <f>5.077331667</f>
        <v>5.0773316670000002</v>
      </c>
      <c r="CZ105">
        <f>5.048859935</f>
        <v>5.0488599350000003</v>
      </c>
      <c r="DA105">
        <f>4.645800418</f>
        <v>4.6458004180000003</v>
      </c>
      <c r="DB105" t="str">
        <f>""</f>
        <v/>
      </c>
      <c r="DC105" t="str">
        <f>""</f>
        <v/>
      </c>
      <c r="DD105">
        <f>2.894121198</f>
        <v>2.8941211980000001</v>
      </c>
      <c r="DE105">
        <f>2.693316323</f>
        <v>2.6933163229999999</v>
      </c>
      <c r="DF105" t="str">
        <f>""</f>
        <v/>
      </c>
      <c r="DG105">
        <f>2.064310123</f>
        <v>2.0643101229999998</v>
      </c>
      <c r="DH105">
        <f>1.476309227</f>
        <v>1.476309227</v>
      </c>
      <c r="DI105">
        <f>1.726673726</f>
        <v>1.726673726</v>
      </c>
      <c r="DJ105" t="str">
        <f>""</f>
        <v/>
      </c>
      <c r="DK105" t="str">
        <f>""</f>
        <v/>
      </c>
      <c r="DL105">
        <f>1.195522957</f>
        <v>1.1955229570000001</v>
      </c>
      <c r="DM105">
        <f>1.249738329</f>
        <v>1.2497383289999999</v>
      </c>
      <c r="DN105" t="str">
        <f>""</f>
        <v/>
      </c>
      <c r="DO105" t="str">
        <f>""</f>
        <v/>
      </c>
      <c r="DP105" t="str">
        <f>""</f>
        <v/>
      </c>
      <c r="DQ105" t="str">
        <f>""</f>
        <v/>
      </c>
      <c r="DR105" t="str">
        <f>""</f>
        <v/>
      </c>
      <c r="DS105" t="str">
        <f>""</f>
        <v/>
      </c>
      <c r="DT105" t="str">
        <f>""</f>
        <v/>
      </c>
      <c r="DU105" t="str">
        <f>""</f>
        <v/>
      </c>
    </row>
    <row r="106" spans="1:125" x14ac:dyDescent="0.25">
      <c r="A106" t="str">
        <f>"        Recurring Operating Income"</f>
        <v xml:space="preserve">        Recurring Operating Income</v>
      </c>
      <c r="B106" t="str">
        <f>"KER FP Equity"</f>
        <v>KER FP Equity</v>
      </c>
      <c r="C106" t="str">
        <f>"BI047"</f>
        <v>BI047</v>
      </c>
      <c r="D106" t="str">
        <f>"BICS_SEGMENT_DATA"</f>
        <v>BICS_SEGMENT_DATA</v>
      </c>
      <c r="E106" t="str">
        <f>"Dynamic"</f>
        <v>Dynamic</v>
      </c>
      <c r="F106" t="str">
        <f ca="1">IF(AND(ISNUMBER($F$240),$B$158=1),$F$240,HLOOKUP(INDIRECT(ADDRESS(2,COLUMN())),OFFSET($BN$2,0,0,ROW()-1,60),ROW()-1,FALSE))</f>
        <v/>
      </c>
      <c r="G106" t="str">
        <f ca="1">IF(AND(ISNUMBER($G$240),$B$158=1),$G$240,HLOOKUP(INDIRECT(ADDRESS(2,COLUMN())),OFFSET($BN$2,0,0,ROW()-1,60),ROW()-1,FALSE))</f>
        <v/>
      </c>
      <c r="H106" t="str">
        <f ca="1">IF(AND(ISNUMBER($H$240),$B$158=1),$H$240,HLOOKUP(INDIRECT(ADDRESS(2,COLUMN())),OFFSET($BN$2,0,0,ROW()-1,60),ROW()-1,FALSE))</f>
        <v/>
      </c>
      <c r="I106" t="str">
        <f ca="1">IF(AND(ISNUMBER($I$240),$B$158=1),$I$240,HLOOKUP(INDIRECT(ADDRESS(2,COLUMN())),OFFSET($BN$2,0,0,ROW()-1,60),ROW()-1,FALSE))</f>
        <v/>
      </c>
      <c r="J106" t="str">
        <f ca="1">IF(AND(ISNUMBER($J$240),$B$158=1),$J$240,HLOOKUP(INDIRECT(ADDRESS(2,COLUMN())),OFFSET($BN$2,0,0,ROW()-1,60),ROW()-1,FALSE))</f>
        <v/>
      </c>
      <c r="K106" t="str">
        <f ca="1">IF(AND(ISNUMBER($K$240),$B$158=1),$K$240,HLOOKUP(INDIRECT(ADDRESS(2,COLUMN())),OFFSET($BN$2,0,0,ROW()-1,60),ROW()-1,FALSE))</f>
        <v/>
      </c>
      <c r="L106" t="str">
        <f ca="1">IF(AND(ISNUMBER($L$240),$B$158=1),$L$240,HLOOKUP(INDIRECT(ADDRESS(2,COLUMN())),OFFSET($BN$2,0,0,ROW()-1,60),ROW()-1,FALSE))</f>
        <v/>
      </c>
      <c r="M106" t="str">
        <f ca="1">IF(AND(ISNUMBER($M$240),$B$158=1),$M$240,HLOOKUP(INDIRECT(ADDRESS(2,COLUMN())),OFFSET($BN$2,0,0,ROW()-1,60),ROW()-1,FALSE))</f>
        <v/>
      </c>
      <c r="N106" t="str">
        <f ca="1">IF(AND(ISNUMBER($N$240),$B$158=1),$N$240,HLOOKUP(INDIRECT(ADDRESS(2,COLUMN())),OFFSET($BN$2,0,0,ROW()-1,60),ROW()-1,FALSE))</f>
        <v/>
      </c>
      <c r="O106" t="str">
        <f ca="1">IF(AND(ISNUMBER($O$240),$B$158=1),$O$240,HLOOKUP(INDIRECT(ADDRESS(2,COLUMN())),OFFSET($BN$2,0,0,ROW()-1,60),ROW()-1,FALSE))</f>
        <v/>
      </c>
      <c r="P106" t="str">
        <f ca="1">IF(AND(ISNUMBER($P$240),$B$158=1),$P$240,HLOOKUP(INDIRECT(ADDRESS(2,COLUMN())),OFFSET($BN$2,0,0,ROW()-1,60),ROW()-1,FALSE))</f>
        <v/>
      </c>
      <c r="Q106" t="str">
        <f ca="1">IF(AND(ISNUMBER($Q$240),$B$158=1),$Q$240,HLOOKUP(INDIRECT(ADDRESS(2,COLUMN())),OFFSET($BN$2,0,0,ROW()-1,60),ROW()-1,FALSE))</f>
        <v/>
      </c>
      <c r="R106" t="str">
        <f ca="1">IF(AND(ISNUMBER($R$240),$B$158=1),$R$240,HLOOKUP(INDIRECT(ADDRESS(2,COLUMN())),OFFSET($BN$2,0,0,ROW()-1,60),ROW()-1,FALSE))</f>
        <v/>
      </c>
      <c r="S106" t="str">
        <f ca="1">IF(AND(ISNUMBER($S$240),$B$158=1),$S$240,HLOOKUP(INDIRECT(ADDRESS(2,COLUMN())),OFFSET($BN$2,0,0,ROW()-1,60),ROW()-1,FALSE))</f>
        <v/>
      </c>
      <c r="T106" t="str">
        <f ca="1">IF(AND(ISNUMBER($T$240),$B$158=1),$T$240,HLOOKUP(INDIRECT(ADDRESS(2,COLUMN())),OFFSET($BN$2,0,0,ROW()-1,60),ROW()-1,FALSE))</f>
        <v/>
      </c>
      <c r="U106" t="str">
        <f ca="1">IF(AND(ISNUMBER($U$240),$B$158=1),$U$240,HLOOKUP(INDIRECT(ADDRESS(2,COLUMN())),OFFSET($BN$2,0,0,ROW()-1,60),ROW()-1,FALSE))</f>
        <v/>
      </c>
      <c r="V106" t="str">
        <f ca="1">IF(AND(ISNUMBER($V$240),$B$158=1),$V$240,HLOOKUP(INDIRECT(ADDRESS(2,COLUMN())),OFFSET($BN$2,0,0,ROW()-1,60),ROW()-1,FALSE))</f>
        <v/>
      </c>
      <c r="W106" t="str">
        <f ca="1">IF(AND(ISNUMBER($W$240),$B$158=1),$W$240,HLOOKUP(INDIRECT(ADDRESS(2,COLUMN())),OFFSET($BN$2,0,0,ROW()-1,60),ROW()-1,FALSE))</f>
        <v/>
      </c>
      <c r="X106" t="str">
        <f ca="1">IF(AND(ISNUMBER($X$240),$B$158=1),$X$240,HLOOKUP(INDIRECT(ADDRESS(2,COLUMN())),OFFSET($BN$2,0,0,ROW()-1,60),ROW()-1,FALSE))</f>
        <v/>
      </c>
      <c r="Y106" t="str">
        <f ca="1">IF(AND(ISNUMBER($Y$240),$B$158=1),$Y$240,HLOOKUP(INDIRECT(ADDRESS(2,COLUMN())),OFFSET($BN$2,0,0,ROW()-1,60),ROW()-1,FALSE))</f>
        <v/>
      </c>
      <c r="Z106" t="str">
        <f ca="1">IF(AND(ISNUMBER($Z$240),$B$158=1),$Z$240,HLOOKUP(INDIRECT(ADDRESS(2,COLUMN())),OFFSET($BN$2,0,0,ROW()-1,60),ROW()-1,FALSE))</f>
        <v/>
      </c>
      <c r="AA106" t="str">
        <f ca="1">IF(AND(ISNUMBER($AA$240),$B$158=1),$AA$240,HLOOKUP(INDIRECT(ADDRESS(2,COLUMN())),OFFSET($BN$2,0,0,ROW()-1,60),ROW()-1,FALSE))</f>
        <v/>
      </c>
      <c r="AB106" t="str">
        <f ca="1">IF(AND(ISNUMBER($AB$240),$B$158=1),$AB$240,HLOOKUP(INDIRECT(ADDRESS(2,COLUMN())),OFFSET($BN$2,0,0,ROW()-1,60),ROW()-1,FALSE))</f>
        <v/>
      </c>
      <c r="AC106" t="str">
        <f ca="1">IF(AND(ISNUMBER($AC$240),$B$158=1),$AC$240,HLOOKUP(INDIRECT(ADDRESS(2,COLUMN())),OFFSET($BN$2,0,0,ROW()-1,60),ROW()-1,FALSE))</f>
        <v/>
      </c>
      <c r="AD106" t="str">
        <f ca="1">IF(AND(ISNUMBER($AD$240),$B$158=1),$AD$240,HLOOKUP(INDIRECT(ADDRESS(2,COLUMN())),OFFSET($BN$2,0,0,ROW()-1,60),ROW()-1,FALSE))</f>
        <v/>
      </c>
      <c r="AE106" t="str">
        <f ca="1">IF(AND(ISNUMBER($AE$240),$B$158=1),$AE$240,HLOOKUP(INDIRECT(ADDRESS(2,COLUMN())),OFFSET($BN$2,0,0,ROW()-1,60),ROW()-1,FALSE))</f>
        <v/>
      </c>
      <c r="AF106" t="str">
        <f ca="1">IF(AND(ISNUMBER($AF$240),$B$158=1),$AF$240,HLOOKUP(INDIRECT(ADDRESS(2,COLUMN())),OFFSET($BN$2,0,0,ROW()-1,60),ROW()-1,FALSE))</f>
        <v/>
      </c>
      <c r="AG106" t="str">
        <f ca="1">IF(AND(ISNUMBER($AG$240),$B$158=1),$AG$240,HLOOKUP(INDIRECT(ADDRESS(2,COLUMN())),OFFSET($BN$2,0,0,ROW()-1,60),ROW()-1,FALSE))</f>
        <v/>
      </c>
      <c r="AH106" t="str">
        <f ca="1">IF(AND(ISNUMBER($AH$240),$B$158=1),$AH$240,HLOOKUP(INDIRECT(ADDRESS(2,COLUMN())),OFFSET($BN$2,0,0,ROW()-1,60),ROW()-1,FALSE))</f>
        <v/>
      </c>
      <c r="AI106" t="str">
        <f ca="1">IF(AND(ISNUMBER($AI$240),$B$158=1),$AI$240,HLOOKUP(INDIRECT(ADDRESS(2,COLUMN())),OFFSET($BN$2,0,0,ROW()-1,60),ROW()-1,FALSE))</f>
        <v/>
      </c>
      <c r="AJ106" t="str">
        <f ca="1">IF(AND(ISNUMBER($AJ$240),$B$158=1),$AJ$240,HLOOKUP(INDIRECT(ADDRESS(2,COLUMN())),OFFSET($BN$2,0,0,ROW()-1,60),ROW()-1,FALSE))</f>
        <v/>
      </c>
      <c r="AK106" t="str">
        <f ca="1">IF(AND(ISNUMBER($AK$240),$B$158=1),$AK$240,HLOOKUP(INDIRECT(ADDRESS(2,COLUMN())),OFFSET($BN$2,0,0,ROW()-1,60),ROW()-1,FALSE))</f>
        <v/>
      </c>
      <c r="AL106" t="str">
        <f ca="1">IF(AND(ISNUMBER($AL$240),$B$158=1),$AL$240,HLOOKUP(INDIRECT(ADDRESS(2,COLUMN())),OFFSET($BN$2,0,0,ROW()-1,60),ROW()-1,FALSE))</f>
        <v/>
      </c>
      <c r="AM106" t="str">
        <f ca="1">IF(AND(ISNUMBER($AM$240),$B$158=1),$AM$240,HLOOKUP(INDIRECT(ADDRESS(2,COLUMN())),OFFSET($BN$2,0,0,ROW()-1,60),ROW()-1,FALSE))</f>
        <v/>
      </c>
      <c r="AN106" t="str">
        <f ca="1">IF(AND(ISNUMBER($AN$240),$B$158=1),$AN$240,HLOOKUP(INDIRECT(ADDRESS(2,COLUMN())),OFFSET($BN$2,0,0,ROW()-1,60),ROW()-1,FALSE))</f>
        <v/>
      </c>
      <c r="AO106" t="str">
        <f ca="1">IF(AND(ISNUMBER($AO$240),$B$158=1),$AO$240,HLOOKUP(INDIRECT(ADDRESS(2,COLUMN())),OFFSET($BN$2,0,0,ROW()-1,60),ROW()-1,FALSE))</f>
        <v/>
      </c>
      <c r="AP106" t="str">
        <f ca="1">IF(AND(ISNUMBER($AP$240),$B$158=1),$AP$240,HLOOKUP(INDIRECT(ADDRESS(2,COLUMN())),OFFSET($BN$2,0,0,ROW()-1,60),ROW()-1,FALSE))</f>
        <v/>
      </c>
      <c r="AQ106" t="str">
        <f ca="1">IF(AND(ISNUMBER($AQ$240),$B$158=1),$AQ$240,HLOOKUP(INDIRECT(ADDRESS(2,COLUMN())),OFFSET($BN$2,0,0,ROW()-1,60),ROW()-1,FALSE))</f>
        <v/>
      </c>
      <c r="AR106" t="str">
        <f ca="1">IF(AND(ISNUMBER($AR$240),$B$158=1),$AR$240,HLOOKUP(INDIRECT(ADDRESS(2,COLUMN())),OFFSET($BN$2,0,0,ROW()-1,60),ROW()-1,FALSE))</f>
        <v/>
      </c>
      <c r="AS106" t="str">
        <f ca="1">IF(AND(ISNUMBER($AS$240),$B$158=1),$AS$240,HLOOKUP(INDIRECT(ADDRESS(2,COLUMN())),OFFSET($BN$2,0,0,ROW()-1,60),ROW()-1,FALSE))</f>
        <v/>
      </c>
      <c r="AT106" t="str">
        <f ca="1">IF(AND(ISNUMBER($AT$240),$B$158=1),$AT$240,HLOOKUP(INDIRECT(ADDRESS(2,COLUMN())),OFFSET($BN$2,0,0,ROW()-1,60),ROW()-1,FALSE))</f>
        <v/>
      </c>
      <c r="AU106" t="str">
        <f ca="1">IF(AND(ISNUMBER($AU$240),$B$158=1),$AU$240,HLOOKUP(INDIRECT(ADDRESS(2,COLUMN())),OFFSET($BN$2,0,0,ROW()-1,60),ROW()-1,FALSE))</f>
        <v/>
      </c>
      <c r="AV106" t="str">
        <f ca="1">IF(AND(ISNUMBER($AV$240),$B$158=1),$AV$240,HLOOKUP(INDIRECT(ADDRESS(2,COLUMN())),OFFSET($BN$2,0,0,ROW()-1,60),ROW()-1,FALSE))</f>
        <v/>
      </c>
      <c r="AW106" t="str">
        <f ca="1">IF(AND(ISNUMBER($AW$240),$B$158=1),$AW$240,HLOOKUP(INDIRECT(ADDRESS(2,COLUMN())),OFFSET($BN$2,0,0,ROW()-1,60),ROW()-1,FALSE))</f>
        <v/>
      </c>
      <c r="AX106" t="str">
        <f ca="1">IF(AND(ISNUMBER($AX$240),$B$158=1),$AX$240,HLOOKUP(INDIRECT(ADDRESS(2,COLUMN())),OFFSET($BN$2,0,0,ROW()-1,60),ROW()-1,FALSE))</f>
        <v/>
      </c>
      <c r="AY106" t="str">
        <f ca="1">IF(AND(ISNUMBER($AY$240),$B$158=1),$AY$240,HLOOKUP(INDIRECT(ADDRESS(2,COLUMN())),OFFSET($BN$2,0,0,ROW()-1,60),ROW()-1,FALSE))</f>
        <v/>
      </c>
      <c r="AZ106" t="str">
        <f ca="1">IF(AND(ISNUMBER($AZ$240),$B$158=1),$AZ$240,HLOOKUP(INDIRECT(ADDRESS(2,COLUMN())),OFFSET($BN$2,0,0,ROW()-1,60),ROW()-1,FALSE))</f>
        <v/>
      </c>
      <c r="BA106" t="str">
        <f ca="1">IF(AND(ISNUMBER($BA$240),$B$158=1),$BA$240,HLOOKUP(INDIRECT(ADDRESS(2,COLUMN())),OFFSET($BN$2,0,0,ROW()-1,60),ROW()-1,FALSE))</f>
        <v/>
      </c>
      <c r="BB106" t="str">
        <f ca="1">IF(AND(ISNUMBER($BB$240),$B$158=1),$BB$240,HLOOKUP(INDIRECT(ADDRESS(2,COLUMN())),OFFSET($BN$2,0,0,ROW()-1,60),ROW()-1,FALSE))</f>
        <v/>
      </c>
      <c r="BC106" t="str">
        <f ca="1">IF(AND(ISNUMBER($BC$240),$B$158=1),$BC$240,HLOOKUP(INDIRECT(ADDRESS(2,COLUMN())),OFFSET($BN$2,0,0,ROW()-1,60),ROW()-1,FALSE))</f>
        <v/>
      </c>
      <c r="BD106" t="str">
        <f ca="1">IF(AND(ISNUMBER($BD$240),$B$158=1),$BD$240,HLOOKUP(INDIRECT(ADDRESS(2,COLUMN())),OFFSET($BN$2,0,0,ROW()-1,60),ROW()-1,FALSE))</f>
        <v/>
      </c>
      <c r="BE106" t="str">
        <f ca="1">IF(AND(ISNUMBER($BE$240),$B$158=1),$BE$240,HLOOKUP(INDIRECT(ADDRESS(2,COLUMN())),OFFSET($BN$2,0,0,ROW()-1,60),ROW()-1,FALSE))</f>
        <v/>
      </c>
      <c r="BF106" t="str">
        <f ca="1">IF(AND(ISNUMBER($BF$240),$B$158=1),$BF$240,HLOOKUP(INDIRECT(ADDRESS(2,COLUMN())),OFFSET($BN$2,0,0,ROW()-1,60),ROW()-1,FALSE))</f>
        <v/>
      </c>
      <c r="BG106" t="str">
        <f ca="1">IF(AND(ISNUMBER($BG$240),$B$158=1),$BG$240,HLOOKUP(INDIRECT(ADDRESS(2,COLUMN())),OFFSET($BN$2,0,0,ROW()-1,60),ROW()-1,FALSE))</f>
        <v/>
      </c>
      <c r="BH106" t="str">
        <f ca="1">IF(AND(ISNUMBER($BH$240),$B$158=1),$BH$240,HLOOKUP(INDIRECT(ADDRESS(2,COLUMN())),OFFSET($BN$2,0,0,ROW()-1,60),ROW()-1,FALSE))</f>
        <v/>
      </c>
      <c r="BI106" t="str">
        <f ca="1">IF(AND(ISNUMBER($BI$240),$B$158=1),$BI$240,HLOOKUP(INDIRECT(ADDRESS(2,COLUMN())),OFFSET($BN$2,0,0,ROW()-1,60),ROW()-1,FALSE))</f>
        <v/>
      </c>
      <c r="BJ106" t="str">
        <f ca="1">IF(AND(ISNUMBER($BJ$240),$B$158=1),$BJ$240,HLOOKUP(INDIRECT(ADDRESS(2,COLUMN())),OFFSET($BN$2,0,0,ROW()-1,60),ROW()-1,FALSE))</f>
        <v/>
      </c>
      <c r="BK106" t="str">
        <f ca="1">IF(AND(ISNUMBER($BK$240),$B$158=1),$BK$240,HLOOKUP(INDIRECT(ADDRESS(2,COLUMN())),OFFSET($BN$2,0,0,ROW()-1,60),ROW()-1,FALSE))</f>
        <v/>
      </c>
      <c r="BL106" t="str">
        <f ca="1">IF(AND(ISNUMBER($BL$240),$B$158=1),$BL$240,HLOOKUP(INDIRECT(ADDRESS(2,COLUMN())),OFFSET($BN$2,0,0,ROW()-1,60),ROW()-1,FALSE))</f>
        <v/>
      </c>
      <c r="BM106" t="str">
        <f ca="1">IF(AND(ISNUMBER($BM$240),$B$158=1),$BM$240,HLOOKUP(INDIRECT(ADDRESS(2,COLUMN())),OFFSET($BN$2,0,0,ROW()-1,60),ROW()-1,FALSE))</f>
        <v/>
      </c>
      <c r="BN106" t="str">
        <f>""</f>
        <v/>
      </c>
      <c r="BO106" t="str">
        <f>""</f>
        <v/>
      </c>
      <c r="BP106" t="str">
        <f>""</f>
        <v/>
      </c>
      <c r="BQ106" t="str">
        <f>""</f>
        <v/>
      </c>
      <c r="BR106" t="str">
        <f>""</f>
        <v/>
      </c>
      <c r="BS106" t="str">
        <f>""</f>
        <v/>
      </c>
      <c r="BT106" t="str">
        <f>""</f>
        <v/>
      </c>
      <c r="BU106" t="str">
        <f>""</f>
        <v/>
      </c>
      <c r="BV106" t="str">
        <f>""</f>
        <v/>
      </c>
      <c r="BW106" t="str">
        <f>""</f>
        <v/>
      </c>
      <c r="BX106" t="str">
        <f>""</f>
        <v/>
      </c>
      <c r="BY106" t="str">
        <f>""</f>
        <v/>
      </c>
      <c r="BZ106" t="str">
        <f>""</f>
        <v/>
      </c>
      <c r="CA106" t="str">
        <f>""</f>
        <v/>
      </c>
      <c r="CB106" t="str">
        <f>""</f>
        <v/>
      </c>
      <c r="CC106" t="str">
        <f>""</f>
        <v/>
      </c>
      <c r="CD106" t="str">
        <f>""</f>
        <v/>
      </c>
      <c r="CE106" t="str">
        <f>""</f>
        <v/>
      </c>
      <c r="CF106" t="str">
        <f>""</f>
        <v/>
      </c>
      <c r="CG106" t="str">
        <f>""</f>
        <v/>
      </c>
      <c r="CH106" t="str">
        <f>""</f>
        <v/>
      </c>
      <c r="CI106" t="str">
        <f>""</f>
        <v/>
      </c>
      <c r="CJ106" t="str">
        <f>""</f>
        <v/>
      </c>
      <c r="CK106" t="str">
        <f>""</f>
        <v/>
      </c>
      <c r="CL106" t="str">
        <f>""</f>
        <v/>
      </c>
      <c r="CM106" t="str">
        <f>""</f>
        <v/>
      </c>
      <c r="CN106" t="str">
        <f>""</f>
        <v/>
      </c>
      <c r="CO106" t="str">
        <f>""</f>
        <v/>
      </c>
      <c r="CP106" t="str">
        <f>""</f>
        <v/>
      </c>
      <c r="CQ106" t="str">
        <f>""</f>
        <v/>
      </c>
      <c r="CR106" t="str">
        <f>""</f>
        <v/>
      </c>
      <c r="CS106" t="str">
        <f>""</f>
        <v/>
      </c>
      <c r="CT106" t="str">
        <f>""</f>
        <v/>
      </c>
      <c r="CU106" t="str">
        <f>""</f>
        <v/>
      </c>
      <c r="CV106" t="str">
        <f>""</f>
        <v/>
      </c>
      <c r="CW106" t="str">
        <f>""</f>
        <v/>
      </c>
      <c r="CX106" t="str">
        <f>""</f>
        <v/>
      </c>
      <c r="CY106" t="str">
        <f>""</f>
        <v/>
      </c>
      <c r="CZ106" t="str">
        <f>""</f>
        <v/>
      </c>
      <c r="DA106" t="str">
        <f>""</f>
        <v/>
      </c>
      <c r="DB106" t="str">
        <f>""</f>
        <v/>
      </c>
      <c r="DC106" t="str">
        <f>""</f>
        <v/>
      </c>
      <c r="DD106" t="str">
        <f>""</f>
        <v/>
      </c>
      <c r="DE106" t="str">
        <f>""</f>
        <v/>
      </c>
      <c r="DF106" t="str">
        <f>""</f>
        <v/>
      </c>
      <c r="DG106" t="str">
        <f>""</f>
        <v/>
      </c>
      <c r="DH106" t="str">
        <f>""</f>
        <v/>
      </c>
      <c r="DI106" t="str">
        <f>""</f>
        <v/>
      </c>
      <c r="DJ106" t="str">
        <f>""</f>
        <v/>
      </c>
      <c r="DK106" t="str">
        <f>""</f>
        <v/>
      </c>
      <c r="DL106" t="str">
        <f>""</f>
        <v/>
      </c>
      <c r="DM106" t="str">
        <f>""</f>
        <v/>
      </c>
      <c r="DN106" t="str">
        <f>""</f>
        <v/>
      </c>
      <c r="DO106" t="str">
        <f>""</f>
        <v/>
      </c>
      <c r="DP106" t="str">
        <f>""</f>
        <v/>
      </c>
      <c r="DQ106" t="str">
        <f>""</f>
        <v/>
      </c>
      <c r="DR106" t="str">
        <f>""</f>
        <v/>
      </c>
      <c r="DS106" t="str">
        <f>""</f>
        <v/>
      </c>
      <c r="DT106" t="str">
        <f>""</f>
        <v/>
      </c>
      <c r="DU106" t="str">
        <f>""</f>
        <v/>
      </c>
    </row>
    <row r="107" spans="1:125" x14ac:dyDescent="0.25">
      <c r="A107" t="str">
        <f>"        Recurring Operating Margin (%)"</f>
        <v xml:space="preserve">        Recurring Operating Margin (%)</v>
      </c>
      <c r="B107" t="str">
        <f>"KER FP Equity"</f>
        <v>KER FP Equity</v>
      </c>
      <c r="E107" t="str">
        <f>"Expression"</f>
        <v>Expression</v>
      </c>
      <c r="F107" t="str">
        <f ca="1">IF(AND($B$158=1,LEN($F$106) * LEN($F$104)&gt;0),$F$106/$F$104*100,HLOOKUP(INDIRECT(ADDRESS(2,COLUMN())),OFFSET($BN$2,0,0,ROW()-1,60),ROW()-1,FALSE))</f>
        <v/>
      </c>
      <c r="G107" t="str">
        <f ca="1">IF(AND($B$158=1,LEN($G$106) * LEN($G$104)&gt;0),$G$106/$G$104*100,HLOOKUP(INDIRECT(ADDRESS(2,COLUMN())),OFFSET($BN$2,0,0,ROW()-1,60),ROW()-1,FALSE))</f>
        <v/>
      </c>
      <c r="H107" t="str">
        <f ca="1">IF(AND($B$158=1,LEN($H$106) * LEN($H$104)&gt;0),$H$106/$H$104*100,HLOOKUP(INDIRECT(ADDRESS(2,COLUMN())),OFFSET($BN$2,0,0,ROW()-1,60),ROW()-1,FALSE))</f>
        <v/>
      </c>
      <c r="I107" t="str">
        <f ca="1">IF(AND($B$158=1,LEN($I$106) * LEN($I$104)&gt;0),$I$106/$I$104*100,HLOOKUP(INDIRECT(ADDRESS(2,COLUMN())),OFFSET($BN$2,0,0,ROW()-1,60),ROW()-1,FALSE))</f>
        <v/>
      </c>
      <c r="J107" t="str">
        <f ca="1">IF(AND($B$158=1,LEN($J$106) * LEN($J$104)&gt;0),$J$106/$J$104*100,HLOOKUP(INDIRECT(ADDRESS(2,COLUMN())),OFFSET($BN$2,0,0,ROW()-1,60),ROW()-1,FALSE))</f>
        <v/>
      </c>
      <c r="K107" t="str">
        <f ca="1">IF(AND($B$158=1,LEN($K$106) * LEN($K$104)&gt;0),$K$106/$K$104*100,HLOOKUP(INDIRECT(ADDRESS(2,COLUMN())),OFFSET($BN$2,0,0,ROW()-1,60),ROW()-1,FALSE))</f>
        <v/>
      </c>
      <c r="L107" t="str">
        <f ca="1">IF(AND($B$158=1,LEN($L$106) * LEN($L$104)&gt;0),$L$106/$L$104*100,HLOOKUP(INDIRECT(ADDRESS(2,COLUMN())),OFFSET($BN$2,0,0,ROW()-1,60),ROW()-1,FALSE))</f>
        <v/>
      </c>
      <c r="M107" t="str">
        <f ca="1">IF(AND($B$158=1,LEN($M$106) * LEN($M$104)&gt;0),$M$106/$M$104*100,HLOOKUP(INDIRECT(ADDRESS(2,COLUMN())),OFFSET($BN$2,0,0,ROW()-1,60),ROW()-1,FALSE))</f>
        <v/>
      </c>
      <c r="N107" t="str">
        <f ca="1">IF(AND($B$158=1,LEN($N$106) * LEN($N$104)&gt;0),$N$106/$N$104*100,HLOOKUP(INDIRECT(ADDRESS(2,COLUMN())),OFFSET($BN$2,0,0,ROW()-1,60),ROW()-1,FALSE))</f>
        <v/>
      </c>
      <c r="O107" t="str">
        <f ca="1">IF(AND($B$158=1,LEN($O$106) * LEN($O$104)&gt;0),$O$106/$O$104*100,HLOOKUP(INDIRECT(ADDRESS(2,COLUMN())),OFFSET($BN$2,0,0,ROW()-1,60),ROW()-1,FALSE))</f>
        <v/>
      </c>
      <c r="P107" t="str">
        <f ca="1">IF(AND($B$158=1,LEN($P$106) * LEN($P$104)&gt;0),$P$106/$P$104*100,HLOOKUP(INDIRECT(ADDRESS(2,COLUMN())),OFFSET($BN$2,0,0,ROW()-1,60),ROW()-1,FALSE))</f>
        <v/>
      </c>
      <c r="Q107" t="str">
        <f ca="1">IF(AND($B$158=1,LEN($Q$106) * LEN($Q$104)&gt;0),$Q$106/$Q$104*100,HLOOKUP(INDIRECT(ADDRESS(2,COLUMN())),OFFSET($BN$2,0,0,ROW()-1,60),ROW()-1,FALSE))</f>
        <v/>
      </c>
      <c r="R107" t="str">
        <f ca="1">IF(AND($B$158=1,LEN($R$106) * LEN($R$104)&gt;0),$R$106/$R$104*100,HLOOKUP(INDIRECT(ADDRESS(2,COLUMN())),OFFSET($BN$2,0,0,ROW()-1,60),ROW()-1,FALSE))</f>
        <v/>
      </c>
      <c r="S107" t="str">
        <f ca="1">IF(AND($B$158=1,LEN($S$106) * LEN($S$104)&gt;0),$S$106/$S$104*100,HLOOKUP(INDIRECT(ADDRESS(2,COLUMN())),OFFSET($BN$2,0,0,ROW()-1,60),ROW()-1,FALSE))</f>
        <v/>
      </c>
      <c r="T107" t="str">
        <f ca="1">IF(AND($B$158=1,LEN($T$106) * LEN($T$104)&gt;0),$T$106/$T$104*100,HLOOKUP(INDIRECT(ADDRESS(2,COLUMN())),OFFSET($BN$2,0,0,ROW()-1,60),ROW()-1,FALSE))</f>
        <v/>
      </c>
      <c r="U107" t="str">
        <f ca="1">IF(AND($B$158=1,LEN($U$106) * LEN($U$104)&gt;0),$U$106/$U$104*100,HLOOKUP(INDIRECT(ADDRESS(2,COLUMN())),OFFSET($BN$2,0,0,ROW()-1,60),ROW()-1,FALSE))</f>
        <v/>
      </c>
      <c r="V107" t="str">
        <f ca="1">IF(AND($B$158=1,LEN($V$106) * LEN($V$104)&gt;0),$V$106/$V$104*100,HLOOKUP(INDIRECT(ADDRESS(2,COLUMN())),OFFSET($BN$2,0,0,ROW()-1,60),ROW()-1,FALSE))</f>
        <v/>
      </c>
      <c r="W107" t="str">
        <f ca="1">IF(AND($B$158=1,LEN($W$106) * LEN($W$104)&gt;0),$W$106/$W$104*100,HLOOKUP(INDIRECT(ADDRESS(2,COLUMN())),OFFSET($BN$2,0,0,ROW()-1,60),ROW()-1,FALSE))</f>
        <v/>
      </c>
      <c r="X107" t="str">
        <f ca="1">IF(AND($B$158=1,LEN($X$106) * LEN($X$104)&gt;0),$X$106/$X$104*100,HLOOKUP(INDIRECT(ADDRESS(2,COLUMN())),OFFSET($BN$2,0,0,ROW()-1,60),ROW()-1,FALSE))</f>
        <v/>
      </c>
      <c r="Y107" t="str">
        <f ca="1">IF(AND($B$158=1,LEN($Y$106) * LEN($Y$104)&gt;0),$Y$106/$Y$104*100,HLOOKUP(INDIRECT(ADDRESS(2,COLUMN())),OFFSET($BN$2,0,0,ROW()-1,60),ROW()-1,FALSE))</f>
        <v/>
      </c>
      <c r="Z107" t="str">
        <f ca="1">IF(AND($B$158=1,LEN($Z$106) * LEN($Z$104)&gt;0),$Z$106/$Z$104*100,HLOOKUP(INDIRECT(ADDRESS(2,COLUMN())),OFFSET($BN$2,0,0,ROW()-1,60),ROW()-1,FALSE))</f>
        <v/>
      </c>
      <c r="AA107" t="str">
        <f ca="1">IF(AND($B$158=1,LEN($AA$106) * LEN($AA$104)&gt;0),$AA$106/$AA$104*100,HLOOKUP(INDIRECT(ADDRESS(2,COLUMN())),OFFSET($BN$2,0,0,ROW()-1,60),ROW()-1,FALSE))</f>
        <v/>
      </c>
      <c r="AB107" t="str">
        <f ca="1">IF(AND($B$158=1,LEN($AB$106) * LEN($AB$104)&gt;0),$AB$106/$AB$104*100,HLOOKUP(INDIRECT(ADDRESS(2,COLUMN())),OFFSET($BN$2,0,0,ROW()-1,60),ROW()-1,FALSE))</f>
        <v/>
      </c>
      <c r="AC107" t="str">
        <f ca="1">IF(AND($B$158=1,LEN($AC$106) * LEN($AC$104)&gt;0),$AC$106/$AC$104*100,HLOOKUP(INDIRECT(ADDRESS(2,COLUMN())),OFFSET($BN$2,0,0,ROW()-1,60),ROW()-1,FALSE))</f>
        <v/>
      </c>
      <c r="AD107" t="str">
        <f ca="1">IF(AND($B$158=1,LEN($AD$106) * LEN($AD$104)&gt;0),$AD$106/$AD$104*100,HLOOKUP(INDIRECT(ADDRESS(2,COLUMN())),OFFSET($BN$2,0,0,ROW()-1,60),ROW()-1,FALSE))</f>
        <v/>
      </c>
      <c r="AE107" t="str">
        <f ca="1">IF(AND($B$158=1,LEN($AE$106) * LEN($AE$104)&gt;0),$AE$106/$AE$104*100,HLOOKUP(INDIRECT(ADDRESS(2,COLUMN())),OFFSET($BN$2,0,0,ROW()-1,60),ROW()-1,FALSE))</f>
        <v/>
      </c>
      <c r="AF107" t="str">
        <f ca="1">IF(AND($B$158=1,LEN($AF$106) * LEN($AF$104)&gt;0),$AF$106/$AF$104*100,HLOOKUP(INDIRECT(ADDRESS(2,COLUMN())),OFFSET($BN$2,0,0,ROW()-1,60),ROW()-1,FALSE))</f>
        <v/>
      </c>
      <c r="AG107" t="str">
        <f ca="1">IF(AND($B$158=1,LEN($AG$106) * LEN($AG$104)&gt;0),$AG$106/$AG$104*100,HLOOKUP(INDIRECT(ADDRESS(2,COLUMN())),OFFSET($BN$2,0,0,ROW()-1,60),ROW()-1,FALSE))</f>
        <v/>
      </c>
      <c r="AH107" t="str">
        <f ca="1">IF(AND($B$158=1,LEN($AH$106) * LEN($AH$104)&gt;0),$AH$106/$AH$104*100,HLOOKUP(INDIRECT(ADDRESS(2,COLUMN())),OFFSET($BN$2,0,0,ROW()-1,60),ROW()-1,FALSE))</f>
        <v/>
      </c>
      <c r="AI107" t="str">
        <f ca="1">IF(AND($B$158=1,LEN($AI$106) * LEN($AI$104)&gt;0),$AI$106/$AI$104*100,HLOOKUP(INDIRECT(ADDRESS(2,COLUMN())),OFFSET($BN$2,0,0,ROW()-1,60),ROW()-1,FALSE))</f>
        <v/>
      </c>
      <c r="AJ107" t="str">
        <f ca="1">IF(AND($B$158=1,LEN($AJ$106) * LEN($AJ$104)&gt;0),$AJ$106/$AJ$104*100,HLOOKUP(INDIRECT(ADDRESS(2,COLUMN())),OFFSET($BN$2,0,0,ROW()-1,60),ROW()-1,FALSE))</f>
        <v/>
      </c>
      <c r="AK107" t="str">
        <f ca="1">IF(AND($B$158=1,LEN($AK$106) * LEN($AK$104)&gt;0),$AK$106/$AK$104*100,HLOOKUP(INDIRECT(ADDRESS(2,COLUMN())),OFFSET($BN$2,0,0,ROW()-1,60),ROW()-1,FALSE))</f>
        <v/>
      </c>
      <c r="AL107" t="str">
        <f ca="1">IF(AND($B$158=1,LEN($AL$106) * LEN($AL$104)&gt;0),$AL$106/$AL$104*100,HLOOKUP(INDIRECT(ADDRESS(2,COLUMN())),OFFSET($BN$2,0,0,ROW()-1,60),ROW()-1,FALSE))</f>
        <v/>
      </c>
      <c r="AM107" t="str">
        <f ca="1">IF(AND($B$158=1,LEN($AM$106) * LEN($AM$104)&gt;0),$AM$106/$AM$104*100,HLOOKUP(INDIRECT(ADDRESS(2,COLUMN())),OFFSET($BN$2,0,0,ROW()-1,60),ROW()-1,FALSE))</f>
        <v/>
      </c>
      <c r="AN107" t="str">
        <f ca="1">IF(AND($B$158=1,LEN($AN$106) * LEN($AN$104)&gt;0),$AN$106/$AN$104*100,HLOOKUP(INDIRECT(ADDRESS(2,COLUMN())),OFFSET($BN$2,0,0,ROW()-1,60),ROW()-1,FALSE))</f>
        <v/>
      </c>
      <c r="AO107" t="str">
        <f ca="1">IF(AND($B$158=1,LEN($AO$106) * LEN($AO$104)&gt;0),$AO$106/$AO$104*100,HLOOKUP(INDIRECT(ADDRESS(2,COLUMN())),OFFSET($BN$2,0,0,ROW()-1,60),ROW()-1,FALSE))</f>
        <v/>
      </c>
      <c r="AP107" t="str">
        <f ca="1">IF(AND($B$158=1,LEN($AP$106) * LEN($AP$104)&gt;0),$AP$106/$AP$104*100,HLOOKUP(INDIRECT(ADDRESS(2,COLUMN())),OFFSET($BN$2,0,0,ROW()-1,60),ROW()-1,FALSE))</f>
        <v/>
      </c>
      <c r="AQ107" t="str">
        <f ca="1">IF(AND($B$158=1,LEN($AQ$106) * LEN($AQ$104)&gt;0),$AQ$106/$AQ$104*100,HLOOKUP(INDIRECT(ADDRESS(2,COLUMN())),OFFSET($BN$2,0,0,ROW()-1,60),ROW()-1,FALSE))</f>
        <v/>
      </c>
      <c r="AR107" t="str">
        <f ca="1">IF(AND($B$158=1,LEN($AR$106) * LEN($AR$104)&gt;0),$AR$106/$AR$104*100,HLOOKUP(INDIRECT(ADDRESS(2,COLUMN())),OFFSET($BN$2,0,0,ROW()-1,60),ROW()-1,FALSE))</f>
        <v/>
      </c>
      <c r="AS107" t="str">
        <f ca="1">IF(AND($B$158=1,LEN($AS$106) * LEN($AS$104)&gt;0),$AS$106/$AS$104*100,HLOOKUP(INDIRECT(ADDRESS(2,COLUMN())),OFFSET($BN$2,0,0,ROW()-1,60),ROW()-1,FALSE))</f>
        <v/>
      </c>
      <c r="AT107" t="str">
        <f ca="1">IF(AND($B$158=1,LEN($AT$106) * LEN($AT$104)&gt;0),$AT$106/$AT$104*100,HLOOKUP(INDIRECT(ADDRESS(2,COLUMN())),OFFSET($BN$2,0,0,ROW()-1,60),ROW()-1,FALSE))</f>
        <v/>
      </c>
      <c r="AU107" t="str">
        <f ca="1">IF(AND($B$158=1,LEN($AU$106) * LEN($AU$104)&gt;0),$AU$106/$AU$104*100,HLOOKUP(INDIRECT(ADDRESS(2,COLUMN())),OFFSET($BN$2,0,0,ROW()-1,60),ROW()-1,FALSE))</f>
        <v/>
      </c>
      <c r="AV107" t="str">
        <f ca="1">IF(AND($B$158=1,LEN($AV$106) * LEN($AV$104)&gt;0),$AV$106/$AV$104*100,HLOOKUP(INDIRECT(ADDRESS(2,COLUMN())),OFFSET($BN$2,0,0,ROW()-1,60),ROW()-1,FALSE))</f>
        <v/>
      </c>
      <c r="AW107" t="str">
        <f ca="1">IF(AND($B$158=1,LEN($AW$106) * LEN($AW$104)&gt;0),$AW$106/$AW$104*100,HLOOKUP(INDIRECT(ADDRESS(2,COLUMN())),OFFSET($BN$2,0,0,ROW()-1,60),ROW()-1,FALSE))</f>
        <v/>
      </c>
      <c r="AX107" t="str">
        <f ca="1">IF(AND($B$158=1,LEN($AX$106) * LEN($AX$104)&gt;0),$AX$106/$AX$104*100,HLOOKUP(INDIRECT(ADDRESS(2,COLUMN())),OFFSET($BN$2,0,0,ROW()-1,60),ROW()-1,FALSE))</f>
        <v/>
      </c>
      <c r="AY107" t="str">
        <f ca="1">IF(AND($B$158=1,LEN($AY$106) * LEN($AY$104)&gt;0),$AY$106/$AY$104*100,HLOOKUP(INDIRECT(ADDRESS(2,COLUMN())),OFFSET($BN$2,0,0,ROW()-1,60),ROW()-1,FALSE))</f>
        <v/>
      </c>
      <c r="AZ107" t="str">
        <f ca="1">IF(AND($B$158=1,LEN($AZ$106) * LEN($AZ$104)&gt;0),$AZ$106/$AZ$104*100,HLOOKUP(INDIRECT(ADDRESS(2,COLUMN())),OFFSET($BN$2,0,0,ROW()-1,60),ROW()-1,FALSE))</f>
        <v/>
      </c>
      <c r="BA107" t="str">
        <f ca="1">IF(AND($B$158=1,LEN($BA$106) * LEN($BA$104)&gt;0),$BA$106/$BA$104*100,HLOOKUP(INDIRECT(ADDRESS(2,COLUMN())),OFFSET($BN$2,0,0,ROW()-1,60),ROW()-1,FALSE))</f>
        <v/>
      </c>
      <c r="BB107" t="str">
        <f ca="1">IF(AND($B$158=1,LEN($BB$106) * LEN($BB$104)&gt;0),$BB$106/$BB$104*100,HLOOKUP(INDIRECT(ADDRESS(2,COLUMN())),OFFSET($BN$2,0,0,ROW()-1,60),ROW()-1,FALSE))</f>
        <v/>
      </c>
      <c r="BC107" t="str">
        <f ca="1">IF(AND($B$158=1,LEN($BC$106) * LEN($BC$104)&gt;0),$BC$106/$BC$104*100,HLOOKUP(INDIRECT(ADDRESS(2,COLUMN())),OFFSET($BN$2,0,0,ROW()-1,60),ROW()-1,FALSE))</f>
        <v/>
      </c>
      <c r="BD107" t="str">
        <f ca="1">IF(AND($B$158=1,LEN($BD$106) * LEN($BD$104)&gt;0),$BD$106/$BD$104*100,HLOOKUP(INDIRECT(ADDRESS(2,COLUMN())),OFFSET($BN$2,0,0,ROW()-1,60),ROW()-1,FALSE))</f>
        <v/>
      </c>
      <c r="BE107" t="str">
        <f ca="1">IF(AND($B$158=1,LEN($BE$106) * LEN($BE$104)&gt;0),$BE$106/$BE$104*100,HLOOKUP(INDIRECT(ADDRESS(2,COLUMN())),OFFSET($BN$2,0,0,ROW()-1,60),ROW()-1,FALSE))</f>
        <v/>
      </c>
      <c r="BF107" t="str">
        <f ca="1">IF(AND($B$158=1,LEN($BF$106) * LEN($BF$104)&gt;0),$BF$106/$BF$104*100,HLOOKUP(INDIRECT(ADDRESS(2,COLUMN())),OFFSET($BN$2,0,0,ROW()-1,60),ROW()-1,FALSE))</f>
        <v/>
      </c>
      <c r="BG107" t="str">
        <f ca="1">IF(AND($B$158=1,LEN($BG$106) * LEN($BG$104)&gt;0),$BG$106/$BG$104*100,HLOOKUP(INDIRECT(ADDRESS(2,COLUMN())),OFFSET($BN$2,0,0,ROW()-1,60),ROW()-1,FALSE))</f>
        <v/>
      </c>
      <c r="BH107" t="str">
        <f ca="1">IF(AND($B$158=1,LEN($BH$106) * LEN($BH$104)&gt;0),$BH$106/$BH$104*100,HLOOKUP(INDIRECT(ADDRESS(2,COLUMN())),OFFSET($BN$2,0,0,ROW()-1,60),ROW()-1,FALSE))</f>
        <v/>
      </c>
      <c r="BI107" t="str">
        <f ca="1">IF(AND($B$158=1,LEN($BI$106) * LEN($BI$104)&gt;0),$BI$106/$BI$104*100,HLOOKUP(INDIRECT(ADDRESS(2,COLUMN())),OFFSET($BN$2,0,0,ROW()-1,60),ROW()-1,FALSE))</f>
        <v/>
      </c>
      <c r="BJ107" t="str">
        <f ca="1">IF(AND($B$158=1,LEN($BJ$106) * LEN($BJ$104)&gt;0),$BJ$106/$BJ$104*100,HLOOKUP(INDIRECT(ADDRESS(2,COLUMN())),OFFSET($BN$2,0,0,ROW()-1,60),ROW()-1,FALSE))</f>
        <v/>
      </c>
      <c r="BK107" t="str">
        <f ca="1">IF(AND($B$158=1,LEN($BK$106) * LEN($BK$104)&gt;0),$BK$106/$BK$104*100,HLOOKUP(INDIRECT(ADDRESS(2,COLUMN())),OFFSET($BN$2,0,0,ROW()-1,60),ROW()-1,FALSE))</f>
        <v/>
      </c>
      <c r="BL107" t="str">
        <f ca="1">IF(AND($B$158=1,LEN($BL$106) * LEN($BL$104)&gt;0),$BL$106/$BL$104*100,HLOOKUP(INDIRECT(ADDRESS(2,COLUMN())),OFFSET($BN$2,0,0,ROW()-1,60),ROW()-1,FALSE))</f>
        <v/>
      </c>
      <c r="BM107" t="str">
        <f ca="1">IF(AND($B$158=1,LEN($BM$106) * LEN($BM$104)&gt;0),$BM$106/$BM$104*100,HLOOKUP(INDIRECT(ADDRESS(2,COLUMN())),OFFSET($BN$2,0,0,ROW()-1,60),ROW()-1,FALSE))</f>
        <v/>
      </c>
      <c r="BN107" t="str">
        <f>""</f>
        <v/>
      </c>
      <c r="BO107" t="str">
        <f>""</f>
        <v/>
      </c>
      <c r="BP107" t="str">
        <f>""</f>
        <v/>
      </c>
      <c r="BQ107" t="str">
        <f>""</f>
        <v/>
      </c>
      <c r="BR107" t="str">
        <f>""</f>
        <v/>
      </c>
      <c r="BS107" t="str">
        <f>""</f>
        <v/>
      </c>
      <c r="BT107" t="str">
        <f>""</f>
        <v/>
      </c>
      <c r="BU107" t="str">
        <f>""</f>
        <v/>
      </c>
      <c r="BV107" t="str">
        <f>""</f>
        <v/>
      </c>
      <c r="BW107" t="str">
        <f>""</f>
        <v/>
      </c>
      <c r="BX107" t="str">
        <f>""</f>
        <v/>
      </c>
      <c r="BY107" t="str">
        <f>""</f>
        <v/>
      </c>
      <c r="BZ107" t="str">
        <f>""</f>
        <v/>
      </c>
      <c r="CA107" t="str">
        <f>""</f>
        <v/>
      </c>
      <c r="CB107" t="str">
        <f>""</f>
        <v/>
      </c>
      <c r="CC107" t="str">
        <f>""</f>
        <v/>
      </c>
      <c r="CD107" t="str">
        <f>""</f>
        <v/>
      </c>
      <c r="CE107" t="str">
        <f>""</f>
        <v/>
      </c>
      <c r="CF107" t="str">
        <f>""</f>
        <v/>
      </c>
      <c r="CG107" t="str">
        <f>""</f>
        <v/>
      </c>
      <c r="CH107" t="str">
        <f>""</f>
        <v/>
      </c>
      <c r="CI107" t="str">
        <f>""</f>
        <v/>
      </c>
      <c r="CJ107" t="str">
        <f>""</f>
        <v/>
      </c>
      <c r="CK107" t="str">
        <f>""</f>
        <v/>
      </c>
      <c r="CL107" t="str">
        <f>""</f>
        <v/>
      </c>
      <c r="CM107" t="str">
        <f>""</f>
        <v/>
      </c>
      <c r="CN107" t="str">
        <f>""</f>
        <v/>
      </c>
      <c r="CO107" t="str">
        <f>""</f>
        <v/>
      </c>
      <c r="CP107" t="str">
        <f>""</f>
        <v/>
      </c>
      <c r="CQ107" t="str">
        <f>""</f>
        <v/>
      </c>
      <c r="CR107" t="str">
        <f>""</f>
        <v/>
      </c>
      <c r="CS107" t="str">
        <f>""</f>
        <v/>
      </c>
      <c r="CT107" t="str">
        <f>""</f>
        <v/>
      </c>
      <c r="CU107" t="str">
        <f>""</f>
        <v/>
      </c>
      <c r="CV107" t="str">
        <f>""</f>
        <v/>
      </c>
      <c r="CW107" t="str">
        <f>""</f>
        <v/>
      </c>
      <c r="CX107" t="str">
        <f>""</f>
        <v/>
      </c>
      <c r="CY107" t="str">
        <f>""</f>
        <v/>
      </c>
      <c r="CZ107" t="str">
        <f>""</f>
        <v/>
      </c>
      <c r="DA107" t="str">
        <f>""</f>
        <v/>
      </c>
      <c r="DB107" t="str">
        <f>""</f>
        <v/>
      </c>
      <c r="DC107" t="str">
        <f>""</f>
        <v/>
      </c>
      <c r="DD107" t="str">
        <f>""</f>
        <v/>
      </c>
      <c r="DE107" t="str">
        <f>""</f>
        <v/>
      </c>
      <c r="DF107" t="str">
        <f>""</f>
        <v/>
      </c>
      <c r="DG107" t="str">
        <f>""</f>
        <v/>
      </c>
      <c r="DH107" t="str">
        <f>""</f>
        <v/>
      </c>
      <c r="DI107" t="str">
        <f>""</f>
        <v/>
      </c>
      <c r="DJ107" t="str">
        <f>""</f>
        <v/>
      </c>
      <c r="DK107" t="str">
        <f>""</f>
        <v/>
      </c>
      <c r="DL107" t="str">
        <f>""</f>
        <v/>
      </c>
      <c r="DM107" t="str">
        <f>""</f>
        <v/>
      </c>
      <c r="DN107" t="str">
        <f>""</f>
        <v/>
      </c>
      <c r="DO107" t="str">
        <f>""</f>
        <v/>
      </c>
      <c r="DP107" t="str">
        <f>""</f>
        <v/>
      </c>
      <c r="DQ107" t="str">
        <f>""</f>
        <v/>
      </c>
      <c r="DR107" t="str">
        <f>""</f>
        <v/>
      </c>
      <c r="DS107" t="str">
        <f>""</f>
        <v/>
      </c>
      <c r="DT107" t="str">
        <f>""</f>
        <v/>
      </c>
      <c r="DU107" t="str">
        <f>""</f>
        <v/>
      </c>
    </row>
    <row r="108" spans="1:125" x14ac:dyDescent="0.25">
      <c r="A108" t="str">
        <f>"    Bottega Veneta"</f>
        <v xml:space="preserve">    Bottega Veneta</v>
      </c>
      <c r="B108" t="str">
        <f>""</f>
        <v/>
      </c>
      <c r="E108" t="str">
        <f>"Static"</f>
        <v>Static</v>
      </c>
      <c r="F108" t="str">
        <f t="shared" ref="F108:AK108" ca="1" si="58">HLOOKUP(INDIRECT(ADDRESS(2,COLUMN())),OFFSET($BN$2,0,0,ROW()-1,60),ROW()-1,FALSE)</f>
        <v/>
      </c>
      <c r="G108" t="str">
        <f t="shared" ca="1" si="58"/>
        <v/>
      </c>
      <c r="H108" t="str">
        <f t="shared" ca="1" si="58"/>
        <v/>
      </c>
      <c r="I108" t="str">
        <f t="shared" ca="1" si="58"/>
        <v/>
      </c>
      <c r="J108" t="str">
        <f t="shared" ca="1" si="58"/>
        <v/>
      </c>
      <c r="K108" t="str">
        <f t="shared" ca="1" si="58"/>
        <v/>
      </c>
      <c r="L108" t="str">
        <f t="shared" ca="1" si="58"/>
        <v/>
      </c>
      <c r="M108" t="str">
        <f t="shared" ca="1" si="58"/>
        <v/>
      </c>
      <c r="N108" t="str">
        <f t="shared" ca="1" si="58"/>
        <v/>
      </c>
      <c r="O108" t="str">
        <f t="shared" ca="1" si="58"/>
        <v/>
      </c>
      <c r="P108" t="str">
        <f t="shared" ca="1" si="58"/>
        <v/>
      </c>
      <c r="Q108" t="str">
        <f t="shared" ca="1" si="58"/>
        <v/>
      </c>
      <c r="R108" t="str">
        <f t="shared" ca="1" si="58"/>
        <v/>
      </c>
      <c r="S108" t="str">
        <f t="shared" ca="1" si="58"/>
        <v/>
      </c>
      <c r="T108" t="str">
        <f t="shared" ca="1" si="58"/>
        <v/>
      </c>
      <c r="U108" t="str">
        <f t="shared" ca="1" si="58"/>
        <v/>
      </c>
      <c r="V108" t="str">
        <f t="shared" ca="1" si="58"/>
        <v/>
      </c>
      <c r="W108" t="str">
        <f t="shared" ca="1" si="58"/>
        <v/>
      </c>
      <c r="X108" t="str">
        <f t="shared" ca="1" si="58"/>
        <v/>
      </c>
      <c r="Y108" t="str">
        <f t="shared" ca="1" si="58"/>
        <v/>
      </c>
      <c r="Z108" t="str">
        <f t="shared" ca="1" si="58"/>
        <v/>
      </c>
      <c r="AA108" t="str">
        <f t="shared" ca="1" si="58"/>
        <v/>
      </c>
      <c r="AB108" t="str">
        <f t="shared" ca="1" si="58"/>
        <v/>
      </c>
      <c r="AC108" t="str">
        <f t="shared" ca="1" si="58"/>
        <v/>
      </c>
      <c r="AD108" t="str">
        <f t="shared" ca="1" si="58"/>
        <v/>
      </c>
      <c r="AE108" t="str">
        <f t="shared" ca="1" si="58"/>
        <v/>
      </c>
      <c r="AF108" t="str">
        <f t="shared" ca="1" si="58"/>
        <v/>
      </c>
      <c r="AG108" t="str">
        <f t="shared" ca="1" si="58"/>
        <v/>
      </c>
      <c r="AH108" t="str">
        <f t="shared" ca="1" si="58"/>
        <v/>
      </c>
      <c r="AI108" t="str">
        <f t="shared" ca="1" si="58"/>
        <v/>
      </c>
      <c r="AJ108" t="str">
        <f t="shared" ca="1" si="58"/>
        <v/>
      </c>
      <c r="AK108" t="str">
        <f t="shared" ca="1" si="58"/>
        <v/>
      </c>
      <c r="AL108" t="str">
        <f t="shared" ref="AL108:BM108" ca="1" si="59">HLOOKUP(INDIRECT(ADDRESS(2,COLUMN())),OFFSET($BN$2,0,0,ROW()-1,60),ROW()-1,FALSE)</f>
        <v/>
      </c>
      <c r="AM108" t="str">
        <f t="shared" ca="1" si="59"/>
        <v/>
      </c>
      <c r="AN108" t="str">
        <f t="shared" ca="1" si="59"/>
        <v/>
      </c>
      <c r="AO108" t="str">
        <f t="shared" ca="1" si="59"/>
        <v/>
      </c>
      <c r="AP108" t="str">
        <f t="shared" ca="1" si="59"/>
        <v/>
      </c>
      <c r="AQ108" t="str">
        <f t="shared" ca="1" si="59"/>
        <v/>
      </c>
      <c r="AR108" t="str">
        <f t="shared" ca="1" si="59"/>
        <v/>
      </c>
      <c r="AS108" t="str">
        <f t="shared" ca="1" si="59"/>
        <v/>
      </c>
      <c r="AT108" t="str">
        <f t="shared" ca="1" si="59"/>
        <v/>
      </c>
      <c r="AU108" t="str">
        <f t="shared" ca="1" si="59"/>
        <v/>
      </c>
      <c r="AV108" t="str">
        <f t="shared" ca="1" si="59"/>
        <v/>
      </c>
      <c r="AW108" t="str">
        <f t="shared" ca="1" si="59"/>
        <v/>
      </c>
      <c r="AX108" t="str">
        <f t="shared" ca="1" si="59"/>
        <v/>
      </c>
      <c r="AY108" t="str">
        <f t="shared" ca="1" si="59"/>
        <v/>
      </c>
      <c r="AZ108" t="str">
        <f t="shared" ca="1" si="59"/>
        <v/>
      </c>
      <c r="BA108" t="str">
        <f t="shared" ca="1" si="59"/>
        <v/>
      </c>
      <c r="BB108" t="str">
        <f t="shared" ca="1" si="59"/>
        <v/>
      </c>
      <c r="BC108" t="str">
        <f t="shared" ca="1" si="59"/>
        <v/>
      </c>
      <c r="BD108" t="str">
        <f t="shared" ca="1" si="59"/>
        <v/>
      </c>
      <c r="BE108" t="str">
        <f t="shared" ca="1" si="59"/>
        <v/>
      </c>
      <c r="BF108" t="str">
        <f t="shared" ca="1" si="59"/>
        <v/>
      </c>
      <c r="BG108" t="str">
        <f t="shared" ca="1" si="59"/>
        <v/>
      </c>
      <c r="BH108" t="str">
        <f t="shared" ca="1" si="59"/>
        <v/>
      </c>
      <c r="BI108" t="str">
        <f t="shared" ca="1" si="59"/>
        <v/>
      </c>
      <c r="BJ108" t="str">
        <f t="shared" ca="1" si="59"/>
        <v/>
      </c>
      <c r="BK108" t="str">
        <f t="shared" ca="1" si="59"/>
        <v/>
      </c>
      <c r="BL108" t="str">
        <f t="shared" ca="1" si="59"/>
        <v/>
      </c>
      <c r="BM108" t="str">
        <f t="shared" ca="1" si="59"/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  <c r="BT108" t="str">
        <f>""</f>
        <v/>
      </c>
      <c r="BU108" t="str">
        <f>""</f>
        <v/>
      </c>
      <c r="BV108" t="str">
        <f>""</f>
        <v/>
      </c>
      <c r="BW108" t="str">
        <f>""</f>
        <v/>
      </c>
      <c r="BX108" t="str">
        <f>""</f>
        <v/>
      </c>
      <c r="BY108" t="str">
        <f>""</f>
        <v/>
      </c>
      <c r="BZ108" t="str">
        <f>""</f>
        <v/>
      </c>
      <c r="CA108" t="str">
        <f>""</f>
        <v/>
      </c>
      <c r="CB108" t="str">
        <f>""</f>
        <v/>
      </c>
      <c r="CC108" t="str">
        <f>""</f>
        <v/>
      </c>
      <c r="CD108" t="str">
        <f>""</f>
        <v/>
      </c>
      <c r="CE108" t="str">
        <f>""</f>
        <v/>
      </c>
      <c r="CF108" t="str">
        <f>""</f>
        <v/>
      </c>
      <c r="CG108" t="str">
        <f>""</f>
        <v/>
      </c>
      <c r="CH108" t="str">
        <f>""</f>
        <v/>
      </c>
      <c r="CI108" t="str">
        <f>""</f>
        <v/>
      </c>
      <c r="CJ108" t="str">
        <f>""</f>
        <v/>
      </c>
      <c r="CK108" t="str">
        <f>""</f>
        <v/>
      </c>
      <c r="CL108" t="str">
        <f>""</f>
        <v/>
      </c>
      <c r="CM108" t="str">
        <f>""</f>
        <v/>
      </c>
      <c r="CN108" t="str">
        <f>""</f>
        <v/>
      </c>
      <c r="CO108" t="str">
        <f>""</f>
        <v/>
      </c>
      <c r="CP108" t="str">
        <f>""</f>
        <v/>
      </c>
      <c r="CQ108" t="str">
        <f>""</f>
        <v/>
      </c>
      <c r="CR108" t="str">
        <f>""</f>
        <v/>
      </c>
      <c r="CS108" t="str">
        <f>""</f>
        <v/>
      </c>
      <c r="CT108" t="str">
        <f>""</f>
        <v/>
      </c>
      <c r="CU108" t="str">
        <f>""</f>
        <v/>
      </c>
      <c r="CV108" t="str">
        <f>""</f>
        <v/>
      </c>
      <c r="CW108" t="str">
        <f>""</f>
        <v/>
      </c>
      <c r="CX108" t="str">
        <f>""</f>
        <v/>
      </c>
      <c r="CY108" t="str">
        <f>""</f>
        <v/>
      </c>
      <c r="CZ108" t="str">
        <f>""</f>
        <v/>
      </c>
      <c r="DA108" t="str">
        <f>""</f>
        <v/>
      </c>
      <c r="DB108" t="str">
        <f>""</f>
        <v/>
      </c>
      <c r="DC108" t="str">
        <f>""</f>
        <v/>
      </c>
      <c r="DD108" t="str">
        <f>""</f>
        <v/>
      </c>
      <c r="DE108" t="str">
        <f>""</f>
        <v/>
      </c>
      <c r="DF108" t="str">
        <f>""</f>
        <v/>
      </c>
      <c r="DG108" t="str">
        <f>""</f>
        <v/>
      </c>
      <c r="DH108" t="str">
        <f>""</f>
        <v/>
      </c>
      <c r="DI108" t="str">
        <f>""</f>
        <v/>
      </c>
      <c r="DJ108" t="str">
        <f>""</f>
        <v/>
      </c>
      <c r="DK108" t="str">
        <f>""</f>
        <v/>
      </c>
      <c r="DL108" t="str">
        <f>""</f>
        <v/>
      </c>
      <c r="DM108" t="str">
        <f>""</f>
        <v/>
      </c>
      <c r="DN108" t="str">
        <f>""</f>
        <v/>
      </c>
      <c r="DO108" t="str">
        <f>""</f>
        <v/>
      </c>
      <c r="DP108" t="str">
        <f>""</f>
        <v/>
      </c>
      <c r="DQ108" t="str">
        <f>""</f>
        <v/>
      </c>
      <c r="DR108" t="str">
        <f>""</f>
        <v/>
      </c>
      <c r="DS108" t="str">
        <f>""</f>
        <v/>
      </c>
      <c r="DT108" t="str">
        <f>""</f>
        <v/>
      </c>
      <c r="DU108" t="str">
        <f>""</f>
        <v/>
      </c>
    </row>
    <row r="109" spans="1:125" x14ac:dyDescent="0.25">
      <c r="A109" t="str">
        <f>"        Revenue"</f>
        <v xml:space="preserve">        Revenue</v>
      </c>
      <c r="B109" t="str">
        <f>"KER FP Equity"</f>
        <v>KER FP Equity</v>
      </c>
      <c r="C109" t="str">
        <f>"BI047"</f>
        <v>BI047</v>
      </c>
      <c r="D109" t="str">
        <f>"BICS_SEGMENT_DATA"</f>
        <v>BICS_SEGMENT_DATA</v>
      </c>
      <c r="E109" t="str">
        <f>"Dynamic"</f>
        <v>Dynamic</v>
      </c>
      <c r="F109" t="str">
        <f ca="1">IF(AND(ISNUMBER($F$241),$B$158=1),$F$241,HLOOKUP(INDIRECT(ADDRESS(2,COLUMN())),OFFSET($BN$2,0,0,ROW()-1,60),ROW()-1,FALSE))</f>
        <v/>
      </c>
      <c r="G109">
        <f ca="1">IF(AND(ISNUMBER($G$241),$B$158=1),$G$241,HLOOKUP(INDIRECT(ADDRESS(2,COLUMN())),OFFSET($BN$2,0,0,ROW()-1,60),ROW()-1,FALSE))</f>
        <v>363.4</v>
      </c>
      <c r="H109">
        <f ca="1">IF(AND(ISNUMBER($H$241),$B$158=1),$H$241,HLOOKUP(INDIRECT(ADDRESS(2,COLUMN())),OFFSET($BN$2,0,0,ROW()-1,60),ROW()-1,FALSE))</f>
        <v>379.4</v>
      </c>
      <c r="I109">
        <f ca="1">IF(AND(ISNUMBER($I$241),$B$158=1),$I$241,HLOOKUP(INDIRECT(ADDRESS(2,COLUMN())),OFFSET($BN$2,0,0,ROW()-1,60),ROW()-1,FALSE))</f>
        <v>328.2</v>
      </c>
      <c r="J109">
        <f ca="1">IF(AND(ISNUMBER($J$241),$B$158=1),$J$241,HLOOKUP(INDIRECT(ADDRESS(2,COLUMN())),OFFSET($BN$2,0,0,ROW()-1,60),ROW()-1,FALSE))</f>
        <v>374.7</v>
      </c>
      <c r="K109">
        <f ca="1">IF(AND(ISNUMBER($K$241),$B$158=1),$K$241,HLOOKUP(INDIRECT(ADDRESS(2,COLUMN())),OFFSET($BN$2,0,0,ROW()-1,60),ROW()-1,FALSE))</f>
        <v>332.5</v>
      </c>
      <c r="L109">
        <f ca="1">IF(AND(ISNUMBER($L$241),$B$158=1),$L$241,HLOOKUP(INDIRECT(ADDRESS(2,COLUMN())),OFFSET($BN$2,0,0,ROW()-1,60),ROW()-1,FALSE))</f>
        <v>229.4</v>
      </c>
      <c r="M109">
        <f ca="1">IF(AND(ISNUMBER($M$241),$B$158=1),$M$241,HLOOKUP(INDIRECT(ADDRESS(2,COLUMN())),OFFSET($BN$2,0,0,ROW()-1,60),ROW()-1,FALSE))</f>
        <v>273.7</v>
      </c>
      <c r="N109">
        <f ca="1">IF(AND(ISNUMBER($N$241),$B$158=1),$N$241,HLOOKUP(INDIRECT(ADDRESS(2,COLUMN())),OFFSET($BN$2,0,0,ROW()-1,60),ROW()-1,FALSE))</f>
        <v>334.3</v>
      </c>
      <c r="O109">
        <f ca="1">IF(AND(ISNUMBER($O$241),$B$158=1),$O$241,HLOOKUP(INDIRECT(ADDRESS(2,COLUMN())),OFFSET($BN$2,0,0,ROW()-1,60),ROW()-1,FALSE))</f>
        <v>284.3</v>
      </c>
      <c r="P109">
        <f ca="1">IF(AND(ISNUMBER($P$241),$B$158=1),$P$241,HLOOKUP(INDIRECT(ADDRESS(2,COLUMN())),OFFSET($BN$2,0,0,ROW()-1,60),ROW()-1,FALSE))</f>
        <v>300.89999999999998</v>
      </c>
      <c r="Q109">
        <f ca="1">IF(AND(ISNUMBER($Q$241),$B$158=1),$Q$241,HLOOKUP(INDIRECT(ADDRESS(2,COLUMN())),OFFSET($BN$2,0,0,ROW()-1,60),ROW()-1,FALSE))</f>
        <v>248.1</v>
      </c>
      <c r="R109">
        <f ca="1">IF(AND(ISNUMBER($R$241),$B$158=1),$R$241,HLOOKUP(INDIRECT(ADDRESS(2,COLUMN())),OFFSET($BN$2,0,0,ROW()-1,60),ROW()-1,FALSE))</f>
        <v>375.637</v>
      </c>
      <c r="S109">
        <f ca="1">IF(AND(ISNUMBER($S$241),$B$158=1),$S$241,HLOOKUP(INDIRECT(ADDRESS(2,COLUMN())),OFFSET($BN$2,0,0,ROW()-1,60),ROW()-1,FALSE))</f>
        <v>258.89999999999998</v>
      </c>
      <c r="T109">
        <f ca="1">IF(AND(ISNUMBER($T$241),$B$158=1),$T$241,HLOOKUP(INDIRECT(ADDRESS(2,COLUMN())),OFFSET($BN$2,0,0,ROW()-1,60),ROW()-1,FALSE))</f>
        <v>291</v>
      </c>
      <c r="U109">
        <f ca="1">IF(AND(ISNUMBER($U$241),$B$158=1),$U$241,HLOOKUP(INDIRECT(ADDRESS(2,COLUMN())),OFFSET($BN$2,0,0,ROW()-1,60),ROW()-1,FALSE))</f>
        <v>261.2</v>
      </c>
      <c r="V109">
        <f ca="1">IF(AND(ISNUMBER($V$241),$B$158=1),$V$241,HLOOKUP(INDIRECT(ADDRESS(2,COLUMN())),OFFSET($BN$2,0,0,ROW()-1,60),ROW()-1,FALSE))</f>
        <v>305.2</v>
      </c>
      <c r="W109">
        <f ca="1">IF(AND(ISNUMBER($W$241),$B$158=1),$W$241,HLOOKUP(INDIRECT(ADDRESS(2,COLUMN())),OFFSET($BN$2,0,0,ROW()-1,60),ROW()-1,FALSE))</f>
        <v>280.7</v>
      </c>
      <c r="X109">
        <f ca="1">IF(AND(ISNUMBER($X$241),$B$158=1),$X$241,HLOOKUP(INDIRECT(ADDRESS(2,COLUMN())),OFFSET($BN$2,0,0,ROW()-1,60),ROW()-1,FALSE))</f>
        <v>310</v>
      </c>
      <c r="Y109">
        <f ca="1">IF(AND(ISNUMBER($Y$241),$B$158=1),$Y$241,HLOOKUP(INDIRECT(ADDRESS(2,COLUMN())),OFFSET($BN$2,0,0,ROW()-1,60),ROW()-1,FALSE))</f>
        <v>280.39999999999998</v>
      </c>
      <c r="Z109">
        <f ca="1">IF(AND(ISNUMBER($Z$241),$B$158=1),$Z$241,HLOOKUP(INDIRECT(ADDRESS(2,COLUMN())),OFFSET($BN$2,0,0,ROW()-1,60),ROW()-1,FALSE))</f>
        <v>308.39999999999998</v>
      </c>
      <c r="AA109">
        <f ca="1">IF(AND(ISNUMBER($AA$241),$B$158=1),$AA$241,HLOOKUP(INDIRECT(ADDRESS(2,COLUMN())),OFFSET($BN$2,0,0,ROW()-1,60),ROW()-1,FALSE))</f>
        <v>293.8</v>
      </c>
      <c r="AB109">
        <f ca="1">IF(AND(ISNUMBER($AB$241),$B$158=1),$AB$241,HLOOKUP(INDIRECT(ADDRESS(2,COLUMN())),OFFSET($BN$2,0,0,ROW()-1,60),ROW()-1,FALSE))</f>
        <v>383.26799999999997</v>
      </c>
      <c r="AC109">
        <f ca="1">IF(AND(ISNUMBER($AC$241),$B$158=1),$AC$241,HLOOKUP(INDIRECT(ADDRESS(2,COLUMN())),OFFSET($BN$2,0,0,ROW()-1,60),ROW()-1,FALSE))</f>
        <v>267.89999999999998</v>
      </c>
      <c r="AD109">
        <f ca="1">IF(AND(ISNUMBER($AD$241),$B$158=1),$AD$241,HLOOKUP(INDIRECT(ADDRESS(2,COLUMN())),OFFSET($BN$2,0,0,ROW()-1,60),ROW()-1,FALSE))</f>
        <v>332.6</v>
      </c>
      <c r="AE109">
        <f ca="1">IF(AND(ISNUMBER($AE$241),$B$158=1),$AE$241,HLOOKUP(INDIRECT(ADDRESS(2,COLUMN())),OFFSET($BN$2,0,0,ROW()-1,60),ROW()-1,FALSE))</f>
        <v>324</v>
      </c>
      <c r="AF109">
        <f ca="1">IF(AND(ISNUMBER($AF$241),$B$158=1),$AF$241,HLOOKUP(INDIRECT(ADDRESS(2,COLUMN())),OFFSET($BN$2,0,0,ROW()-1,60),ROW()-1,FALSE))</f>
        <v>339.2</v>
      </c>
      <c r="AG109">
        <f ca="1">IF(AND(ISNUMBER($AG$241),$B$158=1),$AG$241,HLOOKUP(INDIRECT(ADDRESS(2,COLUMN())),OFFSET($BN$2,0,0,ROW()-1,60),ROW()-1,FALSE))</f>
        <v>290</v>
      </c>
      <c r="AH109">
        <f ca="1">IF(AND(ISNUMBER($AH$241),$B$158=1),$AH$241,HLOOKUP(INDIRECT(ADDRESS(2,COLUMN())),OFFSET($BN$2,0,0,ROW()-1,60),ROW()-1,FALSE))</f>
        <v>318.8</v>
      </c>
      <c r="AI109">
        <f ca="1">IF(AND(ISNUMBER($AI$241),$B$158=1),$AI$241,HLOOKUP(INDIRECT(ADDRESS(2,COLUMN())),OFFSET($BN$2,0,0,ROW()-1,60),ROW()-1,FALSE))</f>
        <v>286.2</v>
      </c>
      <c r="AJ109">
        <f ca="1">IF(AND(ISNUMBER($AJ$241),$B$158=1),$AJ$241,HLOOKUP(INDIRECT(ADDRESS(2,COLUMN())),OFFSET($BN$2,0,0,ROW()-1,60),ROW()-1,FALSE))</f>
        <v>274.7</v>
      </c>
      <c r="AK109">
        <f ca="1">IF(AND(ISNUMBER($AK$241),$B$158=1),$AK$241,HLOOKUP(INDIRECT(ADDRESS(2,COLUMN())),OFFSET($BN$2,0,0,ROW()-1,60),ROW()-1,FALSE))</f>
        <v>251</v>
      </c>
      <c r="AL109">
        <f ca="1">IF(AND(ISNUMBER($AL$241),$B$158=1),$AL$241,HLOOKUP(INDIRECT(ADDRESS(2,COLUMN())),OFFSET($BN$2,0,0,ROW()-1,60),ROW()-1,FALSE))</f>
        <v>290.89999999999998</v>
      </c>
      <c r="AM109">
        <f ca="1">IF(AND(ISNUMBER($AM$241),$B$158=1),$AM$241,HLOOKUP(INDIRECT(ADDRESS(2,COLUMN())),OFFSET($BN$2,0,0,ROW()-1,60),ROW()-1,FALSE))</f>
        <v>259.3</v>
      </c>
      <c r="AN109">
        <f ca="1">IF(AND(ISNUMBER($AN$241),$B$158=1),$AN$241,HLOOKUP(INDIRECT(ADDRESS(2,COLUMN())),OFFSET($BN$2,0,0,ROW()-1,60),ROW()-1,FALSE))</f>
        <v>236.6</v>
      </c>
      <c r="AO109">
        <f ca="1">IF(AND(ISNUMBER($AO$241),$B$158=1),$AO$241,HLOOKUP(INDIRECT(ADDRESS(2,COLUMN())),OFFSET($BN$2,0,0,ROW()-1,60),ROW()-1,FALSE))</f>
        <v>229</v>
      </c>
      <c r="AP109">
        <f ca="1">IF(AND(ISNUMBER($AP$241),$B$158=1),$AP$241,HLOOKUP(INDIRECT(ADDRESS(2,COLUMN())),OFFSET($BN$2,0,0,ROW()-1,60),ROW()-1,FALSE))</f>
        <v>274</v>
      </c>
      <c r="AQ109">
        <f ca="1">IF(AND(ISNUMBER($AQ$241),$B$158=1),$AQ$241,HLOOKUP(INDIRECT(ADDRESS(2,COLUMN())),OFFSET($BN$2,0,0,ROW()-1,60),ROW()-1,FALSE))</f>
        <v>241.6</v>
      </c>
      <c r="AR109">
        <f ca="1">IF(AND(ISNUMBER($AR$241),$B$158=1),$AR$241,HLOOKUP(INDIRECT(ADDRESS(2,COLUMN())),OFFSET($BN$2,0,0,ROW()-1,60),ROW()-1,FALSE))</f>
        <v>211.5</v>
      </c>
      <c r="AS109">
        <f ca="1">IF(AND(ISNUMBER($AS$241),$B$158=1),$AS$241,HLOOKUP(INDIRECT(ADDRESS(2,COLUMN())),OFFSET($BN$2,0,0,ROW()-1,60),ROW()-1,FALSE))</f>
        <v>218</v>
      </c>
      <c r="AT109" t="str">
        <f ca="1">IF(AND(ISNUMBER($AT$241),$B$158=1),$AT$241,HLOOKUP(INDIRECT(ADDRESS(2,COLUMN())),OFFSET($BN$2,0,0,ROW()-1,60),ROW()-1,FALSE))</f>
        <v/>
      </c>
      <c r="AU109" t="str">
        <f ca="1">IF(AND(ISNUMBER($AU$241),$B$158=1),$AU$241,HLOOKUP(INDIRECT(ADDRESS(2,COLUMN())),OFFSET($BN$2,0,0,ROW()-1,60),ROW()-1,FALSE))</f>
        <v/>
      </c>
      <c r="AV109">
        <f ca="1">IF(AND(ISNUMBER($AV$241),$B$158=1),$AV$241,HLOOKUP(INDIRECT(ADDRESS(2,COLUMN())),OFFSET($BN$2,0,0,ROW()-1,60),ROW()-1,FALSE))</f>
        <v>140.80000000000001</v>
      </c>
      <c r="AW109">
        <f ca="1">IF(AND(ISNUMBER($AW$241),$B$158=1),$AW$241,HLOOKUP(INDIRECT(ADDRESS(2,COLUMN())),OFFSET($BN$2,0,0,ROW()-1,60),ROW()-1,FALSE))</f>
        <v>156.9</v>
      </c>
      <c r="AX109">
        <f ca="1">IF(AND(ISNUMBER($AX$241),$B$158=1),$AX$241,HLOOKUP(INDIRECT(ADDRESS(2,COLUMN())),OFFSET($BN$2,0,0,ROW()-1,60),ROW()-1,FALSE))</f>
        <v>144</v>
      </c>
      <c r="AY109">
        <f ca="1">IF(AND(ISNUMBER($AY$241),$B$158=1),$AY$241,HLOOKUP(INDIRECT(ADDRESS(2,COLUMN())),OFFSET($BN$2,0,0,ROW()-1,60),ROW()-1,FALSE))</f>
        <v>136.6</v>
      </c>
      <c r="AZ109">
        <f ca="1">IF(AND(ISNUMBER($AZ$241),$B$158=1),$AZ$241,HLOOKUP(INDIRECT(ADDRESS(2,COLUMN())),OFFSET($BN$2,0,0,ROW()-1,60),ROW()-1,FALSE))</f>
        <v>116.4</v>
      </c>
      <c r="BA109">
        <f ca="1">IF(AND(ISNUMBER($BA$241),$B$158=1),$BA$241,HLOOKUP(INDIRECT(ADDRESS(2,COLUMN())),OFFSET($BN$2,0,0,ROW()-1,60),ROW()-1,FALSE))</f>
        <v>113.6</v>
      </c>
      <c r="BB109">
        <f ca="1">IF(AND(ISNUMBER($BB$241),$B$158=1),$BB$241,HLOOKUP(INDIRECT(ADDRESS(2,COLUMN())),OFFSET($BN$2,0,0,ROW()-1,60),ROW()-1,FALSE))</f>
        <v>102.9</v>
      </c>
      <c r="BC109">
        <f ca="1">IF(AND(ISNUMBER($BC$241),$B$158=1),$BC$241,HLOOKUP(INDIRECT(ADDRESS(2,COLUMN())),OFFSET($BN$2,0,0,ROW()-1,60),ROW()-1,FALSE))</f>
        <v>96.4</v>
      </c>
      <c r="BD109">
        <f ca="1">IF(AND(ISNUMBER($BD$241),$B$158=1),$BD$241,HLOOKUP(INDIRECT(ADDRESS(2,COLUMN())),OFFSET($BN$2,0,0,ROW()-1,60),ROW()-1,FALSE))</f>
        <v>99.1</v>
      </c>
      <c r="BE109">
        <f ca="1">IF(AND(ISNUMBER($BE$241),$B$158=1),$BE$241,HLOOKUP(INDIRECT(ADDRESS(2,COLUMN())),OFFSET($BN$2,0,0,ROW()-1,60),ROW()-1,FALSE))</f>
        <v>103.7</v>
      </c>
      <c r="BF109" t="str">
        <f ca="1">IF(AND(ISNUMBER($BF$241),$B$158=1),$BF$241,HLOOKUP(INDIRECT(ADDRESS(2,COLUMN())),OFFSET($BN$2,0,0,ROW()-1,60),ROW()-1,FALSE))</f>
        <v/>
      </c>
      <c r="BG109" t="str">
        <f ca="1">IF(AND(ISNUMBER($BG$241),$B$158=1),$BG$241,HLOOKUP(INDIRECT(ADDRESS(2,COLUMN())),OFFSET($BN$2,0,0,ROW()-1,60),ROW()-1,FALSE))</f>
        <v/>
      </c>
      <c r="BH109" t="str">
        <f ca="1">IF(AND(ISNUMBER($BH$241),$B$158=1),$BH$241,HLOOKUP(INDIRECT(ADDRESS(2,COLUMN())),OFFSET($BN$2,0,0,ROW()-1,60),ROW()-1,FALSE))</f>
        <v/>
      </c>
      <c r="BI109" t="str">
        <f ca="1">IF(AND(ISNUMBER($BI$241),$B$158=1),$BI$241,HLOOKUP(INDIRECT(ADDRESS(2,COLUMN())),OFFSET($BN$2,0,0,ROW()-1,60),ROW()-1,FALSE))</f>
        <v/>
      </c>
      <c r="BJ109" t="str">
        <f ca="1">IF(AND(ISNUMBER($BJ$241),$B$158=1),$BJ$241,HLOOKUP(INDIRECT(ADDRESS(2,COLUMN())),OFFSET($BN$2,0,0,ROW()-1,60),ROW()-1,FALSE))</f>
        <v/>
      </c>
      <c r="BK109" t="str">
        <f ca="1">IF(AND(ISNUMBER($BK$241),$B$158=1),$BK$241,HLOOKUP(INDIRECT(ADDRESS(2,COLUMN())),OFFSET($BN$2,0,0,ROW()-1,60),ROW()-1,FALSE))</f>
        <v/>
      </c>
      <c r="BL109" t="str">
        <f ca="1">IF(AND(ISNUMBER($BL$241),$B$158=1),$BL$241,HLOOKUP(INDIRECT(ADDRESS(2,COLUMN())),OFFSET($BN$2,0,0,ROW()-1,60),ROW()-1,FALSE))</f>
        <v/>
      </c>
      <c r="BM109" t="str">
        <f ca="1">IF(AND(ISNUMBER($BM$241),$B$158=1),$BM$241,HLOOKUP(INDIRECT(ADDRESS(2,COLUMN())),OFFSET($BN$2,0,0,ROW()-1,60),ROW()-1,FALSE))</f>
        <v/>
      </c>
      <c r="BN109" t="str">
        <f>""</f>
        <v/>
      </c>
      <c r="BO109">
        <f>363.4</f>
        <v>363.4</v>
      </c>
      <c r="BP109">
        <f>379.4</f>
        <v>379.4</v>
      </c>
      <c r="BQ109">
        <f>328.2</f>
        <v>328.2</v>
      </c>
      <c r="BR109">
        <f>374.7</f>
        <v>374.7</v>
      </c>
      <c r="BS109">
        <f>332.5</f>
        <v>332.5</v>
      </c>
      <c r="BT109">
        <f>229.4</f>
        <v>229.4</v>
      </c>
      <c r="BU109">
        <f>273.7</f>
        <v>273.7</v>
      </c>
      <c r="BV109">
        <f>334.3</f>
        <v>334.3</v>
      </c>
      <c r="BW109">
        <f>284.3</f>
        <v>284.3</v>
      </c>
      <c r="BX109">
        <f>300.9</f>
        <v>300.89999999999998</v>
      </c>
      <c r="BY109">
        <f>248.1</f>
        <v>248.1</v>
      </c>
      <c r="BZ109">
        <f>375.637</f>
        <v>375.637</v>
      </c>
      <c r="CA109">
        <f>258.9</f>
        <v>258.89999999999998</v>
      </c>
      <c r="CB109">
        <f>291</f>
        <v>291</v>
      </c>
      <c r="CC109">
        <f>261.2</f>
        <v>261.2</v>
      </c>
      <c r="CD109">
        <f>305.2</f>
        <v>305.2</v>
      </c>
      <c r="CE109">
        <f>280.7</f>
        <v>280.7</v>
      </c>
      <c r="CF109">
        <f>310</f>
        <v>310</v>
      </c>
      <c r="CG109">
        <f>280.4</f>
        <v>280.39999999999998</v>
      </c>
      <c r="CH109">
        <f>308.4</f>
        <v>308.39999999999998</v>
      </c>
      <c r="CI109">
        <f>293.8</f>
        <v>293.8</v>
      </c>
      <c r="CJ109">
        <f>383.268</f>
        <v>383.26799999999997</v>
      </c>
      <c r="CK109">
        <f>267.9</f>
        <v>267.89999999999998</v>
      </c>
      <c r="CL109">
        <f>332.6</f>
        <v>332.6</v>
      </c>
      <c r="CM109">
        <f>324</f>
        <v>324</v>
      </c>
      <c r="CN109">
        <f>339.2</f>
        <v>339.2</v>
      </c>
      <c r="CO109">
        <f>290</f>
        <v>290</v>
      </c>
      <c r="CP109">
        <f>318.8</f>
        <v>318.8</v>
      </c>
      <c r="CQ109">
        <f>286.2</f>
        <v>286.2</v>
      </c>
      <c r="CR109">
        <f>274.7</f>
        <v>274.7</v>
      </c>
      <c r="CS109">
        <f>251</f>
        <v>251</v>
      </c>
      <c r="CT109">
        <f>290.9</f>
        <v>290.89999999999998</v>
      </c>
      <c r="CU109">
        <f>259.3</f>
        <v>259.3</v>
      </c>
      <c r="CV109">
        <f>236.6</f>
        <v>236.6</v>
      </c>
      <c r="CW109">
        <f>229</f>
        <v>229</v>
      </c>
      <c r="CX109">
        <f>274</f>
        <v>274</v>
      </c>
      <c r="CY109">
        <f>241.6</f>
        <v>241.6</v>
      </c>
      <c r="CZ109">
        <f>211.5</f>
        <v>211.5</v>
      </c>
      <c r="DA109">
        <f>218</f>
        <v>218</v>
      </c>
      <c r="DB109" t="str">
        <f>""</f>
        <v/>
      </c>
      <c r="DC109" t="str">
        <f>""</f>
        <v/>
      </c>
      <c r="DD109">
        <f>140.8</f>
        <v>140.80000000000001</v>
      </c>
      <c r="DE109">
        <f>156.9</f>
        <v>156.9</v>
      </c>
      <c r="DF109">
        <f>144</f>
        <v>144</v>
      </c>
      <c r="DG109">
        <f>136.6</f>
        <v>136.6</v>
      </c>
      <c r="DH109">
        <f>116.4</f>
        <v>116.4</v>
      </c>
      <c r="DI109">
        <f>113.6</f>
        <v>113.6</v>
      </c>
      <c r="DJ109">
        <f>102.9</f>
        <v>102.9</v>
      </c>
      <c r="DK109">
        <f>96.4</f>
        <v>96.4</v>
      </c>
      <c r="DL109">
        <f>99.1</f>
        <v>99.1</v>
      </c>
      <c r="DM109">
        <f>103.7</f>
        <v>103.7</v>
      </c>
      <c r="DN109" t="str">
        <f>""</f>
        <v/>
      </c>
      <c r="DO109" t="str">
        <f>""</f>
        <v/>
      </c>
      <c r="DP109" t="str">
        <f>""</f>
        <v/>
      </c>
      <c r="DQ109" t="str">
        <f>""</f>
        <v/>
      </c>
      <c r="DR109" t="str">
        <f>""</f>
        <v/>
      </c>
      <c r="DS109" t="str">
        <f>""</f>
        <v/>
      </c>
      <c r="DT109" t="str">
        <f>""</f>
        <v/>
      </c>
      <c r="DU109" t="str">
        <f>""</f>
        <v/>
      </c>
    </row>
    <row r="110" spans="1:125" x14ac:dyDescent="0.25">
      <c r="A110" t="str">
        <f>"            of Total Kering Sales (%)"</f>
        <v xml:space="preserve">            of Total Kering Sales (%)</v>
      </c>
      <c r="B110" t="str">
        <f>"KER FP Equity"</f>
        <v>KER FP Equity</v>
      </c>
      <c r="E110" t="str">
        <f>"Expression"</f>
        <v>Expression</v>
      </c>
      <c r="F110" t="str">
        <f ca="1">IF(AND($B$158=1,LEN($F$169) * LEN($F$109)&gt;0),($F$109/$F$169)*100,HLOOKUP(INDIRECT(ADDRESS(2,COLUMN())),OFFSET($BN$2,0,0,ROW()-1,60),ROW()-1,FALSE))</f>
        <v/>
      </c>
      <c r="G110">
        <f ca="1">IF(AND($B$158=1,LEN($G$169) * LEN($G$109)&gt;0),($G$109/$G$169)*100,HLOOKUP(INDIRECT(ADDRESS(2,COLUMN())),OFFSET($BN$2,0,0,ROW()-1,60),ROW()-1,FALSE))</f>
        <v>8.6775872770000007</v>
      </c>
      <c r="H110">
        <f ca="1">IF(AND($B$158=1,LEN($H$169) * LEN($H$109)&gt;0),($H$109/$H$169)*100,HLOOKUP(INDIRECT(ADDRESS(2,COLUMN())),OFFSET($BN$2,0,0,ROW()-1,60),ROW()-1,FALSE))</f>
        <v>9.1263350330000002</v>
      </c>
      <c r="I110">
        <f ca="1">IF(AND($B$158=1,LEN($I$169) * LEN($I$109)&gt;0),($I$109/$I$169)*100,HLOOKUP(INDIRECT(ADDRESS(2,COLUMN())),OFFSET($BN$2,0,0,ROW()-1,60),ROW()-1,FALSE))</f>
        <v>8.4370179949999997</v>
      </c>
      <c r="J110">
        <f ca="1">IF(AND($B$158=1,LEN($J$169) * LEN($J$109)&gt;0),($J$109/$J$169)*100,HLOOKUP(INDIRECT(ADDRESS(2,COLUMN())),OFFSET($BN$2,0,0,ROW()-1,60),ROW()-1,FALSE))</f>
        <v>9.3576744420000004</v>
      </c>
      <c r="K110">
        <f ca="1">IF(AND($B$158=1,LEN($K$169) * LEN($K$109)&gt;0),($K$109/$K$169)*100,HLOOKUP(INDIRECT(ADDRESS(2,COLUMN())),OFFSET($BN$2,0,0,ROW()-1,60),ROW()-1,FALSE))</f>
        <v>8.9437017510000008</v>
      </c>
      <c r="L110">
        <f ca="1">IF(AND($B$158=1,LEN($L$169) * LEN($L$109)&gt;0),($L$109/$L$169)*100,HLOOKUP(INDIRECT(ADDRESS(2,COLUMN())),OFFSET($BN$2,0,0,ROW()-1,60),ROW()-1,FALSE))</f>
        <v>10.54664153</v>
      </c>
      <c r="M110">
        <f ca="1">IF(AND($B$158=1,LEN($M$169) * LEN($M$109)&gt;0),($M$109/$M$169)*100,HLOOKUP(INDIRECT(ADDRESS(2,COLUMN())),OFFSET($BN$2,0,0,ROW()-1,60),ROW()-1,FALSE))</f>
        <v>8.5445804200000008</v>
      </c>
      <c r="N110">
        <f ca="1">IF(AND($B$158=1,LEN($N$169) * LEN($N$109)&gt;0),($N$109/$N$169)*100,HLOOKUP(INDIRECT(ADDRESS(2,COLUMN())),OFFSET($BN$2,0,0,ROW()-1,60),ROW()-1,FALSE))</f>
        <v>7.6665520010000003</v>
      </c>
      <c r="O110">
        <f ca="1">IF(AND($B$158=1,LEN($O$169) * LEN($O$109)&gt;0),($O$109/$O$169)*100,HLOOKUP(INDIRECT(ADDRESS(2,COLUMN())),OFFSET($BN$2,0,0,ROW()-1,60),ROW()-1,FALSE))</f>
        <v>7.3186428460000004</v>
      </c>
      <c r="P110">
        <f ca="1">IF(AND($B$158=1,LEN($P$169) * LEN($P$109)&gt;0),($P$109/$P$169)*100,HLOOKUP(INDIRECT(ADDRESS(2,COLUMN())),OFFSET($BN$2,0,0,ROW()-1,60),ROW()-1,FALSE))</f>
        <v>7.809296411</v>
      </c>
      <c r="Q110">
        <f ca="1">IF(AND($B$158=1,LEN($Q$169) * LEN($Q$109)&gt;0),($Q$109/$Q$169)*100,HLOOKUP(INDIRECT(ADDRESS(2,COLUMN())),OFFSET($BN$2,0,0,ROW()-1,60),ROW()-1,FALSE))</f>
        <v>6.5543021689999996</v>
      </c>
      <c r="R110">
        <f ca="1">IF(AND($B$158=1,LEN($R$169) * LEN($R$109)&gt;0),($R$109/$R$169)*100,HLOOKUP(INDIRECT(ADDRESS(2,COLUMN())),OFFSET($BN$2,0,0,ROW()-1,60),ROW()-1,FALSE))</f>
        <v>9.8092912729999995</v>
      </c>
      <c r="S110">
        <f ca="1">IF(AND($B$158=1,LEN($S$169) * LEN($S$109)&gt;0),($S$109/$S$169)*100,HLOOKUP(INDIRECT(ADDRESS(2,COLUMN())),OFFSET($BN$2,0,0,ROW()-1,60),ROW()-1,FALSE))</f>
        <v>7.6102292770000002</v>
      </c>
      <c r="T110">
        <f ca="1">IF(AND($B$158=1,LEN($T$169) * LEN($T$109)&gt;0),($T$109/$T$169)*100,HLOOKUP(INDIRECT(ADDRESS(2,COLUMN())),OFFSET($BN$2,0,0,ROW()-1,60),ROW()-1,FALSE))</f>
        <v>8.7492483459999999</v>
      </c>
      <c r="U110">
        <f ca="1">IF(AND($B$158=1,LEN($U$169) * LEN($U$109)&gt;0),($U$109/$U$169)*100,HLOOKUP(INDIRECT(ADDRESS(2,COLUMN())),OFFSET($BN$2,0,0,ROW()-1,60),ROW()-1,FALSE))</f>
        <v>8.4089884749999992</v>
      </c>
      <c r="V110">
        <f ca="1">IF(AND($B$158=1,LEN($V$169) * LEN($V$109)&gt;0),($V$109/$V$169)*100,HLOOKUP(INDIRECT(ADDRESS(2,COLUMN())),OFFSET($BN$2,0,0,ROW()-1,60),ROW()-1,FALSE))</f>
        <v>7.1702102669999999</v>
      </c>
      <c r="W110">
        <f ca="1">IF(AND($B$158=1,LEN($W$169) * LEN($W$109)&gt;0),($W$109/$W$169)*100,HLOOKUP(INDIRECT(ADDRESS(2,COLUMN())),OFFSET($BN$2,0,0,ROW()-1,60),ROW()-1,FALSE))</f>
        <v>10.53204262</v>
      </c>
      <c r="X110">
        <f ca="1">IF(AND($B$158=1,LEN($X$169) * LEN($X$109)&gt;0),($X$109/$X$169)*100,HLOOKUP(INDIRECT(ADDRESS(2,COLUMN())),OFFSET($BN$2,0,0,ROW()-1,60),ROW()-1,FALSE))</f>
        <v>11.797838329999999</v>
      </c>
      <c r="Y110">
        <f ca="1">IF(AND($B$158=1,LEN($Y$169) * LEN($Y$109)&gt;0),($Y$109/$Y$169)*100,HLOOKUP(INDIRECT(ADDRESS(2,COLUMN())),OFFSET($BN$2,0,0,ROW()-1,60),ROW()-1,FALSE))</f>
        <v>7.846648944</v>
      </c>
      <c r="Z110">
        <f ca="1">IF(AND($B$158=1,LEN($Z$169) * LEN($Z$109)&gt;0),($Z$109/$Z$169)*100,HLOOKUP(INDIRECT(ADDRESS(2,COLUMN())),OFFSET($BN$2,0,0,ROW()-1,60),ROW()-1,FALSE))</f>
        <v>8.7930887010000003</v>
      </c>
      <c r="AA110">
        <f ca="1">IF(AND($B$158=1,LEN($AA$169) * LEN($AA$109)&gt;0),($AA$109/$AA$169)*100,HLOOKUP(INDIRECT(ADDRESS(2,COLUMN())),OFFSET($BN$2,0,0,ROW()-1,60),ROW()-1,FALSE))</f>
        <v>9.2253587469999996</v>
      </c>
      <c r="AB110">
        <f ca="1">IF(AND($B$158=1,LEN($AB$169) * LEN($AB$109)&gt;0),($AB$109/$AB$169)*100,HLOOKUP(INDIRECT(ADDRESS(2,COLUMN())),OFFSET($BN$2,0,0,ROW()-1,60),ROW()-1,FALSE))</f>
        <v>12.908558149999999</v>
      </c>
      <c r="AC110">
        <f ca="1">IF(AND($B$158=1,LEN($AC$169) * LEN($AC$109)&gt;0),($AC$109/$AC$169)*100,HLOOKUP(INDIRECT(ADDRESS(2,COLUMN())),OFFSET($BN$2,0,0,ROW()-1,60),ROW()-1,FALSE))</f>
        <v>9.8355239000000001</v>
      </c>
      <c r="AD110">
        <f ca="1">IF(AND($B$158=1,LEN($AD$169) * LEN($AD$109)&gt;0),($AD$109/$AD$169)*100,HLOOKUP(INDIRECT(ADDRESS(2,COLUMN())),OFFSET($BN$2,0,0,ROW()-1,60),ROW()-1,FALSE))</f>
        <v>10.47064379</v>
      </c>
      <c r="AE110">
        <f ca="1">IF(AND($B$158=1,LEN($AE$169) * LEN($AE$109)&gt;0),($AE$109/$AE$169)*100,HLOOKUP(INDIRECT(ADDRESS(2,COLUMN())),OFFSET($BN$2,0,0,ROW()-1,60),ROW()-1,FALSE))</f>
        <v>11.19093672</v>
      </c>
      <c r="AF110">
        <f ca="1">IF(AND($B$158=1,LEN($AF$169) * LEN($AF$109)&gt;0),($AF$109/$AF$169)*100,HLOOKUP(INDIRECT(ADDRESS(2,COLUMN())),OFFSET($BN$2,0,0,ROW()-1,60),ROW()-1,FALSE))</f>
        <v>11.85475134</v>
      </c>
      <c r="AG110">
        <f ca="1">IF(AND($B$158=1,LEN($AG$169) * LEN($AG$109)&gt;0),($AG$109/$AG$169)*100,HLOOKUP(INDIRECT(ADDRESS(2,COLUMN())),OFFSET($BN$2,0,0,ROW()-1,60),ROW()-1,FALSE))</f>
        <v>10.939268200000001</v>
      </c>
      <c r="AH110">
        <f ca="1">IF(AND($B$158=1,LEN($AH$169) * LEN($AH$109)&gt;0),($AH$109/$AH$169)*100,HLOOKUP(INDIRECT(ADDRESS(2,COLUMN())),OFFSET($BN$2,0,0,ROW()-1,60),ROW()-1,FALSE))</f>
        <v>11.627398060000001</v>
      </c>
      <c r="AI110">
        <f ca="1">IF(AND($B$158=1,LEN($AI$169) * LEN($AI$109)&gt;0),($AI$109/$AI$169)*100,HLOOKUP(INDIRECT(ADDRESS(2,COLUMN())),OFFSET($BN$2,0,0,ROW()-1,60),ROW()-1,FALSE))</f>
        <v>11.070281980000001</v>
      </c>
      <c r="AJ110">
        <f ca="1">IF(AND($B$158=1,LEN($AJ$169) * LEN($AJ$109)&gt;0),($AJ$109/$AJ$169)*100,HLOOKUP(INDIRECT(ADDRESS(2,COLUMN())),OFFSET($BN$2,0,0,ROW()-1,60),ROW()-1,FALSE))</f>
        <v>11.69334241</v>
      </c>
      <c r="AK110">
        <f ca="1">IF(AND($B$158=1,LEN($AK$169) * LEN($AK$109)&gt;0),($AK$109/$AK$169)*100,HLOOKUP(INDIRECT(ADDRESS(2,COLUMN())),OFFSET($BN$2,0,0,ROW()-1,60),ROW()-1,FALSE))</f>
        <v>10.46705588</v>
      </c>
      <c r="AL110">
        <f ca="1">IF(AND($B$158=1,LEN($AL$169) * LEN($AL$109)&gt;0),($AL$109/$AL$169)*100,HLOOKUP(INDIRECT(ADDRESS(2,COLUMN())),OFFSET($BN$2,0,0,ROW()-1,60),ROW()-1,FALSE))</f>
        <v>11.5349538</v>
      </c>
      <c r="AM110">
        <f ca="1">IF(AND($B$158=1,LEN($AM$169) * LEN($AM$109)&gt;0),($AM$109/$AM$169)*100,HLOOKUP(INDIRECT(ADDRESS(2,COLUMN())),OFFSET($BN$2,0,0,ROW()-1,60),ROW()-1,FALSE))</f>
        <v>10.277447479999999</v>
      </c>
      <c r="AN110">
        <f ca="1">IF(AND($B$158=1,LEN($AN$169) * LEN($AN$109)&gt;0),($AN$109/$AN$169)*100,HLOOKUP(INDIRECT(ADDRESS(2,COLUMN())),OFFSET($BN$2,0,0,ROW()-1,60),ROW()-1,FALSE))</f>
        <v>10.251299830000001</v>
      </c>
      <c r="AO110">
        <f ca="1">IF(AND($B$158=1,LEN($AO$169) * LEN($AO$109)&gt;0),($AO$109/$AO$169)*100,HLOOKUP(INDIRECT(ADDRESS(2,COLUMN())),OFFSET($BN$2,0,0,ROW()-1,60),ROW()-1,FALSE))</f>
        <v>9.6608167399999996</v>
      </c>
      <c r="AP110">
        <f ca="1">IF(AND($B$158=1,LEN($AP$169) * LEN($AP$109)&gt;0),($AP$109/$AP$169)*100,HLOOKUP(INDIRECT(ADDRESS(2,COLUMN())),OFFSET($BN$2,0,0,ROW()-1,60),ROW()-1,FALSE))</f>
        <v>10.6939349</v>
      </c>
      <c r="AQ110">
        <f ca="1">IF(AND($B$158=1,LEN($AQ$169) * LEN($AQ$109)&gt;0),($AQ$109/$AQ$169)*100,HLOOKUP(INDIRECT(ADDRESS(2,COLUMN())),OFFSET($BN$2,0,0,ROW()-1,60),ROW()-1,FALSE))</f>
        <v>9.4360256210000006</v>
      </c>
      <c r="AR110">
        <f ca="1">IF(AND($B$158=1,LEN($AR$169) * LEN($AR$109)&gt;0),($AR$109/$AR$169)*100,HLOOKUP(INDIRECT(ADDRESS(2,COLUMN())),OFFSET($BN$2,0,0,ROW()-1,60),ROW()-1,FALSE))</f>
        <v>9.3097983979999999</v>
      </c>
      <c r="AS110">
        <f ca="1">IF(AND($B$158=1,LEN($AS$169) * LEN($AS$109)&gt;0),($AS$109/$AS$169)*100,HLOOKUP(INDIRECT(ADDRESS(2,COLUMN())),OFFSET($BN$2,0,0,ROW()-1,60),ROW()-1,FALSE))</f>
        <v>9.3086809860000006</v>
      </c>
      <c r="AT110" t="str">
        <f ca="1">IF(AND($B$158=1,LEN($AT$169) * LEN($AT$109)&gt;0),($AT$109/$AT$169)*100,HLOOKUP(INDIRECT(ADDRESS(2,COLUMN())),OFFSET($BN$2,0,0,ROW()-1,60),ROW()-1,FALSE))</f>
        <v/>
      </c>
      <c r="AU110" t="str">
        <f ca="1">IF(AND($B$158=1,LEN($AU$169) * LEN($AU$109)&gt;0),($AU$109/$AU$169)*100,HLOOKUP(INDIRECT(ADDRESS(2,COLUMN())),OFFSET($BN$2,0,0,ROW()-1,60),ROW()-1,FALSE))</f>
        <v/>
      </c>
      <c r="AV110">
        <f ca="1">IF(AND($B$158=1,LEN($AV$169) * LEN($AV$109)&gt;0),($AV$109/$AV$169)*100,HLOOKUP(INDIRECT(ADDRESS(2,COLUMN())),OFFSET($BN$2,0,0,ROW()-1,60),ROW()-1,FALSE))</f>
        <v>5.3128065810000003</v>
      </c>
      <c r="AW110">
        <f ca="1">IF(AND($B$158=1,LEN($AW$169) * LEN($AW$109)&gt;0),($AW$109/$AW$169)*100,HLOOKUP(INDIRECT(ADDRESS(2,COLUMN())),OFFSET($BN$2,0,0,ROW()-1,60),ROW()-1,FALSE))</f>
        <v>5.5602806720000002</v>
      </c>
      <c r="AX110">
        <f ca="1">IF(AND($B$158=1,LEN($AX$169) * LEN($AX$109)&gt;0),($AX$109/$AX$169)*100,HLOOKUP(INDIRECT(ADDRESS(2,COLUMN())),OFFSET($BN$2,0,0,ROW()-1,60),ROW()-1,FALSE))</f>
        <v>3.3915071010000002</v>
      </c>
      <c r="AY110">
        <f ca="1">IF(AND($B$158=1,LEN($AY$169) * LEN($AY$109)&gt;0),($AY$109/$AY$169)*100,HLOOKUP(INDIRECT(ADDRESS(2,COLUMN())),OFFSET($BN$2,0,0,ROW()-1,60),ROW()-1,FALSE))</f>
        <v>3.826116184</v>
      </c>
      <c r="AZ110">
        <f ca="1">IF(AND($B$158=1,LEN($AZ$169) * LEN($AZ$109)&gt;0),($AZ$109/$AZ$169)*100,HLOOKUP(INDIRECT(ADDRESS(2,COLUMN())),OFFSET($BN$2,0,0,ROW()-1,60),ROW()-1,FALSE))</f>
        <v>2.9027431419999998</v>
      </c>
      <c r="BA110">
        <f ca="1">IF(AND($B$158=1,LEN($BA$169) * LEN($BA$109)&gt;0),($BA$109/$BA$169)*100,HLOOKUP(INDIRECT(ADDRESS(2,COLUMN())),OFFSET($BN$2,0,0,ROW()-1,60),ROW()-1,FALSE))</f>
        <v>3.3415695959999998</v>
      </c>
      <c r="BB110">
        <f ca="1">IF(AND($B$158=1,LEN($BB$169) * LEN($BB$109)&gt;0),($BB$109/$BB$169)*100,HLOOKUP(INDIRECT(ADDRESS(2,COLUMN())),OFFSET($BN$2,0,0,ROW()-1,60),ROW()-1,FALSE))</f>
        <v>2.1776856009999999</v>
      </c>
      <c r="BC110">
        <f ca="1">IF(AND($B$158=1,LEN($BC$169) * LEN($BC$109)&gt;0),($BC$109/$BC$169)*100,HLOOKUP(INDIRECT(ADDRESS(2,COLUMN())),OFFSET($BN$2,0,0,ROW()-1,60),ROW()-1,FALSE))</f>
        <v>2.1125525039999999</v>
      </c>
      <c r="BD110">
        <f ca="1">IF(AND($B$158=1,LEN($BD$169) * LEN($BD$109)&gt;0),($BD$109/$BD$169)*100,HLOOKUP(INDIRECT(ADDRESS(2,COLUMN())),OFFSET($BN$2,0,0,ROW()-1,60),ROW()-1,FALSE))</f>
        <v>2.2228203579999999</v>
      </c>
      <c r="BE110">
        <f ca="1">IF(AND($B$158=1,LEN($BE$169) * LEN($BE$109)&gt;0),($BE$109/$BE$169)*100,HLOOKUP(INDIRECT(ADDRESS(2,COLUMN())),OFFSET($BN$2,0,0,ROW()-1,60),ROW()-1,FALSE))</f>
        <v>2.1708185050000002</v>
      </c>
      <c r="BF110" t="str">
        <f ca="1">IF(AND($B$158=1,LEN($BF$169) * LEN($BF$109)&gt;0),($BF$109/$BF$169)*100,HLOOKUP(INDIRECT(ADDRESS(2,COLUMN())),OFFSET($BN$2,0,0,ROW()-1,60),ROW()-1,FALSE))</f>
        <v/>
      </c>
      <c r="BG110" t="str">
        <f ca="1">IF(AND($B$158=1,LEN($BG$169) * LEN($BG$109)&gt;0),($BG$109/$BG$169)*100,HLOOKUP(INDIRECT(ADDRESS(2,COLUMN())),OFFSET($BN$2,0,0,ROW()-1,60),ROW()-1,FALSE))</f>
        <v/>
      </c>
      <c r="BH110" t="str">
        <f ca="1">IF(AND($B$158=1,LEN($BH$169) * LEN($BH$109)&gt;0),($BH$109/$BH$169)*100,HLOOKUP(INDIRECT(ADDRESS(2,COLUMN())),OFFSET($BN$2,0,0,ROW()-1,60),ROW()-1,FALSE))</f>
        <v/>
      </c>
      <c r="BI110" t="str">
        <f ca="1">IF(AND($B$158=1,LEN($BI$169) * LEN($BI$109)&gt;0),($BI$109/$BI$169)*100,HLOOKUP(INDIRECT(ADDRESS(2,COLUMN())),OFFSET($BN$2,0,0,ROW()-1,60),ROW()-1,FALSE))</f>
        <v/>
      </c>
      <c r="BJ110" t="str">
        <f ca="1">IF(AND($B$158=1,LEN($BJ$169) * LEN($BJ$109)&gt;0),($BJ$109/$BJ$169)*100,HLOOKUP(INDIRECT(ADDRESS(2,COLUMN())),OFFSET($BN$2,0,0,ROW()-1,60),ROW()-1,FALSE))</f>
        <v/>
      </c>
      <c r="BK110" t="str">
        <f ca="1">IF(AND($B$158=1,LEN($BK$169) * LEN($BK$109)&gt;0),($BK$109/$BK$169)*100,HLOOKUP(INDIRECT(ADDRESS(2,COLUMN())),OFFSET($BN$2,0,0,ROW()-1,60),ROW()-1,FALSE))</f>
        <v/>
      </c>
      <c r="BL110" t="str">
        <f ca="1">IF(AND($B$158=1,LEN($BL$169) * LEN($BL$109)&gt;0),($BL$109/$BL$169)*100,HLOOKUP(INDIRECT(ADDRESS(2,COLUMN())),OFFSET($BN$2,0,0,ROW()-1,60),ROW()-1,FALSE))</f>
        <v/>
      </c>
      <c r="BM110" t="str">
        <f ca="1">IF(AND($B$158=1,LEN($BM$169) * LEN($BM$109)&gt;0),($BM$109/$BM$169)*100,HLOOKUP(INDIRECT(ADDRESS(2,COLUMN())),OFFSET($BN$2,0,0,ROW()-1,60),ROW()-1,FALSE))</f>
        <v/>
      </c>
      <c r="BN110" t="str">
        <f>""</f>
        <v/>
      </c>
      <c r="BO110">
        <f>8.677587277</f>
        <v>8.6775872770000007</v>
      </c>
      <c r="BP110">
        <f>9.126335033</f>
        <v>9.1263350330000002</v>
      </c>
      <c r="BQ110">
        <f>8.437017995</f>
        <v>8.4370179949999997</v>
      </c>
      <c r="BR110">
        <f>9.357674442</f>
        <v>9.3576744420000004</v>
      </c>
      <c r="BS110">
        <f>8.943701751</f>
        <v>8.9437017510000008</v>
      </c>
      <c r="BT110">
        <f>10.54664153</f>
        <v>10.54664153</v>
      </c>
      <c r="BU110">
        <f>8.54458042</f>
        <v>8.5445804200000008</v>
      </c>
      <c r="BV110">
        <f>7.666552001</f>
        <v>7.6665520010000003</v>
      </c>
      <c r="BW110">
        <f>7.318642846</f>
        <v>7.3186428460000004</v>
      </c>
      <c r="BX110">
        <f>7.809296411</f>
        <v>7.809296411</v>
      </c>
      <c r="BY110">
        <f>6.554302169</f>
        <v>6.5543021689999996</v>
      </c>
      <c r="BZ110">
        <f>9.809291273</f>
        <v>9.8092912729999995</v>
      </c>
      <c r="CA110">
        <f>7.610229277</f>
        <v>7.6102292770000002</v>
      </c>
      <c r="CB110">
        <f>8.749248346</f>
        <v>8.7492483459999999</v>
      </c>
      <c r="CC110">
        <f>8.408988475</f>
        <v>8.4089884749999992</v>
      </c>
      <c r="CD110">
        <f>7.170210267</f>
        <v>7.1702102669999999</v>
      </c>
      <c r="CE110">
        <f>10.53204262</f>
        <v>10.53204262</v>
      </c>
      <c r="CF110">
        <f>11.79783833</f>
        <v>11.797838329999999</v>
      </c>
      <c r="CG110">
        <f>7.846648944</f>
        <v>7.846648944</v>
      </c>
      <c r="CH110">
        <f>8.793088701</f>
        <v>8.7930887010000003</v>
      </c>
      <c r="CI110">
        <f>9.225358747</f>
        <v>9.2253587469999996</v>
      </c>
      <c r="CJ110">
        <f>12.90855815</f>
        <v>12.908558149999999</v>
      </c>
      <c r="CK110">
        <f>9.8355239</f>
        <v>9.8355239000000001</v>
      </c>
      <c r="CL110">
        <f>10.47064379</f>
        <v>10.47064379</v>
      </c>
      <c r="CM110">
        <f>11.19093672</f>
        <v>11.19093672</v>
      </c>
      <c r="CN110">
        <f>11.85475134</f>
        <v>11.85475134</v>
      </c>
      <c r="CO110">
        <f>10.9392682</f>
        <v>10.939268200000001</v>
      </c>
      <c r="CP110">
        <f>11.62739806</f>
        <v>11.627398060000001</v>
      </c>
      <c r="CQ110">
        <f>11.07028198</f>
        <v>11.070281980000001</v>
      </c>
      <c r="CR110">
        <f>11.69334241</f>
        <v>11.69334241</v>
      </c>
      <c r="CS110">
        <f>10.46705588</f>
        <v>10.46705588</v>
      </c>
      <c r="CT110">
        <f>11.5349538</f>
        <v>11.5349538</v>
      </c>
      <c r="CU110">
        <f>10.27744748</f>
        <v>10.277447479999999</v>
      </c>
      <c r="CV110">
        <f>10.25129983</f>
        <v>10.251299830000001</v>
      </c>
      <c r="CW110">
        <f>9.66081674</f>
        <v>9.6608167399999996</v>
      </c>
      <c r="CX110">
        <f>10.6939349</f>
        <v>10.6939349</v>
      </c>
      <c r="CY110">
        <f>9.436025621</f>
        <v>9.4360256210000006</v>
      </c>
      <c r="CZ110">
        <f>9.309798398</f>
        <v>9.3097983979999999</v>
      </c>
      <c r="DA110">
        <f>9.308680986</f>
        <v>9.3086809860000006</v>
      </c>
      <c r="DB110" t="str">
        <f>""</f>
        <v/>
      </c>
      <c r="DC110" t="str">
        <f>""</f>
        <v/>
      </c>
      <c r="DD110">
        <f>5.312806581</f>
        <v>5.3128065810000003</v>
      </c>
      <c r="DE110">
        <f>5.560280672</f>
        <v>5.5602806720000002</v>
      </c>
      <c r="DF110">
        <f>3.391507101</f>
        <v>3.3915071010000002</v>
      </c>
      <c r="DG110">
        <f>3.826116184</f>
        <v>3.826116184</v>
      </c>
      <c r="DH110">
        <f>2.902743142</f>
        <v>2.9027431419999998</v>
      </c>
      <c r="DI110">
        <f>3.341569596</f>
        <v>3.3415695959999998</v>
      </c>
      <c r="DJ110">
        <f>2.177685601</f>
        <v>2.1776856009999999</v>
      </c>
      <c r="DK110">
        <f>2.112552504</f>
        <v>2.1125525039999999</v>
      </c>
      <c r="DL110">
        <f>2.222820358</f>
        <v>2.2228203579999999</v>
      </c>
      <c r="DM110">
        <f>2.170818505</f>
        <v>2.1708185050000002</v>
      </c>
      <c r="DN110" t="str">
        <f>""</f>
        <v/>
      </c>
      <c r="DO110" t="str">
        <f>""</f>
        <v/>
      </c>
      <c r="DP110" t="str">
        <f>""</f>
        <v/>
      </c>
      <c r="DQ110" t="str">
        <f>""</f>
        <v/>
      </c>
      <c r="DR110" t="str">
        <f>""</f>
        <v/>
      </c>
      <c r="DS110" t="str">
        <f>""</f>
        <v/>
      </c>
      <c r="DT110" t="str">
        <f>""</f>
        <v/>
      </c>
      <c r="DU110" t="str">
        <f>""</f>
        <v/>
      </c>
    </row>
    <row r="111" spans="1:125" x14ac:dyDescent="0.25">
      <c r="A111" t="str">
        <f>"        Recurring Operating Income"</f>
        <v xml:space="preserve">        Recurring Operating Income</v>
      </c>
      <c r="B111" t="str">
        <f>"KER FP Equity"</f>
        <v>KER FP Equity</v>
      </c>
      <c r="C111" t="str">
        <f>"BI047"</f>
        <v>BI047</v>
      </c>
      <c r="D111" t="str">
        <f>"BICS_SEGMENT_DATA"</f>
        <v>BICS_SEGMENT_DATA</v>
      </c>
      <c r="E111" t="str">
        <f>"Dynamic"</f>
        <v>Dynamic</v>
      </c>
      <c r="F111" t="str">
        <f ca="1">IF(AND(ISNUMBER($F$242),$B$158=1),$F$242,HLOOKUP(INDIRECT(ADDRESS(2,COLUMN())),OFFSET($BN$2,0,0,ROW()-1,60),ROW()-1,FALSE))</f>
        <v/>
      </c>
      <c r="G111" t="str">
        <f ca="1">IF(AND(ISNUMBER($G$242),$B$158=1),$G$242,HLOOKUP(INDIRECT(ADDRESS(2,COLUMN())),OFFSET($BN$2,0,0,ROW()-1,60),ROW()-1,FALSE))</f>
        <v/>
      </c>
      <c r="H111" t="str">
        <f ca="1">IF(AND(ISNUMBER($H$242),$B$158=1),$H$242,HLOOKUP(INDIRECT(ADDRESS(2,COLUMN())),OFFSET($BN$2,0,0,ROW()-1,60),ROW()-1,FALSE))</f>
        <v/>
      </c>
      <c r="I111" t="str">
        <f ca="1">IF(AND(ISNUMBER($I$242),$B$158=1),$I$242,HLOOKUP(INDIRECT(ADDRESS(2,COLUMN())),OFFSET($BN$2,0,0,ROW()-1,60),ROW()-1,FALSE))</f>
        <v/>
      </c>
      <c r="J111" t="str">
        <f ca="1">IF(AND(ISNUMBER($J$242),$B$158=1),$J$242,HLOOKUP(INDIRECT(ADDRESS(2,COLUMN())),OFFSET($BN$2,0,0,ROW()-1,60),ROW()-1,FALSE))</f>
        <v/>
      </c>
      <c r="K111" t="str">
        <f ca="1">IF(AND(ISNUMBER($K$242),$B$158=1),$K$242,HLOOKUP(INDIRECT(ADDRESS(2,COLUMN())),OFFSET($BN$2,0,0,ROW()-1,60),ROW()-1,FALSE))</f>
        <v/>
      </c>
      <c r="L111" t="str">
        <f ca="1">IF(AND(ISNUMBER($L$242),$B$158=1),$L$242,HLOOKUP(INDIRECT(ADDRESS(2,COLUMN())),OFFSET($BN$2,0,0,ROW()-1,60),ROW()-1,FALSE))</f>
        <v/>
      </c>
      <c r="M111" t="str">
        <f ca="1">IF(AND(ISNUMBER($M$242),$B$158=1),$M$242,HLOOKUP(INDIRECT(ADDRESS(2,COLUMN())),OFFSET($BN$2,0,0,ROW()-1,60),ROW()-1,FALSE))</f>
        <v/>
      </c>
      <c r="N111" t="str">
        <f ca="1">IF(AND(ISNUMBER($N$242),$B$158=1),$N$242,HLOOKUP(INDIRECT(ADDRESS(2,COLUMN())),OFFSET($BN$2,0,0,ROW()-1,60),ROW()-1,FALSE))</f>
        <v/>
      </c>
      <c r="O111" t="str">
        <f ca="1">IF(AND(ISNUMBER($O$242),$B$158=1),$O$242,HLOOKUP(INDIRECT(ADDRESS(2,COLUMN())),OFFSET($BN$2,0,0,ROW()-1,60),ROW()-1,FALSE))</f>
        <v/>
      </c>
      <c r="P111" t="str">
        <f ca="1">IF(AND(ISNUMBER($P$242),$B$158=1),$P$242,HLOOKUP(INDIRECT(ADDRESS(2,COLUMN())),OFFSET($BN$2,0,0,ROW()-1,60),ROW()-1,FALSE))</f>
        <v/>
      </c>
      <c r="Q111" t="str">
        <f ca="1">IF(AND(ISNUMBER($Q$242),$B$158=1),$Q$242,HLOOKUP(INDIRECT(ADDRESS(2,COLUMN())),OFFSET($BN$2,0,0,ROW()-1,60),ROW()-1,FALSE))</f>
        <v/>
      </c>
      <c r="R111" t="str">
        <f ca="1">IF(AND(ISNUMBER($R$242),$B$158=1),$R$242,HLOOKUP(INDIRECT(ADDRESS(2,COLUMN())),OFFSET($BN$2,0,0,ROW()-1,60),ROW()-1,FALSE))</f>
        <v/>
      </c>
      <c r="S111" t="str">
        <f ca="1">IF(AND(ISNUMBER($S$242),$B$158=1),$S$242,HLOOKUP(INDIRECT(ADDRESS(2,COLUMN())),OFFSET($BN$2,0,0,ROW()-1,60),ROW()-1,FALSE))</f>
        <v/>
      </c>
      <c r="T111" t="str">
        <f ca="1">IF(AND(ISNUMBER($T$242),$B$158=1),$T$242,HLOOKUP(INDIRECT(ADDRESS(2,COLUMN())),OFFSET($BN$2,0,0,ROW()-1,60),ROW()-1,FALSE))</f>
        <v/>
      </c>
      <c r="U111" t="str">
        <f ca="1">IF(AND(ISNUMBER($U$242),$B$158=1),$U$242,HLOOKUP(INDIRECT(ADDRESS(2,COLUMN())),OFFSET($BN$2,0,0,ROW()-1,60),ROW()-1,FALSE))</f>
        <v/>
      </c>
      <c r="V111" t="str">
        <f ca="1">IF(AND(ISNUMBER($V$242),$B$158=1),$V$242,HLOOKUP(INDIRECT(ADDRESS(2,COLUMN())),OFFSET($BN$2,0,0,ROW()-1,60),ROW()-1,FALSE))</f>
        <v/>
      </c>
      <c r="W111" t="str">
        <f ca="1">IF(AND(ISNUMBER($W$242),$B$158=1),$W$242,HLOOKUP(INDIRECT(ADDRESS(2,COLUMN())),OFFSET($BN$2,0,0,ROW()-1,60),ROW()-1,FALSE))</f>
        <v/>
      </c>
      <c r="X111" t="str">
        <f ca="1">IF(AND(ISNUMBER($X$242),$B$158=1),$X$242,HLOOKUP(INDIRECT(ADDRESS(2,COLUMN())),OFFSET($BN$2,0,0,ROW()-1,60),ROW()-1,FALSE))</f>
        <v/>
      </c>
      <c r="Y111" t="str">
        <f ca="1">IF(AND(ISNUMBER($Y$242),$B$158=1),$Y$242,HLOOKUP(INDIRECT(ADDRESS(2,COLUMN())),OFFSET($BN$2,0,0,ROW()-1,60),ROW()-1,FALSE))</f>
        <v/>
      </c>
      <c r="Z111" t="str">
        <f ca="1">IF(AND(ISNUMBER($Z$242),$B$158=1),$Z$242,HLOOKUP(INDIRECT(ADDRESS(2,COLUMN())),OFFSET($BN$2,0,0,ROW()-1,60),ROW()-1,FALSE))</f>
        <v/>
      </c>
      <c r="AA111" t="str">
        <f ca="1">IF(AND(ISNUMBER($AA$242),$B$158=1),$AA$242,HLOOKUP(INDIRECT(ADDRESS(2,COLUMN())),OFFSET($BN$2,0,0,ROW()-1,60),ROW()-1,FALSE))</f>
        <v/>
      </c>
      <c r="AB111" t="str">
        <f ca="1">IF(AND(ISNUMBER($AB$242),$B$158=1),$AB$242,HLOOKUP(INDIRECT(ADDRESS(2,COLUMN())),OFFSET($BN$2,0,0,ROW()-1,60),ROW()-1,FALSE))</f>
        <v/>
      </c>
      <c r="AC111" t="str">
        <f ca="1">IF(AND(ISNUMBER($AC$242),$B$158=1),$AC$242,HLOOKUP(INDIRECT(ADDRESS(2,COLUMN())),OFFSET($BN$2,0,0,ROW()-1,60),ROW()-1,FALSE))</f>
        <v/>
      </c>
      <c r="AD111" t="str">
        <f ca="1">IF(AND(ISNUMBER($AD$242),$B$158=1),$AD$242,HLOOKUP(INDIRECT(ADDRESS(2,COLUMN())),OFFSET($BN$2,0,0,ROW()-1,60),ROW()-1,FALSE))</f>
        <v/>
      </c>
      <c r="AE111" t="str">
        <f ca="1">IF(AND(ISNUMBER($AE$242),$B$158=1),$AE$242,HLOOKUP(INDIRECT(ADDRESS(2,COLUMN())),OFFSET($BN$2,0,0,ROW()-1,60),ROW()-1,FALSE))</f>
        <v/>
      </c>
      <c r="AF111" t="str">
        <f ca="1">IF(AND(ISNUMBER($AF$242),$B$158=1),$AF$242,HLOOKUP(INDIRECT(ADDRESS(2,COLUMN())),OFFSET($BN$2,0,0,ROW()-1,60),ROW()-1,FALSE))</f>
        <v/>
      </c>
      <c r="AG111" t="str">
        <f ca="1">IF(AND(ISNUMBER($AG$242),$B$158=1),$AG$242,HLOOKUP(INDIRECT(ADDRESS(2,COLUMN())),OFFSET($BN$2,0,0,ROW()-1,60),ROW()-1,FALSE))</f>
        <v/>
      </c>
      <c r="AH111" t="str">
        <f ca="1">IF(AND(ISNUMBER($AH$242),$B$158=1),$AH$242,HLOOKUP(INDIRECT(ADDRESS(2,COLUMN())),OFFSET($BN$2,0,0,ROW()-1,60),ROW()-1,FALSE))</f>
        <v/>
      </c>
      <c r="AI111" t="str">
        <f ca="1">IF(AND(ISNUMBER($AI$242),$B$158=1),$AI$242,HLOOKUP(INDIRECT(ADDRESS(2,COLUMN())),OFFSET($BN$2,0,0,ROW()-1,60),ROW()-1,FALSE))</f>
        <v/>
      </c>
      <c r="AJ111" t="str">
        <f ca="1">IF(AND(ISNUMBER($AJ$242),$B$158=1),$AJ$242,HLOOKUP(INDIRECT(ADDRESS(2,COLUMN())),OFFSET($BN$2,0,0,ROW()-1,60),ROW()-1,FALSE))</f>
        <v/>
      </c>
      <c r="AK111" t="str">
        <f ca="1">IF(AND(ISNUMBER($AK$242),$B$158=1),$AK$242,HLOOKUP(INDIRECT(ADDRESS(2,COLUMN())),OFFSET($BN$2,0,0,ROW()-1,60),ROW()-1,FALSE))</f>
        <v/>
      </c>
      <c r="AL111" t="str">
        <f ca="1">IF(AND(ISNUMBER($AL$242),$B$158=1),$AL$242,HLOOKUP(INDIRECT(ADDRESS(2,COLUMN())),OFFSET($BN$2,0,0,ROW()-1,60),ROW()-1,FALSE))</f>
        <v/>
      </c>
      <c r="AM111" t="str">
        <f ca="1">IF(AND(ISNUMBER($AM$242),$B$158=1),$AM$242,HLOOKUP(INDIRECT(ADDRESS(2,COLUMN())),OFFSET($BN$2,0,0,ROW()-1,60),ROW()-1,FALSE))</f>
        <v/>
      </c>
      <c r="AN111" t="str">
        <f ca="1">IF(AND(ISNUMBER($AN$242),$B$158=1),$AN$242,HLOOKUP(INDIRECT(ADDRESS(2,COLUMN())),OFFSET($BN$2,0,0,ROW()-1,60),ROW()-1,FALSE))</f>
        <v/>
      </c>
      <c r="AO111" t="str">
        <f ca="1">IF(AND(ISNUMBER($AO$242),$B$158=1),$AO$242,HLOOKUP(INDIRECT(ADDRESS(2,COLUMN())),OFFSET($BN$2,0,0,ROW()-1,60),ROW()-1,FALSE))</f>
        <v/>
      </c>
      <c r="AP111" t="str">
        <f ca="1">IF(AND(ISNUMBER($AP$242),$B$158=1),$AP$242,HLOOKUP(INDIRECT(ADDRESS(2,COLUMN())),OFFSET($BN$2,0,0,ROW()-1,60),ROW()-1,FALSE))</f>
        <v/>
      </c>
      <c r="AQ111" t="str">
        <f ca="1">IF(AND(ISNUMBER($AQ$242),$B$158=1),$AQ$242,HLOOKUP(INDIRECT(ADDRESS(2,COLUMN())),OFFSET($BN$2,0,0,ROW()-1,60),ROW()-1,FALSE))</f>
        <v/>
      </c>
      <c r="AR111" t="str">
        <f ca="1">IF(AND(ISNUMBER($AR$242),$B$158=1),$AR$242,HLOOKUP(INDIRECT(ADDRESS(2,COLUMN())),OFFSET($BN$2,0,0,ROW()-1,60),ROW()-1,FALSE))</f>
        <v/>
      </c>
      <c r="AS111" t="str">
        <f ca="1">IF(AND(ISNUMBER($AS$242),$B$158=1),$AS$242,HLOOKUP(INDIRECT(ADDRESS(2,COLUMN())),OFFSET($BN$2,0,0,ROW()-1,60),ROW()-1,FALSE))</f>
        <v/>
      </c>
      <c r="AT111" t="str">
        <f ca="1">IF(AND(ISNUMBER($AT$242),$B$158=1),$AT$242,HLOOKUP(INDIRECT(ADDRESS(2,COLUMN())),OFFSET($BN$2,0,0,ROW()-1,60),ROW()-1,FALSE))</f>
        <v/>
      </c>
      <c r="AU111" t="str">
        <f ca="1">IF(AND(ISNUMBER($AU$242),$B$158=1),$AU$242,HLOOKUP(INDIRECT(ADDRESS(2,COLUMN())),OFFSET($BN$2,0,0,ROW()-1,60),ROW()-1,FALSE))</f>
        <v/>
      </c>
      <c r="AV111" t="str">
        <f ca="1">IF(AND(ISNUMBER($AV$242),$B$158=1),$AV$242,HLOOKUP(INDIRECT(ADDRESS(2,COLUMN())),OFFSET($BN$2,0,0,ROW()-1,60),ROW()-1,FALSE))</f>
        <v/>
      </c>
      <c r="AW111" t="str">
        <f ca="1">IF(AND(ISNUMBER($AW$242),$B$158=1),$AW$242,HLOOKUP(INDIRECT(ADDRESS(2,COLUMN())),OFFSET($BN$2,0,0,ROW()-1,60),ROW()-1,FALSE))</f>
        <v/>
      </c>
      <c r="AX111" t="str">
        <f ca="1">IF(AND(ISNUMBER($AX$242),$B$158=1),$AX$242,HLOOKUP(INDIRECT(ADDRESS(2,COLUMN())),OFFSET($BN$2,0,0,ROW()-1,60),ROW()-1,FALSE))</f>
        <v/>
      </c>
      <c r="AY111" t="str">
        <f ca="1">IF(AND(ISNUMBER($AY$242),$B$158=1),$AY$242,HLOOKUP(INDIRECT(ADDRESS(2,COLUMN())),OFFSET($BN$2,0,0,ROW()-1,60),ROW()-1,FALSE))</f>
        <v/>
      </c>
      <c r="AZ111" t="str">
        <f ca="1">IF(AND(ISNUMBER($AZ$242),$B$158=1),$AZ$242,HLOOKUP(INDIRECT(ADDRESS(2,COLUMN())),OFFSET($BN$2,0,0,ROW()-1,60),ROW()-1,FALSE))</f>
        <v/>
      </c>
      <c r="BA111" t="str">
        <f ca="1">IF(AND(ISNUMBER($BA$242),$B$158=1),$BA$242,HLOOKUP(INDIRECT(ADDRESS(2,COLUMN())),OFFSET($BN$2,0,0,ROW()-1,60),ROW()-1,FALSE))</f>
        <v/>
      </c>
      <c r="BB111" t="str">
        <f ca="1">IF(AND(ISNUMBER($BB$242),$B$158=1),$BB$242,HLOOKUP(INDIRECT(ADDRESS(2,COLUMN())),OFFSET($BN$2,0,0,ROW()-1,60),ROW()-1,FALSE))</f>
        <v/>
      </c>
      <c r="BC111" t="str">
        <f ca="1">IF(AND(ISNUMBER($BC$242),$B$158=1),$BC$242,HLOOKUP(INDIRECT(ADDRESS(2,COLUMN())),OFFSET($BN$2,0,0,ROW()-1,60),ROW()-1,FALSE))</f>
        <v/>
      </c>
      <c r="BD111" t="str">
        <f ca="1">IF(AND(ISNUMBER($BD$242),$B$158=1),$BD$242,HLOOKUP(INDIRECT(ADDRESS(2,COLUMN())),OFFSET($BN$2,0,0,ROW()-1,60),ROW()-1,FALSE))</f>
        <v/>
      </c>
      <c r="BE111" t="str">
        <f ca="1">IF(AND(ISNUMBER($BE$242),$B$158=1),$BE$242,HLOOKUP(INDIRECT(ADDRESS(2,COLUMN())),OFFSET($BN$2,0,0,ROW()-1,60),ROW()-1,FALSE))</f>
        <v/>
      </c>
      <c r="BF111" t="str">
        <f ca="1">IF(AND(ISNUMBER($BF$242),$B$158=1),$BF$242,HLOOKUP(INDIRECT(ADDRESS(2,COLUMN())),OFFSET($BN$2,0,0,ROW()-1,60),ROW()-1,FALSE))</f>
        <v/>
      </c>
      <c r="BG111" t="str">
        <f ca="1">IF(AND(ISNUMBER($BG$242),$B$158=1),$BG$242,HLOOKUP(INDIRECT(ADDRESS(2,COLUMN())),OFFSET($BN$2,0,0,ROW()-1,60),ROW()-1,FALSE))</f>
        <v/>
      </c>
      <c r="BH111" t="str">
        <f ca="1">IF(AND(ISNUMBER($BH$242),$B$158=1),$BH$242,HLOOKUP(INDIRECT(ADDRESS(2,COLUMN())),OFFSET($BN$2,0,0,ROW()-1,60),ROW()-1,FALSE))</f>
        <v/>
      </c>
      <c r="BI111" t="str">
        <f ca="1">IF(AND(ISNUMBER($BI$242),$B$158=1),$BI$242,HLOOKUP(INDIRECT(ADDRESS(2,COLUMN())),OFFSET($BN$2,0,0,ROW()-1,60),ROW()-1,FALSE))</f>
        <v/>
      </c>
      <c r="BJ111" t="str">
        <f ca="1">IF(AND(ISNUMBER($BJ$242),$B$158=1),$BJ$242,HLOOKUP(INDIRECT(ADDRESS(2,COLUMN())),OFFSET($BN$2,0,0,ROW()-1,60),ROW()-1,FALSE))</f>
        <v/>
      </c>
      <c r="BK111" t="str">
        <f ca="1">IF(AND(ISNUMBER($BK$242),$B$158=1),$BK$242,HLOOKUP(INDIRECT(ADDRESS(2,COLUMN())),OFFSET($BN$2,0,0,ROW()-1,60),ROW()-1,FALSE))</f>
        <v/>
      </c>
      <c r="BL111" t="str">
        <f ca="1">IF(AND(ISNUMBER($BL$242),$B$158=1),$BL$242,HLOOKUP(INDIRECT(ADDRESS(2,COLUMN())),OFFSET($BN$2,0,0,ROW()-1,60),ROW()-1,FALSE))</f>
        <v/>
      </c>
      <c r="BM111" t="str">
        <f ca="1">IF(AND(ISNUMBER($BM$242),$B$158=1),$BM$242,HLOOKUP(INDIRECT(ADDRESS(2,COLUMN())),OFFSET($BN$2,0,0,ROW()-1,60),ROW()-1,FALSE))</f>
        <v/>
      </c>
      <c r="BN111" t="str">
        <f>""</f>
        <v/>
      </c>
      <c r="BO111" t="str">
        <f>""</f>
        <v/>
      </c>
      <c r="BP111" t="str">
        <f>""</f>
        <v/>
      </c>
      <c r="BQ111" t="str">
        <f>""</f>
        <v/>
      </c>
      <c r="BR111" t="str">
        <f>""</f>
        <v/>
      </c>
      <c r="BS111" t="str">
        <f>""</f>
        <v/>
      </c>
      <c r="BT111" t="str">
        <f>""</f>
        <v/>
      </c>
      <c r="BU111" t="str">
        <f>""</f>
        <v/>
      </c>
      <c r="BV111" t="str">
        <f>""</f>
        <v/>
      </c>
      <c r="BW111" t="str">
        <f>""</f>
        <v/>
      </c>
      <c r="BX111" t="str">
        <f>""</f>
        <v/>
      </c>
      <c r="BY111" t="str">
        <f>""</f>
        <v/>
      </c>
      <c r="BZ111" t="str">
        <f>""</f>
        <v/>
      </c>
      <c r="CA111" t="str">
        <f>""</f>
        <v/>
      </c>
      <c r="CB111" t="str">
        <f>""</f>
        <v/>
      </c>
      <c r="CC111" t="str">
        <f>""</f>
        <v/>
      </c>
      <c r="CD111" t="str">
        <f>""</f>
        <v/>
      </c>
      <c r="CE111" t="str">
        <f>""</f>
        <v/>
      </c>
      <c r="CF111" t="str">
        <f>""</f>
        <v/>
      </c>
      <c r="CG111" t="str">
        <f>""</f>
        <v/>
      </c>
      <c r="CH111" t="str">
        <f>""</f>
        <v/>
      </c>
      <c r="CI111" t="str">
        <f>""</f>
        <v/>
      </c>
      <c r="CJ111" t="str">
        <f>""</f>
        <v/>
      </c>
      <c r="CK111" t="str">
        <f>""</f>
        <v/>
      </c>
      <c r="CL111" t="str">
        <f>""</f>
        <v/>
      </c>
      <c r="CM111" t="str">
        <f>""</f>
        <v/>
      </c>
      <c r="CN111" t="str">
        <f>""</f>
        <v/>
      </c>
      <c r="CO111" t="str">
        <f>""</f>
        <v/>
      </c>
      <c r="CP111" t="str">
        <f>""</f>
        <v/>
      </c>
      <c r="CQ111" t="str">
        <f>""</f>
        <v/>
      </c>
      <c r="CR111" t="str">
        <f>""</f>
        <v/>
      </c>
      <c r="CS111" t="str">
        <f>""</f>
        <v/>
      </c>
      <c r="CT111" t="str">
        <f>""</f>
        <v/>
      </c>
      <c r="CU111" t="str">
        <f>""</f>
        <v/>
      </c>
      <c r="CV111" t="str">
        <f>""</f>
        <v/>
      </c>
      <c r="CW111" t="str">
        <f>""</f>
        <v/>
      </c>
      <c r="CX111" t="str">
        <f>""</f>
        <v/>
      </c>
      <c r="CY111" t="str">
        <f>""</f>
        <v/>
      </c>
      <c r="CZ111" t="str">
        <f>""</f>
        <v/>
      </c>
      <c r="DA111" t="str">
        <f>""</f>
        <v/>
      </c>
      <c r="DB111" t="str">
        <f>""</f>
        <v/>
      </c>
      <c r="DC111" t="str">
        <f>""</f>
        <v/>
      </c>
      <c r="DD111" t="str">
        <f>""</f>
        <v/>
      </c>
      <c r="DE111" t="str">
        <f>""</f>
        <v/>
      </c>
      <c r="DF111" t="str">
        <f>""</f>
        <v/>
      </c>
      <c r="DG111" t="str">
        <f>""</f>
        <v/>
      </c>
      <c r="DH111" t="str">
        <f>""</f>
        <v/>
      </c>
      <c r="DI111" t="str">
        <f>""</f>
        <v/>
      </c>
      <c r="DJ111" t="str">
        <f>""</f>
        <v/>
      </c>
      <c r="DK111" t="str">
        <f>""</f>
        <v/>
      </c>
      <c r="DL111" t="str">
        <f>""</f>
        <v/>
      </c>
      <c r="DM111" t="str">
        <f>""</f>
        <v/>
      </c>
      <c r="DN111" t="str">
        <f>""</f>
        <v/>
      </c>
      <c r="DO111" t="str">
        <f>""</f>
        <v/>
      </c>
      <c r="DP111" t="str">
        <f>""</f>
        <v/>
      </c>
      <c r="DQ111" t="str">
        <f>""</f>
        <v/>
      </c>
      <c r="DR111" t="str">
        <f>""</f>
        <v/>
      </c>
      <c r="DS111" t="str">
        <f>""</f>
        <v/>
      </c>
      <c r="DT111" t="str">
        <f>""</f>
        <v/>
      </c>
      <c r="DU111" t="str">
        <f>""</f>
        <v/>
      </c>
    </row>
    <row r="112" spans="1:125" x14ac:dyDescent="0.25">
      <c r="A112" t="str">
        <f>"        Recurring Operating Margin (%)"</f>
        <v xml:space="preserve">        Recurring Operating Margin (%)</v>
      </c>
      <c r="B112" t="str">
        <f>"KER FP Equity"</f>
        <v>KER FP Equity</v>
      </c>
      <c r="E112" t="str">
        <f>"Expression"</f>
        <v>Expression</v>
      </c>
      <c r="F112" t="str">
        <f ca="1">IF(AND($B$158=1,LEN($F$111) * LEN($F$109)&gt;0),$F$111/$F$109*100,HLOOKUP(INDIRECT(ADDRESS(2,COLUMN())),OFFSET($BN$2,0,0,ROW()-1,60),ROW()-1,FALSE))</f>
        <v/>
      </c>
      <c r="G112" t="str">
        <f ca="1">IF(AND($B$158=1,LEN($G$111) * LEN($G$109)&gt;0),$G$111/$G$109*100,HLOOKUP(INDIRECT(ADDRESS(2,COLUMN())),OFFSET($BN$2,0,0,ROW()-1,60),ROW()-1,FALSE))</f>
        <v/>
      </c>
      <c r="H112" t="str">
        <f ca="1">IF(AND($B$158=1,LEN($H$111) * LEN($H$109)&gt;0),$H$111/$H$109*100,HLOOKUP(INDIRECT(ADDRESS(2,COLUMN())),OFFSET($BN$2,0,0,ROW()-1,60),ROW()-1,FALSE))</f>
        <v/>
      </c>
      <c r="I112" t="str">
        <f ca="1">IF(AND($B$158=1,LEN($I$111) * LEN($I$109)&gt;0),$I$111/$I$109*100,HLOOKUP(INDIRECT(ADDRESS(2,COLUMN())),OFFSET($BN$2,0,0,ROW()-1,60),ROW()-1,FALSE))</f>
        <v/>
      </c>
      <c r="J112" t="str">
        <f ca="1">IF(AND($B$158=1,LEN($J$111) * LEN($J$109)&gt;0),$J$111/$J$109*100,HLOOKUP(INDIRECT(ADDRESS(2,COLUMN())),OFFSET($BN$2,0,0,ROW()-1,60),ROW()-1,FALSE))</f>
        <v/>
      </c>
      <c r="K112" t="str">
        <f ca="1">IF(AND($B$158=1,LEN($K$111) * LEN($K$109)&gt;0),$K$111/$K$109*100,HLOOKUP(INDIRECT(ADDRESS(2,COLUMN())),OFFSET($BN$2,0,0,ROW()-1,60),ROW()-1,FALSE))</f>
        <v/>
      </c>
      <c r="L112" t="str">
        <f ca="1">IF(AND($B$158=1,LEN($L$111) * LEN($L$109)&gt;0),$L$111/$L$109*100,HLOOKUP(INDIRECT(ADDRESS(2,COLUMN())),OFFSET($BN$2,0,0,ROW()-1,60),ROW()-1,FALSE))</f>
        <v/>
      </c>
      <c r="M112" t="str">
        <f ca="1">IF(AND($B$158=1,LEN($M$111) * LEN($M$109)&gt;0),$M$111/$M$109*100,HLOOKUP(INDIRECT(ADDRESS(2,COLUMN())),OFFSET($BN$2,0,0,ROW()-1,60),ROW()-1,FALSE))</f>
        <v/>
      </c>
      <c r="N112" t="str">
        <f ca="1">IF(AND($B$158=1,LEN($N$111) * LEN($N$109)&gt;0),$N$111/$N$109*100,HLOOKUP(INDIRECT(ADDRESS(2,COLUMN())),OFFSET($BN$2,0,0,ROW()-1,60),ROW()-1,FALSE))</f>
        <v/>
      </c>
      <c r="O112" t="str">
        <f ca="1">IF(AND($B$158=1,LEN($O$111) * LEN($O$109)&gt;0),$O$111/$O$109*100,HLOOKUP(INDIRECT(ADDRESS(2,COLUMN())),OFFSET($BN$2,0,0,ROW()-1,60),ROW()-1,FALSE))</f>
        <v/>
      </c>
      <c r="P112" t="str">
        <f ca="1">IF(AND($B$158=1,LEN($P$111) * LEN($P$109)&gt;0),$P$111/$P$109*100,HLOOKUP(INDIRECT(ADDRESS(2,COLUMN())),OFFSET($BN$2,0,0,ROW()-1,60),ROW()-1,FALSE))</f>
        <v/>
      </c>
      <c r="Q112" t="str">
        <f ca="1">IF(AND($B$158=1,LEN($Q$111) * LEN($Q$109)&gt;0),$Q$111/$Q$109*100,HLOOKUP(INDIRECT(ADDRESS(2,COLUMN())),OFFSET($BN$2,0,0,ROW()-1,60),ROW()-1,FALSE))</f>
        <v/>
      </c>
      <c r="R112" t="str">
        <f ca="1">IF(AND($B$158=1,LEN($R$111) * LEN($R$109)&gt;0),$R$111/$R$109*100,HLOOKUP(INDIRECT(ADDRESS(2,COLUMN())),OFFSET($BN$2,0,0,ROW()-1,60),ROW()-1,FALSE))</f>
        <v/>
      </c>
      <c r="S112" t="str">
        <f ca="1">IF(AND($B$158=1,LEN($S$111) * LEN($S$109)&gt;0),$S$111/$S$109*100,HLOOKUP(INDIRECT(ADDRESS(2,COLUMN())),OFFSET($BN$2,0,0,ROW()-1,60),ROW()-1,FALSE))</f>
        <v/>
      </c>
      <c r="T112" t="str">
        <f ca="1">IF(AND($B$158=1,LEN($T$111) * LEN($T$109)&gt;0),$T$111/$T$109*100,HLOOKUP(INDIRECT(ADDRESS(2,COLUMN())),OFFSET($BN$2,0,0,ROW()-1,60),ROW()-1,FALSE))</f>
        <v/>
      </c>
      <c r="U112" t="str">
        <f ca="1">IF(AND($B$158=1,LEN($U$111) * LEN($U$109)&gt;0),$U$111/$U$109*100,HLOOKUP(INDIRECT(ADDRESS(2,COLUMN())),OFFSET($BN$2,0,0,ROW()-1,60),ROW()-1,FALSE))</f>
        <v/>
      </c>
      <c r="V112" t="str">
        <f ca="1">IF(AND($B$158=1,LEN($V$111) * LEN($V$109)&gt;0),$V$111/$V$109*100,HLOOKUP(INDIRECT(ADDRESS(2,COLUMN())),OFFSET($BN$2,0,0,ROW()-1,60),ROW()-1,FALSE))</f>
        <v/>
      </c>
      <c r="W112" t="str">
        <f ca="1">IF(AND($B$158=1,LEN($W$111) * LEN($W$109)&gt;0),$W$111/$W$109*100,HLOOKUP(INDIRECT(ADDRESS(2,COLUMN())),OFFSET($BN$2,0,0,ROW()-1,60),ROW()-1,FALSE))</f>
        <v/>
      </c>
      <c r="X112" t="str">
        <f ca="1">IF(AND($B$158=1,LEN($X$111) * LEN($X$109)&gt;0),$X$111/$X$109*100,HLOOKUP(INDIRECT(ADDRESS(2,COLUMN())),OFFSET($BN$2,0,0,ROW()-1,60),ROW()-1,FALSE))</f>
        <v/>
      </c>
      <c r="Y112" t="str">
        <f ca="1">IF(AND($B$158=1,LEN($Y$111) * LEN($Y$109)&gt;0),$Y$111/$Y$109*100,HLOOKUP(INDIRECT(ADDRESS(2,COLUMN())),OFFSET($BN$2,0,0,ROW()-1,60),ROW()-1,FALSE))</f>
        <v/>
      </c>
      <c r="Z112" t="str">
        <f ca="1">IF(AND($B$158=1,LEN($Z$111) * LEN($Z$109)&gt;0),$Z$111/$Z$109*100,HLOOKUP(INDIRECT(ADDRESS(2,COLUMN())),OFFSET($BN$2,0,0,ROW()-1,60),ROW()-1,FALSE))</f>
        <v/>
      </c>
      <c r="AA112" t="str">
        <f ca="1">IF(AND($B$158=1,LEN($AA$111) * LEN($AA$109)&gt;0),$AA$111/$AA$109*100,HLOOKUP(INDIRECT(ADDRESS(2,COLUMN())),OFFSET($BN$2,0,0,ROW()-1,60),ROW()-1,FALSE))</f>
        <v/>
      </c>
      <c r="AB112" t="str">
        <f ca="1">IF(AND($B$158=1,LEN($AB$111) * LEN($AB$109)&gt;0),$AB$111/$AB$109*100,HLOOKUP(INDIRECT(ADDRESS(2,COLUMN())),OFFSET($BN$2,0,0,ROW()-1,60),ROW()-1,FALSE))</f>
        <v/>
      </c>
      <c r="AC112" t="str">
        <f ca="1">IF(AND($B$158=1,LEN($AC$111) * LEN($AC$109)&gt;0),$AC$111/$AC$109*100,HLOOKUP(INDIRECT(ADDRESS(2,COLUMN())),OFFSET($BN$2,0,0,ROW()-1,60),ROW()-1,FALSE))</f>
        <v/>
      </c>
      <c r="AD112" t="str">
        <f ca="1">IF(AND($B$158=1,LEN($AD$111) * LEN($AD$109)&gt;0),$AD$111/$AD$109*100,HLOOKUP(INDIRECT(ADDRESS(2,COLUMN())),OFFSET($BN$2,0,0,ROW()-1,60),ROW()-1,FALSE))</f>
        <v/>
      </c>
      <c r="AE112" t="str">
        <f ca="1">IF(AND($B$158=1,LEN($AE$111) * LEN($AE$109)&gt;0),$AE$111/$AE$109*100,HLOOKUP(INDIRECT(ADDRESS(2,COLUMN())),OFFSET($BN$2,0,0,ROW()-1,60),ROW()-1,FALSE))</f>
        <v/>
      </c>
      <c r="AF112" t="str">
        <f ca="1">IF(AND($B$158=1,LEN($AF$111) * LEN($AF$109)&gt;0),$AF$111/$AF$109*100,HLOOKUP(INDIRECT(ADDRESS(2,COLUMN())),OFFSET($BN$2,0,0,ROW()-1,60),ROW()-1,FALSE))</f>
        <v/>
      </c>
      <c r="AG112" t="str">
        <f ca="1">IF(AND($B$158=1,LEN($AG$111) * LEN($AG$109)&gt;0),$AG$111/$AG$109*100,HLOOKUP(INDIRECT(ADDRESS(2,COLUMN())),OFFSET($BN$2,0,0,ROW()-1,60),ROW()-1,FALSE))</f>
        <v/>
      </c>
      <c r="AH112" t="str">
        <f ca="1">IF(AND($B$158=1,LEN($AH$111) * LEN($AH$109)&gt;0),$AH$111/$AH$109*100,HLOOKUP(INDIRECT(ADDRESS(2,COLUMN())),OFFSET($BN$2,0,0,ROW()-1,60),ROW()-1,FALSE))</f>
        <v/>
      </c>
      <c r="AI112" t="str">
        <f ca="1">IF(AND($B$158=1,LEN($AI$111) * LEN($AI$109)&gt;0),$AI$111/$AI$109*100,HLOOKUP(INDIRECT(ADDRESS(2,COLUMN())),OFFSET($BN$2,0,0,ROW()-1,60),ROW()-1,FALSE))</f>
        <v/>
      </c>
      <c r="AJ112" t="str">
        <f ca="1">IF(AND($B$158=1,LEN($AJ$111) * LEN($AJ$109)&gt;0),$AJ$111/$AJ$109*100,HLOOKUP(INDIRECT(ADDRESS(2,COLUMN())),OFFSET($BN$2,0,0,ROW()-1,60),ROW()-1,FALSE))</f>
        <v/>
      </c>
      <c r="AK112" t="str">
        <f ca="1">IF(AND($B$158=1,LEN($AK$111) * LEN($AK$109)&gt;0),$AK$111/$AK$109*100,HLOOKUP(INDIRECT(ADDRESS(2,COLUMN())),OFFSET($BN$2,0,0,ROW()-1,60),ROW()-1,FALSE))</f>
        <v/>
      </c>
      <c r="AL112" t="str">
        <f ca="1">IF(AND($B$158=1,LEN($AL$111) * LEN($AL$109)&gt;0),$AL$111/$AL$109*100,HLOOKUP(INDIRECT(ADDRESS(2,COLUMN())),OFFSET($BN$2,0,0,ROW()-1,60),ROW()-1,FALSE))</f>
        <v/>
      </c>
      <c r="AM112" t="str">
        <f ca="1">IF(AND($B$158=1,LEN($AM$111) * LEN($AM$109)&gt;0),$AM$111/$AM$109*100,HLOOKUP(INDIRECT(ADDRESS(2,COLUMN())),OFFSET($BN$2,0,0,ROW()-1,60),ROW()-1,FALSE))</f>
        <v/>
      </c>
      <c r="AN112" t="str">
        <f ca="1">IF(AND($B$158=1,LEN($AN$111) * LEN($AN$109)&gt;0),$AN$111/$AN$109*100,HLOOKUP(INDIRECT(ADDRESS(2,COLUMN())),OFFSET($BN$2,0,0,ROW()-1,60),ROW()-1,FALSE))</f>
        <v/>
      </c>
      <c r="AO112" t="str">
        <f ca="1">IF(AND($B$158=1,LEN($AO$111) * LEN($AO$109)&gt;0),$AO$111/$AO$109*100,HLOOKUP(INDIRECT(ADDRESS(2,COLUMN())),OFFSET($BN$2,0,0,ROW()-1,60),ROW()-1,FALSE))</f>
        <v/>
      </c>
      <c r="AP112" t="str">
        <f ca="1">IF(AND($B$158=1,LEN($AP$111) * LEN($AP$109)&gt;0),$AP$111/$AP$109*100,HLOOKUP(INDIRECT(ADDRESS(2,COLUMN())),OFFSET($BN$2,0,0,ROW()-1,60),ROW()-1,FALSE))</f>
        <v/>
      </c>
      <c r="AQ112" t="str">
        <f ca="1">IF(AND($B$158=1,LEN($AQ$111) * LEN($AQ$109)&gt;0),$AQ$111/$AQ$109*100,HLOOKUP(INDIRECT(ADDRESS(2,COLUMN())),OFFSET($BN$2,0,0,ROW()-1,60),ROW()-1,FALSE))</f>
        <v/>
      </c>
      <c r="AR112" t="str">
        <f ca="1">IF(AND($B$158=1,LEN($AR$111) * LEN($AR$109)&gt;0),$AR$111/$AR$109*100,HLOOKUP(INDIRECT(ADDRESS(2,COLUMN())),OFFSET($BN$2,0,0,ROW()-1,60),ROW()-1,FALSE))</f>
        <v/>
      </c>
      <c r="AS112" t="str">
        <f ca="1">IF(AND($B$158=1,LEN($AS$111) * LEN($AS$109)&gt;0),$AS$111/$AS$109*100,HLOOKUP(INDIRECT(ADDRESS(2,COLUMN())),OFFSET($BN$2,0,0,ROW()-1,60),ROW()-1,FALSE))</f>
        <v/>
      </c>
      <c r="AT112" t="str">
        <f ca="1">IF(AND($B$158=1,LEN($AT$111) * LEN($AT$109)&gt;0),$AT$111/$AT$109*100,HLOOKUP(INDIRECT(ADDRESS(2,COLUMN())),OFFSET($BN$2,0,0,ROW()-1,60),ROW()-1,FALSE))</f>
        <v/>
      </c>
      <c r="AU112" t="str">
        <f ca="1">IF(AND($B$158=1,LEN($AU$111) * LEN($AU$109)&gt;0),$AU$111/$AU$109*100,HLOOKUP(INDIRECT(ADDRESS(2,COLUMN())),OFFSET($BN$2,0,0,ROW()-1,60),ROW()-1,FALSE))</f>
        <v/>
      </c>
      <c r="AV112" t="str">
        <f ca="1">IF(AND($B$158=1,LEN($AV$111) * LEN($AV$109)&gt;0),$AV$111/$AV$109*100,HLOOKUP(INDIRECT(ADDRESS(2,COLUMN())),OFFSET($BN$2,0,0,ROW()-1,60),ROW()-1,FALSE))</f>
        <v/>
      </c>
      <c r="AW112" t="str">
        <f ca="1">IF(AND($B$158=1,LEN($AW$111) * LEN($AW$109)&gt;0),$AW$111/$AW$109*100,HLOOKUP(INDIRECT(ADDRESS(2,COLUMN())),OFFSET($BN$2,0,0,ROW()-1,60),ROW()-1,FALSE))</f>
        <v/>
      </c>
      <c r="AX112" t="str">
        <f ca="1">IF(AND($B$158=1,LEN($AX$111) * LEN($AX$109)&gt;0),$AX$111/$AX$109*100,HLOOKUP(INDIRECT(ADDRESS(2,COLUMN())),OFFSET($BN$2,0,0,ROW()-1,60),ROW()-1,FALSE))</f>
        <v/>
      </c>
      <c r="AY112" t="str">
        <f ca="1">IF(AND($B$158=1,LEN($AY$111) * LEN($AY$109)&gt;0),$AY$111/$AY$109*100,HLOOKUP(INDIRECT(ADDRESS(2,COLUMN())),OFFSET($BN$2,0,0,ROW()-1,60),ROW()-1,FALSE))</f>
        <v/>
      </c>
      <c r="AZ112" t="str">
        <f ca="1">IF(AND($B$158=1,LEN($AZ$111) * LEN($AZ$109)&gt;0),$AZ$111/$AZ$109*100,HLOOKUP(INDIRECT(ADDRESS(2,COLUMN())),OFFSET($BN$2,0,0,ROW()-1,60),ROW()-1,FALSE))</f>
        <v/>
      </c>
      <c r="BA112" t="str">
        <f ca="1">IF(AND($B$158=1,LEN($BA$111) * LEN($BA$109)&gt;0),$BA$111/$BA$109*100,HLOOKUP(INDIRECT(ADDRESS(2,COLUMN())),OFFSET($BN$2,0,0,ROW()-1,60),ROW()-1,FALSE))</f>
        <v/>
      </c>
      <c r="BB112" t="str">
        <f ca="1">IF(AND($B$158=1,LEN($BB$111) * LEN($BB$109)&gt;0),$BB$111/$BB$109*100,HLOOKUP(INDIRECT(ADDRESS(2,COLUMN())),OFFSET($BN$2,0,0,ROW()-1,60),ROW()-1,FALSE))</f>
        <v/>
      </c>
      <c r="BC112" t="str">
        <f ca="1">IF(AND($B$158=1,LEN($BC$111) * LEN($BC$109)&gt;0),$BC$111/$BC$109*100,HLOOKUP(INDIRECT(ADDRESS(2,COLUMN())),OFFSET($BN$2,0,0,ROW()-1,60),ROW()-1,FALSE))</f>
        <v/>
      </c>
      <c r="BD112" t="str">
        <f ca="1">IF(AND($B$158=1,LEN($BD$111) * LEN($BD$109)&gt;0),$BD$111/$BD$109*100,HLOOKUP(INDIRECT(ADDRESS(2,COLUMN())),OFFSET($BN$2,0,0,ROW()-1,60),ROW()-1,FALSE))</f>
        <v/>
      </c>
      <c r="BE112" t="str">
        <f ca="1">IF(AND($B$158=1,LEN($BE$111) * LEN($BE$109)&gt;0),$BE$111/$BE$109*100,HLOOKUP(INDIRECT(ADDRESS(2,COLUMN())),OFFSET($BN$2,0,0,ROW()-1,60),ROW()-1,FALSE))</f>
        <v/>
      </c>
      <c r="BF112" t="str">
        <f ca="1">IF(AND($B$158=1,LEN($BF$111) * LEN($BF$109)&gt;0),$BF$111/$BF$109*100,HLOOKUP(INDIRECT(ADDRESS(2,COLUMN())),OFFSET($BN$2,0,0,ROW()-1,60),ROW()-1,FALSE))</f>
        <v/>
      </c>
      <c r="BG112" t="str">
        <f ca="1">IF(AND($B$158=1,LEN($BG$111) * LEN($BG$109)&gt;0),$BG$111/$BG$109*100,HLOOKUP(INDIRECT(ADDRESS(2,COLUMN())),OFFSET($BN$2,0,0,ROW()-1,60),ROW()-1,FALSE))</f>
        <v/>
      </c>
      <c r="BH112" t="str">
        <f ca="1">IF(AND($B$158=1,LEN($BH$111) * LEN($BH$109)&gt;0),$BH$111/$BH$109*100,HLOOKUP(INDIRECT(ADDRESS(2,COLUMN())),OFFSET($BN$2,0,0,ROW()-1,60),ROW()-1,FALSE))</f>
        <v/>
      </c>
      <c r="BI112" t="str">
        <f ca="1">IF(AND($B$158=1,LEN($BI$111) * LEN($BI$109)&gt;0),$BI$111/$BI$109*100,HLOOKUP(INDIRECT(ADDRESS(2,COLUMN())),OFFSET($BN$2,0,0,ROW()-1,60),ROW()-1,FALSE))</f>
        <v/>
      </c>
      <c r="BJ112" t="str">
        <f ca="1">IF(AND($B$158=1,LEN($BJ$111) * LEN($BJ$109)&gt;0),$BJ$111/$BJ$109*100,HLOOKUP(INDIRECT(ADDRESS(2,COLUMN())),OFFSET($BN$2,0,0,ROW()-1,60),ROW()-1,FALSE))</f>
        <v/>
      </c>
      <c r="BK112" t="str">
        <f ca="1">IF(AND($B$158=1,LEN($BK$111) * LEN($BK$109)&gt;0),$BK$111/$BK$109*100,HLOOKUP(INDIRECT(ADDRESS(2,COLUMN())),OFFSET($BN$2,0,0,ROW()-1,60),ROW()-1,FALSE))</f>
        <v/>
      </c>
      <c r="BL112" t="str">
        <f ca="1">IF(AND($B$158=1,LEN($BL$111) * LEN($BL$109)&gt;0),$BL$111/$BL$109*100,HLOOKUP(INDIRECT(ADDRESS(2,COLUMN())),OFFSET($BN$2,0,0,ROW()-1,60),ROW()-1,FALSE))</f>
        <v/>
      </c>
      <c r="BM112" t="str">
        <f ca="1">IF(AND($B$158=1,LEN($BM$111) * LEN($BM$109)&gt;0),$BM$111/$BM$109*100,HLOOKUP(INDIRECT(ADDRESS(2,COLUMN())),OFFSET($BN$2,0,0,ROW()-1,60),ROW()-1,FALSE))</f>
        <v/>
      </c>
      <c r="BN112" t="str">
        <f>""</f>
        <v/>
      </c>
      <c r="BO112" t="str">
        <f>""</f>
        <v/>
      </c>
      <c r="BP112" t="str">
        <f>""</f>
        <v/>
      </c>
      <c r="BQ112" t="str">
        <f>""</f>
        <v/>
      </c>
      <c r="BR112" t="str">
        <f>""</f>
        <v/>
      </c>
      <c r="BS112" t="str">
        <f>""</f>
        <v/>
      </c>
      <c r="BT112" t="str">
        <f>""</f>
        <v/>
      </c>
      <c r="BU112" t="str">
        <f>""</f>
        <v/>
      </c>
      <c r="BV112" t="str">
        <f>""</f>
        <v/>
      </c>
      <c r="BW112" t="str">
        <f>""</f>
        <v/>
      </c>
      <c r="BX112" t="str">
        <f>""</f>
        <v/>
      </c>
      <c r="BY112" t="str">
        <f>""</f>
        <v/>
      </c>
      <c r="BZ112" t="str">
        <f>""</f>
        <v/>
      </c>
      <c r="CA112" t="str">
        <f>""</f>
        <v/>
      </c>
      <c r="CB112" t="str">
        <f>""</f>
        <v/>
      </c>
      <c r="CC112" t="str">
        <f>""</f>
        <v/>
      </c>
      <c r="CD112" t="str">
        <f>""</f>
        <v/>
      </c>
      <c r="CE112" t="str">
        <f>""</f>
        <v/>
      </c>
      <c r="CF112" t="str">
        <f>""</f>
        <v/>
      </c>
      <c r="CG112" t="str">
        <f>""</f>
        <v/>
      </c>
      <c r="CH112" t="str">
        <f>""</f>
        <v/>
      </c>
      <c r="CI112" t="str">
        <f>""</f>
        <v/>
      </c>
      <c r="CJ112" t="str">
        <f>""</f>
        <v/>
      </c>
      <c r="CK112" t="str">
        <f>""</f>
        <v/>
      </c>
      <c r="CL112" t="str">
        <f>""</f>
        <v/>
      </c>
      <c r="CM112" t="str">
        <f>""</f>
        <v/>
      </c>
      <c r="CN112" t="str">
        <f>""</f>
        <v/>
      </c>
      <c r="CO112" t="str">
        <f>""</f>
        <v/>
      </c>
      <c r="CP112" t="str">
        <f>""</f>
        <v/>
      </c>
      <c r="CQ112" t="str">
        <f>""</f>
        <v/>
      </c>
      <c r="CR112" t="str">
        <f>""</f>
        <v/>
      </c>
      <c r="CS112" t="str">
        <f>""</f>
        <v/>
      </c>
      <c r="CT112" t="str">
        <f>""</f>
        <v/>
      </c>
      <c r="CU112" t="str">
        <f>""</f>
        <v/>
      </c>
      <c r="CV112" t="str">
        <f>""</f>
        <v/>
      </c>
      <c r="CW112" t="str">
        <f>""</f>
        <v/>
      </c>
      <c r="CX112" t="str">
        <f>""</f>
        <v/>
      </c>
      <c r="CY112" t="str">
        <f>""</f>
        <v/>
      </c>
      <c r="CZ112" t="str">
        <f>""</f>
        <v/>
      </c>
      <c r="DA112" t="str">
        <f>""</f>
        <v/>
      </c>
      <c r="DB112" t="str">
        <f>""</f>
        <v/>
      </c>
      <c r="DC112" t="str">
        <f>""</f>
        <v/>
      </c>
      <c r="DD112" t="str">
        <f>""</f>
        <v/>
      </c>
      <c r="DE112" t="str">
        <f>""</f>
        <v/>
      </c>
      <c r="DF112" t="str">
        <f>""</f>
        <v/>
      </c>
      <c r="DG112" t="str">
        <f>""</f>
        <v/>
      </c>
      <c r="DH112" t="str">
        <f>""</f>
        <v/>
      </c>
      <c r="DI112" t="str">
        <f>""</f>
        <v/>
      </c>
      <c r="DJ112" t="str">
        <f>""</f>
        <v/>
      </c>
      <c r="DK112" t="str">
        <f>""</f>
        <v/>
      </c>
      <c r="DL112" t="str">
        <f>""</f>
        <v/>
      </c>
      <c r="DM112" t="str">
        <f>""</f>
        <v/>
      </c>
      <c r="DN112" t="str">
        <f>""</f>
        <v/>
      </c>
      <c r="DO112" t="str">
        <f>""</f>
        <v/>
      </c>
      <c r="DP112" t="str">
        <f>""</f>
        <v/>
      </c>
      <c r="DQ112" t="str">
        <f>""</f>
        <v/>
      </c>
      <c r="DR112" t="str">
        <f>""</f>
        <v/>
      </c>
      <c r="DS112" t="str">
        <f>""</f>
        <v/>
      </c>
      <c r="DT112" t="str">
        <f>""</f>
        <v/>
      </c>
      <c r="DU112" t="str">
        <f>""</f>
        <v/>
      </c>
    </row>
    <row r="113" spans="1:125" x14ac:dyDescent="0.25">
      <c r="A113" t="str">
        <f>"    Other Luxury Brands"</f>
        <v xml:space="preserve">    Other Luxury Brands</v>
      </c>
      <c r="B113" t="str">
        <f>""</f>
        <v/>
      </c>
      <c r="E113" t="str">
        <f>"Static"</f>
        <v>Static</v>
      </c>
      <c r="F113" t="str">
        <f t="shared" ref="F113:AK113" ca="1" si="60">HLOOKUP(INDIRECT(ADDRESS(2,COLUMN())),OFFSET($BN$2,0,0,ROW()-1,60),ROW()-1,FALSE)</f>
        <v/>
      </c>
      <c r="G113" t="str">
        <f t="shared" ca="1" si="60"/>
        <v/>
      </c>
      <c r="H113" t="str">
        <f t="shared" ca="1" si="60"/>
        <v/>
      </c>
      <c r="I113" t="str">
        <f t="shared" ca="1" si="60"/>
        <v/>
      </c>
      <c r="J113" t="str">
        <f t="shared" ca="1" si="60"/>
        <v/>
      </c>
      <c r="K113" t="str">
        <f t="shared" ca="1" si="60"/>
        <v/>
      </c>
      <c r="L113" t="str">
        <f t="shared" ca="1" si="60"/>
        <v/>
      </c>
      <c r="M113" t="str">
        <f t="shared" ca="1" si="60"/>
        <v/>
      </c>
      <c r="N113" t="str">
        <f t="shared" ca="1" si="60"/>
        <v/>
      </c>
      <c r="O113" t="str">
        <f t="shared" ca="1" si="60"/>
        <v/>
      </c>
      <c r="P113" t="str">
        <f t="shared" ca="1" si="60"/>
        <v/>
      </c>
      <c r="Q113" t="str">
        <f t="shared" ca="1" si="60"/>
        <v/>
      </c>
      <c r="R113" t="str">
        <f t="shared" ca="1" si="60"/>
        <v/>
      </c>
      <c r="S113" t="str">
        <f t="shared" ca="1" si="60"/>
        <v/>
      </c>
      <c r="T113" t="str">
        <f t="shared" ca="1" si="60"/>
        <v/>
      </c>
      <c r="U113" t="str">
        <f t="shared" ca="1" si="60"/>
        <v/>
      </c>
      <c r="V113" t="str">
        <f t="shared" ca="1" si="60"/>
        <v/>
      </c>
      <c r="W113" t="str">
        <f t="shared" ca="1" si="60"/>
        <v/>
      </c>
      <c r="X113" t="str">
        <f t="shared" ca="1" si="60"/>
        <v/>
      </c>
      <c r="Y113" t="str">
        <f t="shared" ca="1" si="60"/>
        <v/>
      </c>
      <c r="Z113" t="str">
        <f t="shared" ca="1" si="60"/>
        <v/>
      </c>
      <c r="AA113" t="str">
        <f t="shared" ca="1" si="60"/>
        <v/>
      </c>
      <c r="AB113" t="str">
        <f t="shared" ca="1" si="60"/>
        <v/>
      </c>
      <c r="AC113" t="str">
        <f t="shared" ca="1" si="60"/>
        <v/>
      </c>
      <c r="AD113" t="str">
        <f t="shared" ca="1" si="60"/>
        <v/>
      </c>
      <c r="AE113" t="str">
        <f t="shared" ca="1" si="60"/>
        <v/>
      </c>
      <c r="AF113" t="str">
        <f t="shared" ca="1" si="60"/>
        <v/>
      </c>
      <c r="AG113" t="str">
        <f t="shared" ca="1" si="60"/>
        <v/>
      </c>
      <c r="AH113" t="str">
        <f t="shared" ca="1" si="60"/>
        <v/>
      </c>
      <c r="AI113" t="str">
        <f t="shared" ca="1" si="60"/>
        <v/>
      </c>
      <c r="AJ113" t="str">
        <f t="shared" ca="1" si="60"/>
        <v/>
      </c>
      <c r="AK113" t="str">
        <f t="shared" ca="1" si="60"/>
        <v/>
      </c>
      <c r="AL113" t="str">
        <f t="shared" ref="AL113:BM113" ca="1" si="61">HLOOKUP(INDIRECT(ADDRESS(2,COLUMN())),OFFSET($BN$2,0,0,ROW()-1,60),ROW()-1,FALSE)</f>
        <v/>
      </c>
      <c r="AM113" t="str">
        <f t="shared" ca="1" si="61"/>
        <v/>
      </c>
      <c r="AN113" t="str">
        <f t="shared" ca="1" si="61"/>
        <v/>
      </c>
      <c r="AO113" t="str">
        <f t="shared" ca="1" si="61"/>
        <v/>
      </c>
      <c r="AP113" t="str">
        <f t="shared" ca="1" si="61"/>
        <v/>
      </c>
      <c r="AQ113" t="str">
        <f t="shared" ca="1" si="61"/>
        <v/>
      </c>
      <c r="AR113" t="str">
        <f t="shared" ca="1" si="61"/>
        <v/>
      </c>
      <c r="AS113" t="str">
        <f t="shared" ca="1" si="61"/>
        <v/>
      </c>
      <c r="AT113" t="str">
        <f t="shared" ca="1" si="61"/>
        <v/>
      </c>
      <c r="AU113" t="str">
        <f t="shared" ca="1" si="61"/>
        <v/>
      </c>
      <c r="AV113" t="str">
        <f t="shared" ca="1" si="61"/>
        <v/>
      </c>
      <c r="AW113" t="str">
        <f t="shared" ca="1" si="61"/>
        <v/>
      </c>
      <c r="AX113" t="str">
        <f t="shared" ca="1" si="61"/>
        <v/>
      </c>
      <c r="AY113" t="str">
        <f t="shared" ca="1" si="61"/>
        <v/>
      </c>
      <c r="AZ113" t="str">
        <f t="shared" ca="1" si="61"/>
        <v/>
      </c>
      <c r="BA113" t="str">
        <f t="shared" ca="1" si="61"/>
        <v/>
      </c>
      <c r="BB113" t="str">
        <f t="shared" ca="1" si="61"/>
        <v/>
      </c>
      <c r="BC113" t="str">
        <f t="shared" ca="1" si="61"/>
        <v/>
      </c>
      <c r="BD113" t="str">
        <f t="shared" ca="1" si="61"/>
        <v/>
      </c>
      <c r="BE113" t="str">
        <f t="shared" ca="1" si="61"/>
        <v/>
      </c>
      <c r="BF113" t="str">
        <f t="shared" ca="1" si="61"/>
        <v/>
      </c>
      <c r="BG113" t="str">
        <f t="shared" ca="1" si="61"/>
        <v/>
      </c>
      <c r="BH113" t="str">
        <f t="shared" ca="1" si="61"/>
        <v/>
      </c>
      <c r="BI113" t="str">
        <f t="shared" ca="1" si="61"/>
        <v/>
      </c>
      <c r="BJ113" t="str">
        <f t="shared" ca="1" si="61"/>
        <v/>
      </c>
      <c r="BK113" t="str">
        <f t="shared" ca="1" si="61"/>
        <v/>
      </c>
      <c r="BL113" t="str">
        <f t="shared" ca="1" si="61"/>
        <v/>
      </c>
      <c r="BM113" t="str">
        <f t="shared" ca="1" si="61"/>
        <v/>
      </c>
      <c r="BN113" t="str">
        <f>""</f>
        <v/>
      </c>
      <c r="BO113" t="str">
        <f>""</f>
        <v/>
      </c>
      <c r="BP113" t="str">
        <f>""</f>
        <v/>
      </c>
      <c r="BQ113" t="str">
        <f>""</f>
        <v/>
      </c>
      <c r="BR113" t="str">
        <f>""</f>
        <v/>
      </c>
      <c r="BS113" t="str">
        <f>""</f>
        <v/>
      </c>
      <c r="BT113" t="str">
        <f>""</f>
        <v/>
      </c>
      <c r="BU113" t="str">
        <f>""</f>
        <v/>
      </c>
      <c r="BV113" t="str">
        <f>""</f>
        <v/>
      </c>
      <c r="BW113" t="str">
        <f>""</f>
        <v/>
      </c>
      <c r="BX113" t="str">
        <f>""</f>
        <v/>
      </c>
      <c r="BY113" t="str">
        <f>""</f>
        <v/>
      </c>
      <c r="BZ113" t="str">
        <f>""</f>
        <v/>
      </c>
      <c r="CA113" t="str">
        <f>""</f>
        <v/>
      </c>
      <c r="CB113" t="str">
        <f>""</f>
        <v/>
      </c>
      <c r="CC113" t="str">
        <f>""</f>
        <v/>
      </c>
      <c r="CD113" t="str">
        <f>""</f>
        <v/>
      </c>
      <c r="CE113" t="str">
        <f>""</f>
        <v/>
      </c>
      <c r="CF113" t="str">
        <f>""</f>
        <v/>
      </c>
      <c r="CG113" t="str">
        <f>""</f>
        <v/>
      </c>
      <c r="CH113" t="str">
        <f>""</f>
        <v/>
      </c>
      <c r="CI113" t="str">
        <f>""</f>
        <v/>
      </c>
      <c r="CJ113" t="str">
        <f>""</f>
        <v/>
      </c>
      <c r="CK113" t="str">
        <f>""</f>
        <v/>
      </c>
      <c r="CL113" t="str">
        <f>""</f>
        <v/>
      </c>
      <c r="CM113" t="str">
        <f>""</f>
        <v/>
      </c>
      <c r="CN113" t="str">
        <f>""</f>
        <v/>
      </c>
      <c r="CO113" t="str">
        <f>""</f>
        <v/>
      </c>
      <c r="CP113" t="str">
        <f>""</f>
        <v/>
      </c>
      <c r="CQ113" t="str">
        <f>""</f>
        <v/>
      </c>
      <c r="CR113" t="str">
        <f>""</f>
        <v/>
      </c>
      <c r="CS113" t="str">
        <f>""</f>
        <v/>
      </c>
      <c r="CT113" t="str">
        <f>""</f>
        <v/>
      </c>
      <c r="CU113" t="str">
        <f>""</f>
        <v/>
      </c>
      <c r="CV113" t="str">
        <f>""</f>
        <v/>
      </c>
      <c r="CW113" t="str">
        <f>""</f>
        <v/>
      </c>
      <c r="CX113" t="str">
        <f>""</f>
        <v/>
      </c>
      <c r="CY113" t="str">
        <f>""</f>
        <v/>
      </c>
      <c r="CZ113" t="str">
        <f>""</f>
        <v/>
      </c>
      <c r="DA113" t="str">
        <f>""</f>
        <v/>
      </c>
      <c r="DB113" t="str">
        <f>""</f>
        <v/>
      </c>
      <c r="DC113" t="str">
        <f>""</f>
        <v/>
      </c>
      <c r="DD113" t="str">
        <f>""</f>
        <v/>
      </c>
      <c r="DE113" t="str">
        <f>""</f>
        <v/>
      </c>
      <c r="DF113" t="str">
        <f>""</f>
        <v/>
      </c>
      <c r="DG113" t="str">
        <f>""</f>
        <v/>
      </c>
      <c r="DH113" t="str">
        <f>""</f>
        <v/>
      </c>
      <c r="DI113" t="str">
        <f>""</f>
        <v/>
      </c>
      <c r="DJ113" t="str">
        <f>""</f>
        <v/>
      </c>
      <c r="DK113" t="str">
        <f>""</f>
        <v/>
      </c>
      <c r="DL113" t="str">
        <f>""</f>
        <v/>
      </c>
      <c r="DM113" t="str">
        <f>""</f>
        <v/>
      </c>
      <c r="DN113" t="str">
        <f>""</f>
        <v/>
      </c>
      <c r="DO113" t="str">
        <f>""</f>
        <v/>
      </c>
      <c r="DP113" t="str">
        <f>""</f>
        <v/>
      </c>
      <c r="DQ113" t="str">
        <f>""</f>
        <v/>
      </c>
      <c r="DR113" t="str">
        <f>""</f>
        <v/>
      </c>
      <c r="DS113" t="str">
        <f>""</f>
        <v/>
      </c>
      <c r="DT113" t="str">
        <f>""</f>
        <v/>
      </c>
      <c r="DU113" t="str">
        <f>""</f>
        <v/>
      </c>
    </row>
    <row r="114" spans="1:125" x14ac:dyDescent="0.25">
      <c r="A114" t="str">
        <f>"        Revenue"</f>
        <v xml:space="preserve">        Revenue</v>
      </c>
      <c r="B114" t="str">
        <f>"KER FP Equity"</f>
        <v>KER FP Equity</v>
      </c>
      <c r="C114" t="str">
        <f>"BI047"</f>
        <v>BI047</v>
      </c>
      <c r="D114" t="str">
        <f>"BICS_SEGMENT_DATA"</f>
        <v>BICS_SEGMENT_DATA</v>
      </c>
      <c r="E114" t="str">
        <f>"Dynamic"</f>
        <v>Dynamic</v>
      </c>
      <c r="F114" t="str">
        <f ca="1">IF(AND(ISNUMBER($F$243),$B$158=1),$F$243,HLOOKUP(INDIRECT(ADDRESS(2,COLUMN())),OFFSET($BN$2,0,0,ROW()-1,60),ROW()-1,FALSE))</f>
        <v/>
      </c>
      <c r="G114">
        <f ca="1">IF(AND(ISNUMBER($G$243),$B$158=1),$G$243,HLOOKUP(INDIRECT(ADDRESS(2,COLUMN())),OFFSET($BN$2,0,0,ROW()-1,60),ROW()-1,FALSE))</f>
        <v>843.7</v>
      </c>
      <c r="H114">
        <f ca="1">IF(AND(ISNUMBER($H$243),$B$158=1),$H$243,HLOOKUP(INDIRECT(ADDRESS(2,COLUMN())),OFFSET($BN$2,0,0,ROW()-1,60),ROW()-1,FALSE))</f>
        <v>761.3</v>
      </c>
      <c r="I114">
        <f ca="1">IF(AND(ISNUMBER($I$243),$B$158=1),$I$243,HLOOKUP(INDIRECT(ADDRESS(2,COLUMN())),OFFSET($BN$2,0,0,ROW()-1,60),ROW()-1,FALSE))</f>
        <v>714.3</v>
      </c>
      <c r="J114">
        <f ca="1">IF(AND(ISNUMBER($J$243),$B$158=1),$J$243,HLOOKUP(INDIRECT(ADDRESS(2,COLUMN())),OFFSET($BN$2,0,0,ROW()-1,60),ROW()-1,FALSE))</f>
        <v>693.1</v>
      </c>
      <c r="K114">
        <f ca="1">IF(AND(ISNUMBER($K$243),$B$158=1),$K$243,HLOOKUP(INDIRECT(ADDRESS(2,COLUMN())),OFFSET($BN$2,0,0,ROW()-1,60),ROW()-1,FALSE))</f>
        <v>669.1</v>
      </c>
      <c r="L114">
        <f ca="1">IF(AND(ISNUMBER($L$243),$B$158=1),$L$243,HLOOKUP(INDIRECT(ADDRESS(2,COLUMN())),OFFSET($BN$2,0,0,ROW()-1,60),ROW()-1,FALSE))</f>
        <v>365.8</v>
      </c>
      <c r="M114">
        <f ca="1">IF(AND(ISNUMBER($M$243),$B$158=1),$M$243,HLOOKUP(INDIRECT(ADDRESS(2,COLUMN())),OFFSET($BN$2,0,0,ROW()-1,60),ROW()-1,FALSE))</f>
        <v>553.29999999999995</v>
      </c>
      <c r="N114">
        <f ca="1">IF(AND(ISNUMBER($N$243),$B$158=1),$N$243,HLOOKUP(INDIRECT(ADDRESS(2,COLUMN())),OFFSET($BN$2,0,0,ROW()-1,60),ROW()-1,FALSE))</f>
        <v>699.9</v>
      </c>
      <c r="O114">
        <f ca="1">IF(AND(ISNUMBER($O$243),$B$158=1),$O$243,HLOOKUP(INDIRECT(ADDRESS(2,COLUMN())),OFFSET($BN$2,0,0,ROW()-1,60),ROW()-1,FALSE))</f>
        <v>612.29999999999995</v>
      </c>
      <c r="P114">
        <f ca="1">IF(AND(ISNUMBER($P$243),$B$158=1),$P$243,HLOOKUP(INDIRECT(ADDRESS(2,COLUMN())),OFFSET($BN$2,0,0,ROW()-1,60),ROW()-1,FALSE))</f>
        <v>648.4</v>
      </c>
      <c r="Q114">
        <f ca="1">IF(AND(ISNUMBER($Q$243),$B$158=1),$Q$243,HLOOKUP(INDIRECT(ADDRESS(2,COLUMN())),OFFSET($BN$2,0,0,ROW()-1,60),ROW()-1,FALSE))</f>
        <v>576.9</v>
      </c>
      <c r="R114">
        <f ca="1">IF(AND(ISNUMBER($R$243),$B$158=1),$R$243,HLOOKUP(INDIRECT(ADDRESS(2,COLUMN())),OFFSET($BN$2,0,0,ROW()-1,60),ROW()-1,FALSE))</f>
        <v>595.70000000000005</v>
      </c>
      <c r="S114">
        <f ca="1">IF(AND(ISNUMBER($S$243),$B$158=1),$S$243,HLOOKUP(INDIRECT(ADDRESS(2,COLUMN())),OFFSET($BN$2,0,0,ROW()-1,60),ROW()-1,FALSE))</f>
        <v>516.4</v>
      </c>
      <c r="T114">
        <f ca="1">IF(AND(ISNUMBER($T$243),$B$158=1),$T$243,HLOOKUP(INDIRECT(ADDRESS(2,COLUMN())),OFFSET($BN$2,0,0,ROW()-1,60),ROW()-1,FALSE))</f>
        <v>533.79999999999995</v>
      </c>
      <c r="U114">
        <f ca="1">IF(AND(ISNUMBER($U$243),$B$158=1),$U$243,HLOOKUP(INDIRECT(ADDRESS(2,COLUMN())),OFFSET($BN$2,0,0,ROW()-1,60),ROW()-1,FALSE))</f>
        <v>463.3</v>
      </c>
      <c r="V114">
        <f ca="1">IF(AND(ISNUMBER($V$243),$B$158=1),$V$243,HLOOKUP(INDIRECT(ADDRESS(2,COLUMN())),OFFSET($BN$2,0,0,ROW()-1,60),ROW()-1,FALSE))</f>
        <v>549.79999999999995</v>
      </c>
      <c r="W114">
        <f ca="1">IF(AND(ISNUMBER($W$243),$B$158=1),$W$243,HLOOKUP(INDIRECT(ADDRESS(2,COLUMN())),OFFSET($BN$2,0,0,ROW()-1,60),ROW()-1,FALSE))</f>
        <v>390.7</v>
      </c>
      <c r="X114">
        <f ca="1">IF(AND(ISNUMBER($X$243),$B$158=1),$X$243,HLOOKUP(INDIRECT(ADDRESS(2,COLUMN())),OFFSET($BN$2,0,0,ROW()-1,60),ROW()-1,FALSE))</f>
        <v>543.79999999999995</v>
      </c>
      <c r="Y114">
        <f ca="1">IF(AND(ISNUMBER($Y$243),$B$158=1),$Y$243,HLOOKUP(INDIRECT(ADDRESS(2,COLUMN())),OFFSET($BN$2,0,0,ROW()-1,60),ROW()-1,FALSE))</f>
        <v>353.7</v>
      </c>
      <c r="Z114">
        <f ca="1">IF(AND(ISNUMBER($Z$243),$B$158=1),$Z$243,HLOOKUP(INDIRECT(ADDRESS(2,COLUMN())),OFFSET($BN$2,0,0,ROW()-1,60),ROW()-1,FALSE))</f>
        <v>479.5</v>
      </c>
      <c r="AA114">
        <f ca="1">IF(AND(ISNUMBER($AA$243),$B$158=1),$AA$243,HLOOKUP(INDIRECT(ADDRESS(2,COLUMN())),OFFSET($BN$2,0,0,ROW()-1,60),ROW()-1,FALSE))</f>
        <v>406.7</v>
      </c>
      <c r="AB114">
        <f ca="1">IF(AND(ISNUMBER($AB$243),$B$158=1),$AB$243,HLOOKUP(INDIRECT(ADDRESS(2,COLUMN())),OFFSET($BN$2,0,0,ROW()-1,60),ROW()-1,FALSE))</f>
        <v>438.9</v>
      </c>
      <c r="AC114">
        <f ca="1">IF(AND(ISNUMBER($AC$243),$B$158=1),$AC$243,HLOOKUP(INDIRECT(ADDRESS(2,COLUMN())),OFFSET($BN$2,0,0,ROW()-1,60),ROW()-1,FALSE))</f>
        <v>372.4</v>
      </c>
      <c r="AD114">
        <f ca="1">IF(AND(ISNUMBER($AD$243),$B$158=1),$AD$243,HLOOKUP(INDIRECT(ADDRESS(2,COLUMN())),OFFSET($BN$2,0,0,ROW()-1,60),ROW()-1,FALSE))</f>
        <v>495.4</v>
      </c>
      <c r="AE114">
        <f ca="1">IF(AND(ISNUMBER($AE$243),$B$158=1),$AE$243,HLOOKUP(INDIRECT(ADDRESS(2,COLUMN())),OFFSET($BN$2,0,0,ROW()-1,60),ROW()-1,FALSE))</f>
        <v>397</v>
      </c>
      <c r="AF114">
        <f ca="1">IF(AND(ISNUMBER($AF$243),$B$158=1),$AF$243,HLOOKUP(INDIRECT(ADDRESS(2,COLUMN())),OFFSET($BN$2,0,0,ROW()-1,60),ROW()-1,FALSE))</f>
        <v>431.9</v>
      </c>
      <c r="AG114">
        <f ca="1">IF(AND(ISNUMBER($AG$243),$B$158=1),$AG$243,HLOOKUP(INDIRECT(ADDRESS(2,COLUMN())),OFFSET($BN$2,0,0,ROW()-1,60),ROW()-1,FALSE))</f>
        <v>383.6</v>
      </c>
      <c r="AH114">
        <f ca="1">IF(AND(ISNUMBER($AH$243),$B$158=1),$AH$243,HLOOKUP(INDIRECT(ADDRESS(2,COLUMN())),OFFSET($BN$2,0,0,ROW()-1,60),ROW()-1,FALSE))</f>
        <v>411.5</v>
      </c>
      <c r="AI114">
        <f ca="1">IF(AND(ISNUMBER($AI$243),$B$158=1),$AI$243,HLOOKUP(INDIRECT(ADDRESS(2,COLUMN())),OFFSET($BN$2,0,0,ROW()-1,60),ROW()-1,FALSE))</f>
        <v>340.9</v>
      </c>
      <c r="AJ114">
        <f ca="1">IF(AND(ISNUMBER($AJ$243),$B$158=1),$AJ$243,HLOOKUP(INDIRECT(ADDRESS(2,COLUMN())),OFFSET($BN$2,0,0,ROW()-1,60),ROW()-1,FALSE))</f>
        <v>354.2</v>
      </c>
      <c r="AK114">
        <f ca="1">IF(AND(ISNUMBER($AK$243),$B$158=1),$AK$243,HLOOKUP(INDIRECT(ADDRESS(2,COLUMN())),OFFSET($BN$2,0,0,ROW()-1,60),ROW()-1,FALSE))</f>
        <v>354</v>
      </c>
      <c r="AL114">
        <f ca="1">IF(AND(ISNUMBER($AL$243),$B$158=1),$AL$243,HLOOKUP(INDIRECT(ADDRESS(2,COLUMN())),OFFSET($BN$2,0,0,ROW()-1,60),ROW()-1,FALSE))</f>
        <v>380.3</v>
      </c>
      <c r="AM114">
        <f ca="1">IF(AND(ISNUMBER($AM$243),$B$158=1),$AM$243,HLOOKUP(INDIRECT(ADDRESS(2,COLUMN())),OFFSET($BN$2,0,0,ROW()-1,60),ROW()-1,FALSE))</f>
        <v>353.7</v>
      </c>
      <c r="AN114">
        <f ca="1">IF(AND(ISNUMBER($AN$243),$B$158=1),$AN$243,HLOOKUP(INDIRECT(ADDRESS(2,COLUMN())),OFFSET($BN$2,0,0,ROW()-1,60),ROW()-1,FALSE))</f>
        <v>301.39999999999998</v>
      </c>
      <c r="AO114">
        <f ca="1">IF(AND(ISNUMBER($AO$243),$B$158=1),$AO$243,HLOOKUP(INDIRECT(ADDRESS(2,COLUMN())),OFFSET($BN$2,0,0,ROW()-1,60),ROW()-1,FALSE))</f>
        <v>301</v>
      </c>
      <c r="AP114">
        <f ca="1">IF(AND(ISNUMBER($AP$243),$B$158=1),$AP$243,HLOOKUP(INDIRECT(ADDRESS(2,COLUMN())),OFFSET($BN$2,0,0,ROW()-1,60),ROW()-1,FALSE))</f>
        <v>305.2</v>
      </c>
      <c r="AQ114">
        <f ca="1">IF(AND(ISNUMBER($AQ$243),$B$158=1),$AQ$243,HLOOKUP(INDIRECT(ADDRESS(2,COLUMN())),OFFSET($BN$2,0,0,ROW()-1,60),ROW()-1,FALSE))</f>
        <v>306.7</v>
      </c>
      <c r="AR114">
        <f ca="1">IF(AND(ISNUMBER($AR$243),$B$158=1),$AR$243,HLOOKUP(INDIRECT(ADDRESS(2,COLUMN())),OFFSET($BN$2,0,0,ROW()-1,60),ROW()-1,FALSE))</f>
        <v>260.5</v>
      </c>
      <c r="AS114">
        <f ca="1">IF(AND(ISNUMBER($AS$243),$B$158=1),$AS$243,HLOOKUP(INDIRECT(ADDRESS(2,COLUMN())),OFFSET($BN$2,0,0,ROW()-1,60),ROW()-1,FALSE))</f>
        <v>283.2</v>
      </c>
      <c r="AT114" t="str">
        <f ca="1">IF(AND(ISNUMBER($AT$243),$B$158=1),$AT$243,HLOOKUP(INDIRECT(ADDRESS(2,COLUMN())),OFFSET($BN$2,0,0,ROW()-1,60),ROW()-1,FALSE))</f>
        <v/>
      </c>
      <c r="AU114" t="str">
        <f ca="1">IF(AND(ISNUMBER($AU$243),$B$158=1),$AU$243,HLOOKUP(INDIRECT(ADDRESS(2,COLUMN())),OFFSET($BN$2,0,0,ROW()-1,60),ROW()-1,FALSE))</f>
        <v/>
      </c>
      <c r="AV114">
        <f ca="1">IF(AND(ISNUMBER($AV$243),$B$158=1),$AV$243,HLOOKUP(INDIRECT(ADDRESS(2,COLUMN())),OFFSET($BN$2,0,0,ROW()-1,60),ROW()-1,FALSE))</f>
        <v>152.6</v>
      </c>
      <c r="AW114">
        <f ca="1">IF(AND(ISNUMBER($AW$243),$B$158=1),$AW$243,HLOOKUP(INDIRECT(ADDRESS(2,COLUMN())),OFFSET($BN$2,0,0,ROW()-1,60),ROW()-1,FALSE))</f>
        <v>165.5</v>
      </c>
      <c r="AX114">
        <f ca="1">IF(AND(ISNUMBER($AX$243),$B$158=1),$AX$243,HLOOKUP(INDIRECT(ADDRESS(2,COLUMN())),OFFSET($BN$2,0,0,ROW()-1,60),ROW()-1,FALSE))</f>
        <v>143.30000000000001</v>
      </c>
      <c r="AY114">
        <f ca="1">IF(AND(ISNUMBER($AY$243),$B$158=1),$AY$243,HLOOKUP(INDIRECT(ADDRESS(2,COLUMN())),OFFSET($BN$2,0,0,ROW()-1,60),ROW()-1,FALSE))</f>
        <v>160.69999999999999</v>
      </c>
      <c r="AZ114">
        <f ca="1">IF(AND(ISNUMBER($AZ$243),$B$158=1),$AZ$243,HLOOKUP(INDIRECT(ADDRESS(2,COLUMN())),OFFSET($BN$2,0,0,ROW()-1,60),ROW()-1,FALSE))</f>
        <v>127</v>
      </c>
      <c r="BA114">
        <f ca="1">IF(AND(ISNUMBER($BA$243),$B$158=1),$BA$243,HLOOKUP(INDIRECT(ADDRESS(2,COLUMN())),OFFSET($BN$2,0,0,ROW()-1,60),ROW()-1,FALSE))</f>
        <v>133.80000000000001</v>
      </c>
      <c r="BB114">
        <f ca="1">IF(AND(ISNUMBER($BB$243),$B$158=1),$BB$243,HLOOKUP(INDIRECT(ADDRESS(2,COLUMN())),OFFSET($BN$2,0,0,ROW()-1,60),ROW()-1,FALSE))</f>
        <v>130.4</v>
      </c>
      <c r="BC114">
        <f ca="1">IF(AND(ISNUMBER($BC$243),$B$158=1),$BC$243,HLOOKUP(INDIRECT(ADDRESS(2,COLUMN())),OFFSET($BN$2,0,0,ROW()-1,60),ROW()-1,FALSE))</f>
        <v>129.5</v>
      </c>
      <c r="BD114">
        <f ca="1">IF(AND(ISNUMBER($BD$243),$B$158=1),$BD$243,HLOOKUP(INDIRECT(ADDRESS(2,COLUMN())),OFFSET($BN$2,0,0,ROW()-1,60),ROW()-1,FALSE))</f>
        <v>100.1</v>
      </c>
      <c r="BE114">
        <f ca="1">IF(AND(ISNUMBER($BE$243),$B$158=1),$BE$243,HLOOKUP(INDIRECT(ADDRESS(2,COLUMN())),OFFSET($BN$2,0,0,ROW()-1,60),ROW()-1,FALSE))</f>
        <v>124.3</v>
      </c>
      <c r="BF114" t="str">
        <f ca="1">IF(AND(ISNUMBER($BF$243),$B$158=1),$BF$243,HLOOKUP(INDIRECT(ADDRESS(2,COLUMN())),OFFSET($BN$2,0,0,ROW()-1,60),ROW()-1,FALSE))</f>
        <v/>
      </c>
      <c r="BG114" t="str">
        <f ca="1">IF(AND(ISNUMBER($BG$243),$B$158=1),$BG$243,HLOOKUP(INDIRECT(ADDRESS(2,COLUMN())),OFFSET($BN$2,0,0,ROW()-1,60),ROW()-1,FALSE))</f>
        <v/>
      </c>
      <c r="BH114" t="str">
        <f ca="1">IF(AND(ISNUMBER($BH$243),$B$158=1),$BH$243,HLOOKUP(INDIRECT(ADDRESS(2,COLUMN())),OFFSET($BN$2,0,0,ROW()-1,60),ROW()-1,FALSE))</f>
        <v/>
      </c>
      <c r="BI114" t="str">
        <f ca="1">IF(AND(ISNUMBER($BI$243),$B$158=1),$BI$243,HLOOKUP(INDIRECT(ADDRESS(2,COLUMN())),OFFSET($BN$2,0,0,ROW()-1,60),ROW()-1,FALSE))</f>
        <v/>
      </c>
      <c r="BJ114" t="str">
        <f ca="1">IF(AND(ISNUMBER($BJ$243),$B$158=1),$BJ$243,HLOOKUP(INDIRECT(ADDRESS(2,COLUMN())),OFFSET($BN$2,0,0,ROW()-1,60),ROW()-1,FALSE))</f>
        <v/>
      </c>
      <c r="BK114" t="str">
        <f ca="1">IF(AND(ISNUMBER($BK$243),$B$158=1),$BK$243,HLOOKUP(INDIRECT(ADDRESS(2,COLUMN())),OFFSET($BN$2,0,0,ROW()-1,60),ROW()-1,FALSE))</f>
        <v/>
      </c>
      <c r="BL114" t="str">
        <f ca="1">IF(AND(ISNUMBER($BL$243),$B$158=1),$BL$243,HLOOKUP(INDIRECT(ADDRESS(2,COLUMN())),OFFSET($BN$2,0,0,ROW()-1,60),ROW()-1,FALSE))</f>
        <v/>
      </c>
      <c r="BM114" t="str">
        <f ca="1">IF(AND(ISNUMBER($BM$243),$B$158=1),$BM$243,HLOOKUP(INDIRECT(ADDRESS(2,COLUMN())),OFFSET($BN$2,0,0,ROW()-1,60),ROW()-1,FALSE))</f>
        <v/>
      </c>
      <c r="BN114" t="str">
        <f>""</f>
        <v/>
      </c>
      <c r="BO114">
        <f>843.7</f>
        <v>843.7</v>
      </c>
      <c r="BP114">
        <f>761.3</f>
        <v>761.3</v>
      </c>
      <c r="BQ114">
        <f>714.3</f>
        <v>714.3</v>
      </c>
      <c r="BR114">
        <f>693.1</f>
        <v>693.1</v>
      </c>
      <c r="BS114">
        <f>669.1</f>
        <v>669.1</v>
      </c>
      <c r="BT114">
        <f>365.8</f>
        <v>365.8</v>
      </c>
      <c r="BU114">
        <f>553.3</f>
        <v>553.29999999999995</v>
      </c>
      <c r="BV114">
        <f>699.9</f>
        <v>699.9</v>
      </c>
      <c r="BW114">
        <f>612.3</f>
        <v>612.29999999999995</v>
      </c>
      <c r="BX114">
        <f>648.4</f>
        <v>648.4</v>
      </c>
      <c r="BY114">
        <f>576.9</f>
        <v>576.9</v>
      </c>
      <c r="BZ114">
        <f>595.7</f>
        <v>595.70000000000005</v>
      </c>
      <c r="CA114">
        <f>516.4</f>
        <v>516.4</v>
      </c>
      <c r="CB114">
        <f>533.8</f>
        <v>533.79999999999995</v>
      </c>
      <c r="CC114">
        <f>463.3</f>
        <v>463.3</v>
      </c>
      <c r="CD114">
        <f>549.8</f>
        <v>549.79999999999995</v>
      </c>
      <c r="CE114">
        <f>390.7</f>
        <v>390.7</v>
      </c>
      <c r="CF114">
        <f>543.8</f>
        <v>543.79999999999995</v>
      </c>
      <c r="CG114">
        <f>353.7</f>
        <v>353.7</v>
      </c>
      <c r="CH114">
        <f>479.5</f>
        <v>479.5</v>
      </c>
      <c r="CI114">
        <f>406.7</f>
        <v>406.7</v>
      </c>
      <c r="CJ114">
        <f>438.9</f>
        <v>438.9</v>
      </c>
      <c r="CK114">
        <f>372.4</f>
        <v>372.4</v>
      </c>
      <c r="CL114">
        <f>495.4</f>
        <v>495.4</v>
      </c>
      <c r="CM114">
        <f>397</f>
        <v>397</v>
      </c>
      <c r="CN114">
        <f>431.9</f>
        <v>431.9</v>
      </c>
      <c r="CO114">
        <f>383.6</f>
        <v>383.6</v>
      </c>
      <c r="CP114">
        <f>411.5</f>
        <v>411.5</v>
      </c>
      <c r="CQ114">
        <f>340.9</f>
        <v>340.9</v>
      </c>
      <c r="CR114">
        <f>354.2</f>
        <v>354.2</v>
      </c>
      <c r="CS114">
        <f>354</f>
        <v>354</v>
      </c>
      <c r="CT114">
        <f>380.3</f>
        <v>380.3</v>
      </c>
      <c r="CU114">
        <f>353.7</f>
        <v>353.7</v>
      </c>
      <c r="CV114">
        <f>301.4</f>
        <v>301.39999999999998</v>
      </c>
      <c r="CW114">
        <f>301</f>
        <v>301</v>
      </c>
      <c r="CX114">
        <f>305.2</f>
        <v>305.2</v>
      </c>
      <c r="CY114">
        <f>306.7</f>
        <v>306.7</v>
      </c>
      <c r="CZ114">
        <f>260.5</f>
        <v>260.5</v>
      </c>
      <c r="DA114">
        <f>283.2</f>
        <v>283.2</v>
      </c>
      <c r="DB114" t="str">
        <f>""</f>
        <v/>
      </c>
      <c r="DC114" t="str">
        <f>""</f>
        <v/>
      </c>
      <c r="DD114">
        <f>152.6</f>
        <v>152.6</v>
      </c>
      <c r="DE114">
        <f>165.5</f>
        <v>165.5</v>
      </c>
      <c r="DF114">
        <f>143.3</f>
        <v>143.30000000000001</v>
      </c>
      <c r="DG114">
        <f>160.7</f>
        <v>160.69999999999999</v>
      </c>
      <c r="DH114">
        <f>127</f>
        <v>127</v>
      </c>
      <c r="DI114">
        <f>133.8</f>
        <v>133.80000000000001</v>
      </c>
      <c r="DJ114">
        <f>130.4</f>
        <v>130.4</v>
      </c>
      <c r="DK114">
        <f>129.5</f>
        <v>129.5</v>
      </c>
      <c r="DL114">
        <f>100.1</f>
        <v>100.1</v>
      </c>
      <c r="DM114">
        <f>124.3</f>
        <v>124.3</v>
      </c>
      <c r="DN114" t="str">
        <f>""</f>
        <v/>
      </c>
      <c r="DO114" t="str">
        <f>""</f>
        <v/>
      </c>
      <c r="DP114" t="str">
        <f>""</f>
        <v/>
      </c>
      <c r="DQ114" t="str">
        <f>""</f>
        <v/>
      </c>
      <c r="DR114" t="str">
        <f>""</f>
        <v/>
      </c>
      <c r="DS114" t="str">
        <f>""</f>
        <v/>
      </c>
      <c r="DT114" t="str">
        <f>""</f>
        <v/>
      </c>
      <c r="DU114" t="str">
        <f>""</f>
        <v/>
      </c>
    </row>
    <row r="115" spans="1:125" x14ac:dyDescent="0.25">
      <c r="A115" t="str">
        <f>"            of Total Kering Sales (%)"</f>
        <v xml:space="preserve">            of Total Kering Sales (%)</v>
      </c>
      <c r="B115" t="str">
        <f>"KER FP Equity"</f>
        <v>KER FP Equity</v>
      </c>
      <c r="E115" t="str">
        <f>"Expression"</f>
        <v>Expression</v>
      </c>
      <c r="F115" t="str">
        <f ca="1">IF(AND($B$158=1,LEN($F$169) * LEN($F$114)&gt;0),($F$114/$F$169)*100,HLOOKUP(INDIRECT(ADDRESS(2,COLUMN())),OFFSET($BN$2,0,0,ROW()-1,60),ROW()-1,FALSE))</f>
        <v/>
      </c>
      <c r="G115">
        <f ca="1">IF(AND($B$158=1,LEN($G$169) * LEN($G$114)&gt;0),($G$114/$G$169)*100,HLOOKUP(INDIRECT(ADDRESS(2,COLUMN())),OFFSET($BN$2,0,0,ROW()-1,60),ROW()-1,FALSE))</f>
        <v>20.146616359999999</v>
      </c>
      <c r="H115">
        <f ca="1">IF(AND($B$158=1,LEN($H$169) * LEN($H$114)&gt;0),($H$114/$H$169)*100,HLOOKUP(INDIRECT(ADDRESS(2,COLUMN())),OFFSET($BN$2,0,0,ROW()-1,60),ROW()-1,FALSE))</f>
        <v>18.312806699999999</v>
      </c>
      <c r="I115">
        <f ca="1">IF(AND($B$158=1,LEN($I$169) * LEN($I$114)&gt;0),($I$114/$I$169)*100,HLOOKUP(INDIRECT(ADDRESS(2,COLUMN())),OFFSET($BN$2,0,0,ROW()-1,60),ROW()-1,FALSE))</f>
        <v>18.36246787</v>
      </c>
      <c r="J115">
        <f ca="1">IF(AND($B$158=1,LEN($J$169) * LEN($J$114)&gt;0),($J$114/$J$169)*100,HLOOKUP(INDIRECT(ADDRESS(2,COLUMN())),OFFSET($BN$2,0,0,ROW()-1,60),ROW()-1,FALSE))</f>
        <v>17.309325210000001</v>
      </c>
      <c r="K115">
        <f ca="1">IF(AND($B$158=1,LEN($K$169) * LEN($K$114)&gt;0),($K$114/$K$169)*100,HLOOKUP(INDIRECT(ADDRESS(2,COLUMN())),OFFSET($BN$2,0,0,ROW()-1,60),ROW()-1,FALSE))</f>
        <v>17.997686739999999</v>
      </c>
      <c r="L115">
        <f ca="1">IF(AND($B$158=1,LEN($L$169) * LEN($L$114)&gt;0),($L$114/$L$169)*100,HLOOKUP(INDIRECT(ADDRESS(2,COLUMN())),OFFSET($BN$2,0,0,ROW()-1,60),ROW()-1,FALSE))</f>
        <v>16.81761758</v>
      </c>
      <c r="M115">
        <f ca="1">IF(AND($B$158=1,LEN($M$169) * LEN($M$114)&gt;0),($M$114/$M$169)*100,HLOOKUP(INDIRECT(ADDRESS(2,COLUMN())),OFFSET($BN$2,0,0,ROW()-1,60),ROW()-1,FALSE))</f>
        <v>17.273351649999999</v>
      </c>
      <c r="N115">
        <f ca="1">IF(AND($B$158=1,LEN($N$169) * LEN($N$114)&gt;0),($N$114/$N$169)*100,HLOOKUP(INDIRECT(ADDRESS(2,COLUMN())),OFFSET($BN$2,0,0,ROW()-1,60),ROW()-1,FALSE))</f>
        <v>16.050911589999998</v>
      </c>
      <c r="O115">
        <f ca="1">IF(AND($B$158=1,LEN($O$169) * LEN($O$114)&gt;0),($O$114/$O$169)*100,HLOOKUP(INDIRECT(ADDRESS(2,COLUMN())),OFFSET($BN$2,0,0,ROW()-1,60),ROW()-1,FALSE))</f>
        <v>15.76224064</v>
      </c>
      <c r="P115">
        <f ca="1">IF(AND($B$158=1,LEN($P$169) * LEN($P$114)&gt;0),($P$114/$P$169)*100,HLOOKUP(INDIRECT(ADDRESS(2,COLUMN())),OFFSET($BN$2,0,0,ROW()-1,60),ROW()-1,FALSE))</f>
        <v>16.828008619999999</v>
      </c>
      <c r="Q115">
        <f ca="1">IF(AND($B$158=1,LEN($Q$169) * LEN($Q$114)&gt;0),($Q$114/$Q$169)*100,HLOOKUP(INDIRECT(ADDRESS(2,COLUMN())),OFFSET($BN$2,0,0,ROW()-1,60),ROW()-1,FALSE))</f>
        <v>15.24053576</v>
      </c>
      <c r="R115">
        <f ca="1">IF(AND($B$158=1,LEN($R$169) * LEN($R$114)&gt;0),($R$114/$R$169)*100,HLOOKUP(INDIRECT(ADDRESS(2,COLUMN())),OFFSET($BN$2,0,0,ROW()-1,60),ROW()-1,FALSE))</f>
        <v>15.55596177</v>
      </c>
      <c r="S115">
        <f ca="1">IF(AND($B$158=1,LEN($S$169) * LEN($S$114)&gt;0),($S$114/$S$169)*100,HLOOKUP(INDIRECT(ADDRESS(2,COLUMN())),OFFSET($BN$2,0,0,ROW()-1,60),ROW()-1,FALSE))</f>
        <v>15.17930629</v>
      </c>
      <c r="T115">
        <f ca="1">IF(AND($B$158=1,LEN($T$169) * LEN($T$114)&gt;0),($T$114/$T$169)*100,HLOOKUP(INDIRECT(ADDRESS(2,COLUMN())),OFFSET($BN$2,0,0,ROW()-1,60),ROW()-1,FALSE))</f>
        <v>16.049308480000001</v>
      </c>
      <c r="U115">
        <f ca="1">IF(AND($B$158=1,LEN($U$169) * LEN($U$114)&gt;0),($U$114/$U$169)*100,HLOOKUP(INDIRECT(ADDRESS(2,COLUMN())),OFFSET($BN$2,0,0,ROW()-1,60),ROW()-1,FALSE))</f>
        <v>14.91533063</v>
      </c>
      <c r="V115">
        <f ca="1">IF(AND($B$158=1,LEN($V$169) * LEN($V$114)&gt;0),($V$114/$V$169)*100,HLOOKUP(INDIRECT(ADDRESS(2,COLUMN())),OFFSET($BN$2,0,0,ROW()-1,60),ROW()-1,FALSE))</f>
        <v>12.916715610000001</v>
      </c>
      <c r="W115">
        <f ca="1">IF(AND($B$158=1,LEN($W$169) * LEN($W$114)&gt;0),($W$114/$W$169)*100,HLOOKUP(INDIRECT(ADDRESS(2,COLUMN())),OFFSET($BN$2,0,0,ROW()-1,60),ROW()-1,FALSE))</f>
        <v>14.65931262</v>
      </c>
      <c r="X115">
        <f ca="1">IF(AND($B$158=1,LEN($X$169) * LEN($X$114)&gt;0),($X$114/$X$169)*100,HLOOKUP(INDIRECT(ADDRESS(2,COLUMN())),OFFSET($BN$2,0,0,ROW()-1,60),ROW()-1,FALSE))</f>
        <v>20.695691889999999</v>
      </c>
      <c r="Y115">
        <f ca="1">IF(AND($B$158=1,LEN($Y$169) * LEN($Y$114)&gt;0),($Y$114/$Y$169)*100,HLOOKUP(INDIRECT(ADDRESS(2,COLUMN())),OFFSET($BN$2,0,0,ROW()-1,60),ROW()-1,FALSE))</f>
        <v>9.8978592419999991</v>
      </c>
      <c r="Z115">
        <f ca="1">IF(AND($B$158=1,LEN($Z$169) * LEN($Z$114)&gt;0),($Z$114/$Z$169)*100,HLOOKUP(INDIRECT(ADDRESS(2,COLUMN())),OFFSET($BN$2,0,0,ROW()-1,60),ROW()-1,FALSE))</f>
        <v>13.67148519</v>
      </c>
      <c r="AA115">
        <f ca="1">IF(AND($B$158=1,LEN($AA$169) * LEN($AA$114)&gt;0),($AA$114/$AA$169)*100,HLOOKUP(INDIRECT(ADDRESS(2,COLUMN())),OFFSET($BN$2,0,0,ROW()-1,60),ROW()-1,FALSE))</f>
        <v>12.77043364</v>
      </c>
      <c r="AB115">
        <f ca="1">IF(AND($B$158=1,LEN($AB$169) * LEN($AB$114)&gt;0),($AB$114/$AB$169)*100,HLOOKUP(INDIRECT(ADDRESS(2,COLUMN())),OFFSET($BN$2,0,0,ROW()-1,60),ROW()-1,FALSE))</f>
        <v>14.782257250000001</v>
      </c>
      <c r="AC115">
        <f ca="1">IF(AND($B$158=1,LEN($AC$169) * LEN($AC$114)&gt;0),($AC$114/$AC$169)*100,HLOOKUP(INDIRECT(ADDRESS(2,COLUMN())),OFFSET($BN$2,0,0,ROW()-1,60),ROW()-1,FALSE))</f>
        <v>13.67207578</v>
      </c>
      <c r="AD115">
        <f ca="1">IF(AND($B$158=1,LEN($AD$169) * LEN($AD$114)&gt;0),($AD$114/$AD$169)*100,HLOOKUP(INDIRECT(ADDRESS(2,COLUMN())),OFFSET($BN$2,0,0,ROW()-1,60),ROW()-1,FALSE))</f>
        <v>15.595781519999999</v>
      </c>
      <c r="AE115">
        <f ca="1">IF(AND($B$158=1,LEN($AE$169) * LEN($AE$114)&gt;0),($AE$114/$AE$169)*100,HLOOKUP(INDIRECT(ADDRESS(2,COLUMN())),OFFSET($BN$2,0,0,ROW()-1,60),ROW()-1,FALSE))</f>
        <v>13.712351480000001</v>
      </c>
      <c r="AF115">
        <f ca="1">IF(AND($B$158=1,LEN($AF$169) * LEN($AF$114)&gt;0),($AF$114/$AF$169)*100,HLOOKUP(INDIRECT(ADDRESS(2,COLUMN())),OFFSET($BN$2,0,0,ROW()-1,60),ROW()-1,FALSE))</f>
        <v>15.094537450000001</v>
      </c>
      <c r="AG115">
        <f ca="1">IF(AND($B$158=1,LEN($AG$169) * LEN($AG$114)&gt;0),($AG$114/$AG$169)*100,HLOOKUP(INDIRECT(ADDRESS(2,COLUMN())),OFFSET($BN$2,0,0,ROW()-1,60),ROW()-1,FALSE))</f>
        <v>14.470011319999999</v>
      </c>
      <c r="AH115">
        <f ca="1">IF(AND($B$158=1,LEN($AH$169) * LEN($AH$114)&gt;0),($AH$114/$AH$169)*100,HLOOKUP(INDIRECT(ADDRESS(2,COLUMN())),OFFSET($BN$2,0,0,ROW()-1,60),ROW()-1,FALSE))</f>
        <v>15.008388650000001</v>
      </c>
      <c r="AI115">
        <f ca="1">IF(AND($B$158=1,LEN($AI$169) * LEN($AI$114)&gt;0),($AI$114/$AI$169)*100,HLOOKUP(INDIRECT(ADDRESS(2,COLUMN())),OFFSET($BN$2,0,0,ROW()-1,60),ROW()-1,FALSE))</f>
        <v>13.186090589999999</v>
      </c>
      <c r="AJ115">
        <f ca="1">IF(AND($B$158=1,LEN($AJ$169) * LEN($AJ$114)&gt;0),($AJ$114/$AJ$169)*100,HLOOKUP(INDIRECT(ADDRESS(2,COLUMN())),OFFSET($BN$2,0,0,ROW()-1,60),ROW()-1,FALSE))</f>
        <v>15.07747318</v>
      </c>
      <c r="AK115">
        <f ca="1">IF(AND($B$158=1,LEN($AK$169) * LEN($AK$114)&gt;0),($AK$114/$AK$169)*100,HLOOKUP(INDIRECT(ADDRESS(2,COLUMN())),OFFSET($BN$2,0,0,ROW()-1,60),ROW()-1,FALSE))</f>
        <v>14.762301920000001</v>
      </c>
      <c r="AL115">
        <f ca="1">IF(AND($B$158=1,LEN($AL$169) * LEN($AL$114)&gt;0),($AL$114/$AL$169)*100,HLOOKUP(INDIRECT(ADDRESS(2,COLUMN())),OFFSET($BN$2,0,0,ROW()-1,60),ROW()-1,FALSE))</f>
        <v>15.07990008</v>
      </c>
      <c r="AM115">
        <f ca="1">IF(AND($B$158=1,LEN($AM$169) * LEN($AM$114)&gt;0),($AM$114/$AM$169)*100,HLOOKUP(INDIRECT(ADDRESS(2,COLUMN())),OFFSET($BN$2,0,0,ROW()-1,60),ROW()-1,FALSE))</f>
        <v>14.01902497</v>
      </c>
      <c r="AN115">
        <f ca="1">IF(AND($B$158=1,LEN($AN$169) * LEN($AN$114)&gt;0),($AN$114/$AN$169)*100,HLOOKUP(INDIRECT(ADDRESS(2,COLUMN())),OFFSET($BN$2,0,0,ROW()-1,60),ROW()-1,FALSE))</f>
        <v>13.058925479999999</v>
      </c>
      <c r="AO115">
        <f ca="1">IF(AND($B$158=1,LEN($AO$169) * LEN($AO$114)&gt;0),($AO$114/$AO$169)*100,HLOOKUP(INDIRECT(ADDRESS(2,COLUMN())),OFFSET($BN$2,0,0,ROW()-1,60),ROW()-1,FALSE))</f>
        <v>12.69827877</v>
      </c>
      <c r="AP115">
        <f ca="1">IF(AND($B$158=1,LEN($AP$169) * LEN($AP$114)&gt;0),($AP$114/$AP$169)*100,HLOOKUP(INDIRECT(ADDRESS(2,COLUMN())),OFFSET($BN$2,0,0,ROW()-1,60),ROW()-1,FALSE))</f>
        <v>11.911638440000001</v>
      </c>
      <c r="AQ115">
        <f ca="1">IF(AND($B$158=1,LEN($AQ$169) * LEN($AQ$114)&gt;0),($AQ$114/$AQ$169)*100,HLOOKUP(INDIRECT(ADDRESS(2,COLUMN())),OFFSET($BN$2,0,0,ROW()-1,60),ROW()-1,FALSE))</f>
        <v>11.978597089999999</v>
      </c>
      <c r="AR115">
        <f ca="1">IF(AND($B$158=1,LEN($AR$169) * LEN($AR$114)&gt;0),($AR$114/$AR$169)*100,HLOOKUP(INDIRECT(ADDRESS(2,COLUMN())),OFFSET($BN$2,0,0,ROW()-1,60),ROW()-1,FALSE))</f>
        <v>11.466678399999999</v>
      </c>
      <c r="AS115">
        <f ca="1">IF(AND($B$158=1,LEN($AS$169) * LEN($AS$114)&gt;0),($AS$114/$AS$169)*100,HLOOKUP(INDIRECT(ADDRESS(2,COLUMN())),OFFSET($BN$2,0,0,ROW()-1,60),ROW()-1,FALSE))</f>
        <v>12.09274521</v>
      </c>
      <c r="AT115" t="str">
        <f ca="1">IF(AND($B$158=1,LEN($AT$169) * LEN($AT$114)&gt;0),($AT$114/$AT$169)*100,HLOOKUP(INDIRECT(ADDRESS(2,COLUMN())),OFFSET($BN$2,0,0,ROW()-1,60),ROW()-1,FALSE))</f>
        <v/>
      </c>
      <c r="AU115" t="str">
        <f ca="1">IF(AND($B$158=1,LEN($AU$169) * LEN($AU$114)&gt;0),($AU$114/$AU$169)*100,HLOOKUP(INDIRECT(ADDRESS(2,COLUMN())),OFFSET($BN$2,0,0,ROW()-1,60),ROW()-1,FALSE))</f>
        <v/>
      </c>
      <c r="AV115">
        <f ca="1">IF(AND($B$158=1,LEN($AV$169) * LEN($AV$114)&gt;0),($AV$114/$AV$169)*100,HLOOKUP(INDIRECT(ADDRESS(2,COLUMN())),OFFSET($BN$2,0,0,ROW()-1,60),ROW()-1,FALSE))</f>
        <v>5.7580559960000004</v>
      </c>
      <c r="AW115">
        <f ca="1">IF(AND($B$158=1,LEN($AW$169) * LEN($AW$114)&gt;0),($AW$114/$AW$169)*100,HLOOKUP(INDIRECT(ADDRESS(2,COLUMN())),OFFSET($BN$2,0,0,ROW()-1,60),ROW()-1,FALSE))</f>
        <v>5.8650506770000002</v>
      </c>
      <c r="AX115">
        <f ca="1">IF(AND($B$158=1,LEN($AX$169) * LEN($AX$114)&gt;0),($AX$114/$AX$169)*100,HLOOKUP(INDIRECT(ADDRESS(2,COLUMN())),OFFSET($BN$2,0,0,ROW()-1,60),ROW()-1,FALSE))</f>
        <v>3.3750206079999998</v>
      </c>
      <c r="AY115">
        <f ca="1">IF(AND($B$158=1,LEN($AY$169) * LEN($AY$114)&gt;0),($AY$114/$AY$169)*100,HLOOKUP(INDIRECT(ADDRESS(2,COLUMN())),OFFSET($BN$2,0,0,ROW()-1,60),ROW()-1,FALSE))</f>
        <v>4.5011483950000004</v>
      </c>
      <c r="AZ115">
        <f ca="1">IF(AND($B$158=1,LEN($AZ$169) * LEN($AZ$114)&gt;0),($AZ$114/$AZ$169)*100,HLOOKUP(INDIRECT(ADDRESS(2,COLUMN())),OFFSET($BN$2,0,0,ROW()-1,60),ROW()-1,FALSE))</f>
        <v>3.1670822940000001</v>
      </c>
      <c r="BA115">
        <f ca="1">IF(AND($B$158=1,LEN($BA$169) * LEN($BA$114)&gt;0),($BA$114/$BA$169)*100,HLOOKUP(INDIRECT(ADDRESS(2,COLUMN())),OFFSET($BN$2,0,0,ROW()-1,60),ROW()-1,FALSE))</f>
        <v>3.935757148</v>
      </c>
      <c r="BB115">
        <f ca="1">IF(AND($B$158=1,LEN($BB$169) * LEN($BB$114)&gt;0),($BB$114/$BB$169)*100,HLOOKUP(INDIRECT(ADDRESS(2,COLUMN())),OFFSET($BN$2,0,0,ROW()-1,60),ROW()-1,FALSE))</f>
        <v>2.759671548</v>
      </c>
      <c r="BC115">
        <f ca="1">IF(AND($B$158=1,LEN($BC$169) * LEN($BC$114)&gt;0),($BC$114/$BC$169)*100,HLOOKUP(INDIRECT(ADDRESS(2,COLUMN())),OFFSET($BN$2,0,0,ROW()-1,60),ROW()-1,FALSE))</f>
        <v>2.8379206360000002</v>
      </c>
      <c r="BD115">
        <f ca="1">IF(AND($B$158=1,LEN($BD$169) * LEN($BD$114)&gt;0),($BD$114/$BD$169)*100,HLOOKUP(INDIRECT(ADDRESS(2,COLUMN())),OFFSET($BN$2,0,0,ROW()-1,60),ROW()-1,FALSE))</f>
        <v>2.2452504320000002</v>
      </c>
      <c r="BE115">
        <f ca="1">IF(AND($B$158=1,LEN($BE$169) * LEN($BE$114)&gt;0),($BE$114/$BE$169)*100,HLOOKUP(INDIRECT(ADDRESS(2,COLUMN())),OFFSET($BN$2,0,0,ROW()-1,60),ROW()-1,FALSE))</f>
        <v>2.6020514970000002</v>
      </c>
      <c r="BF115" t="str">
        <f ca="1">IF(AND($B$158=1,LEN($BF$169) * LEN($BF$114)&gt;0),($BF$114/$BF$169)*100,HLOOKUP(INDIRECT(ADDRESS(2,COLUMN())),OFFSET($BN$2,0,0,ROW()-1,60),ROW()-1,FALSE))</f>
        <v/>
      </c>
      <c r="BG115" t="str">
        <f ca="1">IF(AND($B$158=1,LEN($BG$169) * LEN($BG$114)&gt;0),($BG$114/$BG$169)*100,HLOOKUP(INDIRECT(ADDRESS(2,COLUMN())),OFFSET($BN$2,0,0,ROW()-1,60),ROW()-1,FALSE))</f>
        <v/>
      </c>
      <c r="BH115" t="str">
        <f ca="1">IF(AND($B$158=1,LEN($BH$169) * LEN($BH$114)&gt;0),($BH$114/$BH$169)*100,HLOOKUP(INDIRECT(ADDRESS(2,COLUMN())),OFFSET($BN$2,0,0,ROW()-1,60),ROW()-1,FALSE))</f>
        <v/>
      </c>
      <c r="BI115" t="str">
        <f ca="1">IF(AND($B$158=1,LEN($BI$169) * LEN($BI$114)&gt;0),($BI$114/$BI$169)*100,HLOOKUP(INDIRECT(ADDRESS(2,COLUMN())),OFFSET($BN$2,0,0,ROW()-1,60),ROW()-1,FALSE))</f>
        <v/>
      </c>
      <c r="BJ115" t="str">
        <f ca="1">IF(AND($B$158=1,LEN($BJ$169) * LEN($BJ$114)&gt;0),($BJ$114/$BJ$169)*100,HLOOKUP(INDIRECT(ADDRESS(2,COLUMN())),OFFSET($BN$2,0,0,ROW()-1,60),ROW()-1,FALSE))</f>
        <v/>
      </c>
      <c r="BK115" t="str">
        <f ca="1">IF(AND($B$158=1,LEN($BK$169) * LEN($BK$114)&gt;0),($BK$114/$BK$169)*100,HLOOKUP(INDIRECT(ADDRESS(2,COLUMN())),OFFSET($BN$2,0,0,ROW()-1,60),ROW()-1,FALSE))</f>
        <v/>
      </c>
      <c r="BL115" t="str">
        <f ca="1">IF(AND($B$158=1,LEN($BL$169) * LEN($BL$114)&gt;0),($BL$114/$BL$169)*100,HLOOKUP(INDIRECT(ADDRESS(2,COLUMN())),OFFSET($BN$2,0,0,ROW()-1,60),ROW()-1,FALSE))</f>
        <v/>
      </c>
      <c r="BM115" t="str">
        <f ca="1">IF(AND($B$158=1,LEN($BM$169) * LEN($BM$114)&gt;0),($BM$114/$BM$169)*100,HLOOKUP(INDIRECT(ADDRESS(2,COLUMN())),OFFSET($BN$2,0,0,ROW()-1,60),ROW()-1,FALSE))</f>
        <v/>
      </c>
      <c r="BN115" t="str">
        <f>""</f>
        <v/>
      </c>
      <c r="BO115">
        <f>20.14661636</f>
        <v>20.146616359999999</v>
      </c>
      <c r="BP115">
        <f>18.3128067</f>
        <v>18.312806699999999</v>
      </c>
      <c r="BQ115">
        <f>18.36246787</f>
        <v>18.36246787</v>
      </c>
      <c r="BR115">
        <f>17.30932521</f>
        <v>17.309325210000001</v>
      </c>
      <c r="BS115">
        <f>17.99768674</f>
        <v>17.997686739999999</v>
      </c>
      <c r="BT115">
        <f>16.81761758</f>
        <v>16.81761758</v>
      </c>
      <c r="BU115">
        <f>17.27335165</f>
        <v>17.273351649999999</v>
      </c>
      <c r="BV115">
        <f>16.05091159</f>
        <v>16.050911589999998</v>
      </c>
      <c r="BW115">
        <f>15.76224064</f>
        <v>15.76224064</v>
      </c>
      <c r="BX115">
        <f>16.82800862</f>
        <v>16.828008619999999</v>
      </c>
      <c r="BY115">
        <f>15.24053576</f>
        <v>15.24053576</v>
      </c>
      <c r="BZ115">
        <f>15.55596177</f>
        <v>15.55596177</v>
      </c>
      <c r="CA115">
        <f>15.17930629</f>
        <v>15.17930629</v>
      </c>
      <c r="CB115">
        <f>16.04930848</f>
        <v>16.049308480000001</v>
      </c>
      <c r="CC115">
        <f>14.91533063</f>
        <v>14.91533063</v>
      </c>
      <c r="CD115">
        <f>12.91671561</f>
        <v>12.916715610000001</v>
      </c>
      <c r="CE115">
        <f>14.65931262</f>
        <v>14.65931262</v>
      </c>
      <c r="CF115">
        <f>20.69569189</f>
        <v>20.695691889999999</v>
      </c>
      <c r="CG115">
        <f>9.897859242</f>
        <v>9.8978592419999991</v>
      </c>
      <c r="CH115">
        <f>13.67148519</f>
        <v>13.67148519</v>
      </c>
      <c r="CI115">
        <f>12.77043364</f>
        <v>12.77043364</v>
      </c>
      <c r="CJ115">
        <f>14.78225725</f>
        <v>14.782257250000001</v>
      </c>
      <c r="CK115">
        <f>13.67207578</f>
        <v>13.67207578</v>
      </c>
      <c r="CL115">
        <f>15.59578152</f>
        <v>15.595781519999999</v>
      </c>
      <c r="CM115">
        <f>13.71235148</f>
        <v>13.712351480000001</v>
      </c>
      <c r="CN115">
        <f>15.09453745</f>
        <v>15.094537450000001</v>
      </c>
      <c r="CO115">
        <f>14.47001132</f>
        <v>14.470011319999999</v>
      </c>
      <c r="CP115">
        <f>15.00838865</f>
        <v>15.008388650000001</v>
      </c>
      <c r="CQ115">
        <f>13.18609059</f>
        <v>13.186090589999999</v>
      </c>
      <c r="CR115">
        <f>15.07747318</f>
        <v>15.07747318</v>
      </c>
      <c r="CS115">
        <f>14.76230192</f>
        <v>14.762301920000001</v>
      </c>
      <c r="CT115">
        <f>15.07990008</f>
        <v>15.07990008</v>
      </c>
      <c r="CU115">
        <f>14.01902497</f>
        <v>14.01902497</v>
      </c>
      <c r="CV115">
        <f>13.05892548</f>
        <v>13.058925479999999</v>
      </c>
      <c r="CW115">
        <f>12.69827877</f>
        <v>12.69827877</v>
      </c>
      <c r="CX115">
        <f>11.91163844</f>
        <v>11.911638440000001</v>
      </c>
      <c r="CY115">
        <f>11.97859709</f>
        <v>11.978597089999999</v>
      </c>
      <c r="CZ115">
        <f>11.4666784</f>
        <v>11.466678399999999</v>
      </c>
      <c r="DA115">
        <f>12.09274521</f>
        <v>12.09274521</v>
      </c>
      <c r="DB115" t="str">
        <f>""</f>
        <v/>
      </c>
      <c r="DC115" t="str">
        <f>""</f>
        <v/>
      </c>
      <c r="DD115">
        <f>5.758055996</f>
        <v>5.7580559960000004</v>
      </c>
      <c r="DE115">
        <f>5.865050677</f>
        <v>5.8650506770000002</v>
      </c>
      <c r="DF115">
        <f>3.375020608</f>
        <v>3.3750206079999998</v>
      </c>
      <c r="DG115">
        <f>4.501148395</f>
        <v>4.5011483950000004</v>
      </c>
      <c r="DH115">
        <f>3.167082294</f>
        <v>3.1670822940000001</v>
      </c>
      <c r="DI115">
        <f>3.935757148</f>
        <v>3.935757148</v>
      </c>
      <c r="DJ115">
        <f>2.759671548</f>
        <v>2.759671548</v>
      </c>
      <c r="DK115">
        <f>2.837920636</f>
        <v>2.8379206360000002</v>
      </c>
      <c r="DL115">
        <f>2.245250432</f>
        <v>2.2452504320000002</v>
      </c>
      <c r="DM115">
        <f>2.602051497</f>
        <v>2.6020514970000002</v>
      </c>
      <c r="DN115" t="str">
        <f>""</f>
        <v/>
      </c>
      <c r="DO115" t="str">
        <f>""</f>
        <v/>
      </c>
      <c r="DP115" t="str">
        <f>""</f>
        <v/>
      </c>
      <c r="DQ115" t="str">
        <f>""</f>
        <v/>
      </c>
      <c r="DR115" t="str">
        <f>""</f>
        <v/>
      </c>
      <c r="DS115" t="str">
        <f>""</f>
        <v/>
      </c>
      <c r="DT115" t="str">
        <f>""</f>
        <v/>
      </c>
      <c r="DU115" t="str">
        <f>""</f>
        <v/>
      </c>
    </row>
    <row r="116" spans="1:125" x14ac:dyDescent="0.25">
      <c r="A116" t="str">
        <f>"        Recurring Operating Income"</f>
        <v xml:space="preserve">        Recurring Operating Income</v>
      </c>
      <c r="B116" t="str">
        <f>"KER FP Equity"</f>
        <v>KER FP Equity</v>
      </c>
      <c r="C116" t="str">
        <f>"BI047"</f>
        <v>BI047</v>
      </c>
      <c r="D116" t="str">
        <f>"BICS_SEGMENT_DATA"</f>
        <v>BICS_SEGMENT_DATA</v>
      </c>
      <c r="E116" t="str">
        <f>"Dynamic"</f>
        <v>Dynamic</v>
      </c>
      <c r="F116" t="str">
        <f ca="1">IF(AND(ISNUMBER($F$244),$B$158=1),$F$244,HLOOKUP(INDIRECT(ADDRESS(2,COLUMN())),OFFSET($BN$2,0,0,ROW()-1,60),ROW()-1,FALSE))</f>
        <v/>
      </c>
      <c r="G116" t="str">
        <f ca="1">IF(AND(ISNUMBER($G$244),$B$158=1),$G$244,HLOOKUP(INDIRECT(ADDRESS(2,COLUMN())),OFFSET($BN$2,0,0,ROW()-1,60),ROW()-1,FALSE))</f>
        <v/>
      </c>
      <c r="H116" t="str">
        <f ca="1">IF(AND(ISNUMBER($H$244),$B$158=1),$H$244,HLOOKUP(INDIRECT(ADDRESS(2,COLUMN())),OFFSET($BN$2,0,0,ROW()-1,60),ROW()-1,FALSE))</f>
        <v/>
      </c>
      <c r="I116" t="str">
        <f ca="1">IF(AND(ISNUMBER($I$244),$B$158=1),$I$244,HLOOKUP(INDIRECT(ADDRESS(2,COLUMN())),OFFSET($BN$2,0,0,ROW()-1,60),ROW()-1,FALSE))</f>
        <v/>
      </c>
      <c r="J116" t="str">
        <f ca="1">IF(AND(ISNUMBER($J$244),$B$158=1),$J$244,HLOOKUP(INDIRECT(ADDRESS(2,COLUMN())),OFFSET($BN$2,0,0,ROW()-1,60),ROW()-1,FALSE))</f>
        <v/>
      </c>
      <c r="K116" t="str">
        <f ca="1">IF(AND(ISNUMBER($K$244),$B$158=1),$K$244,HLOOKUP(INDIRECT(ADDRESS(2,COLUMN())),OFFSET($BN$2,0,0,ROW()-1,60),ROW()-1,FALSE))</f>
        <v/>
      </c>
      <c r="L116" t="str">
        <f ca="1">IF(AND(ISNUMBER($L$244),$B$158=1),$L$244,HLOOKUP(INDIRECT(ADDRESS(2,COLUMN())),OFFSET($BN$2,0,0,ROW()-1,60),ROW()-1,FALSE))</f>
        <v/>
      </c>
      <c r="M116" t="str">
        <f ca="1">IF(AND(ISNUMBER($M$244),$B$158=1),$M$244,HLOOKUP(INDIRECT(ADDRESS(2,COLUMN())),OFFSET($BN$2,0,0,ROW()-1,60),ROW()-1,FALSE))</f>
        <v/>
      </c>
      <c r="N116" t="str">
        <f ca="1">IF(AND(ISNUMBER($N$244),$B$158=1),$N$244,HLOOKUP(INDIRECT(ADDRESS(2,COLUMN())),OFFSET($BN$2,0,0,ROW()-1,60),ROW()-1,FALSE))</f>
        <v/>
      </c>
      <c r="O116" t="str">
        <f ca="1">IF(AND(ISNUMBER($O$244),$B$158=1),$O$244,HLOOKUP(INDIRECT(ADDRESS(2,COLUMN())),OFFSET($BN$2,0,0,ROW()-1,60),ROW()-1,FALSE))</f>
        <v/>
      </c>
      <c r="P116" t="str">
        <f ca="1">IF(AND(ISNUMBER($P$244),$B$158=1),$P$244,HLOOKUP(INDIRECT(ADDRESS(2,COLUMN())),OFFSET($BN$2,0,0,ROW()-1,60),ROW()-1,FALSE))</f>
        <v/>
      </c>
      <c r="Q116" t="str">
        <f ca="1">IF(AND(ISNUMBER($Q$244),$B$158=1),$Q$244,HLOOKUP(INDIRECT(ADDRESS(2,COLUMN())),OFFSET($BN$2,0,0,ROW()-1,60),ROW()-1,FALSE))</f>
        <v/>
      </c>
      <c r="R116" t="str">
        <f ca="1">IF(AND(ISNUMBER($R$244),$B$158=1),$R$244,HLOOKUP(INDIRECT(ADDRESS(2,COLUMN())),OFFSET($BN$2,0,0,ROW()-1,60),ROW()-1,FALSE))</f>
        <v/>
      </c>
      <c r="S116" t="str">
        <f ca="1">IF(AND(ISNUMBER($S$244),$B$158=1),$S$244,HLOOKUP(INDIRECT(ADDRESS(2,COLUMN())),OFFSET($BN$2,0,0,ROW()-1,60),ROW()-1,FALSE))</f>
        <v/>
      </c>
      <c r="T116" t="str">
        <f ca="1">IF(AND(ISNUMBER($T$244),$B$158=1),$T$244,HLOOKUP(INDIRECT(ADDRESS(2,COLUMN())),OFFSET($BN$2,0,0,ROW()-1,60),ROW()-1,FALSE))</f>
        <v/>
      </c>
      <c r="U116" t="str">
        <f ca="1">IF(AND(ISNUMBER($U$244),$B$158=1),$U$244,HLOOKUP(INDIRECT(ADDRESS(2,COLUMN())),OFFSET($BN$2,0,0,ROW()-1,60),ROW()-1,FALSE))</f>
        <v/>
      </c>
      <c r="V116" t="str">
        <f ca="1">IF(AND(ISNUMBER($V$244),$B$158=1),$V$244,HLOOKUP(INDIRECT(ADDRESS(2,COLUMN())),OFFSET($BN$2,0,0,ROW()-1,60),ROW()-1,FALSE))</f>
        <v/>
      </c>
      <c r="W116" t="str">
        <f ca="1">IF(AND(ISNUMBER($W$244),$B$158=1),$W$244,HLOOKUP(INDIRECT(ADDRESS(2,COLUMN())),OFFSET($BN$2,0,0,ROW()-1,60),ROW()-1,FALSE))</f>
        <v/>
      </c>
      <c r="X116" t="str">
        <f ca="1">IF(AND(ISNUMBER($X$244),$B$158=1),$X$244,HLOOKUP(INDIRECT(ADDRESS(2,COLUMN())),OFFSET($BN$2,0,0,ROW()-1,60),ROW()-1,FALSE))</f>
        <v/>
      </c>
      <c r="Y116" t="str">
        <f ca="1">IF(AND(ISNUMBER($Y$244),$B$158=1),$Y$244,HLOOKUP(INDIRECT(ADDRESS(2,COLUMN())),OFFSET($BN$2,0,0,ROW()-1,60),ROW()-1,FALSE))</f>
        <v/>
      </c>
      <c r="Z116" t="str">
        <f ca="1">IF(AND(ISNUMBER($Z$244),$B$158=1),$Z$244,HLOOKUP(INDIRECT(ADDRESS(2,COLUMN())),OFFSET($BN$2,0,0,ROW()-1,60),ROW()-1,FALSE))</f>
        <v/>
      </c>
      <c r="AA116" t="str">
        <f ca="1">IF(AND(ISNUMBER($AA$244),$B$158=1),$AA$244,HLOOKUP(INDIRECT(ADDRESS(2,COLUMN())),OFFSET($BN$2,0,0,ROW()-1,60),ROW()-1,FALSE))</f>
        <v/>
      </c>
      <c r="AB116" t="str">
        <f ca="1">IF(AND(ISNUMBER($AB$244),$B$158=1),$AB$244,HLOOKUP(INDIRECT(ADDRESS(2,COLUMN())),OFFSET($BN$2,0,0,ROW()-1,60),ROW()-1,FALSE))</f>
        <v/>
      </c>
      <c r="AC116" t="str">
        <f ca="1">IF(AND(ISNUMBER($AC$244),$B$158=1),$AC$244,HLOOKUP(INDIRECT(ADDRESS(2,COLUMN())),OFFSET($BN$2,0,0,ROW()-1,60),ROW()-1,FALSE))</f>
        <v/>
      </c>
      <c r="AD116" t="str">
        <f ca="1">IF(AND(ISNUMBER($AD$244),$B$158=1),$AD$244,HLOOKUP(INDIRECT(ADDRESS(2,COLUMN())),OFFSET($BN$2,0,0,ROW()-1,60),ROW()-1,FALSE))</f>
        <v/>
      </c>
      <c r="AE116" t="str">
        <f ca="1">IF(AND(ISNUMBER($AE$244),$B$158=1),$AE$244,HLOOKUP(INDIRECT(ADDRESS(2,COLUMN())),OFFSET($BN$2,0,0,ROW()-1,60),ROW()-1,FALSE))</f>
        <v/>
      </c>
      <c r="AF116" t="str">
        <f ca="1">IF(AND(ISNUMBER($AF$244),$B$158=1),$AF$244,HLOOKUP(INDIRECT(ADDRESS(2,COLUMN())),OFFSET($BN$2,0,0,ROW()-1,60),ROW()-1,FALSE))</f>
        <v/>
      </c>
      <c r="AG116" t="str">
        <f ca="1">IF(AND(ISNUMBER($AG$244),$B$158=1),$AG$244,HLOOKUP(INDIRECT(ADDRESS(2,COLUMN())),OFFSET($BN$2,0,0,ROW()-1,60),ROW()-1,FALSE))</f>
        <v/>
      </c>
      <c r="AH116" t="str">
        <f ca="1">IF(AND(ISNUMBER($AH$244),$B$158=1),$AH$244,HLOOKUP(INDIRECT(ADDRESS(2,COLUMN())),OFFSET($BN$2,0,0,ROW()-1,60),ROW()-1,FALSE))</f>
        <v/>
      </c>
      <c r="AI116" t="str">
        <f ca="1">IF(AND(ISNUMBER($AI$244),$B$158=1),$AI$244,HLOOKUP(INDIRECT(ADDRESS(2,COLUMN())),OFFSET($BN$2,0,0,ROW()-1,60),ROW()-1,FALSE))</f>
        <v/>
      </c>
      <c r="AJ116" t="str">
        <f ca="1">IF(AND(ISNUMBER($AJ$244),$B$158=1),$AJ$244,HLOOKUP(INDIRECT(ADDRESS(2,COLUMN())),OFFSET($BN$2,0,0,ROW()-1,60),ROW()-1,FALSE))</f>
        <v/>
      </c>
      <c r="AK116" t="str">
        <f ca="1">IF(AND(ISNUMBER($AK$244),$B$158=1),$AK$244,HLOOKUP(INDIRECT(ADDRESS(2,COLUMN())),OFFSET($BN$2,0,0,ROW()-1,60),ROW()-1,FALSE))</f>
        <v/>
      </c>
      <c r="AL116" t="str">
        <f ca="1">IF(AND(ISNUMBER($AL$244),$B$158=1),$AL$244,HLOOKUP(INDIRECT(ADDRESS(2,COLUMN())),OFFSET($BN$2,0,0,ROW()-1,60),ROW()-1,FALSE))</f>
        <v/>
      </c>
      <c r="AM116" t="str">
        <f ca="1">IF(AND(ISNUMBER($AM$244),$B$158=1),$AM$244,HLOOKUP(INDIRECT(ADDRESS(2,COLUMN())),OFFSET($BN$2,0,0,ROW()-1,60),ROW()-1,FALSE))</f>
        <v/>
      </c>
      <c r="AN116" t="str">
        <f ca="1">IF(AND(ISNUMBER($AN$244),$B$158=1),$AN$244,HLOOKUP(INDIRECT(ADDRESS(2,COLUMN())),OFFSET($BN$2,0,0,ROW()-1,60),ROW()-1,FALSE))</f>
        <v/>
      </c>
      <c r="AO116" t="str">
        <f ca="1">IF(AND(ISNUMBER($AO$244),$B$158=1),$AO$244,HLOOKUP(INDIRECT(ADDRESS(2,COLUMN())),OFFSET($BN$2,0,0,ROW()-1,60),ROW()-1,FALSE))</f>
        <v/>
      </c>
      <c r="AP116" t="str">
        <f ca="1">IF(AND(ISNUMBER($AP$244),$B$158=1),$AP$244,HLOOKUP(INDIRECT(ADDRESS(2,COLUMN())),OFFSET($BN$2,0,0,ROW()-1,60),ROW()-1,FALSE))</f>
        <v/>
      </c>
      <c r="AQ116" t="str">
        <f ca="1">IF(AND(ISNUMBER($AQ$244),$B$158=1),$AQ$244,HLOOKUP(INDIRECT(ADDRESS(2,COLUMN())),OFFSET($BN$2,0,0,ROW()-1,60),ROW()-1,FALSE))</f>
        <v/>
      </c>
      <c r="AR116" t="str">
        <f ca="1">IF(AND(ISNUMBER($AR$244),$B$158=1),$AR$244,HLOOKUP(INDIRECT(ADDRESS(2,COLUMN())),OFFSET($BN$2,0,0,ROW()-1,60),ROW()-1,FALSE))</f>
        <v/>
      </c>
      <c r="AS116" t="str">
        <f ca="1">IF(AND(ISNUMBER($AS$244),$B$158=1),$AS$244,HLOOKUP(INDIRECT(ADDRESS(2,COLUMN())),OFFSET($BN$2,0,0,ROW()-1,60),ROW()-1,FALSE))</f>
        <v/>
      </c>
      <c r="AT116" t="str">
        <f ca="1">IF(AND(ISNUMBER($AT$244),$B$158=1),$AT$244,HLOOKUP(INDIRECT(ADDRESS(2,COLUMN())),OFFSET($BN$2,0,0,ROW()-1,60),ROW()-1,FALSE))</f>
        <v/>
      </c>
      <c r="AU116" t="str">
        <f ca="1">IF(AND(ISNUMBER($AU$244),$B$158=1),$AU$244,HLOOKUP(INDIRECT(ADDRESS(2,COLUMN())),OFFSET($BN$2,0,0,ROW()-1,60),ROW()-1,FALSE))</f>
        <v/>
      </c>
      <c r="AV116" t="str">
        <f ca="1">IF(AND(ISNUMBER($AV$244),$B$158=1),$AV$244,HLOOKUP(INDIRECT(ADDRESS(2,COLUMN())),OFFSET($BN$2,0,0,ROW()-1,60),ROW()-1,FALSE))</f>
        <v/>
      </c>
      <c r="AW116" t="str">
        <f ca="1">IF(AND(ISNUMBER($AW$244),$B$158=1),$AW$244,HLOOKUP(INDIRECT(ADDRESS(2,COLUMN())),OFFSET($BN$2,0,0,ROW()-1,60),ROW()-1,FALSE))</f>
        <v/>
      </c>
      <c r="AX116" t="str">
        <f ca="1">IF(AND(ISNUMBER($AX$244),$B$158=1),$AX$244,HLOOKUP(INDIRECT(ADDRESS(2,COLUMN())),OFFSET($BN$2,0,0,ROW()-1,60),ROW()-1,FALSE))</f>
        <v/>
      </c>
      <c r="AY116" t="str">
        <f ca="1">IF(AND(ISNUMBER($AY$244),$B$158=1),$AY$244,HLOOKUP(INDIRECT(ADDRESS(2,COLUMN())),OFFSET($BN$2,0,0,ROW()-1,60),ROW()-1,FALSE))</f>
        <v/>
      </c>
      <c r="AZ116" t="str">
        <f ca="1">IF(AND(ISNUMBER($AZ$244),$B$158=1),$AZ$244,HLOOKUP(INDIRECT(ADDRESS(2,COLUMN())),OFFSET($BN$2,0,0,ROW()-1,60),ROW()-1,FALSE))</f>
        <v/>
      </c>
      <c r="BA116" t="str">
        <f ca="1">IF(AND(ISNUMBER($BA$244),$B$158=1),$BA$244,HLOOKUP(INDIRECT(ADDRESS(2,COLUMN())),OFFSET($BN$2,0,0,ROW()-1,60),ROW()-1,FALSE))</f>
        <v/>
      </c>
      <c r="BB116" t="str">
        <f ca="1">IF(AND(ISNUMBER($BB$244),$B$158=1),$BB$244,HLOOKUP(INDIRECT(ADDRESS(2,COLUMN())),OFFSET($BN$2,0,0,ROW()-1,60),ROW()-1,FALSE))</f>
        <v/>
      </c>
      <c r="BC116" t="str">
        <f ca="1">IF(AND(ISNUMBER($BC$244),$B$158=1),$BC$244,HLOOKUP(INDIRECT(ADDRESS(2,COLUMN())),OFFSET($BN$2,0,0,ROW()-1,60),ROW()-1,FALSE))</f>
        <v/>
      </c>
      <c r="BD116" t="str">
        <f ca="1">IF(AND(ISNUMBER($BD$244),$B$158=1),$BD$244,HLOOKUP(INDIRECT(ADDRESS(2,COLUMN())),OFFSET($BN$2,0,0,ROW()-1,60),ROW()-1,FALSE))</f>
        <v/>
      </c>
      <c r="BE116" t="str">
        <f ca="1">IF(AND(ISNUMBER($BE$244),$B$158=1),$BE$244,HLOOKUP(INDIRECT(ADDRESS(2,COLUMN())),OFFSET($BN$2,0,0,ROW()-1,60),ROW()-1,FALSE))</f>
        <v/>
      </c>
      <c r="BF116" t="str">
        <f ca="1">IF(AND(ISNUMBER($BF$244),$B$158=1),$BF$244,HLOOKUP(INDIRECT(ADDRESS(2,COLUMN())),OFFSET($BN$2,0,0,ROW()-1,60),ROW()-1,FALSE))</f>
        <v/>
      </c>
      <c r="BG116" t="str">
        <f ca="1">IF(AND(ISNUMBER($BG$244),$B$158=1),$BG$244,HLOOKUP(INDIRECT(ADDRESS(2,COLUMN())),OFFSET($BN$2,0,0,ROW()-1,60),ROW()-1,FALSE))</f>
        <v/>
      </c>
      <c r="BH116" t="str">
        <f ca="1">IF(AND(ISNUMBER($BH$244),$B$158=1),$BH$244,HLOOKUP(INDIRECT(ADDRESS(2,COLUMN())),OFFSET($BN$2,0,0,ROW()-1,60),ROW()-1,FALSE))</f>
        <v/>
      </c>
      <c r="BI116" t="str">
        <f ca="1">IF(AND(ISNUMBER($BI$244),$B$158=1),$BI$244,HLOOKUP(INDIRECT(ADDRESS(2,COLUMN())),OFFSET($BN$2,0,0,ROW()-1,60),ROW()-1,FALSE))</f>
        <v/>
      </c>
      <c r="BJ116" t="str">
        <f ca="1">IF(AND(ISNUMBER($BJ$244),$B$158=1),$BJ$244,HLOOKUP(INDIRECT(ADDRESS(2,COLUMN())),OFFSET($BN$2,0,0,ROW()-1,60),ROW()-1,FALSE))</f>
        <v/>
      </c>
      <c r="BK116" t="str">
        <f ca="1">IF(AND(ISNUMBER($BK$244),$B$158=1),$BK$244,HLOOKUP(INDIRECT(ADDRESS(2,COLUMN())),OFFSET($BN$2,0,0,ROW()-1,60),ROW()-1,FALSE))</f>
        <v/>
      </c>
      <c r="BL116" t="str">
        <f ca="1">IF(AND(ISNUMBER($BL$244),$B$158=1),$BL$244,HLOOKUP(INDIRECT(ADDRESS(2,COLUMN())),OFFSET($BN$2,0,0,ROW()-1,60),ROW()-1,FALSE))</f>
        <v/>
      </c>
      <c r="BM116" t="str">
        <f ca="1">IF(AND(ISNUMBER($BM$244),$B$158=1),$BM$244,HLOOKUP(INDIRECT(ADDRESS(2,COLUMN())),OFFSET($BN$2,0,0,ROW()-1,60),ROW()-1,FALSE))</f>
        <v/>
      </c>
      <c r="BN116" t="str">
        <f>""</f>
        <v/>
      </c>
      <c r="BO116" t="str">
        <f>""</f>
        <v/>
      </c>
      <c r="BP116" t="str">
        <f>""</f>
        <v/>
      </c>
      <c r="BQ116" t="str">
        <f>""</f>
        <v/>
      </c>
      <c r="BR116" t="str">
        <f>""</f>
        <v/>
      </c>
      <c r="BS116" t="str">
        <f>""</f>
        <v/>
      </c>
      <c r="BT116" t="str">
        <f>""</f>
        <v/>
      </c>
      <c r="BU116" t="str">
        <f>""</f>
        <v/>
      </c>
      <c r="BV116" t="str">
        <f>""</f>
        <v/>
      </c>
      <c r="BW116" t="str">
        <f>""</f>
        <v/>
      </c>
      <c r="BX116" t="str">
        <f>""</f>
        <v/>
      </c>
      <c r="BY116" t="str">
        <f>""</f>
        <v/>
      </c>
      <c r="BZ116" t="str">
        <f>""</f>
        <v/>
      </c>
      <c r="CA116" t="str">
        <f>""</f>
        <v/>
      </c>
      <c r="CB116" t="str">
        <f>""</f>
        <v/>
      </c>
      <c r="CC116" t="str">
        <f>""</f>
        <v/>
      </c>
      <c r="CD116" t="str">
        <f>""</f>
        <v/>
      </c>
      <c r="CE116" t="str">
        <f>""</f>
        <v/>
      </c>
      <c r="CF116" t="str">
        <f>""</f>
        <v/>
      </c>
      <c r="CG116" t="str">
        <f>""</f>
        <v/>
      </c>
      <c r="CH116" t="str">
        <f>""</f>
        <v/>
      </c>
      <c r="CI116" t="str">
        <f>""</f>
        <v/>
      </c>
      <c r="CJ116" t="str">
        <f>""</f>
        <v/>
      </c>
      <c r="CK116" t="str">
        <f>""</f>
        <v/>
      </c>
      <c r="CL116" t="str">
        <f>""</f>
        <v/>
      </c>
      <c r="CM116" t="str">
        <f>""</f>
        <v/>
      </c>
      <c r="CN116" t="str">
        <f>""</f>
        <v/>
      </c>
      <c r="CO116" t="str">
        <f>""</f>
        <v/>
      </c>
      <c r="CP116" t="str">
        <f>""</f>
        <v/>
      </c>
      <c r="CQ116" t="str">
        <f>""</f>
        <v/>
      </c>
      <c r="CR116" t="str">
        <f>""</f>
        <v/>
      </c>
      <c r="CS116" t="str">
        <f>""</f>
        <v/>
      </c>
      <c r="CT116" t="str">
        <f>""</f>
        <v/>
      </c>
      <c r="CU116" t="str">
        <f>""</f>
        <v/>
      </c>
      <c r="CV116" t="str">
        <f>""</f>
        <v/>
      </c>
      <c r="CW116" t="str">
        <f>""</f>
        <v/>
      </c>
      <c r="CX116" t="str">
        <f>""</f>
        <v/>
      </c>
      <c r="CY116" t="str">
        <f>""</f>
        <v/>
      </c>
      <c r="CZ116" t="str">
        <f>""</f>
        <v/>
      </c>
      <c r="DA116" t="str">
        <f>""</f>
        <v/>
      </c>
      <c r="DB116" t="str">
        <f>""</f>
        <v/>
      </c>
      <c r="DC116" t="str">
        <f>""</f>
        <v/>
      </c>
      <c r="DD116" t="str">
        <f>""</f>
        <v/>
      </c>
      <c r="DE116" t="str">
        <f>""</f>
        <v/>
      </c>
      <c r="DF116" t="str">
        <f>""</f>
        <v/>
      </c>
      <c r="DG116" t="str">
        <f>""</f>
        <v/>
      </c>
      <c r="DH116" t="str">
        <f>""</f>
        <v/>
      </c>
      <c r="DI116" t="str">
        <f>""</f>
        <v/>
      </c>
      <c r="DJ116" t="str">
        <f>""</f>
        <v/>
      </c>
      <c r="DK116" t="str">
        <f>""</f>
        <v/>
      </c>
      <c r="DL116" t="str">
        <f>""</f>
        <v/>
      </c>
      <c r="DM116" t="str">
        <f>""</f>
        <v/>
      </c>
      <c r="DN116" t="str">
        <f>""</f>
        <v/>
      </c>
      <c r="DO116" t="str">
        <f>""</f>
        <v/>
      </c>
      <c r="DP116" t="str">
        <f>""</f>
        <v/>
      </c>
      <c r="DQ116" t="str">
        <f>""</f>
        <v/>
      </c>
      <c r="DR116" t="str">
        <f>""</f>
        <v/>
      </c>
      <c r="DS116" t="str">
        <f>""</f>
        <v/>
      </c>
      <c r="DT116" t="str">
        <f>""</f>
        <v/>
      </c>
      <c r="DU116" t="str">
        <f>""</f>
        <v/>
      </c>
    </row>
    <row r="117" spans="1:125" x14ac:dyDescent="0.25">
      <c r="A117" t="str">
        <f>"        Recurring Operating Margin (%)"</f>
        <v xml:space="preserve">        Recurring Operating Margin (%)</v>
      </c>
      <c r="B117" t="str">
        <f>"KER FP Equity"</f>
        <v>KER FP Equity</v>
      </c>
      <c r="E117" t="str">
        <f>"Expression"</f>
        <v>Expression</v>
      </c>
      <c r="F117" t="str">
        <f ca="1">IF(AND($B$158=1,LEN($F$116) * LEN($F$114)&gt;0),$F$116/$F$114*100,HLOOKUP(INDIRECT(ADDRESS(2,COLUMN())),OFFSET($BN$2,0,0,ROW()-1,60),ROW()-1,FALSE))</f>
        <v/>
      </c>
      <c r="G117" t="str">
        <f ca="1">IF(AND($B$158=1,LEN($G$116) * LEN($G$114)&gt;0),$G$116/$G$114*100,HLOOKUP(INDIRECT(ADDRESS(2,COLUMN())),OFFSET($BN$2,0,0,ROW()-1,60),ROW()-1,FALSE))</f>
        <v/>
      </c>
      <c r="H117" t="str">
        <f ca="1">IF(AND($B$158=1,LEN($H$116) * LEN($H$114)&gt;0),$H$116/$H$114*100,HLOOKUP(INDIRECT(ADDRESS(2,COLUMN())),OFFSET($BN$2,0,0,ROW()-1,60),ROW()-1,FALSE))</f>
        <v/>
      </c>
      <c r="I117" t="str">
        <f ca="1">IF(AND($B$158=1,LEN($I$116) * LEN($I$114)&gt;0),$I$116/$I$114*100,HLOOKUP(INDIRECT(ADDRESS(2,COLUMN())),OFFSET($BN$2,0,0,ROW()-1,60),ROW()-1,FALSE))</f>
        <v/>
      </c>
      <c r="J117" t="str">
        <f ca="1">IF(AND($B$158=1,LEN($J$116) * LEN($J$114)&gt;0),$J$116/$J$114*100,HLOOKUP(INDIRECT(ADDRESS(2,COLUMN())),OFFSET($BN$2,0,0,ROW()-1,60),ROW()-1,FALSE))</f>
        <v/>
      </c>
      <c r="K117" t="str">
        <f ca="1">IF(AND($B$158=1,LEN($K$116) * LEN($K$114)&gt;0),$K$116/$K$114*100,HLOOKUP(INDIRECT(ADDRESS(2,COLUMN())),OFFSET($BN$2,0,0,ROW()-1,60),ROW()-1,FALSE))</f>
        <v/>
      </c>
      <c r="L117" t="str">
        <f ca="1">IF(AND($B$158=1,LEN($L$116) * LEN($L$114)&gt;0),$L$116/$L$114*100,HLOOKUP(INDIRECT(ADDRESS(2,COLUMN())),OFFSET($BN$2,0,0,ROW()-1,60),ROW()-1,FALSE))</f>
        <v/>
      </c>
      <c r="M117" t="str">
        <f ca="1">IF(AND($B$158=1,LEN($M$116) * LEN($M$114)&gt;0),$M$116/$M$114*100,HLOOKUP(INDIRECT(ADDRESS(2,COLUMN())),OFFSET($BN$2,0,0,ROW()-1,60),ROW()-1,FALSE))</f>
        <v/>
      </c>
      <c r="N117" t="str">
        <f ca="1">IF(AND($B$158=1,LEN($N$116) * LEN($N$114)&gt;0),$N$116/$N$114*100,HLOOKUP(INDIRECT(ADDRESS(2,COLUMN())),OFFSET($BN$2,0,0,ROW()-1,60),ROW()-1,FALSE))</f>
        <v/>
      </c>
      <c r="O117" t="str">
        <f ca="1">IF(AND($B$158=1,LEN($O$116) * LEN($O$114)&gt;0),$O$116/$O$114*100,HLOOKUP(INDIRECT(ADDRESS(2,COLUMN())),OFFSET($BN$2,0,0,ROW()-1,60),ROW()-1,FALSE))</f>
        <v/>
      </c>
      <c r="P117" t="str">
        <f ca="1">IF(AND($B$158=1,LEN($P$116) * LEN($P$114)&gt;0),$P$116/$P$114*100,HLOOKUP(INDIRECT(ADDRESS(2,COLUMN())),OFFSET($BN$2,0,0,ROW()-1,60),ROW()-1,FALSE))</f>
        <v/>
      </c>
      <c r="Q117" t="str">
        <f ca="1">IF(AND($B$158=1,LEN($Q$116) * LEN($Q$114)&gt;0),$Q$116/$Q$114*100,HLOOKUP(INDIRECT(ADDRESS(2,COLUMN())),OFFSET($BN$2,0,0,ROW()-1,60),ROW()-1,FALSE))</f>
        <v/>
      </c>
      <c r="R117" t="str">
        <f ca="1">IF(AND($B$158=1,LEN($R$116) * LEN($R$114)&gt;0),$R$116/$R$114*100,HLOOKUP(INDIRECT(ADDRESS(2,COLUMN())),OFFSET($BN$2,0,0,ROW()-1,60),ROW()-1,FALSE))</f>
        <v/>
      </c>
      <c r="S117" t="str">
        <f ca="1">IF(AND($B$158=1,LEN($S$116) * LEN($S$114)&gt;0),$S$116/$S$114*100,HLOOKUP(INDIRECT(ADDRESS(2,COLUMN())),OFFSET($BN$2,0,0,ROW()-1,60),ROW()-1,FALSE))</f>
        <v/>
      </c>
      <c r="T117" t="str">
        <f ca="1">IF(AND($B$158=1,LEN($T$116) * LEN($T$114)&gt;0),$T$116/$T$114*100,HLOOKUP(INDIRECT(ADDRESS(2,COLUMN())),OFFSET($BN$2,0,0,ROW()-1,60),ROW()-1,FALSE))</f>
        <v/>
      </c>
      <c r="U117" t="str">
        <f ca="1">IF(AND($B$158=1,LEN($U$116) * LEN($U$114)&gt;0),$U$116/$U$114*100,HLOOKUP(INDIRECT(ADDRESS(2,COLUMN())),OFFSET($BN$2,0,0,ROW()-1,60),ROW()-1,FALSE))</f>
        <v/>
      </c>
      <c r="V117" t="str">
        <f ca="1">IF(AND($B$158=1,LEN($V$116) * LEN($V$114)&gt;0),$V$116/$V$114*100,HLOOKUP(INDIRECT(ADDRESS(2,COLUMN())),OFFSET($BN$2,0,0,ROW()-1,60),ROW()-1,FALSE))</f>
        <v/>
      </c>
      <c r="W117" t="str">
        <f ca="1">IF(AND($B$158=1,LEN($W$116) * LEN($W$114)&gt;0),$W$116/$W$114*100,HLOOKUP(INDIRECT(ADDRESS(2,COLUMN())),OFFSET($BN$2,0,0,ROW()-1,60),ROW()-1,FALSE))</f>
        <v/>
      </c>
      <c r="X117" t="str">
        <f ca="1">IF(AND($B$158=1,LEN($X$116) * LEN($X$114)&gt;0),$X$116/$X$114*100,HLOOKUP(INDIRECT(ADDRESS(2,COLUMN())),OFFSET($BN$2,0,0,ROW()-1,60),ROW()-1,FALSE))</f>
        <v/>
      </c>
      <c r="Y117" t="str">
        <f ca="1">IF(AND($B$158=1,LEN($Y$116) * LEN($Y$114)&gt;0),$Y$116/$Y$114*100,HLOOKUP(INDIRECT(ADDRESS(2,COLUMN())),OFFSET($BN$2,0,0,ROW()-1,60),ROW()-1,FALSE))</f>
        <v/>
      </c>
      <c r="Z117" t="str">
        <f ca="1">IF(AND($B$158=1,LEN($Z$116) * LEN($Z$114)&gt;0),$Z$116/$Z$114*100,HLOOKUP(INDIRECT(ADDRESS(2,COLUMN())),OFFSET($BN$2,0,0,ROW()-1,60),ROW()-1,FALSE))</f>
        <v/>
      </c>
      <c r="AA117" t="str">
        <f ca="1">IF(AND($B$158=1,LEN($AA$116) * LEN($AA$114)&gt;0),$AA$116/$AA$114*100,HLOOKUP(INDIRECT(ADDRESS(2,COLUMN())),OFFSET($BN$2,0,0,ROW()-1,60),ROW()-1,FALSE))</f>
        <v/>
      </c>
      <c r="AB117" t="str">
        <f ca="1">IF(AND($B$158=1,LEN($AB$116) * LEN($AB$114)&gt;0),$AB$116/$AB$114*100,HLOOKUP(INDIRECT(ADDRESS(2,COLUMN())),OFFSET($BN$2,0,0,ROW()-1,60),ROW()-1,FALSE))</f>
        <v/>
      </c>
      <c r="AC117" t="str">
        <f ca="1">IF(AND($B$158=1,LEN($AC$116) * LEN($AC$114)&gt;0),$AC$116/$AC$114*100,HLOOKUP(INDIRECT(ADDRESS(2,COLUMN())),OFFSET($BN$2,0,0,ROW()-1,60),ROW()-1,FALSE))</f>
        <v/>
      </c>
      <c r="AD117" t="str">
        <f ca="1">IF(AND($B$158=1,LEN($AD$116) * LEN($AD$114)&gt;0),$AD$116/$AD$114*100,HLOOKUP(INDIRECT(ADDRESS(2,COLUMN())),OFFSET($BN$2,0,0,ROW()-1,60),ROW()-1,FALSE))</f>
        <v/>
      </c>
      <c r="AE117" t="str">
        <f ca="1">IF(AND($B$158=1,LEN($AE$116) * LEN($AE$114)&gt;0),$AE$116/$AE$114*100,HLOOKUP(INDIRECT(ADDRESS(2,COLUMN())),OFFSET($BN$2,0,0,ROW()-1,60),ROW()-1,FALSE))</f>
        <v/>
      </c>
      <c r="AF117" t="str">
        <f ca="1">IF(AND($B$158=1,LEN($AF$116) * LEN($AF$114)&gt;0),$AF$116/$AF$114*100,HLOOKUP(INDIRECT(ADDRESS(2,COLUMN())),OFFSET($BN$2,0,0,ROW()-1,60),ROW()-1,FALSE))</f>
        <v/>
      </c>
      <c r="AG117" t="str">
        <f ca="1">IF(AND($B$158=1,LEN($AG$116) * LEN($AG$114)&gt;0),$AG$116/$AG$114*100,HLOOKUP(INDIRECT(ADDRESS(2,COLUMN())),OFFSET($BN$2,0,0,ROW()-1,60),ROW()-1,FALSE))</f>
        <v/>
      </c>
      <c r="AH117" t="str">
        <f ca="1">IF(AND($B$158=1,LEN($AH$116) * LEN($AH$114)&gt;0),$AH$116/$AH$114*100,HLOOKUP(INDIRECT(ADDRESS(2,COLUMN())),OFFSET($BN$2,0,0,ROW()-1,60),ROW()-1,FALSE))</f>
        <v/>
      </c>
      <c r="AI117" t="str">
        <f ca="1">IF(AND($B$158=1,LEN($AI$116) * LEN($AI$114)&gt;0),$AI$116/$AI$114*100,HLOOKUP(INDIRECT(ADDRESS(2,COLUMN())),OFFSET($BN$2,0,0,ROW()-1,60),ROW()-1,FALSE))</f>
        <v/>
      </c>
      <c r="AJ117" t="str">
        <f ca="1">IF(AND($B$158=1,LEN($AJ$116) * LEN($AJ$114)&gt;0),$AJ$116/$AJ$114*100,HLOOKUP(INDIRECT(ADDRESS(2,COLUMN())),OFFSET($BN$2,0,0,ROW()-1,60),ROW()-1,FALSE))</f>
        <v/>
      </c>
      <c r="AK117" t="str">
        <f ca="1">IF(AND($B$158=1,LEN($AK$116) * LEN($AK$114)&gt;0),$AK$116/$AK$114*100,HLOOKUP(INDIRECT(ADDRESS(2,COLUMN())),OFFSET($BN$2,0,0,ROW()-1,60),ROW()-1,FALSE))</f>
        <v/>
      </c>
      <c r="AL117" t="str">
        <f ca="1">IF(AND($B$158=1,LEN($AL$116) * LEN($AL$114)&gt;0),$AL$116/$AL$114*100,HLOOKUP(INDIRECT(ADDRESS(2,COLUMN())),OFFSET($BN$2,0,0,ROW()-1,60),ROW()-1,FALSE))</f>
        <v/>
      </c>
      <c r="AM117" t="str">
        <f ca="1">IF(AND($B$158=1,LEN($AM$116) * LEN($AM$114)&gt;0),$AM$116/$AM$114*100,HLOOKUP(INDIRECT(ADDRESS(2,COLUMN())),OFFSET($BN$2,0,0,ROW()-1,60),ROW()-1,FALSE))</f>
        <v/>
      </c>
      <c r="AN117" t="str">
        <f ca="1">IF(AND($B$158=1,LEN($AN$116) * LEN($AN$114)&gt;0),$AN$116/$AN$114*100,HLOOKUP(INDIRECT(ADDRESS(2,COLUMN())),OFFSET($BN$2,0,0,ROW()-1,60),ROW()-1,FALSE))</f>
        <v/>
      </c>
      <c r="AO117" t="str">
        <f ca="1">IF(AND($B$158=1,LEN($AO$116) * LEN($AO$114)&gt;0),$AO$116/$AO$114*100,HLOOKUP(INDIRECT(ADDRESS(2,COLUMN())),OFFSET($BN$2,0,0,ROW()-1,60),ROW()-1,FALSE))</f>
        <v/>
      </c>
      <c r="AP117" t="str">
        <f ca="1">IF(AND($B$158=1,LEN($AP$116) * LEN($AP$114)&gt;0),$AP$116/$AP$114*100,HLOOKUP(INDIRECT(ADDRESS(2,COLUMN())),OFFSET($BN$2,0,0,ROW()-1,60),ROW()-1,FALSE))</f>
        <v/>
      </c>
      <c r="AQ117" t="str">
        <f ca="1">IF(AND($B$158=1,LEN($AQ$116) * LEN($AQ$114)&gt;0),$AQ$116/$AQ$114*100,HLOOKUP(INDIRECT(ADDRESS(2,COLUMN())),OFFSET($BN$2,0,0,ROW()-1,60),ROW()-1,FALSE))</f>
        <v/>
      </c>
      <c r="AR117" t="str">
        <f ca="1">IF(AND($B$158=1,LEN($AR$116) * LEN($AR$114)&gt;0),$AR$116/$AR$114*100,HLOOKUP(INDIRECT(ADDRESS(2,COLUMN())),OFFSET($BN$2,0,0,ROW()-1,60),ROW()-1,FALSE))</f>
        <v/>
      </c>
      <c r="AS117" t="str">
        <f ca="1">IF(AND($B$158=1,LEN($AS$116) * LEN($AS$114)&gt;0),$AS$116/$AS$114*100,HLOOKUP(INDIRECT(ADDRESS(2,COLUMN())),OFFSET($BN$2,0,0,ROW()-1,60),ROW()-1,FALSE))</f>
        <v/>
      </c>
      <c r="AT117" t="str">
        <f ca="1">IF(AND($B$158=1,LEN($AT$116) * LEN($AT$114)&gt;0),$AT$116/$AT$114*100,HLOOKUP(INDIRECT(ADDRESS(2,COLUMN())),OFFSET($BN$2,0,0,ROW()-1,60),ROW()-1,FALSE))</f>
        <v/>
      </c>
      <c r="AU117" t="str">
        <f ca="1">IF(AND($B$158=1,LEN($AU$116) * LEN($AU$114)&gt;0),$AU$116/$AU$114*100,HLOOKUP(INDIRECT(ADDRESS(2,COLUMN())),OFFSET($BN$2,0,0,ROW()-1,60),ROW()-1,FALSE))</f>
        <v/>
      </c>
      <c r="AV117" t="str">
        <f ca="1">IF(AND($B$158=1,LEN($AV$116) * LEN($AV$114)&gt;0),$AV$116/$AV$114*100,HLOOKUP(INDIRECT(ADDRESS(2,COLUMN())),OFFSET($BN$2,0,0,ROW()-1,60),ROW()-1,FALSE))</f>
        <v/>
      </c>
      <c r="AW117" t="str">
        <f ca="1">IF(AND($B$158=1,LEN($AW$116) * LEN($AW$114)&gt;0),$AW$116/$AW$114*100,HLOOKUP(INDIRECT(ADDRESS(2,COLUMN())),OFFSET($BN$2,0,0,ROW()-1,60),ROW()-1,FALSE))</f>
        <v/>
      </c>
      <c r="AX117" t="str">
        <f ca="1">IF(AND($B$158=1,LEN($AX$116) * LEN($AX$114)&gt;0),$AX$116/$AX$114*100,HLOOKUP(INDIRECT(ADDRESS(2,COLUMN())),OFFSET($BN$2,0,0,ROW()-1,60),ROW()-1,FALSE))</f>
        <v/>
      </c>
      <c r="AY117" t="str">
        <f ca="1">IF(AND($B$158=1,LEN($AY$116) * LEN($AY$114)&gt;0),$AY$116/$AY$114*100,HLOOKUP(INDIRECT(ADDRESS(2,COLUMN())),OFFSET($BN$2,0,0,ROW()-1,60),ROW()-1,FALSE))</f>
        <v/>
      </c>
      <c r="AZ117" t="str">
        <f ca="1">IF(AND($B$158=1,LEN($AZ$116) * LEN($AZ$114)&gt;0),$AZ$116/$AZ$114*100,HLOOKUP(INDIRECT(ADDRESS(2,COLUMN())),OFFSET($BN$2,0,0,ROW()-1,60),ROW()-1,FALSE))</f>
        <v/>
      </c>
      <c r="BA117" t="str">
        <f ca="1">IF(AND($B$158=1,LEN($BA$116) * LEN($BA$114)&gt;0),$BA$116/$BA$114*100,HLOOKUP(INDIRECT(ADDRESS(2,COLUMN())),OFFSET($BN$2,0,0,ROW()-1,60),ROW()-1,FALSE))</f>
        <v/>
      </c>
      <c r="BB117" t="str">
        <f ca="1">IF(AND($B$158=1,LEN($BB$116) * LEN($BB$114)&gt;0),$BB$116/$BB$114*100,HLOOKUP(INDIRECT(ADDRESS(2,COLUMN())),OFFSET($BN$2,0,0,ROW()-1,60),ROW()-1,FALSE))</f>
        <v/>
      </c>
      <c r="BC117" t="str">
        <f ca="1">IF(AND($B$158=1,LEN($BC$116) * LEN($BC$114)&gt;0),$BC$116/$BC$114*100,HLOOKUP(INDIRECT(ADDRESS(2,COLUMN())),OFFSET($BN$2,0,0,ROW()-1,60),ROW()-1,FALSE))</f>
        <v/>
      </c>
      <c r="BD117" t="str">
        <f ca="1">IF(AND($B$158=1,LEN($BD$116) * LEN($BD$114)&gt;0),$BD$116/$BD$114*100,HLOOKUP(INDIRECT(ADDRESS(2,COLUMN())),OFFSET($BN$2,0,0,ROW()-1,60),ROW()-1,FALSE))</f>
        <v/>
      </c>
      <c r="BE117" t="str">
        <f ca="1">IF(AND($B$158=1,LEN($BE$116) * LEN($BE$114)&gt;0),$BE$116/$BE$114*100,HLOOKUP(INDIRECT(ADDRESS(2,COLUMN())),OFFSET($BN$2,0,0,ROW()-1,60),ROW()-1,FALSE))</f>
        <v/>
      </c>
      <c r="BF117" t="str">
        <f ca="1">IF(AND($B$158=1,LEN($BF$116) * LEN($BF$114)&gt;0),$BF$116/$BF$114*100,HLOOKUP(INDIRECT(ADDRESS(2,COLUMN())),OFFSET($BN$2,0,0,ROW()-1,60),ROW()-1,FALSE))</f>
        <v/>
      </c>
      <c r="BG117" t="str">
        <f ca="1">IF(AND($B$158=1,LEN($BG$116) * LEN($BG$114)&gt;0),$BG$116/$BG$114*100,HLOOKUP(INDIRECT(ADDRESS(2,COLUMN())),OFFSET($BN$2,0,0,ROW()-1,60),ROW()-1,FALSE))</f>
        <v/>
      </c>
      <c r="BH117" t="str">
        <f ca="1">IF(AND($B$158=1,LEN($BH$116) * LEN($BH$114)&gt;0),$BH$116/$BH$114*100,HLOOKUP(INDIRECT(ADDRESS(2,COLUMN())),OFFSET($BN$2,0,0,ROW()-1,60),ROW()-1,FALSE))</f>
        <v/>
      </c>
      <c r="BI117" t="str">
        <f ca="1">IF(AND($B$158=1,LEN($BI$116) * LEN($BI$114)&gt;0),$BI$116/$BI$114*100,HLOOKUP(INDIRECT(ADDRESS(2,COLUMN())),OFFSET($BN$2,0,0,ROW()-1,60),ROW()-1,FALSE))</f>
        <v/>
      </c>
      <c r="BJ117" t="str">
        <f ca="1">IF(AND($B$158=1,LEN($BJ$116) * LEN($BJ$114)&gt;0),$BJ$116/$BJ$114*100,HLOOKUP(INDIRECT(ADDRESS(2,COLUMN())),OFFSET($BN$2,0,0,ROW()-1,60),ROW()-1,FALSE))</f>
        <v/>
      </c>
      <c r="BK117" t="str">
        <f ca="1">IF(AND($B$158=1,LEN($BK$116) * LEN($BK$114)&gt;0),$BK$116/$BK$114*100,HLOOKUP(INDIRECT(ADDRESS(2,COLUMN())),OFFSET($BN$2,0,0,ROW()-1,60),ROW()-1,FALSE))</f>
        <v/>
      </c>
      <c r="BL117" t="str">
        <f ca="1">IF(AND($B$158=1,LEN($BL$116) * LEN($BL$114)&gt;0),$BL$116/$BL$114*100,HLOOKUP(INDIRECT(ADDRESS(2,COLUMN())),OFFSET($BN$2,0,0,ROW()-1,60),ROW()-1,FALSE))</f>
        <v/>
      </c>
      <c r="BM117" t="str">
        <f ca="1">IF(AND($B$158=1,LEN($BM$116) * LEN($BM$114)&gt;0),$BM$116/$BM$114*100,HLOOKUP(INDIRECT(ADDRESS(2,COLUMN())),OFFSET($BN$2,0,0,ROW()-1,60),ROW()-1,FALSE))</f>
        <v/>
      </c>
      <c r="BN117" t="str">
        <f>""</f>
        <v/>
      </c>
      <c r="BO117" t="str">
        <f>""</f>
        <v/>
      </c>
      <c r="BP117" t="str">
        <f>""</f>
        <v/>
      </c>
      <c r="BQ117" t="str">
        <f>""</f>
        <v/>
      </c>
      <c r="BR117" t="str">
        <f>""</f>
        <v/>
      </c>
      <c r="BS117" t="str">
        <f>""</f>
        <v/>
      </c>
      <c r="BT117" t="str">
        <f>""</f>
        <v/>
      </c>
      <c r="BU117" t="str">
        <f>""</f>
        <v/>
      </c>
      <c r="BV117" t="str">
        <f>""</f>
        <v/>
      </c>
      <c r="BW117" t="str">
        <f>""</f>
        <v/>
      </c>
      <c r="BX117" t="str">
        <f>""</f>
        <v/>
      </c>
      <c r="BY117" t="str">
        <f>""</f>
        <v/>
      </c>
      <c r="BZ117" t="str">
        <f>""</f>
        <v/>
      </c>
      <c r="CA117" t="str">
        <f>""</f>
        <v/>
      </c>
      <c r="CB117" t="str">
        <f>""</f>
        <v/>
      </c>
      <c r="CC117" t="str">
        <f>""</f>
        <v/>
      </c>
      <c r="CD117" t="str">
        <f>""</f>
        <v/>
      </c>
      <c r="CE117" t="str">
        <f>""</f>
        <v/>
      </c>
      <c r="CF117" t="str">
        <f>""</f>
        <v/>
      </c>
      <c r="CG117" t="str">
        <f>""</f>
        <v/>
      </c>
      <c r="CH117" t="str">
        <f>""</f>
        <v/>
      </c>
      <c r="CI117" t="str">
        <f>""</f>
        <v/>
      </c>
      <c r="CJ117" t="str">
        <f>""</f>
        <v/>
      </c>
      <c r="CK117" t="str">
        <f>""</f>
        <v/>
      </c>
      <c r="CL117" t="str">
        <f>""</f>
        <v/>
      </c>
      <c r="CM117" t="str">
        <f>""</f>
        <v/>
      </c>
      <c r="CN117" t="str">
        <f>""</f>
        <v/>
      </c>
      <c r="CO117" t="str">
        <f>""</f>
        <v/>
      </c>
      <c r="CP117" t="str">
        <f>""</f>
        <v/>
      </c>
      <c r="CQ117" t="str">
        <f>""</f>
        <v/>
      </c>
      <c r="CR117" t="str">
        <f>""</f>
        <v/>
      </c>
      <c r="CS117" t="str">
        <f>""</f>
        <v/>
      </c>
      <c r="CT117" t="str">
        <f>""</f>
        <v/>
      </c>
      <c r="CU117" t="str">
        <f>""</f>
        <v/>
      </c>
      <c r="CV117" t="str">
        <f>""</f>
        <v/>
      </c>
      <c r="CW117" t="str">
        <f>""</f>
        <v/>
      </c>
      <c r="CX117" t="str">
        <f>""</f>
        <v/>
      </c>
      <c r="CY117" t="str">
        <f>""</f>
        <v/>
      </c>
      <c r="CZ117" t="str">
        <f>""</f>
        <v/>
      </c>
      <c r="DA117" t="str">
        <f>""</f>
        <v/>
      </c>
      <c r="DB117" t="str">
        <f>""</f>
        <v/>
      </c>
      <c r="DC117" t="str">
        <f>""</f>
        <v/>
      </c>
      <c r="DD117" t="str">
        <f>""</f>
        <v/>
      </c>
      <c r="DE117" t="str">
        <f>""</f>
        <v/>
      </c>
      <c r="DF117" t="str">
        <f>""</f>
        <v/>
      </c>
      <c r="DG117" t="str">
        <f>""</f>
        <v/>
      </c>
      <c r="DH117" t="str">
        <f>""</f>
        <v/>
      </c>
      <c r="DI117" t="str">
        <f>""</f>
        <v/>
      </c>
      <c r="DJ117" t="str">
        <f>""</f>
        <v/>
      </c>
      <c r="DK117" t="str">
        <f>""</f>
        <v/>
      </c>
      <c r="DL117" t="str">
        <f>""</f>
        <v/>
      </c>
      <c r="DM117" t="str">
        <f>""</f>
        <v/>
      </c>
      <c r="DN117" t="str">
        <f>""</f>
        <v/>
      </c>
      <c r="DO117" t="str">
        <f>""</f>
        <v/>
      </c>
      <c r="DP117" t="str">
        <f>""</f>
        <v/>
      </c>
      <c r="DQ117" t="str">
        <f>""</f>
        <v/>
      </c>
      <c r="DR117" t="str">
        <f>""</f>
        <v/>
      </c>
      <c r="DS117" t="str">
        <f>""</f>
        <v/>
      </c>
      <c r="DT117" t="str">
        <f>""</f>
        <v/>
      </c>
      <c r="DU117" t="str">
        <f>""</f>
        <v/>
      </c>
    </row>
    <row r="118" spans="1:125" x14ac:dyDescent="0.25">
      <c r="A118" t="str">
        <f>"    "</f>
        <v xml:space="preserve">    </v>
      </c>
      <c r="B118" t="str">
        <f>""</f>
        <v/>
      </c>
      <c r="E118" t="str">
        <f>"Static"</f>
        <v>Static</v>
      </c>
      <c r="F118" t="str">
        <f t="shared" ref="F118:AK118" ca="1" si="62">HLOOKUP(INDIRECT(ADDRESS(2,COLUMN())),OFFSET($BN$2,0,0,ROW()-1,60),ROW()-1,FALSE)</f>
        <v/>
      </c>
      <c r="G118" t="str">
        <f t="shared" ca="1" si="62"/>
        <v/>
      </c>
      <c r="H118" t="str">
        <f t="shared" ca="1" si="62"/>
        <v/>
      </c>
      <c r="I118" t="str">
        <f t="shared" ca="1" si="62"/>
        <v/>
      </c>
      <c r="J118" t="str">
        <f t="shared" ca="1" si="62"/>
        <v/>
      </c>
      <c r="K118" t="str">
        <f t="shared" ca="1" si="62"/>
        <v/>
      </c>
      <c r="L118" t="str">
        <f t="shared" ca="1" si="62"/>
        <v/>
      </c>
      <c r="M118" t="str">
        <f t="shared" ca="1" si="62"/>
        <v/>
      </c>
      <c r="N118" t="str">
        <f t="shared" ca="1" si="62"/>
        <v/>
      </c>
      <c r="O118" t="str">
        <f t="shared" ca="1" si="62"/>
        <v/>
      </c>
      <c r="P118" t="str">
        <f t="shared" ca="1" si="62"/>
        <v/>
      </c>
      <c r="Q118" t="str">
        <f t="shared" ca="1" si="62"/>
        <v/>
      </c>
      <c r="R118" t="str">
        <f t="shared" ca="1" si="62"/>
        <v/>
      </c>
      <c r="S118" t="str">
        <f t="shared" ca="1" si="62"/>
        <v/>
      </c>
      <c r="T118" t="str">
        <f t="shared" ca="1" si="62"/>
        <v/>
      </c>
      <c r="U118" t="str">
        <f t="shared" ca="1" si="62"/>
        <v/>
      </c>
      <c r="V118" t="str">
        <f t="shared" ca="1" si="62"/>
        <v/>
      </c>
      <c r="W118" t="str">
        <f t="shared" ca="1" si="62"/>
        <v/>
      </c>
      <c r="X118" t="str">
        <f t="shared" ca="1" si="62"/>
        <v/>
      </c>
      <c r="Y118" t="str">
        <f t="shared" ca="1" si="62"/>
        <v/>
      </c>
      <c r="Z118" t="str">
        <f t="shared" ca="1" si="62"/>
        <v/>
      </c>
      <c r="AA118" t="str">
        <f t="shared" ca="1" si="62"/>
        <v/>
      </c>
      <c r="AB118" t="str">
        <f t="shared" ca="1" si="62"/>
        <v/>
      </c>
      <c r="AC118" t="str">
        <f t="shared" ca="1" si="62"/>
        <v/>
      </c>
      <c r="AD118" t="str">
        <f t="shared" ca="1" si="62"/>
        <v/>
      </c>
      <c r="AE118" t="str">
        <f t="shared" ca="1" si="62"/>
        <v/>
      </c>
      <c r="AF118" t="str">
        <f t="shared" ca="1" si="62"/>
        <v/>
      </c>
      <c r="AG118" t="str">
        <f t="shared" ca="1" si="62"/>
        <v/>
      </c>
      <c r="AH118" t="str">
        <f t="shared" ca="1" si="62"/>
        <v/>
      </c>
      <c r="AI118" t="str">
        <f t="shared" ca="1" si="62"/>
        <v/>
      </c>
      <c r="AJ118" t="str">
        <f t="shared" ca="1" si="62"/>
        <v/>
      </c>
      <c r="AK118" t="str">
        <f t="shared" ca="1" si="62"/>
        <v/>
      </c>
      <c r="AL118" t="str">
        <f t="shared" ref="AL118:BM118" ca="1" si="63">HLOOKUP(INDIRECT(ADDRESS(2,COLUMN())),OFFSET($BN$2,0,0,ROW()-1,60),ROW()-1,FALSE)</f>
        <v/>
      </c>
      <c r="AM118" t="str">
        <f t="shared" ca="1" si="63"/>
        <v/>
      </c>
      <c r="AN118" t="str">
        <f t="shared" ca="1" si="63"/>
        <v/>
      </c>
      <c r="AO118" t="str">
        <f t="shared" ca="1" si="63"/>
        <v/>
      </c>
      <c r="AP118" t="str">
        <f t="shared" ca="1" si="63"/>
        <v/>
      </c>
      <c r="AQ118" t="str">
        <f t="shared" ca="1" si="63"/>
        <v/>
      </c>
      <c r="AR118" t="str">
        <f t="shared" ca="1" si="63"/>
        <v/>
      </c>
      <c r="AS118" t="str">
        <f t="shared" ca="1" si="63"/>
        <v/>
      </c>
      <c r="AT118" t="str">
        <f t="shared" ca="1" si="63"/>
        <v/>
      </c>
      <c r="AU118" t="str">
        <f t="shared" ca="1" si="63"/>
        <v/>
      </c>
      <c r="AV118" t="str">
        <f t="shared" ca="1" si="63"/>
        <v/>
      </c>
      <c r="AW118" t="str">
        <f t="shared" ca="1" si="63"/>
        <v/>
      </c>
      <c r="AX118" t="str">
        <f t="shared" ca="1" si="63"/>
        <v/>
      </c>
      <c r="AY118" t="str">
        <f t="shared" ca="1" si="63"/>
        <v/>
      </c>
      <c r="AZ118" t="str">
        <f t="shared" ca="1" si="63"/>
        <v/>
      </c>
      <c r="BA118" t="str">
        <f t="shared" ca="1" si="63"/>
        <v/>
      </c>
      <c r="BB118" t="str">
        <f t="shared" ca="1" si="63"/>
        <v/>
      </c>
      <c r="BC118" t="str">
        <f t="shared" ca="1" si="63"/>
        <v/>
      </c>
      <c r="BD118" t="str">
        <f t="shared" ca="1" si="63"/>
        <v/>
      </c>
      <c r="BE118" t="str">
        <f t="shared" ca="1" si="63"/>
        <v/>
      </c>
      <c r="BF118" t="str">
        <f t="shared" ca="1" si="63"/>
        <v/>
      </c>
      <c r="BG118" t="str">
        <f t="shared" ca="1" si="63"/>
        <v/>
      </c>
      <c r="BH118" t="str">
        <f t="shared" ca="1" si="63"/>
        <v/>
      </c>
      <c r="BI118" t="str">
        <f t="shared" ca="1" si="63"/>
        <v/>
      </c>
      <c r="BJ118" t="str">
        <f t="shared" ca="1" si="63"/>
        <v/>
      </c>
      <c r="BK118" t="str">
        <f t="shared" ca="1" si="63"/>
        <v/>
      </c>
      <c r="BL118" t="str">
        <f t="shared" ca="1" si="63"/>
        <v/>
      </c>
      <c r="BM118" t="str">
        <f t="shared" ca="1" si="63"/>
        <v/>
      </c>
      <c r="BN118" t="str">
        <f>""</f>
        <v/>
      </c>
      <c r="BO118" t="str">
        <f>""</f>
        <v/>
      </c>
      <c r="BP118" t="str">
        <f>""</f>
        <v/>
      </c>
      <c r="BQ118" t="str">
        <f>""</f>
        <v/>
      </c>
      <c r="BR118" t="str">
        <f>""</f>
        <v/>
      </c>
      <c r="BS118" t="str">
        <f>""</f>
        <v/>
      </c>
      <c r="BT118" t="str">
        <f>""</f>
        <v/>
      </c>
      <c r="BU118" t="str">
        <f>""</f>
        <v/>
      </c>
      <c r="BV118" t="str">
        <f>""</f>
        <v/>
      </c>
      <c r="BW118" t="str">
        <f>""</f>
        <v/>
      </c>
      <c r="BX118" t="str">
        <f>""</f>
        <v/>
      </c>
      <c r="BY118" t="str">
        <f>""</f>
        <v/>
      </c>
      <c r="BZ118" t="str">
        <f>""</f>
        <v/>
      </c>
      <c r="CA118" t="str">
        <f>""</f>
        <v/>
      </c>
      <c r="CB118" t="str">
        <f>""</f>
        <v/>
      </c>
      <c r="CC118" t="str">
        <f>""</f>
        <v/>
      </c>
      <c r="CD118" t="str">
        <f>""</f>
        <v/>
      </c>
      <c r="CE118" t="str">
        <f>""</f>
        <v/>
      </c>
      <c r="CF118" t="str">
        <f>""</f>
        <v/>
      </c>
      <c r="CG118" t="str">
        <f>""</f>
        <v/>
      </c>
      <c r="CH118" t="str">
        <f>""</f>
        <v/>
      </c>
      <c r="CI118" t="str">
        <f>""</f>
        <v/>
      </c>
      <c r="CJ118" t="str">
        <f>""</f>
        <v/>
      </c>
      <c r="CK118" t="str">
        <f>""</f>
        <v/>
      </c>
      <c r="CL118" t="str">
        <f>""</f>
        <v/>
      </c>
      <c r="CM118" t="str">
        <f>""</f>
        <v/>
      </c>
      <c r="CN118" t="str">
        <f>""</f>
        <v/>
      </c>
      <c r="CO118" t="str">
        <f>""</f>
        <v/>
      </c>
      <c r="CP118" t="str">
        <f>""</f>
        <v/>
      </c>
      <c r="CQ118" t="str">
        <f>""</f>
        <v/>
      </c>
      <c r="CR118" t="str">
        <f>""</f>
        <v/>
      </c>
      <c r="CS118" t="str">
        <f>""</f>
        <v/>
      </c>
      <c r="CT118" t="str">
        <f>""</f>
        <v/>
      </c>
      <c r="CU118" t="str">
        <f>""</f>
        <v/>
      </c>
      <c r="CV118" t="str">
        <f>""</f>
        <v/>
      </c>
      <c r="CW118" t="str">
        <f>""</f>
        <v/>
      </c>
      <c r="CX118" t="str">
        <f>""</f>
        <v/>
      </c>
      <c r="CY118" t="str">
        <f>""</f>
        <v/>
      </c>
      <c r="CZ118" t="str">
        <f>""</f>
        <v/>
      </c>
      <c r="DA118" t="str">
        <f>""</f>
        <v/>
      </c>
      <c r="DB118" t="str">
        <f>""</f>
        <v/>
      </c>
      <c r="DC118" t="str">
        <f>""</f>
        <v/>
      </c>
      <c r="DD118" t="str">
        <f>""</f>
        <v/>
      </c>
      <c r="DE118" t="str">
        <f>""</f>
        <v/>
      </c>
      <c r="DF118" t="str">
        <f>""</f>
        <v/>
      </c>
      <c r="DG118" t="str">
        <f>""</f>
        <v/>
      </c>
      <c r="DH118" t="str">
        <f>""</f>
        <v/>
      </c>
      <c r="DI118" t="str">
        <f>""</f>
        <v/>
      </c>
      <c r="DJ118" t="str">
        <f>""</f>
        <v/>
      </c>
      <c r="DK118" t="str">
        <f>""</f>
        <v/>
      </c>
      <c r="DL118" t="str">
        <f>""</f>
        <v/>
      </c>
      <c r="DM118" t="str">
        <f>""</f>
        <v/>
      </c>
      <c r="DN118" t="str">
        <f>""</f>
        <v/>
      </c>
      <c r="DO118" t="str">
        <f>""</f>
        <v/>
      </c>
      <c r="DP118" t="str">
        <f>""</f>
        <v/>
      </c>
      <c r="DQ118" t="str">
        <f>""</f>
        <v/>
      </c>
      <c r="DR118" t="str">
        <f>""</f>
        <v/>
      </c>
      <c r="DS118" t="str">
        <f>""</f>
        <v/>
      </c>
      <c r="DT118" t="str">
        <f>""</f>
        <v/>
      </c>
      <c r="DU118" t="str">
        <f>""</f>
        <v/>
      </c>
    </row>
    <row r="119" spans="1:125" x14ac:dyDescent="0.25">
      <c r="A119" t="str">
        <f>"    Old Segments"</f>
        <v xml:space="preserve">    Old Segments</v>
      </c>
      <c r="B119" t="str">
        <f>""</f>
        <v/>
      </c>
      <c r="E119" t="str">
        <f>"Heading"</f>
        <v>Heading</v>
      </c>
      <c r="BN119" t="str">
        <f>""</f>
        <v/>
      </c>
      <c r="BO119" t="str">
        <f>""</f>
        <v/>
      </c>
      <c r="BP119" t="str">
        <f>""</f>
        <v/>
      </c>
      <c r="BQ119" t="str">
        <f>""</f>
        <v/>
      </c>
      <c r="BR119" t="str">
        <f>""</f>
        <v/>
      </c>
      <c r="BS119" t="str">
        <f>""</f>
        <v/>
      </c>
      <c r="BT119" t="str">
        <f>""</f>
        <v/>
      </c>
      <c r="BU119" t="str">
        <f>""</f>
        <v/>
      </c>
      <c r="BV119" t="str">
        <f>""</f>
        <v/>
      </c>
      <c r="BW119" t="str">
        <f>""</f>
        <v/>
      </c>
      <c r="BX119" t="str">
        <f>""</f>
        <v/>
      </c>
      <c r="BY119" t="str">
        <f>""</f>
        <v/>
      </c>
      <c r="BZ119" t="str">
        <f>""</f>
        <v/>
      </c>
      <c r="CA119" t="str">
        <f>""</f>
        <v/>
      </c>
      <c r="CB119" t="str">
        <f>""</f>
        <v/>
      </c>
      <c r="CC119" t="str">
        <f>""</f>
        <v/>
      </c>
      <c r="CD119" t="str">
        <f>""</f>
        <v/>
      </c>
      <c r="CE119" t="str">
        <f>""</f>
        <v/>
      </c>
      <c r="CF119" t="str">
        <f>""</f>
        <v/>
      </c>
      <c r="CG119" t="str">
        <f>""</f>
        <v/>
      </c>
      <c r="CH119" t="str">
        <f>""</f>
        <v/>
      </c>
      <c r="CI119" t="str">
        <f>""</f>
        <v/>
      </c>
      <c r="CJ119" t="str">
        <f>""</f>
        <v/>
      </c>
      <c r="CK119" t="str">
        <f>""</f>
        <v/>
      </c>
      <c r="CL119" t="str">
        <f>""</f>
        <v/>
      </c>
      <c r="CM119" t="str">
        <f>""</f>
        <v/>
      </c>
      <c r="CN119" t="str">
        <f>""</f>
        <v/>
      </c>
      <c r="CO119" t="str">
        <f>""</f>
        <v/>
      </c>
      <c r="CP119" t="str">
        <f>""</f>
        <v/>
      </c>
      <c r="CQ119" t="str">
        <f>""</f>
        <v/>
      </c>
      <c r="CR119" t="str">
        <f>""</f>
        <v/>
      </c>
      <c r="CS119" t="str">
        <f>""</f>
        <v/>
      </c>
      <c r="CT119" t="str">
        <f>""</f>
        <v/>
      </c>
      <c r="CU119" t="str">
        <f>""</f>
        <v/>
      </c>
      <c r="CV119" t="str">
        <f>""</f>
        <v/>
      </c>
      <c r="CW119" t="str">
        <f>""</f>
        <v/>
      </c>
      <c r="CX119" t="str">
        <f>""</f>
        <v/>
      </c>
      <c r="CY119" t="str">
        <f>""</f>
        <v/>
      </c>
      <c r="CZ119" t="str">
        <f>""</f>
        <v/>
      </c>
      <c r="DA119" t="str">
        <f>""</f>
        <v/>
      </c>
      <c r="DB119" t="str">
        <f>""</f>
        <v/>
      </c>
      <c r="DC119" t="str">
        <f>""</f>
        <v/>
      </c>
      <c r="DD119" t="str">
        <f>""</f>
        <v/>
      </c>
      <c r="DE119" t="str">
        <f>""</f>
        <v/>
      </c>
      <c r="DF119" t="str">
        <f>""</f>
        <v/>
      </c>
      <c r="DG119" t="str">
        <f>""</f>
        <v/>
      </c>
      <c r="DH119" t="str">
        <f>""</f>
        <v/>
      </c>
      <c r="DI119" t="str">
        <f>""</f>
        <v/>
      </c>
      <c r="DJ119" t="str">
        <f>""</f>
        <v/>
      </c>
      <c r="DK119" t="str">
        <f>""</f>
        <v/>
      </c>
      <c r="DL119" t="str">
        <f>""</f>
        <v/>
      </c>
      <c r="DM119" t="str">
        <f>""</f>
        <v/>
      </c>
      <c r="DN119" t="str">
        <f>""</f>
        <v/>
      </c>
      <c r="DO119" t="str">
        <f>""</f>
        <v/>
      </c>
      <c r="DP119" t="str">
        <f>""</f>
        <v/>
      </c>
      <c r="DQ119" t="str">
        <f>""</f>
        <v/>
      </c>
      <c r="DR119" t="str">
        <f>""</f>
        <v/>
      </c>
      <c r="DS119" t="str">
        <f>""</f>
        <v/>
      </c>
      <c r="DT119" t="str">
        <f>""</f>
        <v/>
      </c>
      <c r="DU119" t="str">
        <f>""</f>
        <v/>
      </c>
    </row>
    <row r="120" spans="1:125" x14ac:dyDescent="0.25">
      <c r="A120" t="str">
        <f>"        Puma"</f>
        <v xml:space="preserve">        Puma</v>
      </c>
      <c r="B120" t="str">
        <f>""</f>
        <v/>
      </c>
      <c r="E120" t="str">
        <f>"Static"</f>
        <v>Static</v>
      </c>
      <c r="F120" t="str">
        <f t="shared" ref="F120:AK120" ca="1" si="64">HLOOKUP(INDIRECT(ADDRESS(2,COLUMN())),OFFSET($BN$2,0,0,ROW()-1,60),ROW()-1,FALSE)</f>
        <v/>
      </c>
      <c r="G120" t="str">
        <f t="shared" ca="1" si="64"/>
        <v/>
      </c>
      <c r="H120" t="str">
        <f t="shared" ca="1" si="64"/>
        <v/>
      </c>
      <c r="I120" t="str">
        <f t="shared" ca="1" si="64"/>
        <v/>
      </c>
      <c r="J120" t="str">
        <f t="shared" ca="1" si="64"/>
        <v/>
      </c>
      <c r="K120" t="str">
        <f t="shared" ca="1" si="64"/>
        <v/>
      </c>
      <c r="L120" t="str">
        <f t="shared" ca="1" si="64"/>
        <v/>
      </c>
      <c r="M120" t="str">
        <f t="shared" ca="1" si="64"/>
        <v/>
      </c>
      <c r="N120" t="str">
        <f t="shared" ca="1" si="64"/>
        <v/>
      </c>
      <c r="O120" t="str">
        <f t="shared" ca="1" si="64"/>
        <v/>
      </c>
      <c r="P120" t="str">
        <f t="shared" ca="1" si="64"/>
        <v/>
      </c>
      <c r="Q120" t="str">
        <f t="shared" ca="1" si="64"/>
        <v/>
      </c>
      <c r="R120" t="str">
        <f t="shared" ca="1" si="64"/>
        <v/>
      </c>
      <c r="S120" t="str">
        <f t="shared" ca="1" si="64"/>
        <v/>
      </c>
      <c r="T120" t="str">
        <f t="shared" ca="1" si="64"/>
        <v/>
      </c>
      <c r="U120" t="str">
        <f t="shared" ca="1" si="64"/>
        <v/>
      </c>
      <c r="V120" t="str">
        <f t="shared" ca="1" si="64"/>
        <v/>
      </c>
      <c r="W120" t="str">
        <f t="shared" ca="1" si="64"/>
        <v/>
      </c>
      <c r="X120" t="str">
        <f t="shared" ca="1" si="64"/>
        <v/>
      </c>
      <c r="Y120" t="str">
        <f t="shared" ca="1" si="64"/>
        <v/>
      </c>
      <c r="Z120" t="str">
        <f t="shared" ca="1" si="64"/>
        <v/>
      </c>
      <c r="AA120" t="str">
        <f t="shared" ca="1" si="64"/>
        <v/>
      </c>
      <c r="AB120" t="str">
        <f t="shared" ca="1" si="64"/>
        <v/>
      </c>
      <c r="AC120" t="str">
        <f t="shared" ca="1" si="64"/>
        <v/>
      </c>
      <c r="AD120" t="str">
        <f t="shared" ca="1" si="64"/>
        <v/>
      </c>
      <c r="AE120" t="str">
        <f t="shared" ca="1" si="64"/>
        <v/>
      </c>
      <c r="AF120" t="str">
        <f t="shared" ca="1" si="64"/>
        <v/>
      </c>
      <c r="AG120" t="str">
        <f t="shared" ca="1" si="64"/>
        <v/>
      </c>
      <c r="AH120" t="str">
        <f t="shared" ca="1" si="64"/>
        <v/>
      </c>
      <c r="AI120" t="str">
        <f t="shared" ca="1" si="64"/>
        <v/>
      </c>
      <c r="AJ120" t="str">
        <f t="shared" ca="1" si="64"/>
        <v/>
      </c>
      <c r="AK120" t="str">
        <f t="shared" ca="1" si="64"/>
        <v/>
      </c>
      <c r="AL120" t="str">
        <f t="shared" ref="AL120:BM120" ca="1" si="65">HLOOKUP(INDIRECT(ADDRESS(2,COLUMN())),OFFSET($BN$2,0,0,ROW()-1,60),ROW()-1,FALSE)</f>
        <v/>
      </c>
      <c r="AM120" t="str">
        <f t="shared" ca="1" si="65"/>
        <v/>
      </c>
      <c r="AN120" t="str">
        <f t="shared" ca="1" si="65"/>
        <v/>
      </c>
      <c r="AO120" t="str">
        <f t="shared" ca="1" si="65"/>
        <v/>
      </c>
      <c r="AP120" t="str">
        <f t="shared" ca="1" si="65"/>
        <v/>
      </c>
      <c r="AQ120" t="str">
        <f t="shared" ca="1" si="65"/>
        <v/>
      </c>
      <c r="AR120" t="str">
        <f t="shared" ca="1" si="65"/>
        <v/>
      </c>
      <c r="AS120" t="str">
        <f t="shared" ca="1" si="65"/>
        <v/>
      </c>
      <c r="AT120" t="str">
        <f t="shared" ca="1" si="65"/>
        <v/>
      </c>
      <c r="AU120" t="str">
        <f t="shared" ca="1" si="65"/>
        <v/>
      </c>
      <c r="AV120" t="str">
        <f t="shared" ca="1" si="65"/>
        <v/>
      </c>
      <c r="AW120" t="str">
        <f t="shared" ca="1" si="65"/>
        <v/>
      </c>
      <c r="AX120" t="str">
        <f t="shared" ca="1" si="65"/>
        <v/>
      </c>
      <c r="AY120" t="str">
        <f t="shared" ca="1" si="65"/>
        <v/>
      </c>
      <c r="AZ120" t="str">
        <f t="shared" ca="1" si="65"/>
        <v/>
      </c>
      <c r="BA120" t="str">
        <f t="shared" ca="1" si="65"/>
        <v/>
      </c>
      <c r="BB120" t="str">
        <f t="shared" ca="1" si="65"/>
        <v/>
      </c>
      <c r="BC120" t="str">
        <f t="shared" ca="1" si="65"/>
        <v/>
      </c>
      <c r="BD120" t="str">
        <f t="shared" ca="1" si="65"/>
        <v/>
      </c>
      <c r="BE120" t="str">
        <f t="shared" ca="1" si="65"/>
        <v/>
      </c>
      <c r="BF120" t="str">
        <f t="shared" ca="1" si="65"/>
        <v/>
      </c>
      <c r="BG120" t="str">
        <f t="shared" ca="1" si="65"/>
        <v/>
      </c>
      <c r="BH120" t="str">
        <f t="shared" ca="1" si="65"/>
        <v/>
      </c>
      <c r="BI120" t="str">
        <f t="shared" ca="1" si="65"/>
        <v/>
      </c>
      <c r="BJ120" t="str">
        <f t="shared" ca="1" si="65"/>
        <v/>
      </c>
      <c r="BK120" t="str">
        <f t="shared" ca="1" si="65"/>
        <v/>
      </c>
      <c r="BL120" t="str">
        <f t="shared" ca="1" si="65"/>
        <v/>
      </c>
      <c r="BM120" t="str">
        <f t="shared" ca="1" si="65"/>
        <v/>
      </c>
      <c r="BN120" t="str">
        <f>""</f>
        <v/>
      </c>
      <c r="BO120" t="str">
        <f>""</f>
        <v/>
      </c>
      <c r="BP120" t="str">
        <f>""</f>
        <v/>
      </c>
      <c r="BQ120" t="str">
        <f>""</f>
        <v/>
      </c>
      <c r="BR120" t="str">
        <f>""</f>
        <v/>
      </c>
      <c r="BS120" t="str">
        <f>""</f>
        <v/>
      </c>
      <c r="BT120" t="str">
        <f>""</f>
        <v/>
      </c>
      <c r="BU120" t="str">
        <f>""</f>
        <v/>
      </c>
      <c r="BV120" t="str">
        <f>""</f>
        <v/>
      </c>
      <c r="BW120" t="str">
        <f>""</f>
        <v/>
      </c>
      <c r="BX120" t="str">
        <f>""</f>
        <v/>
      </c>
      <c r="BY120" t="str">
        <f>""</f>
        <v/>
      </c>
      <c r="BZ120" t="str">
        <f>""</f>
        <v/>
      </c>
      <c r="CA120" t="str">
        <f>""</f>
        <v/>
      </c>
      <c r="CB120" t="str">
        <f>""</f>
        <v/>
      </c>
      <c r="CC120" t="str">
        <f>""</f>
        <v/>
      </c>
      <c r="CD120" t="str">
        <f>""</f>
        <v/>
      </c>
      <c r="CE120" t="str">
        <f>""</f>
        <v/>
      </c>
      <c r="CF120" t="str">
        <f>""</f>
        <v/>
      </c>
      <c r="CG120" t="str">
        <f>""</f>
        <v/>
      </c>
      <c r="CH120" t="str">
        <f>""</f>
        <v/>
      </c>
      <c r="CI120" t="str">
        <f>""</f>
        <v/>
      </c>
      <c r="CJ120" t="str">
        <f>""</f>
        <v/>
      </c>
      <c r="CK120" t="str">
        <f>""</f>
        <v/>
      </c>
      <c r="CL120" t="str">
        <f>""</f>
        <v/>
      </c>
      <c r="CM120" t="str">
        <f>""</f>
        <v/>
      </c>
      <c r="CN120" t="str">
        <f>""</f>
        <v/>
      </c>
      <c r="CO120" t="str">
        <f>""</f>
        <v/>
      </c>
      <c r="CP120" t="str">
        <f>""</f>
        <v/>
      </c>
      <c r="CQ120" t="str">
        <f>""</f>
        <v/>
      </c>
      <c r="CR120" t="str">
        <f>""</f>
        <v/>
      </c>
      <c r="CS120" t="str">
        <f>""</f>
        <v/>
      </c>
      <c r="CT120" t="str">
        <f>""</f>
        <v/>
      </c>
      <c r="CU120" t="str">
        <f>""</f>
        <v/>
      </c>
      <c r="CV120" t="str">
        <f>""</f>
        <v/>
      </c>
      <c r="CW120" t="str">
        <f>""</f>
        <v/>
      </c>
      <c r="CX120" t="str">
        <f>""</f>
        <v/>
      </c>
      <c r="CY120" t="str">
        <f>""</f>
        <v/>
      </c>
      <c r="CZ120" t="str">
        <f>""</f>
        <v/>
      </c>
      <c r="DA120" t="str">
        <f>""</f>
        <v/>
      </c>
      <c r="DB120" t="str">
        <f>""</f>
        <v/>
      </c>
      <c r="DC120" t="str">
        <f>""</f>
        <v/>
      </c>
      <c r="DD120" t="str">
        <f>""</f>
        <v/>
      </c>
      <c r="DE120" t="str">
        <f>""</f>
        <v/>
      </c>
      <c r="DF120" t="str">
        <f>""</f>
        <v/>
      </c>
      <c r="DG120" t="str">
        <f>""</f>
        <v/>
      </c>
      <c r="DH120" t="str">
        <f>""</f>
        <v/>
      </c>
      <c r="DI120" t="str">
        <f>""</f>
        <v/>
      </c>
      <c r="DJ120" t="str">
        <f>""</f>
        <v/>
      </c>
      <c r="DK120" t="str">
        <f>""</f>
        <v/>
      </c>
      <c r="DL120" t="str">
        <f>""</f>
        <v/>
      </c>
      <c r="DM120" t="str">
        <f>""</f>
        <v/>
      </c>
      <c r="DN120" t="str">
        <f>""</f>
        <v/>
      </c>
      <c r="DO120" t="str">
        <f>""</f>
        <v/>
      </c>
      <c r="DP120" t="str">
        <f>""</f>
        <v/>
      </c>
      <c r="DQ120" t="str">
        <f>""</f>
        <v/>
      </c>
      <c r="DR120" t="str">
        <f>""</f>
        <v/>
      </c>
      <c r="DS120" t="str">
        <f>""</f>
        <v/>
      </c>
      <c r="DT120" t="str">
        <f>""</f>
        <v/>
      </c>
      <c r="DU120" t="str">
        <f>""</f>
        <v/>
      </c>
    </row>
    <row r="121" spans="1:125" x14ac:dyDescent="0.25">
      <c r="A121" t="str">
        <f>"            Revenue"</f>
        <v xml:space="preserve">            Revenue</v>
      </c>
      <c r="B121" t="str">
        <f t="shared" ref="B121:B126" si="66">"KER FP Equity"</f>
        <v>KER FP Equity</v>
      </c>
      <c r="C121" t="str">
        <f>"BI047"</f>
        <v>BI047</v>
      </c>
      <c r="D121" t="str">
        <f>"BICS_SEGMENT_DATA"</f>
        <v>BICS_SEGMENT_DATA</v>
      </c>
      <c r="E121" t="str">
        <f>"Dynamic"</f>
        <v>Dynamic</v>
      </c>
      <c r="F121" t="str">
        <f ca="1">IF(AND(ISNUMBER($F$245),$B$158=1),$F$245,HLOOKUP(INDIRECT(ADDRESS(2,COLUMN())),OFFSET($BN$2,0,0,ROW()-1,60),ROW()-1,FALSE))</f>
        <v/>
      </c>
      <c r="G121" t="str">
        <f ca="1">IF(AND(ISNUMBER($G$245),$B$158=1),$G$245,HLOOKUP(INDIRECT(ADDRESS(2,COLUMN())),OFFSET($BN$2,0,0,ROW()-1,60),ROW()-1,FALSE))</f>
        <v/>
      </c>
      <c r="H121" t="str">
        <f ca="1">IF(AND(ISNUMBER($H$245),$B$158=1),$H$245,HLOOKUP(INDIRECT(ADDRESS(2,COLUMN())),OFFSET($BN$2,0,0,ROW()-1,60),ROW()-1,FALSE))</f>
        <v/>
      </c>
      <c r="I121" t="str">
        <f ca="1">IF(AND(ISNUMBER($I$245),$B$158=1),$I$245,HLOOKUP(INDIRECT(ADDRESS(2,COLUMN())),OFFSET($BN$2,0,0,ROW()-1,60),ROW()-1,FALSE))</f>
        <v/>
      </c>
      <c r="J121" t="str">
        <f ca="1">IF(AND(ISNUMBER($J$245),$B$158=1),$J$245,HLOOKUP(INDIRECT(ADDRESS(2,COLUMN())),OFFSET($BN$2,0,0,ROW()-1,60),ROW()-1,FALSE))</f>
        <v/>
      </c>
      <c r="K121" t="str">
        <f ca="1">IF(AND(ISNUMBER($K$245),$B$158=1),$K$245,HLOOKUP(INDIRECT(ADDRESS(2,COLUMN())),OFFSET($BN$2,0,0,ROW()-1,60),ROW()-1,FALSE))</f>
        <v/>
      </c>
      <c r="L121" t="str">
        <f ca="1">IF(AND(ISNUMBER($L$245),$B$158=1),$L$245,HLOOKUP(INDIRECT(ADDRESS(2,COLUMN())),OFFSET($BN$2,0,0,ROW()-1,60),ROW()-1,FALSE))</f>
        <v/>
      </c>
      <c r="M121" t="str">
        <f ca="1">IF(AND(ISNUMBER($M$245),$B$158=1),$M$245,HLOOKUP(INDIRECT(ADDRESS(2,COLUMN())),OFFSET($BN$2,0,0,ROW()-1,60),ROW()-1,FALSE))</f>
        <v/>
      </c>
      <c r="N121" t="str">
        <f ca="1">IF(AND(ISNUMBER($N$245),$B$158=1),$N$245,HLOOKUP(INDIRECT(ADDRESS(2,COLUMN())),OFFSET($BN$2,0,0,ROW()-1,60),ROW()-1,FALSE))</f>
        <v/>
      </c>
      <c r="O121" t="str">
        <f ca="1">IF(AND(ISNUMBER($O$245),$B$158=1),$O$245,HLOOKUP(INDIRECT(ADDRESS(2,COLUMN())),OFFSET($BN$2,0,0,ROW()-1,60),ROW()-1,FALSE))</f>
        <v/>
      </c>
      <c r="P121" t="str">
        <f ca="1">IF(AND(ISNUMBER($P$245),$B$158=1),$P$245,HLOOKUP(INDIRECT(ADDRESS(2,COLUMN())),OFFSET($BN$2,0,0,ROW()-1,60),ROW()-1,FALSE))</f>
        <v/>
      </c>
      <c r="Q121" t="str">
        <f ca="1">IF(AND(ISNUMBER($Q$245),$B$158=1),$Q$245,HLOOKUP(INDIRECT(ADDRESS(2,COLUMN())),OFFSET($BN$2,0,0,ROW()-1,60),ROW()-1,FALSE))</f>
        <v/>
      </c>
      <c r="R121" t="str">
        <f ca="1">IF(AND(ISNUMBER($R$245),$B$158=1),$R$245,HLOOKUP(INDIRECT(ADDRESS(2,COLUMN())),OFFSET($BN$2,0,0,ROW()-1,60),ROW()-1,FALSE))</f>
        <v/>
      </c>
      <c r="S121" t="str">
        <f ca="1">IF(AND(ISNUMBER($S$245),$B$158=1),$S$245,HLOOKUP(INDIRECT(ADDRESS(2,COLUMN())),OFFSET($BN$2,0,0,ROW()-1,60),ROW()-1,FALSE))</f>
        <v/>
      </c>
      <c r="T121" t="str">
        <f ca="1">IF(AND(ISNUMBER($T$245),$B$158=1),$T$245,HLOOKUP(INDIRECT(ADDRESS(2,COLUMN())),OFFSET($BN$2,0,0,ROW()-1,60),ROW()-1,FALSE))</f>
        <v/>
      </c>
      <c r="U121" t="str">
        <f ca="1">IF(AND(ISNUMBER($U$245),$B$158=1),$U$245,HLOOKUP(INDIRECT(ADDRESS(2,COLUMN())),OFFSET($BN$2,0,0,ROW()-1,60),ROW()-1,FALSE))</f>
        <v/>
      </c>
      <c r="V121" t="str">
        <f ca="1">IF(AND(ISNUMBER($V$245),$B$158=1),$V$245,HLOOKUP(INDIRECT(ADDRESS(2,COLUMN())),OFFSET($BN$2,0,0,ROW()-1,60),ROW()-1,FALSE))</f>
        <v/>
      </c>
      <c r="W121" t="str">
        <f ca="1">IF(AND(ISNUMBER($W$245),$B$158=1),$W$245,HLOOKUP(INDIRECT(ADDRESS(2,COLUMN())),OFFSET($BN$2,0,0,ROW()-1,60),ROW()-1,FALSE))</f>
        <v/>
      </c>
      <c r="X121" t="str">
        <f ca="1">IF(AND(ISNUMBER($X$245),$B$158=1),$X$245,HLOOKUP(INDIRECT(ADDRESS(2,COLUMN())),OFFSET($BN$2,0,0,ROW()-1,60),ROW()-1,FALSE))</f>
        <v/>
      </c>
      <c r="Y121" t="str">
        <f ca="1">IF(AND(ISNUMBER($Y$245),$B$158=1),$Y$245,HLOOKUP(INDIRECT(ADDRESS(2,COLUMN())),OFFSET($BN$2,0,0,ROW()-1,60),ROW()-1,FALSE))</f>
        <v/>
      </c>
      <c r="Z121" t="str">
        <f ca="1">IF(AND(ISNUMBER($Z$245),$B$158=1),$Z$245,HLOOKUP(INDIRECT(ADDRESS(2,COLUMN())),OFFSET($BN$2,0,0,ROW()-1,60),ROW()-1,FALSE))</f>
        <v/>
      </c>
      <c r="AA121" t="str">
        <f ca="1">IF(AND(ISNUMBER($AA$245),$B$158=1),$AA$245,HLOOKUP(INDIRECT(ADDRESS(2,COLUMN())),OFFSET($BN$2,0,0,ROW()-1,60),ROW()-1,FALSE))</f>
        <v/>
      </c>
      <c r="AB121" t="str">
        <f ca="1">IF(AND(ISNUMBER($AB$245),$B$158=1),$AB$245,HLOOKUP(INDIRECT(ADDRESS(2,COLUMN())),OFFSET($BN$2,0,0,ROW()-1,60),ROW()-1,FALSE))</f>
        <v/>
      </c>
      <c r="AC121" t="str">
        <f ca="1">IF(AND(ISNUMBER($AC$245),$B$158=1),$AC$245,HLOOKUP(INDIRECT(ADDRESS(2,COLUMN())),OFFSET($BN$2,0,0,ROW()-1,60),ROW()-1,FALSE))</f>
        <v/>
      </c>
      <c r="AD121">
        <f ca="1">IF(AND(ISNUMBER($AD$245),$B$158=1),$AD$245,HLOOKUP(INDIRECT(ADDRESS(2,COLUMN())),OFFSET($BN$2,0,0,ROW()-1,60),ROW()-1,FALSE))</f>
        <v>884</v>
      </c>
      <c r="AE121" t="str">
        <f ca="1">IF(AND(ISNUMBER($AE$245),$B$158=1),$AE$245,HLOOKUP(INDIRECT(ADDRESS(2,COLUMN())),OFFSET($BN$2,0,0,ROW()-1,60),ROW()-1,FALSE))</f>
        <v/>
      </c>
      <c r="AF121" t="str">
        <f ca="1">IF(AND(ISNUMBER($AF$245),$B$158=1),$AF$245,HLOOKUP(INDIRECT(ADDRESS(2,COLUMN())),OFFSET($BN$2,0,0,ROW()-1,60),ROW()-1,FALSE))</f>
        <v/>
      </c>
      <c r="AG121" t="str">
        <f ca="1">IF(AND(ISNUMBER($AG$245),$B$158=1),$AG$245,HLOOKUP(INDIRECT(ADDRESS(2,COLUMN())),OFFSET($BN$2,0,0,ROW()-1,60),ROW()-1,FALSE))</f>
        <v/>
      </c>
      <c r="AH121">
        <f ca="1">IF(AND(ISNUMBER($AH$245),$B$158=1),$AH$245,HLOOKUP(INDIRECT(ADDRESS(2,COLUMN())),OFFSET($BN$2,0,0,ROW()-1,60),ROW()-1,FALSE))</f>
        <v>756.3</v>
      </c>
      <c r="AI121" t="str">
        <f ca="1">IF(AND(ISNUMBER($AI$245),$B$158=1),$AI$245,HLOOKUP(INDIRECT(ADDRESS(2,COLUMN())),OFFSET($BN$2,0,0,ROW()-1,60),ROW()-1,FALSE))</f>
        <v/>
      </c>
      <c r="AJ121" t="str">
        <f ca="1">IF(AND(ISNUMBER($AJ$245),$B$158=1),$AJ$245,HLOOKUP(INDIRECT(ADDRESS(2,COLUMN())),OFFSET($BN$2,0,0,ROW()-1,60),ROW()-1,FALSE))</f>
        <v/>
      </c>
      <c r="AK121">
        <f ca="1">IF(AND(ISNUMBER($AK$245),$B$158=1),$AK$245,HLOOKUP(INDIRECT(ADDRESS(2,COLUMN())),OFFSET($BN$2,0,0,ROW()-1,60),ROW()-1,FALSE))</f>
        <v>730</v>
      </c>
      <c r="AL121" t="str">
        <f ca="1">IF(AND(ISNUMBER($AL$245),$B$158=1),$AL$245,HLOOKUP(INDIRECT(ADDRESS(2,COLUMN())),OFFSET($BN$2,0,0,ROW()-1,60),ROW()-1,FALSE))</f>
        <v/>
      </c>
      <c r="AM121" t="str">
        <f ca="1">IF(AND(ISNUMBER($AM$245),$B$158=1),$AM$245,HLOOKUP(INDIRECT(ADDRESS(2,COLUMN())),OFFSET($BN$2,0,0,ROW()-1,60),ROW()-1,FALSE))</f>
        <v/>
      </c>
      <c r="AN121" t="str">
        <f ca="1">IF(AND(ISNUMBER($AN$245),$B$158=1),$AN$245,HLOOKUP(INDIRECT(ADDRESS(2,COLUMN())),OFFSET($BN$2,0,0,ROW()-1,60),ROW()-1,FALSE))</f>
        <v/>
      </c>
      <c r="AO121">
        <f ca="1">IF(AND(ISNUMBER($AO$245),$B$158=1),$AO$245,HLOOKUP(INDIRECT(ADDRESS(2,COLUMN())),OFFSET($BN$2,0,0,ROW()-1,60),ROW()-1,FALSE))</f>
        <v>782</v>
      </c>
      <c r="AP121" t="str">
        <f ca="1">IF(AND(ISNUMBER($AP$245),$B$158=1),$AP$245,HLOOKUP(INDIRECT(ADDRESS(2,COLUMN())),OFFSET($BN$2,0,0,ROW()-1,60),ROW()-1,FALSE))</f>
        <v/>
      </c>
      <c r="AQ121" t="str">
        <f ca="1">IF(AND(ISNUMBER($AQ$245),$B$158=1),$AQ$245,HLOOKUP(INDIRECT(ADDRESS(2,COLUMN())),OFFSET($BN$2,0,0,ROW()-1,60),ROW()-1,FALSE))</f>
        <v/>
      </c>
      <c r="AR121" t="str">
        <f ca="1">IF(AND(ISNUMBER($AR$245),$B$158=1),$AR$245,HLOOKUP(INDIRECT(ADDRESS(2,COLUMN())),OFFSET($BN$2,0,0,ROW()-1,60),ROW()-1,FALSE))</f>
        <v/>
      </c>
      <c r="AS121" t="str">
        <f ca="1">IF(AND(ISNUMBER($AS$245),$B$158=1),$AS$245,HLOOKUP(INDIRECT(ADDRESS(2,COLUMN())),OFFSET($BN$2,0,0,ROW()-1,60),ROW()-1,FALSE))</f>
        <v/>
      </c>
      <c r="AT121" t="str">
        <f ca="1">IF(AND(ISNUMBER($AT$245),$B$158=1),$AT$245,HLOOKUP(INDIRECT(ADDRESS(2,COLUMN())),OFFSET($BN$2,0,0,ROW()-1,60),ROW()-1,FALSE))</f>
        <v/>
      </c>
      <c r="AU121" t="str">
        <f ca="1">IF(AND(ISNUMBER($AU$245),$B$158=1),$AU$245,HLOOKUP(INDIRECT(ADDRESS(2,COLUMN())),OFFSET($BN$2,0,0,ROW()-1,60),ROW()-1,FALSE))</f>
        <v/>
      </c>
      <c r="AV121" t="str">
        <f ca="1">IF(AND(ISNUMBER($AV$245),$B$158=1),$AV$245,HLOOKUP(INDIRECT(ADDRESS(2,COLUMN())),OFFSET($BN$2,0,0,ROW()-1,60),ROW()-1,FALSE))</f>
        <v/>
      </c>
      <c r="AW121" t="str">
        <f ca="1">IF(AND(ISNUMBER($AW$245),$B$158=1),$AW$245,HLOOKUP(INDIRECT(ADDRESS(2,COLUMN())),OFFSET($BN$2,0,0,ROW()-1,60),ROW()-1,FALSE))</f>
        <v/>
      </c>
      <c r="AX121">
        <f ca="1">IF(AND(ISNUMBER($AX$245),$B$158=1),$AX$245,HLOOKUP(INDIRECT(ADDRESS(2,COLUMN())),OFFSET($BN$2,0,0,ROW()-1,60),ROW()-1,FALSE))</f>
        <v>623.4</v>
      </c>
      <c r="AY121" t="str">
        <f ca="1">IF(AND(ISNUMBER($AY$245),$B$158=1),$AY$245,HLOOKUP(INDIRECT(ADDRESS(2,COLUMN())),OFFSET($BN$2,0,0,ROW()-1,60),ROW()-1,FALSE))</f>
        <v/>
      </c>
      <c r="AZ121" t="str">
        <f ca="1">IF(AND(ISNUMBER($AZ$245),$B$158=1),$AZ$245,HLOOKUP(INDIRECT(ADDRESS(2,COLUMN())),OFFSET($BN$2,0,0,ROW()-1,60),ROW()-1,FALSE))</f>
        <v/>
      </c>
      <c r="BA121" t="str">
        <f ca="1">IF(AND(ISNUMBER($BA$245),$B$158=1),$BA$245,HLOOKUP(INDIRECT(ADDRESS(2,COLUMN())),OFFSET($BN$2,0,0,ROW()-1,60),ROW()-1,FALSE))</f>
        <v/>
      </c>
      <c r="BB121">
        <f ca="1">IF(AND(ISNUMBER($BB$245),$B$158=1),$BB$245,HLOOKUP(INDIRECT(ADDRESS(2,COLUMN())),OFFSET($BN$2,0,0,ROW()-1,60),ROW()-1,FALSE))</f>
        <v>486.2</v>
      </c>
      <c r="BC121">
        <f ca="1">IF(AND(ISNUMBER($BC$245),$B$158=1),$BC$245,HLOOKUP(INDIRECT(ADDRESS(2,COLUMN())),OFFSET($BN$2,0,0,ROW()-1,60),ROW()-1,FALSE))</f>
        <v>673.4</v>
      </c>
      <c r="BD121" t="str">
        <f ca="1">IF(AND(ISNUMBER($BD$245),$B$158=1),$BD$245,HLOOKUP(INDIRECT(ADDRESS(2,COLUMN())),OFFSET($BN$2,0,0,ROW()-1,60),ROW()-1,FALSE))</f>
        <v/>
      </c>
      <c r="BE121" t="str">
        <f ca="1">IF(AND(ISNUMBER($BE$245),$B$158=1),$BE$245,HLOOKUP(INDIRECT(ADDRESS(2,COLUMN())),OFFSET($BN$2,0,0,ROW()-1,60),ROW()-1,FALSE))</f>
        <v/>
      </c>
      <c r="BF121" t="str">
        <f ca="1">IF(AND(ISNUMBER($BF$245),$B$158=1),$BF$245,HLOOKUP(INDIRECT(ADDRESS(2,COLUMN())),OFFSET($BN$2,0,0,ROW()-1,60),ROW()-1,FALSE))</f>
        <v/>
      </c>
      <c r="BG121" t="str">
        <f ca="1">IF(AND(ISNUMBER($BG$245),$B$158=1),$BG$245,HLOOKUP(INDIRECT(ADDRESS(2,COLUMN())),OFFSET($BN$2,0,0,ROW()-1,60),ROW()-1,FALSE))</f>
        <v/>
      </c>
      <c r="BH121" t="str">
        <f ca="1">IF(AND(ISNUMBER($BH$245),$B$158=1),$BH$245,HLOOKUP(INDIRECT(ADDRESS(2,COLUMN())),OFFSET($BN$2,0,0,ROW()-1,60),ROW()-1,FALSE))</f>
        <v/>
      </c>
      <c r="BI121" t="str">
        <f ca="1">IF(AND(ISNUMBER($BI$245),$B$158=1),$BI$245,HLOOKUP(INDIRECT(ADDRESS(2,COLUMN())),OFFSET($BN$2,0,0,ROW()-1,60),ROW()-1,FALSE))</f>
        <v/>
      </c>
      <c r="BJ121" t="str">
        <f ca="1">IF(AND(ISNUMBER($BJ$245),$B$158=1),$BJ$245,HLOOKUP(INDIRECT(ADDRESS(2,COLUMN())),OFFSET($BN$2,0,0,ROW()-1,60),ROW()-1,FALSE))</f>
        <v/>
      </c>
      <c r="BK121" t="str">
        <f ca="1">IF(AND(ISNUMBER($BK$245),$B$158=1),$BK$245,HLOOKUP(INDIRECT(ADDRESS(2,COLUMN())),OFFSET($BN$2,0,0,ROW()-1,60),ROW()-1,FALSE))</f>
        <v/>
      </c>
      <c r="BL121" t="str">
        <f ca="1">IF(AND(ISNUMBER($BL$245),$B$158=1),$BL$245,HLOOKUP(INDIRECT(ADDRESS(2,COLUMN())),OFFSET($BN$2,0,0,ROW()-1,60),ROW()-1,FALSE))</f>
        <v/>
      </c>
      <c r="BM121" t="str">
        <f ca="1">IF(AND(ISNUMBER($BM$245),$B$158=1),$BM$245,HLOOKUP(INDIRECT(ADDRESS(2,COLUMN())),OFFSET($BN$2,0,0,ROW()-1,60),ROW()-1,FALSE))</f>
        <v/>
      </c>
      <c r="BN121" t="str">
        <f>""</f>
        <v/>
      </c>
      <c r="BO121" t="str">
        <f>""</f>
        <v/>
      </c>
      <c r="BP121" t="str">
        <f>""</f>
        <v/>
      </c>
      <c r="BQ121" t="str">
        <f>""</f>
        <v/>
      </c>
      <c r="BR121" t="str">
        <f>""</f>
        <v/>
      </c>
      <c r="BS121" t="str">
        <f>""</f>
        <v/>
      </c>
      <c r="BT121" t="str">
        <f>""</f>
        <v/>
      </c>
      <c r="BU121" t="str">
        <f>""</f>
        <v/>
      </c>
      <c r="BV121" t="str">
        <f>""</f>
        <v/>
      </c>
      <c r="BW121" t="str">
        <f>""</f>
        <v/>
      </c>
      <c r="BX121" t="str">
        <f>""</f>
        <v/>
      </c>
      <c r="BY121" t="str">
        <f>""</f>
        <v/>
      </c>
      <c r="BZ121" t="str">
        <f>""</f>
        <v/>
      </c>
      <c r="CA121" t="str">
        <f>""</f>
        <v/>
      </c>
      <c r="CB121" t="str">
        <f>""</f>
        <v/>
      </c>
      <c r="CC121" t="str">
        <f>""</f>
        <v/>
      </c>
      <c r="CD121" t="str">
        <f>""</f>
        <v/>
      </c>
      <c r="CE121" t="str">
        <f>""</f>
        <v/>
      </c>
      <c r="CF121" t="str">
        <f>""</f>
        <v/>
      </c>
      <c r="CG121" t="str">
        <f>""</f>
        <v/>
      </c>
      <c r="CH121" t="str">
        <f>""</f>
        <v/>
      </c>
      <c r="CI121" t="str">
        <f>""</f>
        <v/>
      </c>
      <c r="CJ121" t="str">
        <f>""</f>
        <v/>
      </c>
      <c r="CK121" t="str">
        <f>""</f>
        <v/>
      </c>
      <c r="CL121">
        <f>884</f>
        <v>884</v>
      </c>
      <c r="CM121" t="str">
        <f>""</f>
        <v/>
      </c>
      <c r="CN121" t="str">
        <f>""</f>
        <v/>
      </c>
      <c r="CO121" t="str">
        <f>""</f>
        <v/>
      </c>
      <c r="CP121">
        <f>756.3</f>
        <v>756.3</v>
      </c>
      <c r="CQ121" t="str">
        <f>""</f>
        <v/>
      </c>
      <c r="CR121" t="str">
        <f>""</f>
        <v/>
      </c>
      <c r="CS121">
        <f>730</f>
        <v>730</v>
      </c>
      <c r="CT121" t="str">
        <f>""</f>
        <v/>
      </c>
      <c r="CU121" t="str">
        <f>""</f>
        <v/>
      </c>
      <c r="CV121" t="str">
        <f>""</f>
        <v/>
      </c>
      <c r="CW121">
        <f>782</f>
        <v>782</v>
      </c>
      <c r="CX121" t="str">
        <f>""</f>
        <v/>
      </c>
      <c r="CY121" t="str">
        <f>""</f>
        <v/>
      </c>
      <c r="CZ121" t="str">
        <f>""</f>
        <v/>
      </c>
      <c r="DA121" t="str">
        <f>""</f>
        <v/>
      </c>
      <c r="DB121" t="str">
        <f>""</f>
        <v/>
      </c>
      <c r="DC121" t="str">
        <f>""</f>
        <v/>
      </c>
      <c r="DD121" t="str">
        <f>""</f>
        <v/>
      </c>
      <c r="DE121" t="str">
        <f>""</f>
        <v/>
      </c>
      <c r="DF121">
        <f>623.4</f>
        <v>623.4</v>
      </c>
      <c r="DG121" t="str">
        <f>""</f>
        <v/>
      </c>
      <c r="DH121" t="str">
        <f>""</f>
        <v/>
      </c>
      <c r="DI121" t="str">
        <f>""</f>
        <v/>
      </c>
      <c r="DJ121">
        <f>486.2</f>
        <v>486.2</v>
      </c>
      <c r="DK121">
        <f>673.4</f>
        <v>673.4</v>
      </c>
      <c r="DL121" t="str">
        <f>""</f>
        <v/>
      </c>
      <c r="DM121" t="str">
        <f>""</f>
        <v/>
      </c>
      <c r="DN121" t="str">
        <f>""</f>
        <v/>
      </c>
      <c r="DO121" t="str">
        <f>""</f>
        <v/>
      </c>
      <c r="DP121" t="str">
        <f>""</f>
        <v/>
      </c>
      <c r="DQ121" t="str">
        <f>""</f>
        <v/>
      </c>
      <c r="DR121" t="str">
        <f>""</f>
        <v/>
      </c>
      <c r="DS121" t="str">
        <f>""</f>
        <v/>
      </c>
      <c r="DT121" t="str">
        <f>""</f>
        <v/>
      </c>
      <c r="DU121" t="str">
        <f>""</f>
        <v/>
      </c>
    </row>
    <row r="122" spans="1:125" x14ac:dyDescent="0.25">
      <c r="A122" t="str">
        <f>"                of Total Kering Sales (%)"</f>
        <v xml:space="preserve">                of Total Kering Sales (%)</v>
      </c>
      <c r="B122" t="str">
        <f t="shared" si="66"/>
        <v>KER FP Equity</v>
      </c>
      <c r="E122" t="str">
        <f>"Expression"</f>
        <v>Expression</v>
      </c>
      <c r="F122" t="str">
        <f ca="1">IF(AND($B$158=1,LEN($F$169) * LEN($F$121)&gt;0),($F$121/$F$169)*100,HLOOKUP(INDIRECT(ADDRESS(2,COLUMN())),OFFSET($BN$2,0,0,ROW()-1,60),ROW()-1,FALSE))</f>
        <v/>
      </c>
      <c r="G122" t="str">
        <f ca="1">IF(AND($B$158=1,LEN($G$169) * LEN($G$121)&gt;0),($G$121/$G$169)*100,HLOOKUP(INDIRECT(ADDRESS(2,COLUMN())),OFFSET($BN$2,0,0,ROW()-1,60),ROW()-1,FALSE))</f>
        <v/>
      </c>
      <c r="H122" t="str">
        <f ca="1">IF(AND($B$158=1,LEN($H$169) * LEN($H$121)&gt;0),($H$121/$H$169)*100,HLOOKUP(INDIRECT(ADDRESS(2,COLUMN())),OFFSET($BN$2,0,0,ROW()-1,60),ROW()-1,FALSE))</f>
        <v/>
      </c>
      <c r="I122" t="str">
        <f ca="1">IF(AND($B$158=1,LEN($I$169) * LEN($I$121)&gt;0),($I$121/$I$169)*100,HLOOKUP(INDIRECT(ADDRESS(2,COLUMN())),OFFSET($BN$2,0,0,ROW()-1,60),ROW()-1,FALSE))</f>
        <v/>
      </c>
      <c r="J122" t="str">
        <f ca="1">IF(AND($B$158=1,LEN($J$169) * LEN($J$121)&gt;0),($J$121/$J$169)*100,HLOOKUP(INDIRECT(ADDRESS(2,COLUMN())),OFFSET($BN$2,0,0,ROW()-1,60),ROW()-1,FALSE))</f>
        <v/>
      </c>
      <c r="K122" t="str">
        <f ca="1">IF(AND($B$158=1,LEN($K$169) * LEN($K$121)&gt;0),($K$121/$K$169)*100,HLOOKUP(INDIRECT(ADDRESS(2,COLUMN())),OFFSET($BN$2,0,0,ROW()-1,60),ROW()-1,FALSE))</f>
        <v/>
      </c>
      <c r="L122" t="str">
        <f ca="1">IF(AND($B$158=1,LEN($L$169) * LEN($L$121)&gt;0),($L$121/$L$169)*100,HLOOKUP(INDIRECT(ADDRESS(2,COLUMN())),OFFSET($BN$2,0,0,ROW()-1,60),ROW()-1,FALSE))</f>
        <v/>
      </c>
      <c r="M122" t="str">
        <f ca="1">IF(AND($B$158=1,LEN($M$169) * LEN($M$121)&gt;0),($M$121/$M$169)*100,HLOOKUP(INDIRECT(ADDRESS(2,COLUMN())),OFFSET($BN$2,0,0,ROW()-1,60),ROW()-1,FALSE))</f>
        <v/>
      </c>
      <c r="N122" t="str">
        <f ca="1">IF(AND($B$158=1,LEN($N$169) * LEN($N$121)&gt;0),($N$121/$N$169)*100,HLOOKUP(INDIRECT(ADDRESS(2,COLUMN())),OFFSET($BN$2,0,0,ROW()-1,60),ROW()-1,FALSE))</f>
        <v/>
      </c>
      <c r="O122" t="str">
        <f ca="1">IF(AND($B$158=1,LEN($O$169) * LEN($O$121)&gt;0),($O$121/$O$169)*100,HLOOKUP(INDIRECT(ADDRESS(2,COLUMN())),OFFSET($BN$2,0,0,ROW()-1,60),ROW()-1,FALSE))</f>
        <v/>
      </c>
      <c r="P122" t="str">
        <f ca="1">IF(AND($B$158=1,LEN($P$169) * LEN($P$121)&gt;0),($P$121/$P$169)*100,HLOOKUP(INDIRECT(ADDRESS(2,COLUMN())),OFFSET($BN$2,0,0,ROW()-1,60),ROW()-1,FALSE))</f>
        <v/>
      </c>
      <c r="Q122" t="str">
        <f ca="1">IF(AND($B$158=1,LEN($Q$169) * LEN($Q$121)&gt;0),($Q$121/$Q$169)*100,HLOOKUP(INDIRECT(ADDRESS(2,COLUMN())),OFFSET($BN$2,0,0,ROW()-1,60),ROW()-1,FALSE))</f>
        <v/>
      </c>
      <c r="R122" t="str">
        <f ca="1">IF(AND($B$158=1,LEN($R$169) * LEN($R$121)&gt;0),($R$121/$R$169)*100,HLOOKUP(INDIRECT(ADDRESS(2,COLUMN())),OFFSET($BN$2,0,0,ROW()-1,60),ROW()-1,FALSE))</f>
        <v/>
      </c>
      <c r="S122" t="str">
        <f ca="1">IF(AND($B$158=1,LEN($S$169) * LEN($S$121)&gt;0),($S$121/$S$169)*100,HLOOKUP(INDIRECT(ADDRESS(2,COLUMN())),OFFSET($BN$2,0,0,ROW()-1,60),ROW()-1,FALSE))</f>
        <v/>
      </c>
      <c r="T122" t="str">
        <f ca="1">IF(AND($B$158=1,LEN($T$169) * LEN($T$121)&gt;0),($T$121/$T$169)*100,HLOOKUP(INDIRECT(ADDRESS(2,COLUMN())),OFFSET($BN$2,0,0,ROW()-1,60),ROW()-1,FALSE))</f>
        <v/>
      </c>
      <c r="U122" t="str">
        <f ca="1">IF(AND($B$158=1,LEN($U$169) * LEN($U$121)&gt;0),($U$121/$U$169)*100,HLOOKUP(INDIRECT(ADDRESS(2,COLUMN())),OFFSET($BN$2,0,0,ROW()-1,60),ROW()-1,FALSE))</f>
        <v/>
      </c>
      <c r="V122" t="str">
        <f ca="1">IF(AND($B$158=1,LEN($V$169) * LEN($V$121)&gt;0),($V$121/$V$169)*100,HLOOKUP(INDIRECT(ADDRESS(2,COLUMN())),OFFSET($BN$2,0,0,ROW()-1,60),ROW()-1,FALSE))</f>
        <v/>
      </c>
      <c r="W122" t="str">
        <f ca="1">IF(AND($B$158=1,LEN($W$169) * LEN($W$121)&gt;0),($W$121/$W$169)*100,HLOOKUP(INDIRECT(ADDRESS(2,COLUMN())),OFFSET($BN$2,0,0,ROW()-1,60),ROW()-1,FALSE))</f>
        <v/>
      </c>
      <c r="X122" t="str">
        <f ca="1">IF(AND($B$158=1,LEN($X$169) * LEN($X$121)&gt;0),($X$121/$X$169)*100,HLOOKUP(INDIRECT(ADDRESS(2,COLUMN())),OFFSET($BN$2,0,0,ROW()-1,60),ROW()-1,FALSE))</f>
        <v/>
      </c>
      <c r="Y122" t="str">
        <f ca="1">IF(AND($B$158=1,LEN($Y$169) * LEN($Y$121)&gt;0),($Y$121/$Y$169)*100,HLOOKUP(INDIRECT(ADDRESS(2,COLUMN())),OFFSET($BN$2,0,0,ROW()-1,60),ROW()-1,FALSE))</f>
        <v/>
      </c>
      <c r="Z122" t="str">
        <f ca="1">IF(AND($B$158=1,LEN($Z$169) * LEN($Z$121)&gt;0),($Z$121/$Z$169)*100,HLOOKUP(INDIRECT(ADDRESS(2,COLUMN())),OFFSET($BN$2,0,0,ROW()-1,60),ROW()-1,FALSE))</f>
        <v/>
      </c>
      <c r="AA122" t="str">
        <f ca="1">IF(AND($B$158=1,LEN($AA$169) * LEN($AA$121)&gt;0),($AA$121/$AA$169)*100,HLOOKUP(INDIRECT(ADDRESS(2,COLUMN())),OFFSET($BN$2,0,0,ROW()-1,60),ROW()-1,FALSE))</f>
        <v/>
      </c>
      <c r="AB122" t="str">
        <f ca="1">IF(AND($B$158=1,LEN($AB$169) * LEN($AB$121)&gt;0),($AB$121/$AB$169)*100,HLOOKUP(INDIRECT(ADDRESS(2,COLUMN())),OFFSET($BN$2,0,0,ROW()-1,60),ROW()-1,FALSE))</f>
        <v/>
      </c>
      <c r="AC122" t="str">
        <f ca="1">IF(AND($B$158=1,LEN($AC$169) * LEN($AC$121)&gt;0),($AC$121/$AC$169)*100,HLOOKUP(INDIRECT(ADDRESS(2,COLUMN())),OFFSET($BN$2,0,0,ROW()-1,60),ROW()-1,FALSE))</f>
        <v/>
      </c>
      <c r="AD122">
        <f ca="1">IF(AND($B$158=1,LEN($AD$169) * LEN($AD$121)&gt;0),($AD$121/$AD$169)*100,HLOOKUP(INDIRECT(ADDRESS(2,COLUMN())),OFFSET($BN$2,0,0,ROW()-1,60),ROW()-1,FALSE))</f>
        <v>27.829371949999999</v>
      </c>
      <c r="AE122" t="str">
        <f ca="1">IF(AND($B$158=1,LEN($AE$169) * LEN($AE$121)&gt;0),($AE$121/$AE$169)*100,HLOOKUP(INDIRECT(ADDRESS(2,COLUMN())),OFFSET($BN$2,0,0,ROW()-1,60),ROW()-1,FALSE))</f>
        <v/>
      </c>
      <c r="AF122" t="str">
        <f ca="1">IF(AND($B$158=1,LEN($AF$169) * LEN($AF$121)&gt;0),($AF$121/$AF$169)*100,HLOOKUP(INDIRECT(ADDRESS(2,COLUMN())),OFFSET($BN$2,0,0,ROW()-1,60),ROW()-1,FALSE))</f>
        <v/>
      </c>
      <c r="AG122" t="str">
        <f ca="1">IF(AND($B$158=1,LEN($AG$169) * LEN($AG$121)&gt;0),($AG$121/$AG$169)*100,HLOOKUP(INDIRECT(ADDRESS(2,COLUMN())),OFFSET($BN$2,0,0,ROW()-1,60),ROW()-1,FALSE))</f>
        <v/>
      </c>
      <c r="AH122">
        <f ca="1">IF(AND($B$158=1,LEN($AH$169) * LEN($AH$121)&gt;0),($AH$121/$AH$169)*100,HLOOKUP(INDIRECT(ADDRESS(2,COLUMN())),OFFSET($BN$2,0,0,ROW()-1,60),ROW()-1,FALSE))</f>
        <v>27.584068859999999</v>
      </c>
      <c r="AI122" t="str">
        <f ca="1">IF(AND($B$158=1,LEN($AI$169) * LEN($AI$121)&gt;0),($AI$121/$AI$169)*100,HLOOKUP(INDIRECT(ADDRESS(2,COLUMN())),OFFSET($BN$2,0,0,ROW()-1,60),ROW()-1,FALSE))</f>
        <v/>
      </c>
      <c r="AJ122" t="str">
        <f ca="1">IF(AND($B$158=1,LEN($AJ$169) * LEN($AJ$121)&gt;0),($AJ$121/$AJ$169)*100,HLOOKUP(INDIRECT(ADDRESS(2,COLUMN())),OFFSET($BN$2,0,0,ROW()-1,60),ROW()-1,FALSE))</f>
        <v/>
      </c>
      <c r="AK122">
        <f ca="1">IF(AND($B$158=1,LEN($AK$169) * LEN($AK$121)&gt;0),($AK$121/$AK$169)*100,HLOOKUP(INDIRECT(ADDRESS(2,COLUMN())),OFFSET($BN$2,0,0,ROW()-1,60),ROW()-1,FALSE))</f>
        <v>30.44203503</v>
      </c>
      <c r="AL122" t="str">
        <f ca="1">IF(AND($B$158=1,LEN($AL$169) * LEN($AL$121)&gt;0),($AL$121/$AL$169)*100,HLOOKUP(INDIRECT(ADDRESS(2,COLUMN())),OFFSET($BN$2,0,0,ROW()-1,60),ROW()-1,FALSE))</f>
        <v/>
      </c>
      <c r="AM122" t="str">
        <f ca="1">IF(AND($B$158=1,LEN($AM$169) * LEN($AM$121)&gt;0),($AM$121/$AM$169)*100,HLOOKUP(INDIRECT(ADDRESS(2,COLUMN())),OFFSET($BN$2,0,0,ROW()-1,60),ROW()-1,FALSE))</f>
        <v/>
      </c>
      <c r="AN122" t="str">
        <f ca="1">IF(AND($B$158=1,LEN($AN$169) * LEN($AN$121)&gt;0),($AN$121/$AN$169)*100,HLOOKUP(INDIRECT(ADDRESS(2,COLUMN())),OFFSET($BN$2,0,0,ROW()-1,60),ROW()-1,FALSE))</f>
        <v/>
      </c>
      <c r="AO122">
        <f ca="1">IF(AND($B$158=1,LEN($AO$169) * LEN($AO$121)&gt;0),($AO$121/$AO$169)*100,HLOOKUP(INDIRECT(ADDRESS(2,COLUMN())),OFFSET($BN$2,0,0,ROW()-1,60),ROW()-1,FALSE))</f>
        <v>32.990212620000001</v>
      </c>
      <c r="AP122" t="str">
        <f ca="1">IF(AND($B$158=1,LEN($AP$169) * LEN($AP$121)&gt;0),($AP$121/$AP$169)*100,HLOOKUP(INDIRECT(ADDRESS(2,COLUMN())),OFFSET($BN$2,0,0,ROW()-1,60),ROW()-1,FALSE))</f>
        <v/>
      </c>
      <c r="AQ122" t="str">
        <f ca="1">IF(AND($B$158=1,LEN($AQ$169) * LEN($AQ$121)&gt;0),($AQ$121/$AQ$169)*100,HLOOKUP(INDIRECT(ADDRESS(2,COLUMN())),OFFSET($BN$2,0,0,ROW()-1,60),ROW()-1,FALSE))</f>
        <v/>
      </c>
      <c r="AR122" t="str">
        <f ca="1">IF(AND($B$158=1,LEN($AR$169) * LEN($AR$121)&gt;0),($AR$121/$AR$169)*100,HLOOKUP(INDIRECT(ADDRESS(2,COLUMN())),OFFSET($BN$2,0,0,ROW()-1,60),ROW()-1,FALSE))</f>
        <v/>
      </c>
      <c r="AS122" t="str">
        <f ca="1">IF(AND($B$158=1,LEN($AS$169) * LEN($AS$121)&gt;0),($AS$121/$AS$169)*100,HLOOKUP(INDIRECT(ADDRESS(2,COLUMN())),OFFSET($BN$2,0,0,ROW()-1,60),ROW()-1,FALSE))</f>
        <v/>
      </c>
      <c r="AT122" t="str">
        <f ca="1">IF(AND($B$158=1,LEN($AT$169) * LEN($AT$121)&gt;0),($AT$121/$AT$169)*100,HLOOKUP(INDIRECT(ADDRESS(2,COLUMN())),OFFSET($BN$2,0,0,ROW()-1,60),ROW()-1,FALSE))</f>
        <v/>
      </c>
      <c r="AU122" t="str">
        <f ca="1">IF(AND($B$158=1,LEN($AU$169) * LEN($AU$121)&gt;0),($AU$121/$AU$169)*100,HLOOKUP(INDIRECT(ADDRESS(2,COLUMN())),OFFSET($BN$2,0,0,ROW()-1,60),ROW()-1,FALSE))</f>
        <v/>
      </c>
      <c r="AV122" t="str">
        <f ca="1">IF(AND($B$158=1,LEN($AV$169) * LEN($AV$121)&gt;0),($AV$121/$AV$169)*100,HLOOKUP(INDIRECT(ADDRESS(2,COLUMN())),OFFSET($BN$2,0,0,ROW()-1,60),ROW()-1,FALSE))</f>
        <v/>
      </c>
      <c r="AW122" t="str">
        <f ca="1">IF(AND($B$158=1,LEN($AW$169) * LEN($AW$121)&gt;0),($AW$121/$AW$169)*100,HLOOKUP(INDIRECT(ADDRESS(2,COLUMN())),OFFSET($BN$2,0,0,ROW()-1,60),ROW()-1,FALSE))</f>
        <v/>
      </c>
      <c r="AX122">
        <f ca="1">IF(AND($B$158=1,LEN($AX$169) * LEN($AX$121)&gt;0),($AX$121/$AX$169)*100,HLOOKUP(INDIRECT(ADDRESS(2,COLUMN())),OFFSET($BN$2,0,0,ROW()-1,60),ROW()-1,FALSE))</f>
        <v>14.68239949</v>
      </c>
      <c r="AY122" t="str">
        <f ca="1">IF(AND($B$158=1,LEN($AY$169) * LEN($AY$121)&gt;0),($AY$121/$AY$169)*100,HLOOKUP(INDIRECT(ADDRESS(2,COLUMN())),OFFSET($BN$2,0,0,ROW()-1,60),ROW()-1,FALSE))</f>
        <v/>
      </c>
      <c r="AZ122" t="str">
        <f ca="1">IF(AND($B$158=1,LEN($AZ$169) * LEN($AZ$121)&gt;0),($AZ$121/$AZ$169)*100,HLOOKUP(INDIRECT(ADDRESS(2,COLUMN())),OFFSET($BN$2,0,0,ROW()-1,60),ROW()-1,FALSE))</f>
        <v/>
      </c>
      <c r="BA122" t="str">
        <f ca="1">IF(AND($B$158=1,LEN($BA$169) * LEN($BA$121)&gt;0),($BA$121/$BA$169)*100,HLOOKUP(INDIRECT(ADDRESS(2,COLUMN())),OFFSET($BN$2,0,0,ROW()-1,60),ROW()-1,FALSE))</f>
        <v/>
      </c>
      <c r="BB122">
        <f ca="1">IF(AND($B$158=1,LEN($BB$169) * LEN($BB$121)&gt;0),($BB$121/$BB$169)*100,HLOOKUP(INDIRECT(ADDRESS(2,COLUMN())),OFFSET($BN$2,0,0,ROW()-1,60),ROW()-1,FALSE))</f>
        <v>10.289511559999999</v>
      </c>
      <c r="BC122">
        <f ca="1">IF(AND($B$158=1,LEN($BC$169) * LEN($BC$121)&gt;0),($BC$121/$BC$169)*100,HLOOKUP(INDIRECT(ADDRESS(2,COLUMN())),OFFSET($BN$2,0,0,ROW()-1,60),ROW()-1,FALSE))</f>
        <v>14.757187310000001</v>
      </c>
      <c r="BD122" t="str">
        <f ca="1">IF(AND($B$158=1,LEN($BD$169) * LEN($BD$121)&gt;0),($BD$121/$BD$169)*100,HLOOKUP(INDIRECT(ADDRESS(2,COLUMN())),OFFSET($BN$2,0,0,ROW()-1,60),ROW()-1,FALSE))</f>
        <v/>
      </c>
      <c r="BE122" t="str">
        <f ca="1">IF(AND($B$158=1,LEN($BE$169) * LEN($BE$121)&gt;0),($BE$121/$BE$169)*100,HLOOKUP(INDIRECT(ADDRESS(2,COLUMN())),OFFSET($BN$2,0,0,ROW()-1,60),ROW()-1,FALSE))</f>
        <v/>
      </c>
      <c r="BF122" t="str">
        <f ca="1">IF(AND($B$158=1,LEN($BF$169) * LEN($BF$121)&gt;0),($BF$121/$BF$169)*100,HLOOKUP(INDIRECT(ADDRESS(2,COLUMN())),OFFSET($BN$2,0,0,ROW()-1,60),ROW()-1,FALSE))</f>
        <v/>
      </c>
      <c r="BG122" t="str">
        <f ca="1">IF(AND($B$158=1,LEN($BG$169) * LEN($BG$121)&gt;0),($BG$121/$BG$169)*100,HLOOKUP(INDIRECT(ADDRESS(2,COLUMN())),OFFSET($BN$2,0,0,ROW()-1,60),ROW()-1,FALSE))</f>
        <v/>
      </c>
      <c r="BH122" t="str">
        <f ca="1">IF(AND($B$158=1,LEN($BH$169) * LEN($BH$121)&gt;0),($BH$121/$BH$169)*100,HLOOKUP(INDIRECT(ADDRESS(2,COLUMN())),OFFSET($BN$2,0,0,ROW()-1,60),ROW()-1,FALSE))</f>
        <v/>
      </c>
      <c r="BI122" t="str">
        <f ca="1">IF(AND($B$158=1,LEN($BI$169) * LEN($BI$121)&gt;0),($BI$121/$BI$169)*100,HLOOKUP(INDIRECT(ADDRESS(2,COLUMN())),OFFSET($BN$2,0,0,ROW()-1,60),ROW()-1,FALSE))</f>
        <v/>
      </c>
      <c r="BJ122" t="str">
        <f ca="1">IF(AND($B$158=1,LEN($BJ$169) * LEN($BJ$121)&gt;0),($BJ$121/$BJ$169)*100,HLOOKUP(INDIRECT(ADDRESS(2,COLUMN())),OFFSET($BN$2,0,0,ROW()-1,60),ROW()-1,FALSE))</f>
        <v/>
      </c>
      <c r="BK122" t="str">
        <f ca="1">IF(AND($B$158=1,LEN($BK$169) * LEN($BK$121)&gt;0),($BK$121/$BK$169)*100,HLOOKUP(INDIRECT(ADDRESS(2,COLUMN())),OFFSET($BN$2,0,0,ROW()-1,60),ROW()-1,FALSE))</f>
        <v/>
      </c>
      <c r="BL122" t="str">
        <f ca="1">IF(AND($B$158=1,LEN($BL$169) * LEN($BL$121)&gt;0),($BL$121/$BL$169)*100,HLOOKUP(INDIRECT(ADDRESS(2,COLUMN())),OFFSET($BN$2,0,0,ROW()-1,60),ROW()-1,FALSE))</f>
        <v/>
      </c>
      <c r="BM122" t="str">
        <f ca="1">IF(AND($B$158=1,LEN($BM$169) * LEN($BM$121)&gt;0),($BM$121/$BM$169)*100,HLOOKUP(INDIRECT(ADDRESS(2,COLUMN())),OFFSET($BN$2,0,0,ROW()-1,60),ROW()-1,FALSE))</f>
        <v/>
      </c>
      <c r="BN122" t="str">
        <f>""</f>
        <v/>
      </c>
      <c r="BO122" t="str">
        <f>""</f>
        <v/>
      </c>
      <c r="BP122" t="str">
        <f>""</f>
        <v/>
      </c>
      <c r="BQ122" t="str">
        <f>""</f>
        <v/>
      </c>
      <c r="BR122" t="str">
        <f>""</f>
        <v/>
      </c>
      <c r="BS122" t="str">
        <f>""</f>
        <v/>
      </c>
      <c r="BT122" t="str">
        <f>""</f>
        <v/>
      </c>
      <c r="BU122" t="str">
        <f>""</f>
        <v/>
      </c>
      <c r="BV122" t="str">
        <f>""</f>
        <v/>
      </c>
      <c r="BW122" t="str">
        <f>""</f>
        <v/>
      </c>
      <c r="BX122" t="str">
        <f>""</f>
        <v/>
      </c>
      <c r="BY122" t="str">
        <f>""</f>
        <v/>
      </c>
      <c r="BZ122" t="str">
        <f>""</f>
        <v/>
      </c>
      <c r="CA122" t="str">
        <f>""</f>
        <v/>
      </c>
      <c r="CB122" t="str">
        <f>""</f>
        <v/>
      </c>
      <c r="CC122" t="str">
        <f>""</f>
        <v/>
      </c>
      <c r="CD122" t="str">
        <f>""</f>
        <v/>
      </c>
      <c r="CE122" t="str">
        <f>""</f>
        <v/>
      </c>
      <c r="CF122" t="str">
        <f>""</f>
        <v/>
      </c>
      <c r="CG122" t="str">
        <f>""</f>
        <v/>
      </c>
      <c r="CH122" t="str">
        <f>""</f>
        <v/>
      </c>
      <c r="CI122" t="str">
        <f>""</f>
        <v/>
      </c>
      <c r="CJ122" t="str">
        <f>""</f>
        <v/>
      </c>
      <c r="CK122" t="str">
        <f>""</f>
        <v/>
      </c>
      <c r="CL122">
        <f>27.82937195</f>
        <v>27.829371949999999</v>
      </c>
      <c r="CM122" t="str">
        <f>""</f>
        <v/>
      </c>
      <c r="CN122" t="str">
        <f>""</f>
        <v/>
      </c>
      <c r="CO122" t="str">
        <f>""</f>
        <v/>
      </c>
      <c r="CP122">
        <f>27.58406886</f>
        <v>27.584068859999999</v>
      </c>
      <c r="CQ122" t="str">
        <f>""</f>
        <v/>
      </c>
      <c r="CR122" t="str">
        <f>""</f>
        <v/>
      </c>
      <c r="CS122">
        <f>30.44203503</f>
        <v>30.44203503</v>
      </c>
      <c r="CT122" t="str">
        <f>""</f>
        <v/>
      </c>
      <c r="CU122" t="str">
        <f>""</f>
        <v/>
      </c>
      <c r="CV122" t="str">
        <f>""</f>
        <v/>
      </c>
      <c r="CW122">
        <f>32.99021262</f>
        <v>32.990212620000001</v>
      </c>
      <c r="CX122" t="str">
        <f>""</f>
        <v/>
      </c>
      <c r="CY122" t="str">
        <f>""</f>
        <v/>
      </c>
      <c r="CZ122" t="str">
        <f>""</f>
        <v/>
      </c>
      <c r="DA122" t="str">
        <f>""</f>
        <v/>
      </c>
      <c r="DB122" t="str">
        <f>""</f>
        <v/>
      </c>
      <c r="DC122" t="str">
        <f>""</f>
        <v/>
      </c>
      <c r="DD122" t="str">
        <f>""</f>
        <v/>
      </c>
      <c r="DE122" t="str">
        <f>""</f>
        <v/>
      </c>
      <c r="DF122">
        <f>14.68239949</f>
        <v>14.68239949</v>
      </c>
      <c r="DG122" t="str">
        <f>""</f>
        <v/>
      </c>
      <c r="DH122" t="str">
        <f>""</f>
        <v/>
      </c>
      <c r="DI122" t="str">
        <f>""</f>
        <v/>
      </c>
      <c r="DJ122">
        <f>10.28951156</f>
        <v>10.289511559999999</v>
      </c>
      <c r="DK122">
        <f>14.75718731</f>
        <v>14.757187310000001</v>
      </c>
      <c r="DL122" t="str">
        <f>""</f>
        <v/>
      </c>
      <c r="DM122" t="str">
        <f>""</f>
        <v/>
      </c>
      <c r="DN122" t="str">
        <f>""</f>
        <v/>
      </c>
      <c r="DO122" t="str">
        <f>""</f>
        <v/>
      </c>
      <c r="DP122" t="str">
        <f>""</f>
        <v/>
      </c>
      <c r="DQ122" t="str">
        <f>""</f>
        <v/>
      </c>
      <c r="DR122" t="str">
        <f>""</f>
        <v/>
      </c>
      <c r="DS122" t="str">
        <f>""</f>
        <v/>
      </c>
      <c r="DT122" t="str">
        <f>""</f>
        <v/>
      </c>
      <c r="DU122" t="str">
        <f>""</f>
        <v/>
      </c>
    </row>
    <row r="123" spans="1:125" x14ac:dyDescent="0.25">
      <c r="A123" t="str">
        <f>"            Reported Sales Growth (%)"</f>
        <v xml:space="preserve">            Reported Sales Growth (%)</v>
      </c>
      <c r="B123" t="str">
        <f t="shared" si="66"/>
        <v>KER FP Equity</v>
      </c>
      <c r="C123" t="str">
        <f>"BI047"</f>
        <v>BI047</v>
      </c>
      <c r="D123" t="str">
        <f>"BICS_SEGMENT_DATA"</f>
        <v>BICS_SEGMENT_DATA</v>
      </c>
      <c r="E123" t="str">
        <f>"Dynamic"</f>
        <v>Dynamic</v>
      </c>
      <c r="F123" t="str">
        <f ca="1">IF(AND(ISNUMBER($F$246),$B$158=1),$F$246,HLOOKUP(INDIRECT(ADDRESS(2,COLUMN())),OFFSET($BN$2,0,0,ROW()-1,60),ROW()-1,FALSE))</f>
        <v/>
      </c>
      <c r="G123" t="str">
        <f ca="1">IF(AND(ISNUMBER($G$246),$B$158=1),$G$246,HLOOKUP(INDIRECT(ADDRESS(2,COLUMN())),OFFSET($BN$2,0,0,ROW()-1,60),ROW()-1,FALSE))</f>
        <v/>
      </c>
      <c r="H123" t="str">
        <f ca="1">IF(AND(ISNUMBER($H$246),$B$158=1),$H$246,HLOOKUP(INDIRECT(ADDRESS(2,COLUMN())),OFFSET($BN$2,0,0,ROW()-1,60),ROW()-1,FALSE))</f>
        <v/>
      </c>
      <c r="I123" t="str">
        <f ca="1">IF(AND(ISNUMBER($I$246),$B$158=1),$I$246,HLOOKUP(INDIRECT(ADDRESS(2,COLUMN())),OFFSET($BN$2,0,0,ROW()-1,60),ROW()-1,FALSE))</f>
        <v/>
      </c>
      <c r="J123" t="str">
        <f ca="1">IF(AND(ISNUMBER($J$246),$B$158=1),$J$246,HLOOKUP(INDIRECT(ADDRESS(2,COLUMN())),OFFSET($BN$2,0,0,ROW()-1,60),ROW()-1,FALSE))</f>
        <v/>
      </c>
      <c r="K123" t="str">
        <f ca="1">IF(AND(ISNUMBER($K$246),$B$158=1),$K$246,HLOOKUP(INDIRECT(ADDRESS(2,COLUMN())),OFFSET($BN$2,0,0,ROW()-1,60),ROW()-1,FALSE))</f>
        <v/>
      </c>
      <c r="L123" t="str">
        <f ca="1">IF(AND(ISNUMBER($L$246),$B$158=1),$L$246,HLOOKUP(INDIRECT(ADDRESS(2,COLUMN())),OFFSET($BN$2,0,0,ROW()-1,60),ROW()-1,FALSE))</f>
        <v/>
      </c>
      <c r="M123" t="str">
        <f ca="1">IF(AND(ISNUMBER($M$246),$B$158=1),$M$246,HLOOKUP(INDIRECT(ADDRESS(2,COLUMN())),OFFSET($BN$2,0,0,ROW()-1,60),ROW()-1,FALSE))</f>
        <v/>
      </c>
      <c r="N123" t="str">
        <f ca="1">IF(AND(ISNUMBER($N$246),$B$158=1),$N$246,HLOOKUP(INDIRECT(ADDRESS(2,COLUMN())),OFFSET($BN$2,0,0,ROW()-1,60),ROW()-1,FALSE))</f>
        <v/>
      </c>
      <c r="O123" t="str">
        <f ca="1">IF(AND(ISNUMBER($O$246),$B$158=1),$O$246,HLOOKUP(INDIRECT(ADDRESS(2,COLUMN())),OFFSET($BN$2,0,0,ROW()-1,60),ROW()-1,FALSE))</f>
        <v/>
      </c>
      <c r="P123" t="str">
        <f ca="1">IF(AND(ISNUMBER($P$246),$B$158=1),$P$246,HLOOKUP(INDIRECT(ADDRESS(2,COLUMN())),OFFSET($BN$2,0,0,ROW()-1,60),ROW()-1,FALSE))</f>
        <v/>
      </c>
      <c r="Q123" t="str">
        <f ca="1">IF(AND(ISNUMBER($Q$246),$B$158=1),$Q$246,HLOOKUP(INDIRECT(ADDRESS(2,COLUMN())),OFFSET($BN$2,0,0,ROW()-1,60),ROW()-1,FALSE))</f>
        <v/>
      </c>
      <c r="R123" t="str">
        <f ca="1">IF(AND(ISNUMBER($R$246),$B$158=1),$R$246,HLOOKUP(INDIRECT(ADDRESS(2,COLUMN())),OFFSET($BN$2,0,0,ROW()-1,60),ROW()-1,FALSE))</f>
        <v/>
      </c>
      <c r="S123" t="str">
        <f ca="1">IF(AND(ISNUMBER($S$246),$B$158=1),$S$246,HLOOKUP(INDIRECT(ADDRESS(2,COLUMN())),OFFSET($BN$2,0,0,ROW()-1,60),ROW()-1,FALSE))</f>
        <v/>
      </c>
      <c r="T123" t="str">
        <f ca="1">IF(AND(ISNUMBER($T$246),$B$158=1),$T$246,HLOOKUP(INDIRECT(ADDRESS(2,COLUMN())),OFFSET($BN$2,0,0,ROW()-1,60),ROW()-1,FALSE))</f>
        <v/>
      </c>
      <c r="U123" t="str">
        <f ca="1">IF(AND(ISNUMBER($U$246),$B$158=1),$U$246,HLOOKUP(INDIRECT(ADDRESS(2,COLUMN())),OFFSET($BN$2,0,0,ROW()-1,60),ROW()-1,FALSE))</f>
        <v/>
      </c>
      <c r="V123" t="str">
        <f ca="1">IF(AND(ISNUMBER($V$246),$B$158=1),$V$246,HLOOKUP(INDIRECT(ADDRESS(2,COLUMN())),OFFSET($BN$2,0,0,ROW()-1,60),ROW()-1,FALSE))</f>
        <v/>
      </c>
      <c r="W123" t="str">
        <f ca="1">IF(AND(ISNUMBER($W$246),$B$158=1),$W$246,HLOOKUP(INDIRECT(ADDRESS(2,COLUMN())),OFFSET($BN$2,0,0,ROW()-1,60),ROW()-1,FALSE))</f>
        <v/>
      </c>
      <c r="X123" t="str">
        <f ca="1">IF(AND(ISNUMBER($X$246),$B$158=1),$X$246,HLOOKUP(INDIRECT(ADDRESS(2,COLUMN())),OFFSET($BN$2,0,0,ROW()-1,60),ROW()-1,FALSE))</f>
        <v/>
      </c>
      <c r="Y123" t="str">
        <f ca="1">IF(AND(ISNUMBER($Y$246),$B$158=1),$Y$246,HLOOKUP(INDIRECT(ADDRESS(2,COLUMN())),OFFSET($BN$2,0,0,ROW()-1,60),ROW()-1,FALSE))</f>
        <v/>
      </c>
      <c r="Z123" t="str">
        <f ca="1">IF(AND(ISNUMBER($Z$246),$B$158=1),$Z$246,HLOOKUP(INDIRECT(ADDRESS(2,COLUMN())),OFFSET($BN$2,0,0,ROW()-1,60),ROW()-1,FALSE))</f>
        <v/>
      </c>
      <c r="AA123" t="str">
        <f ca="1">IF(AND(ISNUMBER($AA$246),$B$158=1),$AA$246,HLOOKUP(INDIRECT(ADDRESS(2,COLUMN())),OFFSET($BN$2,0,0,ROW()-1,60),ROW()-1,FALSE))</f>
        <v/>
      </c>
      <c r="AB123" t="str">
        <f ca="1">IF(AND(ISNUMBER($AB$246),$B$158=1),$AB$246,HLOOKUP(INDIRECT(ADDRESS(2,COLUMN())),OFFSET($BN$2,0,0,ROW()-1,60),ROW()-1,FALSE))</f>
        <v/>
      </c>
      <c r="AC123" t="str">
        <f ca="1">IF(AND(ISNUMBER($AC$246),$B$158=1),$AC$246,HLOOKUP(INDIRECT(ADDRESS(2,COLUMN())),OFFSET($BN$2,0,0,ROW()-1,60),ROW()-1,FALSE))</f>
        <v/>
      </c>
      <c r="AD123" t="str">
        <f ca="1">IF(AND(ISNUMBER($AD$246),$B$158=1),$AD$246,HLOOKUP(INDIRECT(ADDRESS(2,COLUMN())),OFFSET($BN$2,0,0,ROW()-1,60),ROW()-1,FALSE))</f>
        <v/>
      </c>
      <c r="AE123" t="str">
        <f ca="1">IF(AND(ISNUMBER($AE$246),$B$158=1),$AE$246,HLOOKUP(INDIRECT(ADDRESS(2,COLUMN())),OFFSET($BN$2,0,0,ROW()-1,60),ROW()-1,FALSE))</f>
        <v/>
      </c>
      <c r="AF123" t="str">
        <f ca="1">IF(AND(ISNUMBER($AF$246),$B$158=1),$AF$246,HLOOKUP(INDIRECT(ADDRESS(2,COLUMN())),OFFSET($BN$2,0,0,ROW()-1,60),ROW()-1,FALSE))</f>
        <v/>
      </c>
      <c r="AG123" t="str">
        <f ca="1">IF(AND(ISNUMBER($AG$246),$B$158=1),$AG$246,HLOOKUP(INDIRECT(ADDRESS(2,COLUMN())),OFFSET($BN$2,0,0,ROW()-1,60),ROW()-1,FALSE))</f>
        <v/>
      </c>
      <c r="AH123" t="str">
        <f ca="1">IF(AND(ISNUMBER($AH$246),$B$158=1),$AH$246,HLOOKUP(INDIRECT(ADDRESS(2,COLUMN())),OFFSET($BN$2,0,0,ROW()-1,60),ROW()-1,FALSE))</f>
        <v/>
      </c>
      <c r="AI123" t="str">
        <f ca="1">IF(AND(ISNUMBER($AI$246),$B$158=1),$AI$246,HLOOKUP(INDIRECT(ADDRESS(2,COLUMN())),OFFSET($BN$2,0,0,ROW()-1,60),ROW()-1,FALSE))</f>
        <v/>
      </c>
      <c r="AJ123" t="str">
        <f ca="1">IF(AND(ISNUMBER($AJ$246),$B$158=1),$AJ$246,HLOOKUP(INDIRECT(ADDRESS(2,COLUMN())),OFFSET($BN$2,0,0,ROW()-1,60),ROW()-1,FALSE))</f>
        <v/>
      </c>
      <c r="AK123" t="str">
        <f ca="1">IF(AND(ISNUMBER($AK$246),$B$158=1),$AK$246,HLOOKUP(INDIRECT(ADDRESS(2,COLUMN())),OFFSET($BN$2,0,0,ROW()-1,60),ROW()-1,FALSE))</f>
        <v/>
      </c>
      <c r="AL123" t="str">
        <f ca="1">IF(AND(ISNUMBER($AL$246),$B$158=1),$AL$246,HLOOKUP(INDIRECT(ADDRESS(2,COLUMN())),OFFSET($BN$2,0,0,ROW()-1,60),ROW()-1,FALSE))</f>
        <v/>
      </c>
      <c r="AM123" t="str">
        <f ca="1">IF(AND(ISNUMBER($AM$246),$B$158=1),$AM$246,HLOOKUP(INDIRECT(ADDRESS(2,COLUMN())),OFFSET($BN$2,0,0,ROW()-1,60),ROW()-1,FALSE))</f>
        <v/>
      </c>
      <c r="AN123" t="str">
        <f ca="1">IF(AND(ISNUMBER($AN$246),$B$158=1),$AN$246,HLOOKUP(INDIRECT(ADDRESS(2,COLUMN())),OFFSET($BN$2,0,0,ROW()-1,60),ROW()-1,FALSE))</f>
        <v/>
      </c>
      <c r="AO123" t="str">
        <f ca="1">IF(AND(ISNUMBER($AO$246),$B$158=1),$AO$246,HLOOKUP(INDIRECT(ADDRESS(2,COLUMN())),OFFSET($BN$2,0,0,ROW()-1,60),ROW()-1,FALSE))</f>
        <v/>
      </c>
      <c r="AP123" t="str">
        <f ca="1">IF(AND(ISNUMBER($AP$246),$B$158=1),$AP$246,HLOOKUP(INDIRECT(ADDRESS(2,COLUMN())),OFFSET($BN$2,0,0,ROW()-1,60),ROW()-1,FALSE))</f>
        <v/>
      </c>
      <c r="AQ123" t="str">
        <f ca="1">IF(AND(ISNUMBER($AQ$246),$B$158=1),$AQ$246,HLOOKUP(INDIRECT(ADDRESS(2,COLUMN())),OFFSET($BN$2,0,0,ROW()-1,60),ROW()-1,FALSE))</f>
        <v/>
      </c>
      <c r="AR123" t="str">
        <f ca="1">IF(AND(ISNUMBER($AR$246),$B$158=1),$AR$246,HLOOKUP(INDIRECT(ADDRESS(2,COLUMN())),OFFSET($BN$2,0,0,ROW()-1,60),ROW()-1,FALSE))</f>
        <v/>
      </c>
      <c r="AS123" t="str">
        <f ca="1">IF(AND(ISNUMBER($AS$246),$B$158=1),$AS$246,HLOOKUP(INDIRECT(ADDRESS(2,COLUMN())),OFFSET($BN$2,0,0,ROW()-1,60),ROW()-1,FALSE))</f>
        <v/>
      </c>
      <c r="AT123" t="str">
        <f ca="1">IF(AND(ISNUMBER($AT$246),$B$158=1),$AT$246,HLOOKUP(INDIRECT(ADDRESS(2,COLUMN())),OFFSET($BN$2,0,0,ROW()-1,60),ROW()-1,FALSE))</f>
        <v/>
      </c>
      <c r="AU123" t="str">
        <f ca="1">IF(AND(ISNUMBER($AU$246),$B$158=1),$AU$246,HLOOKUP(INDIRECT(ADDRESS(2,COLUMN())),OFFSET($BN$2,0,0,ROW()-1,60),ROW()-1,FALSE))</f>
        <v/>
      </c>
      <c r="AV123" t="str">
        <f ca="1">IF(AND(ISNUMBER($AV$246),$B$158=1),$AV$246,HLOOKUP(INDIRECT(ADDRESS(2,COLUMN())),OFFSET($BN$2,0,0,ROW()-1,60),ROW()-1,FALSE))</f>
        <v/>
      </c>
      <c r="AW123" t="str">
        <f ca="1">IF(AND(ISNUMBER($AW$246),$B$158=1),$AW$246,HLOOKUP(INDIRECT(ADDRESS(2,COLUMN())),OFFSET($BN$2,0,0,ROW()-1,60),ROW()-1,FALSE))</f>
        <v/>
      </c>
      <c r="AX123" t="str">
        <f ca="1">IF(AND(ISNUMBER($AX$246),$B$158=1),$AX$246,HLOOKUP(INDIRECT(ADDRESS(2,COLUMN())),OFFSET($BN$2,0,0,ROW()-1,60),ROW()-1,FALSE))</f>
        <v/>
      </c>
      <c r="AY123" t="str">
        <f ca="1">IF(AND(ISNUMBER($AY$246),$B$158=1),$AY$246,HLOOKUP(INDIRECT(ADDRESS(2,COLUMN())),OFFSET($BN$2,0,0,ROW()-1,60),ROW()-1,FALSE))</f>
        <v/>
      </c>
      <c r="AZ123" t="str">
        <f ca="1">IF(AND(ISNUMBER($AZ$246),$B$158=1),$AZ$246,HLOOKUP(INDIRECT(ADDRESS(2,COLUMN())),OFFSET($BN$2,0,0,ROW()-1,60),ROW()-1,FALSE))</f>
        <v/>
      </c>
      <c r="BA123" t="str">
        <f ca="1">IF(AND(ISNUMBER($BA$246),$B$158=1),$BA$246,HLOOKUP(INDIRECT(ADDRESS(2,COLUMN())),OFFSET($BN$2,0,0,ROW()-1,60),ROW()-1,FALSE))</f>
        <v/>
      </c>
      <c r="BB123" t="str">
        <f ca="1">IF(AND(ISNUMBER($BB$246),$B$158=1),$BB$246,HLOOKUP(INDIRECT(ADDRESS(2,COLUMN())),OFFSET($BN$2,0,0,ROW()-1,60),ROW()-1,FALSE))</f>
        <v/>
      </c>
      <c r="BC123" t="str">
        <f ca="1">IF(AND(ISNUMBER($BC$246),$B$158=1),$BC$246,HLOOKUP(INDIRECT(ADDRESS(2,COLUMN())),OFFSET($BN$2,0,0,ROW()-1,60),ROW()-1,FALSE))</f>
        <v/>
      </c>
      <c r="BD123" t="str">
        <f ca="1">IF(AND(ISNUMBER($BD$246),$B$158=1),$BD$246,HLOOKUP(INDIRECT(ADDRESS(2,COLUMN())),OFFSET($BN$2,0,0,ROW()-1,60),ROW()-1,FALSE))</f>
        <v/>
      </c>
      <c r="BE123" t="str">
        <f ca="1">IF(AND(ISNUMBER($BE$246),$B$158=1),$BE$246,HLOOKUP(INDIRECT(ADDRESS(2,COLUMN())),OFFSET($BN$2,0,0,ROW()-1,60),ROW()-1,FALSE))</f>
        <v/>
      </c>
      <c r="BF123" t="str">
        <f ca="1">IF(AND(ISNUMBER($BF$246),$B$158=1),$BF$246,HLOOKUP(INDIRECT(ADDRESS(2,COLUMN())),OFFSET($BN$2,0,0,ROW()-1,60),ROW()-1,FALSE))</f>
        <v/>
      </c>
      <c r="BG123" t="str">
        <f ca="1">IF(AND(ISNUMBER($BG$246),$B$158=1),$BG$246,HLOOKUP(INDIRECT(ADDRESS(2,COLUMN())),OFFSET($BN$2,0,0,ROW()-1,60),ROW()-1,FALSE))</f>
        <v/>
      </c>
      <c r="BH123" t="str">
        <f ca="1">IF(AND(ISNUMBER($BH$246),$B$158=1),$BH$246,HLOOKUP(INDIRECT(ADDRESS(2,COLUMN())),OFFSET($BN$2,0,0,ROW()-1,60),ROW()-1,FALSE))</f>
        <v/>
      </c>
      <c r="BI123" t="str">
        <f ca="1">IF(AND(ISNUMBER($BI$246),$B$158=1),$BI$246,HLOOKUP(INDIRECT(ADDRESS(2,COLUMN())),OFFSET($BN$2,0,0,ROW()-1,60),ROW()-1,FALSE))</f>
        <v/>
      </c>
      <c r="BJ123" t="str">
        <f ca="1">IF(AND(ISNUMBER($BJ$246),$B$158=1),$BJ$246,HLOOKUP(INDIRECT(ADDRESS(2,COLUMN())),OFFSET($BN$2,0,0,ROW()-1,60),ROW()-1,FALSE))</f>
        <v/>
      </c>
      <c r="BK123" t="str">
        <f ca="1">IF(AND(ISNUMBER($BK$246),$B$158=1),$BK$246,HLOOKUP(INDIRECT(ADDRESS(2,COLUMN())),OFFSET($BN$2,0,0,ROW()-1,60),ROW()-1,FALSE))</f>
        <v/>
      </c>
      <c r="BL123" t="str">
        <f ca="1">IF(AND(ISNUMBER($BL$246),$B$158=1),$BL$246,HLOOKUP(INDIRECT(ADDRESS(2,COLUMN())),OFFSET($BN$2,0,0,ROW()-1,60),ROW()-1,FALSE))</f>
        <v/>
      </c>
      <c r="BM123" t="str">
        <f ca="1">IF(AND(ISNUMBER($BM$246),$B$158=1),$BM$246,HLOOKUP(INDIRECT(ADDRESS(2,COLUMN())),OFFSET($BN$2,0,0,ROW()-1,60),ROW()-1,FALSE))</f>
        <v/>
      </c>
      <c r="BN123" t="str">
        <f>""</f>
        <v/>
      </c>
      <c r="BO123" t="str">
        <f>""</f>
        <v/>
      </c>
      <c r="BP123" t="str">
        <f>""</f>
        <v/>
      </c>
      <c r="BQ123" t="str">
        <f>""</f>
        <v/>
      </c>
      <c r="BR123" t="str">
        <f>""</f>
        <v/>
      </c>
      <c r="BS123" t="str">
        <f>""</f>
        <v/>
      </c>
      <c r="BT123" t="str">
        <f>""</f>
        <v/>
      </c>
      <c r="BU123" t="str">
        <f>""</f>
        <v/>
      </c>
      <c r="BV123" t="str">
        <f>""</f>
        <v/>
      </c>
      <c r="BW123" t="str">
        <f>""</f>
        <v/>
      </c>
      <c r="BX123" t="str">
        <f>""</f>
        <v/>
      </c>
      <c r="BY123" t="str">
        <f>""</f>
        <v/>
      </c>
      <c r="BZ123" t="str">
        <f>""</f>
        <v/>
      </c>
      <c r="CA123" t="str">
        <f>""</f>
        <v/>
      </c>
      <c r="CB123" t="str">
        <f>""</f>
        <v/>
      </c>
      <c r="CC123" t="str">
        <f>""</f>
        <v/>
      </c>
      <c r="CD123" t="str">
        <f>""</f>
        <v/>
      </c>
      <c r="CE123" t="str">
        <f>""</f>
        <v/>
      </c>
      <c r="CF123" t="str">
        <f>""</f>
        <v/>
      </c>
      <c r="CG123" t="str">
        <f>""</f>
        <v/>
      </c>
      <c r="CH123" t="str">
        <f>""</f>
        <v/>
      </c>
      <c r="CI123" t="str">
        <f>""</f>
        <v/>
      </c>
      <c r="CJ123" t="str">
        <f>""</f>
        <v/>
      </c>
      <c r="CK123" t="str">
        <f>""</f>
        <v/>
      </c>
      <c r="CL123" t="str">
        <f>""</f>
        <v/>
      </c>
      <c r="CM123" t="str">
        <f>""</f>
        <v/>
      </c>
      <c r="CN123" t="str">
        <f>""</f>
        <v/>
      </c>
      <c r="CO123" t="str">
        <f>""</f>
        <v/>
      </c>
      <c r="CP123" t="str">
        <f>""</f>
        <v/>
      </c>
      <c r="CQ123" t="str">
        <f>""</f>
        <v/>
      </c>
      <c r="CR123" t="str">
        <f>""</f>
        <v/>
      </c>
      <c r="CS123" t="str">
        <f>""</f>
        <v/>
      </c>
      <c r="CT123" t="str">
        <f>""</f>
        <v/>
      </c>
      <c r="CU123" t="str">
        <f>""</f>
        <v/>
      </c>
      <c r="CV123" t="str">
        <f>""</f>
        <v/>
      </c>
      <c r="CW123" t="str">
        <f>""</f>
        <v/>
      </c>
      <c r="CX123" t="str">
        <f>""</f>
        <v/>
      </c>
      <c r="CY123" t="str">
        <f>""</f>
        <v/>
      </c>
      <c r="CZ123" t="str">
        <f>""</f>
        <v/>
      </c>
      <c r="DA123" t="str">
        <f>""</f>
        <v/>
      </c>
      <c r="DB123" t="str">
        <f>""</f>
        <v/>
      </c>
      <c r="DC123" t="str">
        <f>""</f>
        <v/>
      </c>
      <c r="DD123" t="str">
        <f>""</f>
        <v/>
      </c>
      <c r="DE123" t="str">
        <f>""</f>
        <v/>
      </c>
      <c r="DF123" t="str">
        <f>""</f>
        <v/>
      </c>
      <c r="DG123" t="str">
        <f>""</f>
        <v/>
      </c>
      <c r="DH123" t="str">
        <f>""</f>
        <v/>
      </c>
      <c r="DI123" t="str">
        <f>""</f>
        <v/>
      </c>
      <c r="DJ123" t="str">
        <f>""</f>
        <v/>
      </c>
      <c r="DK123" t="str">
        <f>""</f>
        <v/>
      </c>
      <c r="DL123" t="str">
        <f>""</f>
        <v/>
      </c>
      <c r="DM123" t="str">
        <f>""</f>
        <v/>
      </c>
      <c r="DN123" t="str">
        <f>""</f>
        <v/>
      </c>
      <c r="DO123" t="str">
        <f>""</f>
        <v/>
      </c>
      <c r="DP123" t="str">
        <f>""</f>
        <v/>
      </c>
      <c r="DQ123" t="str">
        <f>""</f>
        <v/>
      </c>
      <c r="DR123" t="str">
        <f>""</f>
        <v/>
      </c>
      <c r="DS123" t="str">
        <f>""</f>
        <v/>
      </c>
      <c r="DT123" t="str">
        <f>""</f>
        <v/>
      </c>
      <c r="DU123" t="str">
        <f>""</f>
        <v/>
      </c>
    </row>
    <row r="124" spans="1:125" x14ac:dyDescent="0.25">
      <c r="A124" t="str">
        <f>"            Organic Growth (%)"</f>
        <v xml:space="preserve">            Organic Growth (%)</v>
      </c>
      <c r="B124" t="str">
        <f t="shared" si="66"/>
        <v>KER FP Equity</v>
      </c>
      <c r="C124" t="str">
        <f>"BI047"</f>
        <v>BI047</v>
      </c>
      <c r="D124" t="str">
        <f>"BICS_SEGMENT_DATA"</f>
        <v>BICS_SEGMENT_DATA</v>
      </c>
      <c r="E124" t="str">
        <f>"Dynamic"</f>
        <v>Dynamic</v>
      </c>
      <c r="F124" t="str">
        <f ca="1">IF(AND(ISNUMBER($F$247),$B$158=1),$F$247,HLOOKUP(INDIRECT(ADDRESS(2,COLUMN())),OFFSET($BN$2,0,0,ROW()-1,60),ROW()-1,FALSE))</f>
        <v/>
      </c>
      <c r="G124" t="str">
        <f ca="1">IF(AND(ISNUMBER($G$247),$B$158=1),$G$247,HLOOKUP(INDIRECT(ADDRESS(2,COLUMN())),OFFSET($BN$2,0,0,ROW()-1,60),ROW()-1,FALSE))</f>
        <v/>
      </c>
      <c r="H124" t="str">
        <f ca="1">IF(AND(ISNUMBER($H$247),$B$158=1),$H$247,HLOOKUP(INDIRECT(ADDRESS(2,COLUMN())),OFFSET($BN$2,0,0,ROW()-1,60),ROW()-1,FALSE))</f>
        <v/>
      </c>
      <c r="I124" t="str">
        <f ca="1">IF(AND(ISNUMBER($I$247),$B$158=1),$I$247,HLOOKUP(INDIRECT(ADDRESS(2,COLUMN())),OFFSET($BN$2,0,0,ROW()-1,60),ROW()-1,FALSE))</f>
        <v/>
      </c>
      <c r="J124" t="str">
        <f ca="1">IF(AND(ISNUMBER($J$247),$B$158=1),$J$247,HLOOKUP(INDIRECT(ADDRESS(2,COLUMN())),OFFSET($BN$2,0,0,ROW()-1,60),ROW()-1,FALSE))</f>
        <v/>
      </c>
      <c r="K124" t="str">
        <f ca="1">IF(AND(ISNUMBER($K$247),$B$158=1),$K$247,HLOOKUP(INDIRECT(ADDRESS(2,COLUMN())),OFFSET($BN$2,0,0,ROW()-1,60),ROW()-1,FALSE))</f>
        <v/>
      </c>
      <c r="L124" t="str">
        <f ca="1">IF(AND(ISNUMBER($L$247),$B$158=1),$L$247,HLOOKUP(INDIRECT(ADDRESS(2,COLUMN())),OFFSET($BN$2,0,0,ROW()-1,60),ROW()-1,FALSE))</f>
        <v/>
      </c>
      <c r="M124" t="str">
        <f ca="1">IF(AND(ISNUMBER($M$247),$B$158=1),$M$247,HLOOKUP(INDIRECT(ADDRESS(2,COLUMN())),OFFSET($BN$2,0,0,ROW()-1,60),ROW()-1,FALSE))</f>
        <v/>
      </c>
      <c r="N124" t="str">
        <f ca="1">IF(AND(ISNUMBER($N$247),$B$158=1),$N$247,HLOOKUP(INDIRECT(ADDRESS(2,COLUMN())),OFFSET($BN$2,0,0,ROW()-1,60),ROW()-1,FALSE))</f>
        <v/>
      </c>
      <c r="O124" t="str">
        <f ca="1">IF(AND(ISNUMBER($O$247),$B$158=1),$O$247,HLOOKUP(INDIRECT(ADDRESS(2,COLUMN())),OFFSET($BN$2,0,0,ROW()-1,60),ROW()-1,FALSE))</f>
        <v/>
      </c>
      <c r="P124" t="str">
        <f ca="1">IF(AND(ISNUMBER($P$247),$B$158=1),$P$247,HLOOKUP(INDIRECT(ADDRESS(2,COLUMN())),OFFSET($BN$2,0,0,ROW()-1,60),ROW()-1,FALSE))</f>
        <v/>
      </c>
      <c r="Q124" t="str">
        <f ca="1">IF(AND(ISNUMBER($Q$247),$B$158=1),$Q$247,HLOOKUP(INDIRECT(ADDRESS(2,COLUMN())),OFFSET($BN$2,0,0,ROW()-1,60),ROW()-1,FALSE))</f>
        <v/>
      </c>
      <c r="R124" t="str">
        <f ca="1">IF(AND(ISNUMBER($R$247),$B$158=1),$R$247,HLOOKUP(INDIRECT(ADDRESS(2,COLUMN())),OFFSET($BN$2,0,0,ROW()-1,60),ROW()-1,FALSE))</f>
        <v/>
      </c>
      <c r="S124" t="str">
        <f ca="1">IF(AND(ISNUMBER($S$247),$B$158=1),$S$247,HLOOKUP(INDIRECT(ADDRESS(2,COLUMN())),OFFSET($BN$2,0,0,ROW()-1,60),ROW()-1,FALSE))</f>
        <v/>
      </c>
      <c r="T124" t="str">
        <f ca="1">IF(AND(ISNUMBER($T$247),$B$158=1),$T$247,HLOOKUP(INDIRECT(ADDRESS(2,COLUMN())),OFFSET($BN$2,0,0,ROW()-1,60),ROW()-1,FALSE))</f>
        <v/>
      </c>
      <c r="U124" t="str">
        <f ca="1">IF(AND(ISNUMBER($U$247),$B$158=1),$U$247,HLOOKUP(INDIRECT(ADDRESS(2,COLUMN())),OFFSET($BN$2,0,0,ROW()-1,60),ROW()-1,FALSE))</f>
        <v/>
      </c>
      <c r="V124" t="str">
        <f ca="1">IF(AND(ISNUMBER($V$247),$B$158=1),$V$247,HLOOKUP(INDIRECT(ADDRESS(2,COLUMN())),OFFSET($BN$2,0,0,ROW()-1,60),ROW()-1,FALSE))</f>
        <v/>
      </c>
      <c r="W124" t="str">
        <f ca="1">IF(AND(ISNUMBER($W$247),$B$158=1),$W$247,HLOOKUP(INDIRECT(ADDRESS(2,COLUMN())),OFFSET($BN$2,0,0,ROW()-1,60),ROW()-1,FALSE))</f>
        <v/>
      </c>
      <c r="X124" t="str">
        <f ca="1">IF(AND(ISNUMBER($X$247),$B$158=1),$X$247,HLOOKUP(INDIRECT(ADDRESS(2,COLUMN())),OFFSET($BN$2,0,0,ROW()-1,60),ROW()-1,FALSE))</f>
        <v/>
      </c>
      <c r="Y124" t="str">
        <f ca="1">IF(AND(ISNUMBER($Y$247),$B$158=1),$Y$247,HLOOKUP(INDIRECT(ADDRESS(2,COLUMN())),OFFSET($BN$2,0,0,ROW()-1,60),ROW()-1,FALSE))</f>
        <v/>
      </c>
      <c r="Z124" t="str">
        <f ca="1">IF(AND(ISNUMBER($Z$247),$B$158=1),$Z$247,HLOOKUP(INDIRECT(ADDRESS(2,COLUMN())),OFFSET($BN$2,0,0,ROW()-1,60),ROW()-1,FALSE))</f>
        <v/>
      </c>
      <c r="AA124" t="str">
        <f ca="1">IF(AND(ISNUMBER($AA$247),$B$158=1),$AA$247,HLOOKUP(INDIRECT(ADDRESS(2,COLUMN())),OFFSET($BN$2,0,0,ROW()-1,60),ROW()-1,FALSE))</f>
        <v/>
      </c>
      <c r="AB124" t="str">
        <f ca="1">IF(AND(ISNUMBER($AB$247),$B$158=1),$AB$247,HLOOKUP(INDIRECT(ADDRESS(2,COLUMN())),OFFSET($BN$2,0,0,ROW()-1,60),ROW()-1,FALSE))</f>
        <v/>
      </c>
      <c r="AC124" t="str">
        <f ca="1">IF(AND(ISNUMBER($AC$247),$B$158=1),$AC$247,HLOOKUP(INDIRECT(ADDRESS(2,COLUMN())),OFFSET($BN$2,0,0,ROW()-1,60),ROW()-1,FALSE))</f>
        <v/>
      </c>
      <c r="AD124" t="str">
        <f ca="1">IF(AND(ISNUMBER($AD$247),$B$158=1),$AD$247,HLOOKUP(INDIRECT(ADDRESS(2,COLUMN())),OFFSET($BN$2,0,0,ROW()-1,60),ROW()-1,FALSE))</f>
        <v/>
      </c>
      <c r="AE124" t="str">
        <f ca="1">IF(AND(ISNUMBER($AE$247),$B$158=1),$AE$247,HLOOKUP(INDIRECT(ADDRESS(2,COLUMN())),OFFSET($BN$2,0,0,ROW()-1,60),ROW()-1,FALSE))</f>
        <v/>
      </c>
      <c r="AF124" t="str">
        <f ca="1">IF(AND(ISNUMBER($AF$247),$B$158=1),$AF$247,HLOOKUP(INDIRECT(ADDRESS(2,COLUMN())),OFFSET($BN$2,0,0,ROW()-1,60),ROW()-1,FALSE))</f>
        <v/>
      </c>
      <c r="AG124" t="str">
        <f ca="1">IF(AND(ISNUMBER($AG$247),$B$158=1),$AG$247,HLOOKUP(INDIRECT(ADDRESS(2,COLUMN())),OFFSET($BN$2,0,0,ROW()-1,60),ROW()-1,FALSE))</f>
        <v/>
      </c>
      <c r="AH124" t="str">
        <f ca="1">IF(AND(ISNUMBER($AH$247),$B$158=1),$AH$247,HLOOKUP(INDIRECT(ADDRESS(2,COLUMN())),OFFSET($BN$2,0,0,ROW()-1,60),ROW()-1,FALSE))</f>
        <v/>
      </c>
      <c r="AI124" t="str">
        <f ca="1">IF(AND(ISNUMBER($AI$247),$B$158=1),$AI$247,HLOOKUP(INDIRECT(ADDRESS(2,COLUMN())),OFFSET($BN$2,0,0,ROW()-1,60),ROW()-1,FALSE))</f>
        <v/>
      </c>
      <c r="AJ124" t="str">
        <f ca="1">IF(AND(ISNUMBER($AJ$247),$B$158=1),$AJ$247,HLOOKUP(INDIRECT(ADDRESS(2,COLUMN())),OFFSET($BN$2,0,0,ROW()-1,60),ROW()-1,FALSE))</f>
        <v/>
      </c>
      <c r="AK124" t="str">
        <f ca="1">IF(AND(ISNUMBER($AK$247),$B$158=1),$AK$247,HLOOKUP(INDIRECT(ADDRESS(2,COLUMN())),OFFSET($BN$2,0,0,ROW()-1,60),ROW()-1,FALSE))</f>
        <v/>
      </c>
      <c r="AL124" t="str">
        <f ca="1">IF(AND(ISNUMBER($AL$247),$B$158=1),$AL$247,HLOOKUP(INDIRECT(ADDRESS(2,COLUMN())),OFFSET($BN$2,0,0,ROW()-1,60),ROW()-1,FALSE))</f>
        <v/>
      </c>
      <c r="AM124" t="str">
        <f ca="1">IF(AND(ISNUMBER($AM$247),$B$158=1),$AM$247,HLOOKUP(INDIRECT(ADDRESS(2,COLUMN())),OFFSET($BN$2,0,0,ROW()-1,60),ROW()-1,FALSE))</f>
        <v/>
      </c>
      <c r="AN124" t="str">
        <f ca="1">IF(AND(ISNUMBER($AN$247),$B$158=1),$AN$247,HLOOKUP(INDIRECT(ADDRESS(2,COLUMN())),OFFSET($BN$2,0,0,ROW()-1,60),ROW()-1,FALSE))</f>
        <v/>
      </c>
      <c r="AO124" t="str">
        <f ca="1">IF(AND(ISNUMBER($AO$247),$B$158=1),$AO$247,HLOOKUP(INDIRECT(ADDRESS(2,COLUMN())),OFFSET($BN$2,0,0,ROW()-1,60),ROW()-1,FALSE))</f>
        <v/>
      </c>
      <c r="AP124" t="str">
        <f ca="1">IF(AND(ISNUMBER($AP$247),$B$158=1),$AP$247,HLOOKUP(INDIRECT(ADDRESS(2,COLUMN())),OFFSET($BN$2,0,0,ROW()-1,60),ROW()-1,FALSE))</f>
        <v/>
      </c>
      <c r="AQ124" t="str">
        <f ca="1">IF(AND(ISNUMBER($AQ$247),$B$158=1),$AQ$247,HLOOKUP(INDIRECT(ADDRESS(2,COLUMN())),OFFSET($BN$2,0,0,ROW()-1,60),ROW()-1,FALSE))</f>
        <v/>
      </c>
      <c r="AR124" t="str">
        <f ca="1">IF(AND(ISNUMBER($AR$247),$B$158=1),$AR$247,HLOOKUP(INDIRECT(ADDRESS(2,COLUMN())),OFFSET($BN$2,0,0,ROW()-1,60),ROW()-1,FALSE))</f>
        <v/>
      </c>
      <c r="AS124" t="str">
        <f ca="1">IF(AND(ISNUMBER($AS$247),$B$158=1),$AS$247,HLOOKUP(INDIRECT(ADDRESS(2,COLUMN())),OFFSET($BN$2,0,0,ROW()-1,60),ROW()-1,FALSE))</f>
        <v/>
      </c>
      <c r="AT124" t="str">
        <f ca="1">IF(AND(ISNUMBER($AT$247),$B$158=1),$AT$247,HLOOKUP(INDIRECT(ADDRESS(2,COLUMN())),OFFSET($BN$2,0,0,ROW()-1,60),ROW()-1,FALSE))</f>
        <v/>
      </c>
      <c r="AU124" t="str">
        <f ca="1">IF(AND(ISNUMBER($AU$247),$B$158=1),$AU$247,HLOOKUP(INDIRECT(ADDRESS(2,COLUMN())),OFFSET($BN$2,0,0,ROW()-1,60),ROW()-1,FALSE))</f>
        <v/>
      </c>
      <c r="AV124" t="str">
        <f ca="1">IF(AND(ISNUMBER($AV$247),$B$158=1),$AV$247,HLOOKUP(INDIRECT(ADDRESS(2,COLUMN())),OFFSET($BN$2,0,0,ROW()-1,60),ROW()-1,FALSE))</f>
        <v/>
      </c>
      <c r="AW124" t="str">
        <f ca="1">IF(AND(ISNUMBER($AW$247),$B$158=1),$AW$247,HLOOKUP(INDIRECT(ADDRESS(2,COLUMN())),OFFSET($BN$2,0,0,ROW()-1,60),ROW()-1,FALSE))</f>
        <v/>
      </c>
      <c r="AX124" t="str">
        <f ca="1">IF(AND(ISNUMBER($AX$247),$B$158=1),$AX$247,HLOOKUP(INDIRECT(ADDRESS(2,COLUMN())),OFFSET($BN$2,0,0,ROW()-1,60),ROW()-1,FALSE))</f>
        <v/>
      </c>
      <c r="AY124" t="str">
        <f ca="1">IF(AND(ISNUMBER($AY$247),$B$158=1),$AY$247,HLOOKUP(INDIRECT(ADDRESS(2,COLUMN())),OFFSET($BN$2,0,0,ROW()-1,60),ROW()-1,FALSE))</f>
        <v/>
      </c>
      <c r="AZ124" t="str">
        <f ca="1">IF(AND(ISNUMBER($AZ$247),$B$158=1),$AZ$247,HLOOKUP(INDIRECT(ADDRESS(2,COLUMN())),OFFSET($BN$2,0,0,ROW()-1,60),ROW()-1,FALSE))</f>
        <v/>
      </c>
      <c r="BA124" t="str">
        <f ca="1">IF(AND(ISNUMBER($BA$247),$B$158=1),$BA$247,HLOOKUP(INDIRECT(ADDRESS(2,COLUMN())),OFFSET($BN$2,0,0,ROW()-1,60),ROW()-1,FALSE))</f>
        <v/>
      </c>
      <c r="BB124" t="str">
        <f ca="1">IF(AND(ISNUMBER($BB$247),$B$158=1),$BB$247,HLOOKUP(INDIRECT(ADDRESS(2,COLUMN())),OFFSET($BN$2,0,0,ROW()-1,60),ROW()-1,FALSE))</f>
        <v/>
      </c>
      <c r="BC124" t="str">
        <f ca="1">IF(AND(ISNUMBER($BC$247),$B$158=1),$BC$247,HLOOKUP(INDIRECT(ADDRESS(2,COLUMN())),OFFSET($BN$2,0,0,ROW()-1,60),ROW()-1,FALSE))</f>
        <v/>
      </c>
      <c r="BD124" t="str">
        <f ca="1">IF(AND(ISNUMBER($BD$247),$B$158=1),$BD$247,HLOOKUP(INDIRECT(ADDRESS(2,COLUMN())),OFFSET($BN$2,0,0,ROW()-1,60),ROW()-1,FALSE))</f>
        <v/>
      </c>
      <c r="BE124" t="str">
        <f ca="1">IF(AND(ISNUMBER($BE$247),$B$158=1),$BE$247,HLOOKUP(INDIRECT(ADDRESS(2,COLUMN())),OFFSET($BN$2,0,0,ROW()-1,60),ROW()-1,FALSE))</f>
        <v/>
      </c>
      <c r="BF124" t="str">
        <f ca="1">IF(AND(ISNUMBER($BF$247),$B$158=1),$BF$247,HLOOKUP(INDIRECT(ADDRESS(2,COLUMN())),OFFSET($BN$2,0,0,ROW()-1,60),ROW()-1,FALSE))</f>
        <v/>
      </c>
      <c r="BG124" t="str">
        <f ca="1">IF(AND(ISNUMBER($BG$247),$B$158=1),$BG$247,HLOOKUP(INDIRECT(ADDRESS(2,COLUMN())),OFFSET($BN$2,0,0,ROW()-1,60),ROW()-1,FALSE))</f>
        <v/>
      </c>
      <c r="BH124" t="str">
        <f ca="1">IF(AND(ISNUMBER($BH$247),$B$158=1),$BH$247,HLOOKUP(INDIRECT(ADDRESS(2,COLUMN())),OFFSET($BN$2,0,0,ROW()-1,60),ROW()-1,FALSE))</f>
        <v/>
      </c>
      <c r="BI124" t="str">
        <f ca="1">IF(AND(ISNUMBER($BI$247),$B$158=1),$BI$247,HLOOKUP(INDIRECT(ADDRESS(2,COLUMN())),OFFSET($BN$2,0,0,ROW()-1,60),ROW()-1,FALSE))</f>
        <v/>
      </c>
      <c r="BJ124" t="str">
        <f ca="1">IF(AND(ISNUMBER($BJ$247),$B$158=1),$BJ$247,HLOOKUP(INDIRECT(ADDRESS(2,COLUMN())),OFFSET($BN$2,0,0,ROW()-1,60),ROW()-1,FALSE))</f>
        <v/>
      </c>
      <c r="BK124" t="str">
        <f ca="1">IF(AND(ISNUMBER($BK$247),$B$158=1),$BK$247,HLOOKUP(INDIRECT(ADDRESS(2,COLUMN())),OFFSET($BN$2,0,0,ROW()-1,60),ROW()-1,FALSE))</f>
        <v/>
      </c>
      <c r="BL124" t="str">
        <f ca="1">IF(AND(ISNUMBER($BL$247),$B$158=1),$BL$247,HLOOKUP(INDIRECT(ADDRESS(2,COLUMN())),OFFSET($BN$2,0,0,ROW()-1,60),ROW()-1,FALSE))</f>
        <v/>
      </c>
      <c r="BM124" t="str">
        <f ca="1">IF(AND(ISNUMBER($BM$247),$B$158=1),$BM$247,HLOOKUP(INDIRECT(ADDRESS(2,COLUMN())),OFFSET($BN$2,0,0,ROW()-1,60),ROW()-1,FALSE))</f>
        <v/>
      </c>
      <c r="BN124" t="str">
        <f>""</f>
        <v/>
      </c>
      <c r="BO124" t="str">
        <f>""</f>
        <v/>
      </c>
      <c r="BP124" t="str">
        <f>""</f>
        <v/>
      </c>
      <c r="BQ124" t="str">
        <f>""</f>
        <v/>
      </c>
      <c r="BR124" t="str">
        <f>""</f>
        <v/>
      </c>
      <c r="BS124" t="str">
        <f>""</f>
        <v/>
      </c>
      <c r="BT124" t="str">
        <f>""</f>
        <v/>
      </c>
      <c r="BU124" t="str">
        <f>""</f>
        <v/>
      </c>
      <c r="BV124" t="str">
        <f>""</f>
        <v/>
      </c>
      <c r="BW124" t="str">
        <f>""</f>
        <v/>
      </c>
      <c r="BX124" t="str">
        <f>""</f>
        <v/>
      </c>
      <c r="BY124" t="str">
        <f>""</f>
        <v/>
      </c>
      <c r="BZ124" t="str">
        <f>""</f>
        <v/>
      </c>
      <c r="CA124" t="str">
        <f>""</f>
        <v/>
      </c>
      <c r="CB124" t="str">
        <f>""</f>
        <v/>
      </c>
      <c r="CC124" t="str">
        <f>""</f>
        <v/>
      </c>
      <c r="CD124" t="str">
        <f>""</f>
        <v/>
      </c>
      <c r="CE124" t="str">
        <f>""</f>
        <v/>
      </c>
      <c r="CF124" t="str">
        <f>""</f>
        <v/>
      </c>
      <c r="CG124" t="str">
        <f>""</f>
        <v/>
      </c>
      <c r="CH124" t="str">
        <f>""</f>
        <v/>
      </c>
      <c r="CI124" t="str">
        <f>""</f>
        <v/>
      </c>
      <c r="CJ124" t="str">
        <f>""</f>
        <v/>
      </c>
      <c r="CK124" t="str">
        <f>""</f>
        <v/>
      </c>
      <c r="CL124" t="str">
        <f>""</f>
        <v/>
      </c>
      <c r="CM124" t="str">
        <f>""</f>
        <v/>
      </c>
      <c r="CN124" t="str">
        <f>""</f>
        <v/>
      </c>
      <c r="CO124" t="str">
        <f>""</f>
        <v/>
      </c>
      <c r="CP124" t="str">
        <f>""</f>
        <v/>
      </c>
      <c r="CQ124" t="str">
        <f>""</f>
        <v/>
      </c>
      <c r="CR124" t="str">
        <f>""</f>
        <v/>
      </c>
      <c r="CS124" t="str">
        <f>""</f>
        <v/>
      </c>
      <c r="CT124" t="str">
        <f>""</f>
        <v/>
      </c>
      <c r="CU124" t="str">
        <f>""</f>
        <v/>
      </c>
      <c r="CV124" t="str">
        <f>""</f>
        <v/>
      </c>
      <c r="CW124" t="str">
        <f>""</f>
        <v/>
      </c>
      <c r="CX124" t="str">
        <f>""</f>
        <v/>
      </c>
      <c r="CY124" t="str">
        <f>""</f>
        <v/>
      </c>
      <c r="CZ124" t="str">
        <f>""</f>
        <v/>
      </c>
      <c r="DA124" t="str">
        <f>""</f>
        <v/>
      </c>
      <c r="DB124" t="str">
        <f>""</f>
        <v/>
      </c>
      <c r="DC124" t="str">
        <f>""</f>
        <v/>
      </c>
      <c r="DD124" t="str">
        <f>""</f>
        <v/>
      </c>
      <c r="DE124" t="str">
        <f>""</f>
        <v/>
      </c>
      <c r="DF124" t="str">
        <f>""</f>
        <v/>
      </c>
      <c r="DG124" t="str">
        <f>""</f>
        <v/>
      </c>
      <c r="DH124" t="str">
        <f>""</f>
        <v/>
      </c>
      <c r="DI124" t="str">
        <f>""</f>
        <v/>
      </c>
      <c r="DJ124" t="str">
        <f>""</f>
        <v/>
      </c>
      <c r="DK124" t="str">
        <f>""</f>
        <v/>
      </c>
      <c r="DL124" t="str">
        <f>""</f>
        <v/>
      </c>
      <c r="DM124" t="str">
        <f>""</f>
        <v/>
      </c>
      <c r="DN124" t="str">
        <f>""</f>
        <v/>
      </c>
      <c r="DO124" t="str">
        <f>""</f>
        <v/>
      </c>
      <c r="DP124" t="str">
        <f>""</f>
        <v/>
      </c>
      <c r="DQ124" t="str">
        <f>""</f>
        <v/>
      </c>
      <c r="DR124" t="str">
        <f>""</f>
        <v/>
      </c>
      <c r="DS124" t="str">
        <f>""</f>
        <v/>
      </c>
      <c r="DT124" t="str">
        <f>""</f>
        <v/>
      </c>
      <c r="DU124" t="str">
        <f>""</f>
        <v/>
      </c>
    </row>
    <row r="125" spans="1:125" x14ac:dyDescent="0.25">
      <c r="A125" t="str">
        <f>"            Recurring Operating Income"</f>
        <v xml:space="preserve">            Recurring Operating Income</v>
      </c>
      <c r="B125" t="str">
        <f t="shared" si="66"/>
        <v>KER FP Equity</v>
      </c>
      <c r="C125" t="str">
        <f>"BI047"</f>
        <v>BI047</v>
      </c>
      <c r="D125" t="str">
        <f>"BICS_SEGMENT_DATA"</f>
        <v>BICS_SEGMENT_DATA</v>
      </c>
      <c r="E125" t="str">
        <f>"Dynamic"</f>
        <v>Dynamic</v>
      </c>
      <c r="F125" t="str">
        <f ca="1">IF(AND(ISNUMBER($F$248),$B$158=1),$F$248,HLOOKUP(INDIRECT(ADDRESS(2,COLUMN())),OFFSET($BN$2,0,0,ROW()-1,60),ROW()-1,FALSE))</f>
        <v/>
      </c>
      <c r="G125" t="str">
        <f ca="1">IF(AND(ISNUMBER($G$248),$B$158=1),$G$248,HLOOKUP(INDIRECT(ADDRESS(2,COLUMN())),OFFSET($BN$2,0,0,ROW()-1,60),ROW()-1,FALSE))</f>
        <v/>
      </c>
      <c r="H125" t="str">
        <f ca="1">IF(AND(ISNUMBER($H$248),$B$158=1),$H$248,HLOOKUP(INDIRECT(ADDRESS(2,COLUMN())),OFFSET($BN$2,0,0,ROW()-1,60),ROW()-1,FALSE))</f>
        <v/>
      </c>
      <c r="I125" t="str">
        <f ca="1">IF(AND(ISNUMBER($I$248),$B$158=1),$I$248,HLOOKUP(INDIRECT(ADDRESS(2,COLUMN())),OFFSET($BN$2,0,0,ROW()-1,60),ROW()-1,FALSE))</f>
        <v/>
      </c>
      <c r="J125" t="str">
        <f ca="1">IF(AND(ISNUMBER($J$248),$B$158=1),$J$248,HLOOKUP(INDIRECT(ADDRESS(2,COLUMN())),OFFSET($BN$2,0,0,ROW()-1,60),ROW()-1,FALSE))</f>
        <v/>
      </c>
      <c r="K125" t="str">
        <f ca="1">IF(AND(ISNUMBER($K$248),$B$158=1),$K$248,HLOOKUP(INDIRECT(ADDRESS(2,COLUMN())),OFFSET($BN$2,0,0,ROW()-1,60),ROW()-1,FALSE))</f>
        <v/>
      </c>
      <c r="L125" t="str">
        <f ca="1">IF(AND(ISNUMBER($L$248),$B$158=1),$L$248,HLOOKUP(INDIRECT(ADDRESS(2,COLUMN())),OFFSET($BN$2,0,0,ROW()-1,60),ROW()-1,FALSE))</f>
        <v/>
      </c>
      <c r="M125" t="str">
        <f ca="1">IF(AND(ISNUMBER($M$248),$B$158=1),$M$248,HLOOKUP(INDIRECT(ADDRESS(2,COLUMN())),OFFSET($BN$2,0,0,ROW()-1,60),ROW()-1,FALSE))</f>
        <v/>
      </c>
      <c r="N125" t="str">
        <f ca="1">IF(AND(ISNUMBER($N$248),$B$158=1),$N$248,HLOOKUP(INDIRECT(ADDRESS(2,COLUMN())),OFFSET($BN$2,0,0,ROW()-1,60),ROW()-1,FALSE))</f>
        <v/>
      </c>
      <c r="O125" t="str">
        <f ca="1">IF(AND(ISNUMBER($O$248),$B$158=1),$O$248,HLOOKUP(INDIRECT(ADDRESS(2,COLUMN())),OFFSET($BN$2,0,0,ROW()-1,60),ROW()-1,FALSE))</f>
        <v/>
      </c>
      <c r="P125" t="str">
        <f ca="1">IF(AND(ISNUMBER($P$248),$B$158=1),$P$248,HLOOKUP(INDIRECT(ADDRESS(2,COLUMN())),OFFSET($BN$2,0,0,ROW()-1,60),ROW()-1,FALSE))</f>
        <v/>
      </c>
      <c r="Q125" t="str">
        <f ca="1">IF(AND(ISNUMBER($Q$248),$B$158=1),$Q$248,HLOOKUP(INDIRECT(ADDRESS(2,COLUMN())),OFFSET($BN$2,0,0,ROW()-1,60),ROW()-1,FALSE))</f>
        <v/>
      </c>
      <c r="R125" t="str">
        <f ca="1">IF(AND(ISNUMBER($R$248),$B$158=1),$R$248,HLOOKUP(INDIRECT(ADDRESS(2,COLUMN())),OFFSET($BN$2,0,0,ROW()-1,60),ROW()-1,FALSE))</f>
        <v/>
      </c>
      <c r="S125" t="str">
        <f ca="1">IF(AND(ISNUMBER($S$248),$B$158=1),$S$248,HLOOKUP(INDIRECT(ADDRESS(2,COLUMN())),OFFSET($BN$2,0,0,ROW()-1,60),ROW()-1,FALSE))</f>
        <v/>
      </c>
      <c r="T125" t="str">
        <f ca="1">IF(AND(ISNUMBER($T$248),$B$158=1),$T$248,HLOOKUP(INDIRECT(ADDRESS(2,COLUMN())),OFFSET($BN$2,0,0,ROW()-1,60),ROW()-1,FALSE))</f>
        <v/>
      </c>
      <c r="U125" t="str">
        <f ca="1">IF(AND(ISNUMBER($U$248),$B$158=1),$U$248,HLOOKUP(INDIRECT(ADDRESS(2,COLUMN())),OFFSET($BN$2,0,0,ROW()-1,60),ROW()-1,FALSE))</f>
        <v/>
      </c>
      <c r="V125" t="str">
        <f ca="1">IF(AND(ISNUMBER($V$248),$B$158=1),$V$248,HLOOKUP(INDIRECT(ADDRESS(2,COLUMN())),OFFSET($BN$2,0,0,ROW()-1,60),ROW()-1,FALSE))</f>
        <v/>
      </c>
      <c r="W125" t="str">
        <f ca="1">IF(AND(ISNUMBER($W$248),$B$158=1),$W$248,HLOOKUP(INDIRECT(ADDRESS(2,COLUMN())),OFFSET($BN$2,0,0,ROW()-1,60),ROW()-1,FALSE))</f>
        <v/>
      </c>
      <c r="X125" t="str">
        <f ca="1">IF(AND(ISNUMBER($X$248),$B$158=1),$X$248,HLOOKUP(INDIRECT(ADDRESS(2,COLUMN())),OFFSET($BN$2,0,0,ROW()-1,60),ROW()-1,FALSE))</f>
        <v/>
      </c>
      <c r="Y125" t="str">
        <f ca="1">IF(AND(ISNUMBER($Y$248),$B$158=1),$Y$248,HLOOKUP(INDIRECT(ADDRESS(2,COLUMN())),OFFSET($BN$2,0,0,ROW()-1,60),ROW()-1,FALSE))</f>
        <v/>
      </c>
      <c r="Z125" t="str">
        <f ca="1">IF(AND(ISNUMBER($Z$248),$B$158=1),$Z$248,HLOOKUP(INDIRECT(ADDRESS(2,COLUMN())),OFFSET($BN$2,0,0,ROW()-1,60),ROW()-1,FALSE))</f>
        <v/>
      </c>
      <c r="AA125" t="str">
        <f ca="1">IF(AND(ISNUMBER($AA$248),$B$158=1),$AA$248,HLOOKUP(INDIRECT(ADDRESS(2,COLUMN())),OFFSET($BN$2,0,0,ROW()-1,60),ROW()-1,FALSE))</f>
        <v/>
      </c>
      <c r="AB125" t="str">
        <f ca="1">IF(AND(ISNUMBER($AB$248),$B$158=1),$AB$248,HLOOKUP(INDIRECT(ADDRESS(2,COLUMN())),OFFSET($BN$2,0,0,ROW()-1,60),ROW()-1,FALSE))</f>
        <v/>
      </c>
      <c r="AC125" t="str">
        <f ca="1">IF(AND(ISNUMBER($AC$248),$B$158=1),$AC$248,HLOOKUP(INDIRECT(ADDRESS(2,COLUMN())),OFFSET($BN$2,0,0,ROW()-1,60),ROW()-1,FALSE))</f>
        <v/>
      </c>
      <c r="AD125" t="str">
        <f ca="1">IF(AND(ISNUMBER($AD$248),$B$158=1),$AD$248,HLOOKUP(INDIRECT(ADDRESS(2,COLUMN())),OFFSET($BN$2,0,0,ROW()-1,60),ROW()-1,FALSE))</f>
        <v/>
      </c>
      <c r="AE125" t="str">
        <f ca="1">IF(AND(ISNUMBER($AE$248),$B$158=1),$AE$248,HLOOKUP(INDIRECT(ADDRESS(2,COLUMN())),OFFSET($BN$2,0,0,ROW()-1,60),ROW()-1,FALSE))</f>
        <v/>
      </c>
      <c r="AF125" t="str">
        <f ca="1">IF(AND(ISNUMBER($AF$248),$B$158=1),$AF$248,HLOOKUP(INDIRECT(ADDRESS(2,COLUMN())),OFFSET($BN$2,0,0,ROW()-1,60),ROW()-1,FALSE))</f>
        <v/>
      </c>
      <c r="AG125" t="str">
        <f ca="1">IF(AND(ISNUMBER($AG$248),$B$158=1),$AG$248,HLOOKUP(INDIRECT(ADDRESS(2,COLUMN())),OFFSET($BN$2,0,0,ROW()-1,60),ROW()-1,FALSE))</f>
        <v/>
      </c>
      <c r="AH125" t="str">
        <f ca="1">IF(AND(ISNUMBER($AH$248),$B$158=1),$AH$248,HLOOKUP(INDIRECT(ADDRESS(2,COLUMN())),OFFSET($BN$2,0,0,ROW()-1,60),ROW()-1,FALSE))</f>
        <v/>
      </c>
      <c r="AI125" t="str">
        <f ca="1">IF(AND(ISNUMBER($AI$248),$B$158=1),$AI$248,HLOOKUP(INDIRECT(ADDRESS(2,COLUMN())),OFFSET($BN$2,0,0,ROW()-1,60),ROW()-1,FALSE))</f>
        <v/>
      </c>
      <c r="AJ125" t="str">
        <f ca="1">IF(AND(ISNUMBER($AJ$248),$B$158=1),$AJ$248,HLOOKUP(INDIRECT(ADDRESS(2,COLUMN())),OFFSET($BN$2,0,0,ROW()-1,60),ROW()-1,FALSE))</f>
        <v/>
      </c>
      <c r="AK125" t="str">
        <f ca="1">IF(AND(ISNUMBER($AK$248),$B$158=1),$AK$248,HLOOKUP(INDIRECT(ADDRESS(2,COLUMN())),OFFSET($BN$2,0,0,ROW()-1,60),ROW()-1,FALSE))</f>
        <v/>
      </c>
      <c r="AL125" t="str">
        <f ca="1">IF(AND(ISNUMBER($AL$248),$B$158=1),$AL$248,HLOOKUP(INDIRECT(ADDRESS(2,COLUMN())),OFFSET($BN$2,0,0,ROW()-1,60),ROW()-1,FALSE))</f>
        <v/>
      </c>
      <c r="AM125" t="str">
        <f ca="1">IF(AND(ISNUMBER($AM$248),$B$158=1),$AM$248,HLOOKUP(INDIRECT(ADDRESS(2,COLUMN())),OFFSET($BN$2,0,0,ROW()-1,60),ROW()-1,FALSE))</f>
        <v/>
      </c>
      <c r="AN125" t="str">
        <f ca="1">IF(AND(ISNUMBER($AN$248),$B$158=1),$AN$248,HLOOKUP(INDIRECT(ADDRESS(2,COLUMN())),OFFSET($BN$2,0,0,ROW()-1,60),ROW()-1,FALSE))</f>
        <v/>
      </c>
      <c r="AO125" t="str">
        <f ca="1">IF(AND(ISNUMBER($AO$248),$B$158=1),$AO$248,HLOOKUP(INDIRECT(ADDRESS(2,COLUMN())),OFFSET($BN$2,0,0,ROW()-1,60),ROW()-1,FALSE))</f>
        <v/>
      </c>
      <c r="AP125" t="str">
        <f ca="1">IF(AND(ISNUMBER($AP$248),$B$158=1),$AP$248,HLOOKUP(INDIRECT(ADDRESS(2,COLUMN())),OFFSET($BN$2,0,0,ROW()-1,60),ROW()-1,FALSE))</f>
        <v/>
      </c>
      <c r="AQ125" t="str">
        <f ca="1">IF(AND(ISNUMBER($AQ$248),$B$158=1),$AQ$248,HLOOKUP(INDIRECT(ADDRESS(2,COLUMN())),OFFSET($BN$2,0,0,ROW()-1,60),ROW()-1,FALSE))</f>
        <v/>
      </c>
      <c r="AR125" t="str">
        <f ca="1">IF(AND(ISNUMBER($AR$248),$B$158=1),$AR$248,HLOOKUP(INDIRECT(ADDRESS(2,COLUMN())),OFFSET($BN$2,0,0,ROW()-1,60),ROW()-1,FALSE))</f>
        <v/>
      </c>
      <c r="AS125" t="str">
        <f ca="1">IF(AND(ISNUMBER($AS$248),$B$158=1),$AS$248,HLOOKUP(INDIRECT(ADDRESS(2,COLUMN())),OFFSET($BN$2,0,0,ROW()-1,60),ROW()-1,FALSE))</f>
        <v/>
      </c>
      <c r="AT125" t="str">
        <f ca="1">IF(AND(ISNUMBER($AT$248),$B$158=1),$AT$248,HLOOKUP(INDIRECT(ADDRESS(2,COLUMN())),OFFSET($BN$2,0,0,ROW()-1,60),ROW()-1,FALSE))</f>
        <v/>
      </c>
      <c r="AU125" t="str">
        <f ca="1">IF(AND(ISNUMBER($AU$248),$B$158=1),$AU$248,HLOOKUP(INDIRECT(ADDRESS(2,COLUMN())),OFFSET($BN$2,0,0,ROW()-1,60),ROW()-1,FALSE))</f>
        <v/>
      </c>
      <c r="AV125" t="str">
        <f ca="1">IF(AND(ISNUMBER($AV$248),$B$158=1),$AV$248,HLOOKUP(INDIRECT(ADDRESS(2,COLUMN())),OFFSET($BN$2,0,0,ROW()-1,60),ROW()-1,FALSE))</f>
        <v/>
      </c>
      <c r="AW125" t="str">
        <f ca="1">IF(AND(ISNUMBER($AW$248),$B$158=1),$AW$248,HLOOKUP(INDIRECT(ADDRESS(2,COLUMN())),OFFSET($BN$2,0,0,ROW()-1,60),ROW()-1,FALSE))</f>
        <v/>
      </c>
      <c r="AX125" t="str">
        <f ca="1">IF(AND(ISNUMBER($AX$248),$B$158=1),$AX$248,HLOOKUP(INDIRECT(ADDRESS(2,COLUMN())),OFFSET($BN$2,0,0,ROW()-1,60),ROW()-1,FALSE))</f>
        <v/>
      </c>
      <c r="AY125" t="str">
        <f ca="1">IF(AND(ISNUMBER($AY$248),$B$158=1),$AY$248,HLOOKUP(INDIRECT(ADDRESS(2,COLUMN())),OFFSET($BN$2,0,0,ROW()-1,60),ROW()-1,FALSE))</f>
        <v/>
      </c>
      <c r="AZ125" t="str">
        <f ca="1">IF(AND(ISNUMBER($AZ$248),$B$158=1),$AZ$248,HLOOKUP(INDIRECT(ADDRESS(2,COLUMN())),OFFSET($BN$2,0,0,ROW()-1,60),ROW()-1,FALSE))</f>
        <v/>
      </c>
      <c r="BA125" t="str">
        <f ca="1">IF(AND(ISNUMBER($BA$248),$B$158=1),$BA$248,HLOOKUP(INDIRECT(ADDRESS(2,COLUMN())),OFFSET($BN$2,0,0,ROW()-1,60),ROW()-1,FALSE))</f>
        <v/>
      </c>
      <c r="BB125" t="str">
        <f ca="1">IF(AND(ISNUMBER($BB$248),$B$158=1),$BB$248,HLOOKUP(INDIRECT(ADDRESS(2,COLUMN())),OFFSET($BN$2,0,0,ROW()-1,60),ROW()-1,FALSE))</f>
        <v/>
      </c>
      <c r="BC125" t="str">
        <f ca="1">IF(AND(ISNUMBER($BC$248),$B$158=1),$BC$248,HLOOKUP(INDIRECT(ADDRESS(2,COLUMN())),OFFSET($BN$2,0,0,ROW()-1,60),ROW()-1,FALSE))</f>
        <v/>
      </c>
      <c r="BD125" t="str">
        <f ca="1">IF(AND(ISNUMBER($BD$248),$B$158=1),$BD$248,HLOOKUP(INDIRECT(ADDRESS(2,COLUMN())),OFFSET($BN$2,0,0,ROW()-1,60),ROW()-1,FALSE))</f>
        <v/>
      </c>
      <c r="BE125" t="str">
        <f ca="1">IF(AND(ISNUMBER($BE$248),$B$158=1),$BE$248,HLOOKUP(INDIRECT(ADDRESS(2,COLUMN())),OFFSET($BN$2,0,0,ROW()-1,60),ROW()-1,FALSE))</f>
        <v/>
      </c>
      <c r="BF125" t="str">
        <f ca="1">IF(AND(ISNUMBER($BF$248),$B$158=1),$BF$248,HLOOKUP(INDIRECT(ADDRESS(2,COLUMN())),OFFSET($BN$2,0,0,ROW()-1,60),ROW()-1,FALSE))</f>
        <v/>
      </c>
      <c r="BG125" t="str">
        <f ca="1">IF(AND(ISNUMBER($BG$248),$B$158=1),$BG$248,HLOOKUP(INDIRECT(ADDRESS(2,COLUMN())),OFFSET($BN$2,0,0,ROW()-1,60),ROW()-1,FALSE))</f>
        <v/>
      </c>
      <c r="BH125" t="str">
        <f ca="1">IF(AND(ISNUMBER($BH$248),$B$158=1),$BH$248,HLOOKUP(INDIRECT(ADDRESS(2,COLUMN())),OFFSET($BN$2,0,0,ROW()-1,60),ROW()-1,FALSE))</f>
        <v/>
      </c>
      <c r="BI125" t="str">
        <f ca="1">IF(AND(ISNUMBER($BI$248),$B$158=1),$BI$248,HLOOKUP(INDIRECT(ADDRESS(2,COLUMN())),OFFSET($BN$2,0,0,ROW()-1,60),ROW()-1,FALSE))</f>
        <v/>
      </c>
      <c r="BJ125" t="str">
        <f ca="1">IF(AND(ISNUMBER($BJ$248),$B$158=1),$BJ$248,HLOOKUP(INDIRECT(ADDRESS(2,COLUMN())),OFFSET($BN$2,0,0,ROW()-1,60),ROW()-1,FALSE))</f>
        <v/>
      </c>
      <c r="BK125" t="str">
        <f ca="1">IF(AND(ISNUMBER($BK$248),$B$158=1),$BK$248,HLOOKUP(INDIRECT(ADDRESS(2,COLUMN())),OFFSET($BN$2,0,0,ROW()-1,60),ROW()-1,FALSE))</f>
        <v/>
      </c>
      <c r="BL125" t="str">
        <f ca="1">IF(AND(ISNUMBER($BL$248),$B$158=1),$BL$248,HLOOKUP(INDIRECT(ADDRESS(2,COLUMN())),OFFSET($BN$2,0,0,ROW()-1,60),ROW()-1,FALSE))</f>
        <v/>
      </c>
      <c r="BM125" t="str">
        <f ca="1">IF(AND(ISNUMBER($BM$248),$B$158=1),$BM$248,HLOOKUP(INDIRECT(ADDRESS(2,COLUMN())),OFFSET($BN$2,0,0,ROW()-1,60),ROW()-1,FALSE))</f>
        <v/>
      </c>
      <c r="BN125" t="str">
        <f>""</f>
        <v/>
      </c>
      <c r="BO125" t="str">
        <f>""</f>
        <v/>
      </c>
      <c r="BP125" t="str">
        <f>""</f>
        <v/>
      </c>
      <c r="BQ125" t="str">
        <f>""</f>
        <v/>
      </c>
      <c r="BR125" t="str">
        <f>""</f>
        <v/>
      </c>
      <c r="BS125" t="str">
        <f>""</f>
        <v/>
      </c>
      <c r="BT125" t="str">
        <f>""</f>
        <v/>
      </c>
      <c r="BU125" t="str">
        <f>""</f>
        <v/>
      </c>
      <c r="BV125" t="str">
        <f>""</f>
        <v/>
      </c>
      <c r="BW125" t="str">
        <f>""</f>
        <v/>
      </c>
      <c r="BX125" t="str">
        <f>""</f>
        <v/>
      </c>
      <c r="BY125" t="str">
        <f>""</f>
        <v/>
      </c>
      <c r="BZ125" t="str">
        <f>""</f>
        <v/>
      </c>
      <c r="CA125" t="str">
        <f>""</f>
        <v/>
      </c>
      <c r="CB125" t="str">
        <f>""</f>
        <v/>
      </c>
      <c r="CC125" t="str">
        <f>""</f>
        <v/>
      </c>
      <c r="CD125" t="str">
        <f>""</f>
        <v/>
      </c>
      <c r="CE125" t="str">
        <f>""</f>
        <v/>
      </c>
      <c r="CF125" t="str">
        <f>""</f>
        <v/>
      </c>
      <c r="CG125" t="str">
        <f>""</f>
        <v/>
      </c>
      <c r="CH125" t="str">
        <f>""</f>
        <v/>
      </c>
      <c r="CI125" t="str">
        <f>""</f>
        <v/>
      </c>
      <c r="CJ125" t="str">
        <f>""</f>
        <v/>
      </c>
      <c r="CK125" t="str">
        <f>""</f>
        <v/>
      </c>
      <c r="CL125" t="str">
        <f>""</f>
        <v/>
      </c>
      <c r="CM125" t="str">
        <f>""</f>
        <v/>
      </c>
      <c r="CN125" t="str">
        <f>""</f>
        <v/>
      </c>
      <c r="CO125" t="str">
        <f>""</f>
        <v/>
      </c>
      <c r="CP125" t="str">
        <f>""</f>
        <v/>
      </c>
      <c r="CQ125" t="str">
        <f>""</f>
        <v/>
      </c>
      <c r="CR125" t="str">
        <f>""</f>
        <v/>
      </c>
      <c r="CS125" t="str">
        <f>""</f>
        <v/>
      </c>
      <c r="CT125" t="str">
        <f>""</f>
        <v/>
      </c>
      <c r="CU125" t="str">
        <f>""</f>
        <v/>
      </c>
      <c r="CV125" t="str">
        <f>""</f>
        <v/>
      </c>
      <c r="CW125" t="str">
        <f>""</f>
        <v/>
      </c>
      <c r="CX125" t="str">
        <f>""</f>
        <v/>
      </c>
      <c r="CY125" t="str">
        <f>""</f>
        <v/>
      </c>
      <c r="CZ125" t="str">
        <f>""</f>
        <v/>
      </c>
      <c r="DA125" t="str">
        <f>""</f>
        <v/>
      </c>
      <c r="DB125" t="str">
        <f>""</f>
        <v/>
      </c>
      <c r="DC125" t="str">
        <f>""</f>
        <v/>
      </c>
      <c r="DD125" t="str">
        <f>""</f>
        <v/>
      </c>
      <c r="DE125" t="str">
        <f>""</f>
        <v/>
      </c>
      <c r="DF125" t="str">
        <f>""</f>
        <v/>
      </c>
      <c r="DG125" t="str">
        <f>""</f>
        <v/>
      </c>
      <c r="DH125" t="str">
        <f>""</f>
        <v/>
      </c>
      <c r="DI125" t="str">
        <f>""</f>
        <v/>
      </c>
      <c r="DJ125" t="str">
        <f>""</f>
        <v/>
      </c>
      <c r="DK125" t="str">
        <f>""</f>
        <v/>
      </c>
      <c r="DL125" t="str">
        <f>""</f>
        <v/>
      </c>
      <c r="DM125" t="str">
        <f>""</f>
        <v/>
      </c>
      <c r="DN125" t="str">
        <f>""</f>
        <v/>
      </c>
      <c r="DO125" t="str">
        <f>""</f>
        <v/>
      </c>
      <c r="DP125" t="str">
        <f>""</f>
        <v/>
      </c>
      <c r="DQ125" t="str">
        <f>""</f>
        <v/>
      </c>
      <c r="DR125" t="str">
        <f>""</f>
        <v/>
      </c>
      <c r="DS125" t="str">
        <f>""</f>
        <v/>
      </c>
      <c r="DT125" t="str">
        <f>""</f>
        <v/>
      </c>
      <c r="DU125" t="str">
        <f>""</f>
        <v/>
      </c>
    </row>
    <row r="126" spans="1:125" x14ac:dyDescent="0.25">
      <c r="A126" t="str">
        <f>"            Recurring Operating Margin (%)"</f>
        <v xml:space="preserve">            Recurring Operating Margin (%)</v>
      </c>
      <c r="B126" t="str">
        <f t="shared" si="66"/>
        <v>KER FP Equity</v>
      </c>
      <c r="E126" t="str">
        <f>"Expression"</f>
        <v>Expression</v>
      </c>
      <c r="F126" t="str">
        <f ca="1">IF(AND($B$158=1,LEN($F$125) * LEN($F$121)&gt;0),$F$125/$F$121*100,HLOOKUP(INDIRECT(ADDRESS(2,COLUMN())),OFFSET($BN$2,0,0,ROW()-1,60),ROW()-1,FALSE))</f>
        <v/>
      </c>
      <c r="G126" t="str">
        <f ca="1">IF(AND($B$158=1,LEN($G$125) * LEN($G$121)&gt;0),$G$125/$G$121*100,HLOOKUP(INDIRECT(ADDRESS(2,COLUMN())),OFFSET($BN$2,0,0,ROW()-1,60),ROW()-1,FALSE))</f>
        <v/>
      </c>
      <c r="H126" t="str">
        <f ca="1">IF(AND($B$158=1,LEN($H$125) * LEN($H$121)&gt;0),$H$125/$H$121*100,HLOOKUP(INDIRECT(ADDRESS(2,COLUMN())),OFFSET($BN$2,0,0,ROW()-1,60),ROW()-1,FALSE))</f>
        <v/>
      </c>
      <c r="I126" t="str">
        <f ca="1">IF(AND($B$158=1,LEN($I$125) * LEN($I$121)&gt;0),$I$125/$I$121*100,HLOOKUP(INDIRECT(ADDRESS(2,COLUMN())),OFFSET($BN$2,0,0,ROW()-1,60),ROW()-1,FALSE))</f>
        <v/>
      </c>
      <c r="J126" t="str">
        <f ca="1">IF(AND($B$158=1,LEN($J$125) * LEN($J$121)&gt;0),$J$125/$J$121*100,HLOOKUP(INDIRECT(ADDRESS(2,COLUMN())),OFFSET($BN$2,0,0,ROW()-1,60),ROW()-1,FALSE))</f>
        <v/>
      </c>
      <c r="K126" t="str">
        <f ca="1">IF(AND($B$158=1,LEN($K$125) * LEN($K$121)&gt;0),$K$125/$K$121*100,HLOOKUP(INDIRECT(ADDRESS(2,COLUMN())),OFFSET($BN$2,0,0,ROW()-1,60),ROW()-1,FALSE))</f>
        <v/>
      </c>
      <c r="L126" t="str">
        <f ca="1">IF(AND($B$158=1,LEN($L$125) * LEN($L$121)&gt;0),$L$125/$L$121*100,HLOOKUP(INDIRECT(ADDRESS(2,COLUMN())),OFFSET($BN$2,0,0,ROW()-1,60),ROW()-1,FALSE))</f>
        <v/>
      </c>
      <c r="M126" t="str">
        <f ca="1">IF(AND($B$158=1,LEN($M$125) * LEN($M$121)&gt;0),$M$125/$M$121*100,HLOOKUP(INDIRECT(ADDRESS(2,COLUMN())),OFFSET($BN$2,0,0,ROW()-1,60),ROW()-1,FALSE))</f>
        <v/>
      </c>
      <c r="N126" t="str">
        <f ca="1">IF(AND($B$158=1,LEN($N$125) * LEN($N$121)&gt;0),$N$125/$N$121*100,HLOOKUP(INDIRECT(ADDRESS(2,COLUMN())),OFFSET($BN$2,0,0,ROW()-1,60),ROW()-1,FALSE))</f>
        <v/>
      </c>
      <c r="O126" t="str">
        <f ca="1">IF(AND($B$158=1,LEN($O$125) * LEN($O$121)&gt;0),$O$125/$O$121*100,HLOOKUP(INDIRECT(ADDRESS(2,COLUMN())),OFFSET($BN$2,0,0,ROW()-1,60),ROW()-1,FALSE))</f>
        <v/>
      </c>
      <c r="P126" t="str">
        <f ca="1">IF(AND($B$158=1,LEN($P$125) * LEN($P$121)&gt;0),$P$125/$P$121*100,HLOOKUP(INDIRECT(ADDRESS(2,COLUMN())),OFFSET($BN$2,0,0,ROW()-1,60),ROW()-1,FALSE))</f>
        <v/>
      </c>
      <c r="Q126" t="str">
        <f ca="1">IF(AND($B$158=1,LEN($Q$125) * LEN($Q$121)&gt;0),$Q$125/$Q$121*100,HLOOKUP(INDIRECT(ADDRESS(2,COLUMN())),OFFSET($BN$2,0,0,ROW()-1,60),ROW()-1,FALSE))</f>
        <v/>
      </c>
      <c r="R126" t="str">
        <f ca="1">IF(AND($B$158=1,LEN($R$125) * LEN($R$121)&gt;0),$R$125/$R$121*100,HLOOKUP(INDIRECT(ADDRESS(2,COLUMN())),OFFSET($BN$2,0,0,ROW()-1,60),ROW()-1,FALSE))</f>
        <v/>
      </c>
      <c r="S126" t="str">
        <f ca="1">IF(AND($B$158=1,LEN($S$125) * LEN($S$121)&gt;0),$S$125/$S$121*100,HLOOKUP(INDIRECT(ADDRESS(2,COLUMN())),OFFSET($BN$2,0,0,ROW()-1,60),ROW()-1,FALSE))</f>
        <v/>
      </c>
      <c r="T126" t="str">
        <f ca="1">IF(AND($B$158=1,LEN($T$125) * LEN($T$121)&gt;0),$T$125/$T$121*100,HLOOKUP(INDIRECT(ADDRESS(2,COLUMN())),OFFSET($BN$2,0,0,ROW()-1,60),ROW()-1,FALSE))</f>
        <v/>
      </c>
      <c r="U126" t="str">
        <f ca="1">IF(AND($B$158=1,LEN($U$125) * LEN($U$121)&gt;0),$U$125/$U$121*100,HLOOKUP(INDIRECT(ADDRESS(2,COLUMN())),OFFSET($BN$2,0,0,ROW()-1,60),ROW()-1,FALSE))</f>
        <v/>
      </c>
      <c r="V126" t="str">
        <f ca="1">IF(AND($B$158=1,LEN($V$125) * LEN($V$121)&gt;0),$V$125/$V$121*100,HLOOKUP(INDIRECT(ADDRESS(2,COLUMN())),OFFSET($BN$2,0,0,ROW()-1,60),ROW()-1,FALSE))</f>
        <v/>
      </c>
      <c r="W126" t="str">
        <f ca="1">IF(AND($B$158=1,LEN($W$125) * LEN($W$121)&gt;0),$W$125/$W$121*100,HLOOKUP(INDIRECT(ADDRESS(2,COLUMN())),OFFSET($BN$2,0,0,ROW()-1,60),ROW()-1,FALSE))</f>
        <v/>
      </c>
      <c r="X126" t="str">
        <f ca="1">IF(AND($B$158=1,LEN($X$125) * LEN($X$121)&gt;0),$X$125/$X$121*100,HLOOKUP(INDIRECT(ADDRESS(2,COLUMN())),OFFSET($BN$2,0,0,ROW()-1,60),ROW()-1,FALSE))</f>
        <v/>
      </c>
      <c r="Y126" t="str">
        <f ca="1">IF(AND($B$158=1,LEN($Y$125) * LEN($Y$121)&gt;0),$Y$125/$Y$121*100,HLOOKUP(INDIRECT(ADDRESS(2,COLUMN())),OFFSET($BN$2,0,0,ROW()-1,60),ROW()-1,FALSE))</f>
        <v/>
      </c>
      <c r="Z126" t="str">
        <f ca="1">IF(AND($B$158=1,LEN($Z$125) * LEN($Z$121)&gt;0),$Z$125/$Z$121*100,HLOOKUP(INDIRECT(ADDRESS(2,COLUMN())),OFFSET($BN$2,0,0,ROW()-1,60),ROW()-1,FALSE))</f>
        <v/>
      </c>
      <c r="AA126" t="str">
        <f ca="1">IF(AND($B$158=1,LEN($AA$125) * LEN($AA$121)&gt;0),$AA$125/$AA$121*100,HLOOKUP(INDIRECT(ADDRESS(2,COLUMN())),OFFSET($BN$2,0,0,ROW()-1,60),ROW()-1,FALSE))</f>
        <v/>
      </c>
      <c r="AB126" t="str">
        <f ca="1">IF(AND($B$158=1,LEN($AB$125) * LEN($AB$121)&gt;0),$AB$125/$AB$121*100,HLOOKUP(INDIRECT(ADDRESS(2,COLUMN())),OFFSET($BN$2,0,0,ROW()-1,60),ROW()-1,FALSE))</f>
        <v/>
      </c>
      <c r="AC126" t="str">
        <f ca="1">IF(AND($B$158=1,LEN($AC$125) * LEN($AC$121)&gt;0),$AC$125/$AC$121*100,HLOOKUP(INDIRECT(ADDRESS(2,COLUMN())),OFFSET($BN$2,0,0,ROW()-1,60),ROW()-1,FALSE))</f>
        <v/>
      </c>
      <c r="AD126" t="str">
        <f ca="1">IF(AND($B$158=1,LEN($AD$125) * LEN($AD$121)&gt;0),$AD$125/$AD$121*100,HLOOKUP(INDIRECT(ADDRESS(2,COLUMN())),OFFSET($BN$2,0,0,ROW()-1,60),ROW()-1,FALSE))</f>
        <v/>
      </c>
      <c r="AE126" t="str">
        <f ca="1">IF(AND($B$158=1,LEN($AE$125) * LEN($AE$121)&gt;0),$AE$125/$AE$121*100,HLOOKUP(INDIRECT(ADDRESS(2,COLUMN())),OFFSET($BN$2,0,0,ROW()-1,60),ROW()-1,FALSE))</f>
        <v/>
      </c>
      <c r="AF126" t="str">
        <f ca="1">IF(AND($B$158=1,LEN($AF$125) * LEN($AF$121)&gt;0),$AF$125/$AF$121*100,HLOOKUP(INDIRECT(ADDRESS(2,COLUMN())),OFFSET($BN$2,0,0,ROW()-1,60),ROW()-1,FALSE))</f>
        <v/>
      </c>
      <c r="AG126" t="str">
        <f ca="1">IF(AND($B$158=1,LEN($AG$125) * LEN($AG$121)&gt;0),$AG$125/$AG$121*100,HLOOKUP(INDIRECT(ADDRESS(2,COLUMN())),OFFSET($BN$2,0,0,ROW()-1,60),ROW()-1,FALSE))</f>
        <v/>
      </c>
      <c r="AH126" t="str">
        <f ca="1">IF(AND($B$158=1,LEN($AH$125) * LEN($AH$121)&gt;0),$AH$125/$AH$121*100,HLOOKUP(INDIRECT(ADDRESS(2,COLUMN())),OFFSET($BN$2,0,0,ROW()-1,60),ROW()-1,FALSE))</f>
        <v/>
      </c>
      <c r="AI126" t="str">
        <f ca="1">IF(AND($B$158=1,LEN($AI$125) * LEN($AI$121)&gt;0),$AI$125/$AI$121*100,HLOOKUP(INDIRECT(ADDRESS(2,COLUMN())),OFFSET($BN$2,0,0,ROW()-1,60),ROW()-1,FALSE))</f>
        <v/>
      </c>
      <c r="AJ126" t="str">
        <f ca="1">IF(AND($B$158=1,LEN($AJ$125) * LEN($AJ$121)&gt;0),$AJ$125/$AJ$121*100,HLOOKUP(INDIRECT(ADDRESS(2,COLUMN())),OFFSET($BN$2,0,0,ROW()-1,60),ROW()-1,FALSE))</f>
        <v/>
      </c>
      <c r="AK126" t="str">
        <f ca="1">IF(AND($B$158=1,LEN($AK$125) * LEN($AK$121)&gt;0),$AK$125/$AK$121*100,HLOOKUP(INDIRECT(ADDRESS(2,COLUMN())),OFFSET($BN$2,0,0,ROW()-1,60),ROW()-1,FALSE))</f>
        <v/>
      </c>
      <c r="AL126" t="str">
        <f ca="1">IF(AND($B$158=1,LEN($AL$125) * LEN($AL$121)&gt;0),$AL$125/$AL$121*100,HLOOKUP(INDIRECT(ADDRESS(2,COLUMN())),OFFSET($BN$2,0,0,ROW()-1,60),ROW()-1,FALSE))</f>
        <v/>
      </c>
      <c r="AM126" t="str">
        <f ca="1">IF(AND($B$158=1,LEN($AM$125) * LEN($AM$121)&gt;0),$AM$125/$AM$121*100,HLOOKUP(INDIRECT(ADDRESS(2,COLUMN())),OFFSET($BN$2,0,0,ROW()-1,60),ROW()-1,FALSE))</f>
        <v/>
      </c>
      <c r="AN126" t="str">
        <f ca="1">IF(AND($B$158=1,LEN($AN$125) * LEN($AN$121)&gt;0),$AN$125/$AN$121*100,HLOOKUP(INDIRECT(ADDRESS(2,COLUMN())),OFFSET($BN$2,0,0,ROW()-1,60),ROW()-1,FALSE))</f>
        <v/>
      </c>
      <c r="AO126" t="str">
        <f ca="1">IF(AND($B$158=1,LEN($AO$125) * LEN($AO$121)&gt;0),$AO$125/$AO$121*100,HLOOKUP(INDIRECT(ADDRESS(2,COLUMN())),OFFSET($BN$2,0,0,ROW()-1,60),ROW()-1,FALSE))</f>
        <v/>
      </c>
      <c r="AP126" t="str">
        <f ca="1">IF(AND($B$158=1,LEN($AP$125) * LEN($AP$121)&gt;0),$AP$125/$AP$121*100,HLOOKUP(INDIRECT(ADDRESS(2,COLUMN())),OFFSET($BN$2,0,0,ROW()-1,60),ROW()-1,FALSE))</f>
        <v/>
      </c>
      <c r="AQ126" t="str">
        <f ca="1">IF(AND($B$158=1,LEN($AQ$125) * LEN($AQ$121)&gt;0),$AQ$125/$AQ$121*100,HLOOKUP(INDIRECT(ADDRESS(2,COLUMN())),OFFSET($BN$2,0,0,ROW()-1,60),ROW()-1,FALSE))</f>
        <v/>
      </c>
      <c r="AR126" t="str">
        <f ca="1">IF(AND($B$158=1,LEN($AR$125) * LEN($AR$121)&gt;0),$AR$125/$AR$121*100,HLOOKUP(INDIRECT(ADDRESS(2,COLUMN())),OFFSET($BN$2,0,0,ROW()-1,60),ROW()-1,FALSE))</f>
        <v/>
      </c>
      <c r="AS126" t="str">
        <f ca="1">IF(AND($B$158=1,LEN($AS$125) * LEN($AS$121)&gt;0),$AS$125/$AS$121*100,HLOOKUP(INDIRECT(ADDRESS(2,COLUMN())),OFFSET($BN$2,0,0,ROW()-1,60),ROW()-1,FALSE))</f>
        <v/>
      </c>
      <c r="AT126" t="str">
        <f ca="1">IF(AND($B$158=1,LEN($AT$125) * LEN($AT$121)&gt;0),$AT$125/$AT$121*100,HLOOKUP(INDIRECT(ADDRESS(2,COLUMN())),OFFSET($BN$2,0,0,ROW()-1,60),ROW()-1,FALSE))</f>
        <v/>
      </c>
      <c r="AU126" t="str">
        <f ca="1">IF(AND($B$158=1,LEN($AU$125) * LEN($AU$121)&gt;0),$AU$125/$AU$121*100,HLOOKUP(INDIRECT(ADDRESS(2,COLUMN())),OFFSET($BN$2,0,0,ROW()-1,60),ROW()-1,FALSE))</f>
        <v/>
      </c>
      <c r="AV126" t="str">
        <f ca="1">IF(AND($B$158=1,LEN($AV$125) * LEN($AV$121)&gt;0),$AV$125/$AV$121*100,HLOOKUP(INDIRECT(ADDRESS(2,COLUMN())),OFFSET($BN$2,0,0,ROW()-1,60),ROW()-1,FALSE))</f>
        <v/>
      </c>
      <c r="AW126" t="str">
        <f ca="1">IF(AND($B$158=1,LEN($AW$125) * LEN($AW$121)&gt;0),$AW$125/$AW$121*100,HLOOKUP(INDIRECT(ADDRESS(2,COLUMN())),OFFSET($BN$2,0,0,ROW()-1,60),ROW()-1,FALSE))</f>
        <v/>
      </c>
      <c r="AX126" t="str">
        <f ca="1">IF(AND($B$158=1,LEN($AX$125) * LEN($AX$121)&gt;0),$AX$125/$AX$121*100,HLOOKUP(INDIRECT(ADDRESS(2,COLUMN())),OFFSET($BN$2,0,0,ROW()-1,60),ROW()-1,FALSE))</f>
        <v/>
      </c>
      <c r="AY126" t="str">
        <f ca="1">IF(AND($B$158=1,LEN($AY$125) * LEN($AY$121)&gt;0),$AY$125/$AY$121*100,HLOOKUP(INDIRECT(ADDRESS(2,COLUMN())),OFFSET($BN$2,0,0,ROW()-1,60),ROW()-1,FALSE))</f>
        <v/>
      </c>
      <c r="AZ126" t="str">
        <f ca="1">IF(AND($B$158=1,LEN($AZ$125) * LEN($AZ$121)&gt;0),$AZ$125/$AZ$121*100,HLOOKUP(INDIRECT(ADDRESS(2,COLUMN())),OFFSET($BN$2,0,0,ROW()-1,60),ROW()-1,FALSE))</f>
        <v/>
      </c>
      <c r="BA126" t="str">
        <f ca="1">IF(AND($B$158=1,LEN($BA$125) * LEN($BA$121)&gt;0),$BA$125/$BA$121*100,HLOOKUP(INDIRECT(ADDRESS(2,COLUMN())),OFFSET($BN$2,0,0,ROW()-1,60),ROW()-1,FALSE))</f>
        <v/>
      </c>
      <c r="BB126" t="str">
        <f ca="1">IF(AND($B$158=1,LEN($BB$125) * LEN($BB$121)&gt;0),$BB$125/$BB$121*100,HLOOKUP(INDIRECT(ADDRESS(2,COLUMN())),OFFSET($BN$2,0,0,ROW()-1,60),ROW()-1,FALSE))</f>
        <v/>
      </c>
      <c r="BC126" t="str">
        <f ca="1">IF(AND($B$158=1,LEN($BC$125) * LEN($BC$121)&gt;0),$BC$125/$BC$121*100,HLOOKUP(INDIRECT(ADDRESS(2,COLUMN())),OFFSET($BN$2,0,0,ROW()-1,60),ROW()-1,FALSE))</f>
        <v/>
      </c>
      <c r="BD126" t="str">
        <f ca="1">IF(AND($B$158=1,LEN($BD$125) * LEN($BD$121)&gt;0),$BD$125/$BD$121*100,HLOOKUP(INDIRECT(ADDRESS(2,COLUMN())),OFFSET($BN$2,0,0,ROW()-1,60),ROW()-1,FALSE))</f>
        <v/>
      </c>
      <c r="BE126" t="str">
        <f ca="1">IF(AND($B$158=1,LEN($BE$125) * LEN($BE$121)&gt;0),$BE$125/$BE$121*100,HLOOKUP(INDIRECT(ADDRESS(2,COLUMN())),OFFSET($BN$2,0,0,ROW()-1,60),ROW()-1,FALSE))</f>
        <v/>
      </c>
      <c r="BF126" t="str">
        <f ca="1">IF(AND($B$158=1,LEN($BF$125) * LEN($BF$121)&gt;0),$BF$125/$BF$121*100,HLOOKUP(INDIRECT(ADDRESS(2,COLUMN())),OFFSET($BN$2,0,0,ROW()-1,60),ROW()-1,FALSE))</f>
        <v/>
      </c>
      <c r="BG126" t="str">
        <f ca="1">IF(AND($B$158=1,LEN($BG$125) * LEN($BG$121)&gt;0),$BG$125/$BG$121*100,HLOOKUP(INDIRECT(ADDRESS(2,COLUMN())),OFFSET($BN$2,0,0,ROW()-1,60),ROW()-1,FALSE))</f>
        <v/>
      </c>
      <c r="BH126" t="str">
        <f ca="1">IF(AND($B$158=1,LEN($BH$125) * LEN($BH$121)&gt;0),$BH$125/$BH$121*100,HLOOKUP(INDIRECT(ADDRESS(2,COLUMN())),OFFSET($BN$2,0,0,ROW()-1,60),ROW()-1,FALSE))</f>
        <v/>
      </c>
      <c r="BI126" t="str">
        <f ca="1">IF(AND($B$158=1,LEN($BI$125) * LEN($BI$121)&gt;0),$BI$125/$BI$121*100,HLOOKUP(INDIRECT(ADDRESS(2,COLUMN())),OFFSET($BN$2,0,0,ROW()-1,60),ROW()-1,FALSE))</f>
        <v/>
      </c>
      <c r="BJ126" t="str">
        <f ca="1">IF(AND($B$158=1,LEN($BJ$125) * LEN($BJ$121)&gt;0),$BJ$125/$BJ$121*100,HLOOKUP(INDIRECT(ADDRESS(2,COLUMN())),OFFSET($BN$2,0,0,ROW()-1,60),ROW()-1,FALSE))</f>
        <v/>
      </c>
      <c r="BK126" t="str">
        <f ca="1">IF(AND($B$158=1,LEN($BK$125) * LEN($BK$121)&gt;0),$BK$125/$BK$121*100,HLOOKUP(INDIRECT(ADDRESS(2,COLUMN())),OFFSET($BN$2,0,0,ROW()-1,60),ROW()-1,FALSE))</f>
        <v/>
      </c>
      <c r="BL126" t="str">
        <f ca="1">IF(AND($B$158=1,LEN($BL$125) * LEN($BL$121)&gt;0),$BL$125/$BL$121*100,HLOOKUP(INDIRECT(ADDRESS(2,COLUMN())),OFFSET($BN$2,0,0,ROW()-1,60),ROW()-1,FALSE))</f>
        <v/>
      </c>
      <c r="BM126" t="str">
        <f ca="1">IF(AND($B$158=1,LEN($BM$125) * LEN($BM$121)&gt;0),$BM$125/$BM$121*100,HLOOKUP(INDIRECT(ADDRESS(2,COLUMN())),OFFSET($BN$2,0,0,ROW()-1,60),ROW()-1,FALSE))</f>
        <v/>
      </c>
      <c r="BN126" t="str">
        <f>""</f>
        <v/>
      </c>
      <c r="BO126" t="str">
        <f>""</f>
        <v/>
      </c>
      <c r="BP126" t="str">
        <f>""</f>
        <v/>
      </c>
      <c r="BQ126" t="str">
        <f>""</f>
        <v/>
      </c>
      <c r="BR126" t="str">
        <f>""</f>
        <v/>
      </c>
      <c r="BS126" t="str">
        <f>""</f>
        <v/>
      </c>
      <c r="BT126" t="str">
        <f>""</f>
        <v/>
      </c>
      <c r="BU126" t="str">
        <f>""</f>
        <v/>
      </c>
      <c r="BV126" t="str">
        <f>""</f>
        <v/>
      </c>
      <c r="BW126" t="str">
        <f>""</f>
        <v/>
      </c>
      <c r="BX126" t="str">
        <f>""</f>
        <v/>
      </c>
      <c r="BY126" t="str">
        <f>""</f>
        <v/>
      </c>
      <c r="BZ126" t="str">
        <f>""</f>
        <v/>
      </c>
      <c r="CA126" t="str">
        <f>""</f>
        <v/>
      </c>
      <c r="CB126" t="str">
        <f>""</f>
        <v/>
      </c>
      <c r="CC126" t="str">
        <f>""</f>
        <v/>
      </c>
      <c r="CD126" t="str">
        <f>""</f>
        <v/>
      </c>
      <c r="CE126" t="str">
        <f>""</f>
        <v/>
      </c>
      <c r="CF126" t="str">
        <f>""</f>
        <v/>
      </c>
      <c r="CG126" t="str">
        <f>""</f>
        <v/>
      </c>
      <c r="CH126" t="str">
        <f>""</f>
        <v/>
      </c>
      <c r="CI126" t="str">
        <f>""</f>
        <v/>
      </c>
      <c r="CJ126" t="str">
        <f>""</f>
        <v/>
      </c>
      <c r="CK126" t="str">
        <f>""</f>
        <v/>
      </c>
      <c r="CL126" t="str">
        <f>""</f>
        <v/>
      </c>
      <c r="CM126" t="str">
        <f>""</f>
        <v/>
      </c>
      <c r="CN126" t="str">
        <f>""</f>
        <v/>
      </c>
      <c r="CO126" t="str">
        <f>""</f>
        <v/>
      </c>
      <c r="CP126" t="str">
        <f>""</f>
        <v/>
      </c>
      <c r="CQ126" t="str">
        <f>""</f>
        <v/>
      </c>
      <c r="CR126" t="str">
        <f>""</f>
        <v/>
      </c>
      <c r="CS126" t="str">
        <f>""</f>
        <v/>
      </c>
      <c r="CT126" t="str">
        <f>""</f>
        <v/>
      </c>
      <c r="CU126" t="str">
        <f>""</f>
        <v/>
      </c>
      <c r="CV126" t="str">
        <f>""</f>
        <v/>
      </c>
      <c r="CW126" t="str">
        <f>""</f>
        <v/>
      </c>
      <c r="CX126" t="str">
        <f>""</f>
        <v/>
      </c>
      <c r="CY126" t="str">
        <f>""</f>
        <v/>
      </c>
      <c r="CZ126" t="str">
        <f>""</f>
        <v/>
      </c>
      <c r="DA126" t="str">
        <f>""</f>
        <v/>
      </c>
      <c r="DB126" t="str">
        <f>""</f>
        <v/>
      </c>
      <c r="DC126" t="str">
        <f>""</f>
        <v/>
      </c>
      <c r="DD126" t="str">
        <f>""</f>
        <v/>
      </c>
      <c r="DE126" t="str">
        <f>""</f>
        <v/>
      </c>
      <c r="DF126" t="str">
        <f>""</f>
        <v/>
      </c>
      <c r="DG126" t="str">
        <f>""</f>
        <v/>
      </c>
      <c r="DH126" t="str">
        <f>""</f>
        <v/>
      </c>
      <c r="DI126" t="str">
        <f>""</f>
        <v/>
      </c>
      <c r="DJ126" t="str">
        <f>""</f>
        <v/>
      </c>
      <c r="DK126" t="str">
        <f>""</f>
        <v/>
      </c>
      <c r="DL126" t="str">
        <f>""</f>
        <v/>
      </c>
      <c r="DM126" t="str">
        <f>""</f>
        <v/>
      </c>
      <c r="DN126" t="str">
        <f>""</f>
        <v/>
      </c>
      <c r="DO126" t="str">
        <f>""</f>
        <v/>
      </c>
      <c r="DP126" t="str">
        <f>""</f>
        <v/>
      </c>
      <c r="DQ126" t="str">
        <f>""</f>
        <v/>
      </c>
      <c r="DR126" t="str">
        <f>""</f>
        <v/>
      </c>
      <c r="DS126" t="str">
        <f>""</f>
        <v/>
      </c>
      <c r="DT126" t="str">
        <f>""</f>
        <v/>
      </c>
      <c r="DU126" t="str">
        <f>""</f>
        <v/>
      </c>
    </row>
    <row r="127" spans="1:125" x14ac:dyDescent="0.25">
      <c r="A127" t="str">
        <f>"        Other Sport &amp; Lifestyle Brands"</f>
        <v xml:space="preserve">        Other Sport &amp; Lifestyle Brands</v>
      </c>
      <c r="B127" t="str">
        <f>""</f>
        <v/>
      </c>
      <c r="E127" t="str">
        <f>"Static"</f>
        <v>Static</v>
      </c>
      <c r="F127" t="str">
        <f t="shared" ref="F127:AK127" ca="1" si="67">HLOOKUP(INDIRECT(ADDRESS(2,COLUMN())),OFFSET($BN$2,0,0,ROW()-1,60),ROW()-1,FALSE)</f>
        <v/>
      </c>
      <c r="G127" t="str">
        <f t="shared" ca="1" si="67"/>
        <v/>
      </c>
      <c r="H127" t="str">
        <f t="shared" ca="1" si="67"/>
        <v/>
      </c>
      <c r="I127" t="str">
        <f t="shared" ca="1" si="67"/>
        <v/>
      </c>
      <c r="J127" t="str">
        <f t="shared" ca="1" si="67"/>
        <v/>
      </c>
      <c r="K127" t="str">
        <f t="shared" ca="1" si="67"/>
        <v/>
      </c>
      <c r="L127" t="str">
        <f t="shared" ca="1" si="67"/>
        <v/>
      </c>
      <c r="M127" t="str">
        <f t="shared" ca="1" si="67"/>
        <v/>
      </c>
      <c r="N127" t="str">
        <f t="shared" ca="1" si="67"/>
        <v/>
      </c>
      <c r="O127" t="str">
        <f t="shared" ca="1" si="67"/>
        <v/>
      </c>
      <c r="P127" t="str">
        <f t="shared" ca="1" si="67"/>
        <v/>
      </c>
      <c r="Q127" t="str">
        <f t="shared" ca="1" si="67"/>
        <v/>
      </c>
      <c r="R127" t="str">
        <f t="shared" ca="1" si="67"/>
        <v/>
      </c>
      <c r="S127" t="str">
        <f t="shared" ca="1" si="67"/>
        <v/>
      </c>
      <c r="T127" t="str">
        <f t="shared" ca="1" si="67"/>
        <v/>
      </c>
      <c r="U127" t="str">
        <f t="shared" ca="1" si="67"/>
        <v/>
      </c>
      <c r="V127" t="str">
        <f t="shared" ca="1" si="67"/>
        <v/>
      </c>
      <c r="W127" t="str">
        <f t="shared" ca="1" si="67"/>
        <v/>
      </c>
      <c r="X127" t="str">
        <f t="shared" ca="1" si="67"/>
        <v/>
      </c>
      <c r="Y127" t="str">
        <f t="shared" ca="1" si="67"/>
        <v/>
      </c>
      <c r="Z127" t="str">
        <f t="shared" ca="1" si="67"/>
        <v/>
      </c>
      <c r="AA127" t="str">
        <f t="shared" ca="1" si="67"/>
        <v/>
      </c>
      <c r="AB127" t="str">
        <f t="shared" ca="1" si="67"/>
        <v/>
      </c>
      <c r="AC127" t="str">
        <f t="shared" ca="1" si="67"/>
        <v/>
      </c>
      <c r="AD127" t="str">
        <f t="shared" ca="1" si="67"/>
        <v/>
      </c>
      <c r="AE127" t="str">
        <f t="shared" ca="1" si="67"/>
        <v/>
      </c>
      <c r="AF127" t="str">
        <f t="shared" ca="1" si="67"/>
        <v/>
      </c>
      <c r="AG127" t="str">
        <f t="shared" ca="1" si="67"/>
        <v/>
      </c>
      <c r="AH127" t="str">
        <f t="shared" ca="1" si="67"/>
        <v/>
      </c>
      <c r="AI127" t="str">
        <f t="shared" ca="1" si="67"/>
        <v/>
      </c>
      <c r="AJ127" t="str">
        <f t="shared" ca="1" si="67"/>
        <v/>
      </c>
      <c r="AK127" t="str">
        <f t="shared" ca="1" si="67"/>
        <v/>
      </c>
      <c r="AL127" t="str">
        <f t="shared" ref="AL127:BM127" ca="1" si="68">HLOOKUP(INDIRECT(ADDRESS(2,COLUMN())),OFFSET($BN$2,0,0,ROW()-1,60),ROW()-1,FALSE)</f>
        <v/>
      </c>
      <c r="AM127" t="str">
        <f t="shared" ca="1" si="68"/>
        <v/>
      </c>
      <c r="AN127" t="str">
        <f t="shared" ca="1" si="68"/>
        <v/>
      </c>
      <c r="AO127" t="str">
        <f t="shared" ca="1" si="68"/>
        <v/>
      </c>
      <c r="AP127" t="str">
        <f t="shared" ca="1" si="68"/>
        <v/>
      </c>
      <c r="AQ127" t="str">
        <f t="shared" ca="1" si="68"/>
        <v/>
      </c>
      <c r="AR127" t="str">
        <f t="shared" ca="1" si="68"/>
        <v/>
      </c>
      <c r="AS127" t="str">
        <f t="shared" ca="1" si="68"/>
        <v/>
      </c>
      <c r="AT127" t="str">
        <f t="shared" ca="1" si="68"/>
        <v/>
      </c>
      <c r="AU127" t="str">
        <f t="shared" ca="1" si="68"/>
        <v/>
      </c>
      <c r="AV127" t="str">
        <f t="shared" ca="1" si="68"/>
        <v/>
      </c>
      <c r="AW127" t="str">
        <f t="shared" ca="1" si="68"/>
        <v/>
      </c>
      <c r="AX127" t="str">
        <f t="shared" ca="1" si="68"/>
        <v/>
      </c>
      <c r="AY127" t="str">
        <f t="shared" ca="1" si="68"/>
        <v/>
      </c>
      <c r="AZ127" t="str">
        <f t="shared" ca="1" si="68"/>
        <v/>
      </c>
      <c r="BA127" t="str">
        <f t="shared" ca="1" si="68"/>
        <v/>
      </c>
      <c r="BB127" t="str">
        <f t="shared" ca="1" si="68"/>
        <v/>
      </c>
      <c r="BC127" t="str">
        <f t="shared" ca="1" si="68"/>
        <v/>
      </c>
      <c r="BD127" t="str">
        <f t="shared" ca="1" si="68"/>
        <v/>
      </c>
      <c r="BE127" t="str">
        <f t="shared" ca="1" si="68"/>
        <v/>
      </c>
      <c r="BF127" t="str">
        <f t="shared" ca="1" si="68"/>
        <v/>
      </c>
      <c r="BG127" t="str">
        <f t="shared" ca="1" si="68"/>
        <v/>
      </c>
      <c r="BH127" t="str">
        <f t="shared" ca="1" si="68"/>
        <v/>
      </c>
      <c r="BI127" t="str">
        <f t="shared" ca="1" si="68"/>
        <v/>
      </c>
      <c r="BJ127" t="str">
        <f t="shared" ca="1" si="68"/>
        <v/>
      </c>
      <c r="BK127" t="str">
        <f t="shared" ca="1" si="68"/>
        <v/>
      </c>
      <c r="BL127" t="str">
        <f t="shared" ca="1" si="68"/>
        <v/>
      </c>
      <c r="BM127" t="str">
        <f t="shared" ca="1" si="68"/>
        <v/>
      </c>
      <c r="BN127" t="str">
        <f>""</f>
        <v/>
      </c>
      <c r="BO127" t="str">
        <f>""</f>
        <v/>
      </c>
      <c r="BP127" t="str">
        <f>""</f>
        <v/>
      </c>
      <c r="BQ127" t="str">
        <f>""</f>
        <v/>
      </c>
      <c r="BR127" t="str">
        <f>""</f>
        <v/>
      </c>
      <c r="BS127" t="str">
        <f>""</f>
        <v/>
      </c>
      <c r="BT127" t="str">
        <f>""</f>
        <v/>
      </c>
      <c r="BU127" t="str">
        <f>""</f>
        <v/>
      </c>
      <c r="BV127" t="str">
        <f>""</f>
        <v/>
      </c>
      <c r="BW127" t="str">
        <f>""</f>
        <v/>
      </c>
      <c r="BX127" t="str">
        <f>""</f>
        <v/>
      </c>
      <c r="BY127" t="str">
        <f>""</f>
        <v/>
      </c>
      <c r="BZ127" t="str">
        <f>""</f>
        <v/>
      </c>
      <c r="CA127" t="str">
        <f>""</f>
        <v/>
      </c>
      <c r="CB127" t="str">
        <f>""</f>
        <v/>
      </c>
      <c r="CC127" t="str">
        <f>""</f>
        <v/>
      </c>
      <c r="CD127" t="str">
        <f>""</f>
        <v/>
      </c>
      <c r="CE127" t="str">
        <f>""</f>
        <v/>
      </c>
      <c r="CF127" t="str">
        <f>""</f>
        <v/>
      </c>
      <c r="CG127" t="str">
        <f>""</f>
        <v/>
      </c>
      <c r="CH127" t="str">
        <f>""</f>
        <v/>
      </c>
      <c r="CI127" t="str">
        <f>""</f>
        <v/>
      </c>
      <c r="CJ127" t="str">
        <f>""</f>
        <v/>
      </c>
      <c r="CK127" t="str">
        <f>""</f>
        <v/>
      </c>
      <c r="CL127" t="str">
        <f>""</f>
        <v/>
      </c>
      <c r="CM127" t="str">
        <f>""</f>
        <v/>
      </c>
      <c r="CN127" t="str">
        <f>""</f>
        <v/>
      </c>
      <c r="CO127" t="str">
        <f>""</f>
        <v/>
      </c>
      <c r="CP127" t="str">
        <f>""</f>
        <v/>
      </c>
      <c r="CQ127" t="str">
        <f>""</f>
        <v/>
      </c>
      <c r="CR127" t="str">
        <f>""</f>
        <v/>
      </c>
      <c r="CS127" t="str">
        <f>""</f>
        <v/>
      </c>
      <c r="CT127" t="str">
        <f>""</f>
        <v/>
      </c>
      <c r="CU127" t="str">
        <f>""</f>
        <v/>
      </c>
      <c r="CV127" t="str">
        <f>""</f>
        <v/>
      </c>
      <c r="CW127" t="str">
        <f>""</f>
        <v/>
      </c>
      <c r="CX127" t="str">
        <f>""</f>
        <v/>
      </c>
      <c r="CY127" t="str">
        <f>""</f>
        <v/>
      </c>
      <c r="CZ127" t="str">
        <f>""</f>
        <v/>
      </c>
      <c r="DA127" t="str">
        <f>""</f>
        <v/>
      </c>
      <c r="DB127" t="str">
        <f>""</f>
        <v/>
      </c>
      <c r="DC127" t="str">
        <f>""</f>
        <v/>
      </c>
      <c r="DD127" t="str">
        <f>""</f>
        <v/>
      </c>
      <c r="DE127" t="str">
        <f>""</f>
        <v/>
      </c>
      <c r="DF127" t="str">
        <f>""</f>
        <v/>
      </c>
      <c r="DG127" t="str">
        <f>""</f>
        <v/>
      </c>
      <c r="DH127" t="str">
        <f>""</f>
        <v/>
      </c>
      <c r="DI127" t="str">
        <f>""</f>
        <v/>
      </c>
      <c r="DJ127" t="str">
        <f>""</f>
        <v/>
      </c>
      <c r="DK127" t="str">
        <f>""</f>
        <v/>
      </c>
      <c r="DL127" t="str">
        <f>""</f>
        <v/>
      </c>
      <c r="DM127" t="str">
        <f>""</f>
        <v/>
      </c>
      <c r="DN127" t="str">
        <f>""</f>
        <v/>
      </c>
      <c r="DO127" t="str">
        <f>""</f>
        <v/>
      </c>
      <c r="DP127" t="str">
        <f>""</f>
        <v/>
      </c>
      <c r="DQ127" t="str">
        <f>""</f>
        <v/>
      </c>
      <c r="DR127" t="str">
        <f>""</f>
        <v/>
      </c>
      <c r="DS127" t="str">
        <f>""</f>
        <v/>
      </c>
      <c r="DT127" t="str">
        <f>""</f>
        <v/>
      </c>
      <c r="DU127" t="str">
        <f>""</f>
        <v/>
      </c>
    </row>
    <row r="128" spans="1:125" x14ac:dyDescent="0.25">
      <c r="A128" t="str">
        <f>"            Revenue"</f>
        <v xml:space="preserve">            Revenue</v>
      </c>
      <c r="B128" t="str">
        <f t="shared" ref="B128:B133" si="69">"KER FP Equity"</f>
        <v>KER FP Equity</v>
      </c>
      <c r="C128" t="str">
        <f>"BI047"</f>
        <v>BI047</v>
      </c>
      <c r="D128" t="str">
        <f>"BICS_SEGMENT_DATA"</f>
        <v>BICS_SEGMENT_DATA</v>
      </c>
      <c r="E128" t="str">
        <f>"Dynamic"</f>
        <v>Dynamic</v>
      </c>
      <c r="F128" t="str">
        <f ca="1">IF(AND(ISNUMBER($F$249),$B$158=1),$F$249,HLOOKUP(INDIRECT(ADDRESS(2,COLUMN())),OFFSET($BN$2,0,0,ROW()-1,60),ROW()-1,FALSE))</f>
        <v/>
      </c>
      <c r="G128" t="str">
        <f ca="1">IF(AND(ISNUMBER($G$249),$B$158=1),$G$249,HLOOKUP(INDIRECT(ADDRESS(2,COLUMN())),OFFSET($BN$2,0,0,ROW()-1,60),ROW()-1,FALSE))</f>
        <v/>
      </c>
      <c r="H128" t="str">
        <f ca="1">IF(AND(ISNUMBER($H$249),$B$158=1),$H$249,HLOOKUP(INDIRECT(ADDRESS(2,COLUMN())),OFFSET($BN$2,0,0,ROW()-1,60),ROW()-1,FALSE))</f>
        <v/>
      </c>
      <c r="I128" t="str">
        <f ca="1">IF(AND(ISNUMBER($I$249),$B$158=1),$I$249,HLOOKUP(INDIRECT(ADDRESS(2,COLUMN())),OFFSET($BN$2,0,0,ROW()-1,60),ROW()-1,FALSE))</f>
        <v/>
      </c>
      <c r="J128" t="str">
        <f ca="1">IF(AND(ISNUMBER($J$249),$B$158=1),$J$249,HLOOKUP(INDIRECT(ADDRESS(2,COLUMN())),OFFSET($BN$2,0,0,ROW()-1,60),ROW()-1,FALSE))</f>
        <v/>
      </c>
      <c r="K128" t="str">
        <f ca="1">IF(AND(ISNUMBER($K$249),$B$158=1),$K$249,HLOOKUP(INDIRECT(ADDRESS(2,COLUMN())),OFFSET($BN$2,0,0,ROW()-1,60),ROW()-1,FALSE))</f>
        <v/>
      </c>
      <c r="L128" t="str">
        <f ca="1">IF(AND(ISNUMBER($L$249),$B$158=1),$L$249,HLOOKUP(INDIRECT(ADDRESS(2,COLUMN())),OFFSET($BN$2,0,0,ROW()-1,60),ROW()-1,FALSE))</f>
        <v/>
      </c>
      <c r="M128" t="str">
        <f ca="1">IF(AND(ISNUMBER($M$249),$B$158=1),$M$249,HLOOKUP(INDIRECT(ADDRESS(2,COLUMN())),OFFSET($BN$2,0,0,ROW()-1,60),ROW()-1,FALSE))</f>
        <v/>
      </c>
      <c r="N128" t="str">
        <f ca="1">IF(AND(ISNUMBER($N$249),$B$158=1),$N$249,HLOOKUP(INDIRECT(ADDRESS(2,COLUMN())),OFFSET($BN$2,0,0,ROW()-1,60),ROW()-1,FALSE))</f>
        <v/>
      </c>
      <c r="O128" t="str">
        <f ca="1">IF(AND(ISNUMBER($O$249),$B$158=1),$O$249,HLOOKUP(INDIRECT(ADDRESS(2,COLUMN())),OFFSET($BN$2,0,0,ROW()-1,60),ROW()-1,FALSE))</f>
        <v/>
      </c>
      <c r="P128" t="str">
        <f ca="1">IF(AND(ISNUMBER($P$249),$B$158=1),$P$249,HLOOKUP(INDIRECT(ADDRESS(2,COLUMN())),OFFSET($BN$2,0,0,ROW()-1,60),ROW()-1,FALSE))</f>
        <v/>
      </c>
      <c r="Q128" t="str">
        <f ca="1">IF(AND(ISNUMBER($Q$249),$B$158=1),$Q$249,HLOOKUP(INDIRECT(ADDRESS(2,COLUMN())),OFFSET($BN$2,0,0,ROW()-1,60),ROW()-1,FALSE))</f>
        <v/>
      </c>
      <c r="R128" t="str">
        <f ca="1">IF(AND(ISNUMBER($R$249),$B$158=1),$R$249,HLOOKUP(INDIRECT(ADDRESS(2,COLUMN())),OFFSET($BN$2,0,0,ROW()-1,60),ROW()-1,FALSE))</f>
        <v/>
      </c>
      <c r="S128" t="str">
        <f ca="1">IF(AND(ISNUMBER($S$249),$B$158=1),$S$249,HLOOKUP(INDIRECT(ADDRESS(2,COLUMN())),OFFSET($BN$2,0,0,ROW()-1,60),ROW()-1,FALSE))</f>
        <v/>
      </c>
      <c r="T128" t="str">
        <f ca="1">IF(AND(ISNUMBER($T$249),$B$158=1),$T$249,HLOOKUP(INDIRECT(ADDRESS(2,COLUMN())),OFFSET($BN$2,0,0,ROW()-1,60),ROW()-1,FALSE))</f>
        <v/>
      </c>
      <c r="U128" t="str">
        <f ca="1">IF(AND(ISNUMBER($U$249),$B$158=1),$U$249,HLOOKUP(INDIRECT(ADDRESS(2,COLUMN())),OFFSET($BN$2,0,0,ROW()-1,60),ROW()-1,FALSE))</f>
        <v/>
      </c>
      <c r="V128" t="str">
        <f ca="1">IF(AND(ISNUMBER($V$249),$B$158=1),$V$249,HLOOKUP(INDIRECT(ADDRESS(2,COLUMN())),OFFSET($BN$2,0,0,ROW()-1,60),ROW()-1,FALSE))</f>
        <v/>
      </c>
      <c r="W128" t="str">
        <f ca="1">IF(AND(ISNUMBER($W$249),$B$158=1),$W$249,HLOOKUP(INDIRECT(ADDRESS(2,COLUMN())),OFFSET($BN$2,0,0,ROW()-1,60),ROW()-1,FALSE))</f>
        <v/>
      </c>
      <c r="X128" t="str">
        <f ca="1">IF(AND(ISNUMBER($X$249),$B$158=1),$X$249,HLOOKUP(INDIRECT(ADDRESS(2,COLUMN())),OFFSET($BN$2,0,0,ROW()-1,60),ROW()-1,FALSE))</f>
        <v/>
      </c>
      <c r="Y128" t="str">
        <f ca="1">IF(AND(ISNUMBER($Y$249),$B$158=1),$Y$249,HLOOKUP(INDIRECT(ADDRESS(2,COLUMN())),OFFSET($BN$2,0,0,ROW()-1,60),ROW()-1,FALSE))</f>
        <v/>
      </c>
      <c r="Z128" t="str">
        <f ca="1">IF(AND(ISNUMBER($Z$249),$B$158=1),$Z$249,HLOOKUP(INDIRECT(ADDRESS(2,COLUMN())),OFFSET($BN$2,0,0,ROW()-1,60),ROW()-1,FALSE))</f>
        <v/>
      </c>
      <c r="AA128" t="str">
        <f ca="1">IF(AND(ISNUMBER($AA$249),$B$158=1),$AA$249,HLOOKUP(INDIRECT(ADDRESS(2,COLUMN())),OFFSET($BN$2,0,0,ROW()-1,60),ROW()-1,FALSE))</f>
        <v/>
      </c>
      <c r="AB128" t="str">
        <f ca="1">IF(AND(ISNUMBER($AB$249),$B$158=1),$AB$249,HLOOKUP(INDIRECT(ADDRESS(2,COLUMN())),OFFSET($BN$2,0,0,ROW()-1,60),ROW()-1,FALSE))</f>
        <v/>
      </c>
      <c r="AC128" t="str">
        <f ca="1">IF(AND(ISNUMBER($AC$249),$B$158=1),$AC$249,HLOOKUP(INDIRECT(ADDRESS(2,COLUMN())),OFFSET($BN$2,0,0,ROW()-1,60),ROW()-1,FALSE))</f>
        <v/>
      </c>
      <c r="AD128">
        <f ca="1">IF(AND(ISNUMBER($AD$249),$B$158=1),$AD$249,HLOOKUP(INDIRECT(ADDRESS(2,COLUMN())),OFFSET($BN$2,0,0,ROW()-1,60),ROW()-1,FALSE))</f>
        <v>67.900000000000006</v>
      </c>
      <c r="AE128" t="str">
        <f ca="1">IF(AND(ISNUMBER($AE$249),$B$158=1),$AE$249,HLOOKUP(INDIRECT(ADDRESS(2,COLUMN())),OFFSET($BN$2,0,0,ROW()-1,60),ROW()-1,FALSE))</f>
        <v/>
      </c>
      <c r="AF128" t="str">
        <f ca="1">IF(AND(ISNUMBER($AF$249),$B$158=1),$AF$249,HLOOKUP(INDIRECT(ADDRESS(2,COLUMN())),OFFSET($BN$2,0,0,ROW()-1,60),ROW()-1,FALSE))</f>
        <v/>
      </c>
      <c r="AG128" t="str">
        <f ca="1">IF(AND(ISNUMBER($AG$249),$B$158=1),$AG$249,HLOOKUP(INDIRECT(ADDRESS(2,COLUMN())),OFFSET($BN$2,0,0,ROW()-1,60),ROW()-1,FALSE))</f>
        <v/>
      </c>
      <c r="AH128">
        <f ca="1">IF(AND(ISNUMBER($AH$249),$B$158=1),$AH$249,HLOOKUP(INDIRECT(ADDRESS(2,COLUMN())),OFFSET($BN$2,0,0,ROW()-1,60),ROW()-1,FALSE))</f>
        <v>68</v>
      </c>
      <c r="AI128" t="str">
        <f ca="1">IF(AND(ISNUMBER($AI$249),$B$158=1),$AI$249,HLOOKUP(INDIRECT(ADDRESS(2,COLUMN())),OFFSET($BN$2,0,0,ROW()-1,60),ROW()-1,FALSE))</f>
        <v/>
      </c>
      <c r="AJ128" t="str">
        <f ca="1">IF(AND(ISNUMBER($AJ$249),$B$158=1),$AJ$249,HLOOKUP(INDIRECT(ADDRESS(2,COLUMN())),OFFSET($BN$2,0,0,ROW()-1,60),ROW()-1,FALSE))</f>
        <v/>
      </c>
      <c r="AK128">
        <f ca="1">IF(AND(ISNUMBER($AK$249),$B$158=1),$AK$249,HLOOKUP(INDIRECT(ADDRESS(2,COLUMN())),OFFSET($BN$2,0,0,ROW()-1,60),ROW()-1,FALSE))</f>
        <v>60</v>
      </c>
      <c r="AL128" t="str">
        <f ca="1">IF(AND(ISNUMBER($AL$249),$B$158=1),$AL$249,HLOOKUP(INDIRECT(ADDRESS(2,COLUMN())),OFFSET($BN$2,0,0,ROW()-1,60),ROW()-1,FALSE))</f>
        <v/>
      </c>
      <c r="AM128" t="str">
        <f ca="1">IF(AND(ISNUMBER($AM$249),$B$158=1),$AM$249,HLOOKUP(INDIRECT(ADDRESS(2,COLUMN())),OFFSET($BN$2,0,0,ROW()-1,60),ROW()-1,FALSE))</f>
        <v/>
      </c>
      <c r="AN128" t="str">
        <f ca="1">IF(AND(ISNUMBER($AN$249),$B$158=1),$AN$249,HLOOKUP(INDIRECT(ADDRESS(2,COLUMN())),OFFSET($BN$2,0,0,ROW()-1,60),ROW()-1,FALSE))</f>
        <v/>
      </c>
      <c r="AO128">
        <f ca="1">IF(AND(ISNUMBER($AO$249),$B$158=1),$AO$249,HLOOKUP(INDIRECT(ADDRESS(2,COLUMN())),OFFSET($BN$2,0,0,ROW()-1,60),ROW()-1,FALSE))</f>
        <v>61</v>
      </c>
      <c r="AP128" t="str">
        <f ca="1">IF(AND(ISNUMBER($AP$249),$B$158=1),$AP$249,HLOOKUP(INDIRECT(ADDRESS(2,COLUMN())),OFFSET($BN$2,0,0,ROW()-1,60),ROW()-1,FALSE))</f>
        <v/>
      </c>
      <c r="AQ128" t="str">
        <f ca="1">IF(AND(ISNUMBER($AQ$249),$B$158=1),$AQ$249,HLOOKUP(INDIRECT(ADDRESS(2,COLUMN())),OFFSET($BN$2,0,0,ROW()-1,60),ROW()-1,FALSE))</f>
        <v/>
      </c>
      <c r="AR128" t="str">
        <f ca="1">IF(AND(ISNUMBER($AR$249),$B$158=1),$AR$249,HLOOKUP(INDIRECT(ADDRESS(2,COLUMN())),OFFSET($BN$2,0,0,ROW()-1,60),ROW()-1,FALSE))</f>
        <v/>
      </c>
      <c r="AS128" t="str">
        <f ca="1">IF(AND(ISNUMBER($AS$249),$B$158=1),$AS$249,HLOOKUP(INDIRECT(ADDRESS(2,COLUMN())),OFFSET($BN$2,0,0,ROW()-1,60),ROW()-1,FALSE))</f>
        <v/>
      </c>
      <c r="AT128" t="str">
        <f ca="1">IF(AND(ISNUMBER($AT$249),$B$158=1),$AT$249,HLOOKUP(INDIRECT(ADDRESS(2,COLUMN())),OFFSET($BN$2,0,0,ROW()-1,60),ROW()-1,FALSE))</f>
        <v/>
      </c>
      <c r="AU128" t="str">
        <f ca="1">IF(AND(ISNUMBER($AU$249),$B$158=1),$AU$249,HLOOKUP(INDIRECT(ADDRESS(2,COLUMN())),OFFSET($BN$2,0,0,ROW()-1,60),ROW()-1,FALSE))</f>
        <v/>
      </c>
      <c r="AV128" t="str">
        <f ca="1">IF(AND(ISNUMBER($AV$249),$B$158=1),$AV$249,HLOOKUP(INDIRECT(ADDRESS(2,COLUMN())),OFFSET($BN$2,0,0,ROW()-1,60),ROW()-1,FALSE))</f>
        <v/>
      </c>
      <c r="AW128" t="str">
        <f ca="1">IF(AND(ISNUMBER($AW$249),$B$158=1),$AW$249,HLOOKUP(INDIRECT(ADDRESS(2,COLUMN())),OFFSET($BN$2,0,0,ROW()-1,60),ROW()-1,FALSE))</f>
        <v/>
      </c>
      <c r="AX128" t="str">
        <f ca="1">IF(AND(ISNUMBER($AX$249),$B$158=1),$AX$249,HLOOKUP(INDIRECT(ADDRESS(2,COLUMN())),OFFSET($BN$2,0,0,ROW()-1,60),ROW()-1,FALSE))</f>
        <v/>
      </c>
      <c r="AY128" t="str">
        <f ca="1">IF(AND(ISNUMBER($AY$249),$B$158=1),$AY$249,HLOOKUP(INDIRECT(ADDRESS(2,COLUMN())),OFFSET($BN$2,0,0,ROW()-1,60),ROW()-1,FALSE))</f>
        <v/>
      </c>
      <c r="AZ128" t="str">
        <f ca="1">IF(AND(ISNUMBER($AZ$249),$B$158=1),$AZ$249,HLOOKUP(INDIRECT(ADDRESS(2,COLUMN())),OFFSET($BN$2,0,0,ROW()-1,60),ROW()-1,FALSE))</f>
        <v/>
      </c>
      <c r="BA128" t="str">
        <f ca="1">IF(AND(ISNUMBER($BA$249),$B$158=1),$BA$249,HLOOKUP(INDIRECT(ADDRESS(2,COLUMN())),OFFSET($BN$2,0,0,ROW()-1,60),ROW()-1,FALSE))</f>
        <v/>
      </c>
      <c r="BB128" t="str">
        <f ca="1">IF(AND(ISNUMBER($BB$249),$B$158=1),$BB$249,HLOOKUP(INDIRECT(ADDRESS(2,COLUMN())),OFFSET($BN$2,0,0,ROW()-1,60),ROW()-1,FALSE))</f>
        <v/>
      </c>
      <c r="BC128" t="str">
        <f ca="1">IF(AND(ISNUMBER($BC$249),$B$158=1),$BC$249,HLOOKUP(INDIRECT(ADDRESS(2,COLUMN())),OFFSET($BN$2,0,0,ROW()-1,60),ROW()-1,FALSE))</f>
        <v/>
      </c>
      <c r="BD128" t="str">
        <f ca="1">IF(AND(ISNUMBER($BD$249),$B$158=1),$BD$249,HLOOKUP(INDIRECT(ADDRESS(2,COLUMN())),OFFSET($BN$2,0,0,ROW()-1,60),ROW()-1,FALSE))</f>
        <v/>
      </c>
      <c r="BE128" t="str">
        <f ca="1">IF(AND(ISNUMBER($BE$249),$B$158=1),$BE$249,HLOOKUP(INDIRECT(ADDRESS(2,COLUMN())),OFFSET($BN$2,0,0,ROW()-1,60),ROW()-1,FALSE))</f>
        <v/>
      </c>
      <c r="BF128" t="str">
        <f ca="1">IF(AND(ISNUMBER($BF$249),$B$158=1),$BF$249,HLOOKUP(INDIRECT(ADDRESS(2,COLUMN())),OFFSET($BN$2,0,0,ROW()-1,60),ROW()-1,FALSE))</f>
        <v/>
      </c>
      <c r="BG128" t="str">
        <f ca="1">IF(AND(ISNUMBER($BG$249),$B$158=1),$BG$249,HLOOKUP(INDIRECT(ADDRESS(2,COLUMN())),OFFSET($BN$2,0,0,ROW()-1,60),ROW()-1,FALSE))</f>
        <v/>
      </c>
      <c r="BH128" t="str">
        <f ca="1">IF(AND(ISNUMBER($BH$249),$B$158=1),$BH$249,HLOOKUP(INDIRECT(ADDRESS(2,COLUMN())),OFFSET($BN$2,0,0,ROW()-1,60),ROW()-1,FALSE))</f>
        <v/>
      </c>
      <c r="BI128" t="str">
        <f ca="1">IF(AND(ISNUMBER($BI$249),$B$158=1),$BI$249,HLOOKUP(INDIRECT(ADDRESS(2,COLUMN())),OFFSET($BN$2,0,0,ROW()-1,60),ROW()-1,FALSE))</f>
        <v/>
      </c>
      <c r="BJ128" t="str">
        <f ca="1">IF(AND(ISNUMBER($BJ$249),$B$158=1),$BJ$249,HLOOKUP(INDIRECT(ADDRESS(2,COLUMN())),OFFSET($BN$2,0,0,ROW()-1,60),ROW()-1,FALSE))</f>
        <v/>
      </c>
      <c r="BK128" t="str">
        <f ca="1">IF(AND(ISNUMBER($BK$249),$B$158=1),$BK$249,HLOOKUP(INDIRECT(ADDRESS(2,COLUMN())),OFFSET($BN$2,0,0,ROW()-1,60),ROW()-1,FALSE))</f>
        <v/>
      </c>
      <c r="BL128" t="str">
        <f ca="1">IF(AND(ISNUMBER($BL$249),$B$158=1),$BL$249,HLOOKUP(INDIRECT(ADDRESS(2,COLUMN())),OFFSET($BN$2,0,0,ROW()-1,60),ROW()-1,FALSE))</f>
        <v/>
      </c>
      <c r="BM128" t="str">
        <f ca="1">IF(AND(ISNUMBER($BM$249),$B$158=1),$BM$249,HLOOKUP(INDIRECT(ADDRESS(2,COLUMN())),OFFSET($BN$2,0,0,ROW()-1,60),ROW()-1,FALSE))</f>
        <v/>
      </c>
      <c r="BN128" t="str">
        <f>""</f>
        <v/>
      </c>
      <c r="BO128" t="str">
        <f>""</f>
        <v/>
      </c>
      <c r="BP128" t="str">
        <f>""</f>
        <v/>
      </c>
      <c r="BQ128" t="str">
        <f>""</f>
        <v/>
      </c>
      <c r="BR128" t="str">
        <f>""</f>
        <v/>
      </c>
      <c r="BS128" t="str">
        <f>""</f>
        <v/>
      </c>
      <c r="BT128" t="str">
        <f>""</f>
        <v/>
      </c>
      <c r="BU128" t="str">
        <f>""</f>
        <v/>
      </c>
      <c r="BV128" t="str">
        <f>""</f>
        <v/>
      </c>
      <c r="BW128" t="str">
        <f>""</f>
        <v/>
      </c>
      <c r="BX128" t="str">
        <f>""</f>
        <v/>
      </c>
      <c r="BY128" t="str">
        <f>""</f>
        <v/>
      </c>
      <c r="BZ128" t="str">
        <f>""</f>
        <v/>
      </c>
      <c r="CA128" t="str">
        <f>""</f>
        <v/>
      </c>
      <c r="CB128" t="str">
        <f>""</f>
        <v/>
      </c>
      <c r="CC128" t="str">
        <f>""</f>
        <v/>
      </c>
      <c r="CD128" t="str">
        <f>""</f>
        <v/>
      </c>
      <c r="CE128" t="str">
        <f>""</f>
        <v/>
      </c>
      <c r="CF128" t="str">
        <f>""</f>
        <v/>
      </c>
      <c r="CG128" t="str">
        <f>""</f>
        <v/>
      </c>
      <c r="CH128" t="str">
        <f>""</f>
        <v/>
      </c>
      <c r="CI128" t="str">
        <f>""</f>
        <v/>
      </c>
      <c r="CJ128" t="str">
        <f>""</f>
        <v/>
      </c>
      <c r="CK128" t="str">
        <f>""</f>
        <v/>
      </c>
      <c r="CL128">
        <f>67.9</f>
        <v>67.900000000000006</v>
      </c>
      <c r="CM128" t="str">
        <f>""</f>
        <v/>
      </c>
      <c r="CN128" t="str">
        <f>""</f>
        <v/>
      </c>
      <c r="CO128" t="str">
        <f>""</f>
        <v/>
      </c>
      <c r="CP128">
        <f>68</f>
        <v>68</v>
      </c>
      <c r="CQ128" t="str">
        <f>""</f>
        <v/>
      </c>
      <c r="CR128" t="str">
        <f>""</f>
        <v/>
      </c>
      <c r="CS128">
        <f>60</f>
        <v>60</v>
      </c>
      <c r="CT128" t="str">
        <f>""</f>
        <v/>
      </c>
      <c r="CU128" t="str">
        <f>""</f>
        <v/>
      </c>
      <c r="CV128" t="str">
        <f>""</f>
        <v/>
      </c>
      <c r="CW128">
        <f>61</f>
        <v>61</v>
      </c>
      <c r="CX128" t="str">
        <f>""</f>
        <v/>
      </c>
      <c r="CY128" t="str">
        <f>""</f>
        <v/>
      </c>
      <c r="CZ128" t="str">
        <f>""</f>
        <v/>
      </c>
      <c r="DA128" t="str">
        <f>""</f>
        <v/>
      </c>
      <c r="DB128" t="str">
        <f>""</f>
        <v/>
      </c>
      <c r="DC128" t="str">
        <f>""</f>
        <v/>
      </c>
      <c r="DD128" t="str">
        <f>""</f>
        <v/>
      </c>
      <c r="DE128" t="str">
        <f>""</f>
        <v/>
      </c>
      <c r="DF128" t="str">
        <f>""</f>
        <v/>
      </c>
      <c r="DG128" t="str">
        <f>""</f>
        <v/>
      </c>
      <c r="DH128" t="str">
        <f>""</f>
        <v/>
      </c>
      <c r="DI128" t="str">
        <f>""</f>
        <v/>
      </c>
      <c r="DJ128" t="str">
        <f>""</f>
        <v/>
      </c>
      <c r="DK128" t="str">
        <f>""</f>
        <v/>
      </c>
      <c r="DL128" t="str">
        <f>""</f>
        <v/>
      </c>
      <c r="DM128" t="str">
        <f>""</f>
        <v/>
      </c>
      <c r="DN128" t="str">
        <f>""</f>
        <v/>
      </c>
      <c r="DO128" t="str">
        <f>""</f>
        <v/>
      </c>
      <c r="DP128" t="str">
        <f>""</f>
        <v/>
      </c>
      <c r="DQ128" t="str">
        <f>""</f>
        <v/>
      </c>
      <c r="DR128" t="str">
        <f>""</f>
        <v/>
      </c>
      <c r="DS128" t="str">
        <f>""</f>
        <v/>
      </c>
      <c r="DT128" t="str">
        <f>""</f>
        <v/>
      </c>
      <c r="DU128" t="str">
        <f>""</f>
        <v/>
      </c>
    </row>
    <row r="129" spans="1:125" x14ac:dyDescent="0.25">
      <c r="A129" t="str">
        <f>"                of Total Kering Sales (%)"</f>
        <v xml:space="preserve">                of Total Kering Sales (%)</v>
      </c>
      <c r="B129" t="str">
        <f t="shared" si="69"/>
        <v>KER FP Equity</v>
      </c>
      <c r="E129" t="str">
        <f>"Expression"</f>
        <v>Expression</v>
      </c>
      <c r="F129" t="str">
        <f ca="1">IF(AND($B$158=1,LEN($F$169) * LEN($F$128)&gt;0),($F$128/$F$169)*100,HLOOKUP(INDIRECT(ADDRESS(2,COLUMN())),OFFSET($BN$2,0,0,ROW()-1,60),ROW()-1,FALSE))</f>
        <v/>
      </c>
      <c r="G129" t="str">
        <f ca="1">IF(AND($B$158=1,LEN($G$169) * LEN($G$128)&gt;0),($G$128/$G$169)*100,HLOOKUP(INDIRECT(ADDRESS(2,COLUMN())),OFFSET($BN$2,0,0,ROW()-1,60),ROW()-1,FALSE))</f>
        <v/>
      </c>
      <c r="H129" t="str">
        <f ca="1">IF(AND($B$158=1,LEN($H$169) * LEN($H$128)&gt;0),($H$128/$H$169)*100,HLOOKUP(INDIRECT(ADDRESS(2,COLUMN())),OFFSET($BN$2,0,0,ROW()-1,60),ROW()-1,FALSE))</f>
        <v/>
      </c>
      <c r="I129" t="str">
        <f ca="1">IF(AND($B$158=1,LEN($I$169) * LEN($I$128)&gt;0),($I$128/$I$169)*100,HLOOKUP(INDIRECT(ADDRESS(2,COLUMN())),OFFSET($BN$2,0,0,ROW()-1,60),ROW()-1,FALSE))</f>
        <v/>
      </c>
      <c r="J129" t="str">
        <f ca="1">IF(AND($B$158=1,LEN($J$169) * LEN($J$128)&gt;0),($J$128/$J$169)*100,HLOOKUP(INDIRECT(ADDRESS(2,COLUMN())),OFFSET($BN$2,0,0,ROW()-1,60),ROW()-1,FALSE))</f>
        <v/>
      </c>
      <c r="K129" t="str">
        <f ca="1">IF(AND($B$158=1,LEN($K$169) * LEN($K$128)&gt;0),($K$128/$K$169)*100,HLOOKUP(INDIRECT(ADDRESS(2,COLUMN())),OFFSET($BN$2,0,0,ROW()-1,60),ROW()-1,FALSE))</f>
        <v/>
      </c>
      <c r="L129" t="str">
        <f ca="1">IF(AND($B$158=1,LEN($L$169) * LEN($L$128)&gt;0),($L$128/$L$169)*100,HLOOKUP(INDIRECT(ADDRESS(2,COLUMN())),OFFSET($BN$2,0,0,ROW()-1,60),ROW()-1,FALSE))</f>
        <v/>
      </c>
      <c r="M129" t="str">
        <f ca="1">IF(AND($B$158=1,LEN($M$169) * LEN($M$128)&gt;0),($M$128/$M$169)*100,HLOOKUP(INDIRECT(ADDRESS(2,COLUMN())),OFFSET($BN$2,0,0,ROW()-1,60),ROW()-1,FALSE))</f>
        <v/>
      </c>
      <c r="N129" t="str">
        <f ca="1">IF(AND($B$158=1,LEN($N$169) * LEN($N$128)&gt;0),($N$128/$N$169)*100,HLOOKUP(INDIRECT(ADDRESS(2,COLUMN())),OFFSET($BN$2,0,0,ROW()-1,60),ROW()-1,FALSE))</f>
        <v/>
      </c>
      <c r="O129" t="str">
        <f ca="1">IF(AND($B$158=1,LEN($O$169) * LEN($O$128)&gt;0),($O$128/$O$169)*100,HLOOKUP(INDIRECT(ADDRESS(2,COLUMN())),OFFSET($BN$2,0,0,ROW()-1,60),ROW()-1,FALSE))</f>
        <v/>
      </c>
      <c r="P129" t="str">
        <f ca="1">IF(AND($B$158=1,LEN($P$169) * LEN($P$128)&gt;0),($P$128/$P$169)*100,HLOOKUP(INDIRECT(ADDRESS(2,COLUMN())),OFFSET($BN$2,0,0,ROW()-1,60),ROW()-1,FALSE))</f>
        <v/>
      </c>
      <c r="Q129" t="str">
        <f ca="1">IF(AND($B$158=1,LEN($Q$169) * LEN($Q$128)&gt;0),($Q$128/$Q$169)*100,HLOOKUP(INDIRECT(ADDRESS(2,COLUMN())),OFFSET($BN$2,0,0,ROW()-1,60),ROW()-1,FALSE))</f>
        <v/>
      </c>
      <c r="R129" t="str">
        <f ca="1">IF(AND($B$158=1,LEN($R$169) * LEN($R$128)&gt;0),($R$128/$R$169)*100,HLOOKUP(INDIRECT(ADDRESS(2,COLUMN())),OFFSET($BN$2,0,0,ROW()-1,60),ROW()-1,FALSE))</f>
        <v/>
      </c>
      <c r="S129" t="str">
        <f ca="1">IF(AND($B$158=1,LEN($S$169) * LEN($S$128)&gt;0),($S$128/$S$169)*100,HLOOKUP(INDIRECT(ADDRESS(2,COLUMN())),OFFSET($BN$2,0,0,ROW()-1,60),ROW()-1,FALSE))</f>
        <v/>
      </c>
      <c r="T129" t="str">
        <f ca="1">IF(AND($B$158=1,LEN($T$169) * LEN($T$128)&gt;0),($T$128/$T$169)*100,HLOOKUP(INDIRECT(ADDRESS(2,COLUMN())),OFFSET($BN$2,0,0,ROW()-1,60),ROW()-1,FALSE))</f>
        <v/>
      </c>
      <c r="U129" t="str">
        <f ca="1">IF(AND($B$158=1,LEN($U$169) * LEN($U$128)&gt;0),($U$128/$U$169)*100,HLOOKUP(INDIRECT(ADDRESS(2,COLUMN())),OFFSET($BN$2,0,0,ROW()-1,60),ROW()-1,FALSE))</f>
        <v/>
      </c>
      <c r="V129" t="str">
        <f ca="1">IF(AND($B$158=1,LEN($V$169) * LEN($V$128)&gt;0),($V$128/$V$169)*100,HLOOKUP(INDIRECT(ADDRESS(2,COLUMN())),OFFSET($BN$2,0,0,ROW()-1,60),ROW()-1,FALSE))</f>
        <v/>
      </c>
      <c r="W129" t="str">
        <f ca="1">IF(AND($B$158=1,LEN($W$169) * LEN($W$128)&gt;0),($W$128/$W$169)*100,HLOOKUP(INDIRECT(ADDRESS(2,COLUMN())),OFFSET($BN$2,0,0,ROW()-1,60),ROW()-1,FALSE))</f>
        <v/>
      </c>
      <c r="X129" t="str">
        <f ca="1">IF(AND($B$158=1,LEN($X$169) * LEN($X$128)&gt;0),($X$128/$X$169)*100,HLOOKUP(INDIRECT(ADDRESS(2,COLUMN())),OFFSET($BN$2,0,0,ROW()-1,60),ROW()-1,FALSE))</f>
        <v/>
      </c>
      <c r="Y129" t="str">
        <f ca="1">IF(AND($B$158=1,LEN($Y$169) * LEN($Y$128)&gt;0),($Y$128/$Y$169)*100,HLOOKUP(INDIRECT(ADDRESS(2,COLUMN())),OFFSET($BN$2,0,0,ROW()-1,60),ROW()-1,FALSE))</f>
        <v/>
      </c>
      <c r="Z129" t="str">
        <f ca="1">IF(AND($B$158=1,LEN($Z$169) * LEN($Z$128)&gt;0),($Z$128/$Z$169)*100,HLOOKUP(INDIRECT(ADDRESS(2,COLUMN())),OFFSET($BN$2,0,0,ROW()-1,60),ROW()-1,FALSE))</f>
        <v/>
      </c>
      <c r="AA129" t="str">
        <f ca="1">IF(AND($B$158=1,LEN($AA$169) * LEN($AA$128)&gt;0),($AA$128/$AA$169)*100,HLOOKUP(INDIRECT(ADDRESS(2,COLUMN())),OFFSET($BN$2,0,0,ROW()-1,60),ROW()-1,FALSE))</f>
        <v/>
      </c>
      <c r="AB129" t="str">
        <f ca="1">IF(AND($B$158=1,LEN($AB$169) * LEN($AB$128)&gt;0),($AB$128/$AB$169)*100,HLOOKUP(INDIRECT(ADDRESS(2,COLUMN())),OFFSET($BN$2,0,0,ROW()-1,60),ROW()-1,FALSE))</f>
        <v/>
      </c>
      <c r="AC129" t="str">
        <f ca="1">IF(AND($B$158=1,LEN($AC$169) * LEN($AC$128)&gt;0),($AC$128/$AC$169)*100,HLOOKUP(INDIRECT(ADDRESS(2,COLUMN())),OFFSET($BN$2,0,0,ROW()-1,60),ROW()-1,FALSE))</f>
        <v/>
      </c>
      <c r="AD129">
        <f ca="1">IF(AND($B$158=1,LEN($AD$169) * LEN($AD$128)&gt;0),($AD$128/$AD$169)*100,HLOOKUP(INDIRECT(ADDRESS(2,COLUMN())),OFFSET($BN$2,0,0,ROW()-1,60),ROW()-1,FALSE))</f>
        <v>2.1375728000000001</v>
      </c>
      <c r="AE129" t="str">
        <f ca="1">IF(AND($B$158=1,LEN($AE$169) * LEN($AE$128)&gt;0),($AE$128/$AE$169)*100,HLOOKUP(INDIRECT(ADDRESS(2,COLUMN())),OFFSET($BN$2,0,0,ROW()-1,60),ROW()-1,FALSE))</f>
        <v/>
      </c>
      <c r="AF129" t="str">
        <f ca="1">IF(AND($B$158=1,LEN($AF$169) * LEN($AF$128)&gt;0),($AF$128/$AF$169)*100,HLOOKUP(INDIRECT(ADDRESS(2,COLUMN())),OFFSET($BN$2,0,0,ROW()-1,60),ROW()-1,FALSE))</f>
        <v/>
      </c>
      <c r="AG129" t="str">
        <f ca="1">IF(AND($B$158=1,LEN($AG$169) * LEN($AG$128)&gt;0),($AG$128/$AG$169)*100,HLOOKUP(INDIRECT(ADDRESS(2,COLUMN())),OFFSET($BN$2,0,0,ROW()-1,60),ROW()-1,FALSE))</f>
        <v/>
      </c>
      <c r="AH129">
        <f ca="1">IF(AND($B$158=1,LEN($AH$169) * LEN($AH$128)&gt;0),($AH$128/$AH$169)*100,HLOOKUP(INDIRECT(ADDRESS(2,COLUMN())),OFFSET($BN$2,0,0,ROW()-1,60),ROW()-1,FALSE))</f>
        <v>2.4801225470000001</v>
      </c>
      <c r="AI129" t="str">
        <f ca="1">IF(AND($B$158=1,LEN($AI$169) * LEN($AI$128)&gt;0),($AI$128/$AI$169)*100,HLOOKUP(INDIRECT(ADDRESS(2,COLUMN())),OFFSET($BN$2,0,0,ROW()-1,60),ROW()-1,FALSE))</f>
        <v/>
      </c>
      <c r="AJ129" t="str">
        <f ca="1">IF(AND($B$158=1,LEN($AJ$169) * LEN($AJ$128)&gt;0),($AJ$128/$AJ$169)*100,HLOOKUP(INDIRECT(ADDRESS(2,COLUMN())),OFFSET($BN$2,0,0,ROW()-1,60),ROW()-1,FALSE))</f>
        <v/>
      </c>
      <c r="AK129">
        <f ca="1">IF(AND($B$158=1,LEN($AK$169) * LEN($AK$128)&gt;0),($AK$128/$AK$169)*100,HLOOKUP(INDIRECT(ADDRESS(2,COLUMN())),OFFSET($BN$2,0,0,ROW()-1,60),ROW()-1,FALSE))</f>
        <v>2.5020850710000002</v>
      </c>
      <c r="AL129" t="str">
        <f ca="1">IF(AND($B$158=1,LEN($AL$169) * LEN($AL$128)&gt;0),($AL$128/$AL$169)*100,HLOOKUP(INDIRECT(ADDRESS(2,COLUMN())),OFFSET($BN$2,0,0,ROW()-1,60),ROW()-1,FALSE))</f>
        <v/>
      </c>
      <c r="AM129" t="str">
        <f ca="1">IF(AND($B$158=1,LEN($AM$169) * LEN($AM$128)&gt;0),($AM$128/$AM$169)*100,HLOOKUP(INDIRECT(ADDRESS(2,COLUMN())),OFFSET($BN$2,0,0,ROW()-1,60),ROW()-1,FALSE))</f>
        <v/>
      </c>
      <c r="AN129" t="str">
        <f ca="1">IF(AND($B$158=1,LEN($AN$169) * LEN($AN$128)&gt;0),($AN$128/$AN$169)*100,HLOOKUP(INDIRECT(ADDRESS(2,COLUMN())),OFFSET($BN$2,0,0,ROW()-1,60),ROW()-1,FALSE))</f>
        <v/>
      </c>
      <c r="AO129">
        <f ca="1">IF(AND($B$158=1,LEN($AO$169) * LEN($AO$128)&gt;0),($AO$128/$AO$169)*100,HLOOKUP(INDIRECT(ADDRESS(2,COLUMN())),OFFSET($BN$2,0,0,ROW()-1,60),ROW()-1,FALSE))</f>
        <v>2.5734053320000001</v>
      </c>
      <c r="AP129" t="str">
        <f ca="1">IF(AND($B$158=1,LEN($AP$169) * LEN($AP$128)&gt;0),($AP$128/$AP$169)*100,HLOOKUP(INDIRECT(ADDRESS(2,COLUMN())),OFFSET($BN$2,0,0,ROW()-1,60),ROW()-1,FALSE))</f>
        <v/>
      </c>
      <c r="AQ129" t="str">
        <f ca="1">IF(AND($B$158=1,LEN($AQ$169) * LEN($AQ$128)&gt;0),($AQ$128/$AQ$169)*100,HLOOKUP(INDIRECT(ADDRESS(2,COLUMN())),OFFSET($BN$2,0,0,ROW()-1,60),ROW()-1,FALSE))</f>
        <v/>
      </c>
      <c r="AR129" t="str">
        <f ca="1">IF(AND($B$158=1,LEN($AR$169) * LEN($AR$128)&gt;0),($AR$128/$AR$169)*100,HLOOKUP(INDIRECT(ADDRESS(2,COLUMN())),OFFSET($BN$2,0,0,ROW()-1,60),ROW()-1,FALSE))</f>
        <v/>
      </c>
      <c r="AS129" t="str">
        <f ca="1">IF(AND($B$158=1,LEN($AS$169) * LEN($AS$128)&gt;0),($AS$128/$AS$169)*100,HLOOKUP(INDIRECT(ADDRESS(2,COLUMN())),OFFSET($BN$2,0,0,ROW()-1,60),ROW()-1,FALSE))</f>
        <v/>
      </c>
      <c r="AT129" t="str">
        <f ca="1">IF(AND($B$158=1,LEN($AT$169) * LEN($AT$128)&gt;0),($AT$128/$AT$169)*100,HLOOKUP(INDIRECT(ADDRESS(2,COLUMN())),OFFSET($BN$2,0,0,ROW()-1,60),ROW()-1,FALSE))</f>
        <v/>
      </c>
      <c r="AU129" t="str">
        <f ca="1">IF(AND($B$158=1,LEN($AU$169) * LEN($AU$128)&gt;0),($AU$128/$AU$169)*100,HLOOKUP(INDIRECT(ADDRESS(2,COLUMN())),OFFSET($BN$2,0,0,ROW()-1,60),ROW()-1,FALSE))</f>
        <v/>
      </c>
      <c r="AV129" t="str">
        <f ca="1">IF(AND($B$158=1,LEN($AV$169) * LEN($AV$128)&gt;0),($AV$128/$AV$169)*100,HLOOKUP(INDIRECT(ADDRESS(2,COLUMN())),OFFSET($BN$2,0,0,ROW()-1,60),ROW()-1,FALSE))</f>
        <v/>
      </c>
      <c r="AW129" t="str">
        <f ca="1">IF(AND($B$158=1,LEN($AW$169) * LEN($AW$128)&gt;0),($AW$128/$AW$169)*100,HLOOKUP(INDIRECT(ADDRESS(2,COLUMN())),OFFSET($BN$2,0,0,ROW()-1,60),ROW()-1,FALSE))</f>
        <v/>
      </c>
      <c r="AX129" t="str">
        <f ca="1">IF(AND($B$158=1,LEN($AX$169) * LEN($AX$128)&gt;0),($AX$128/$AX$169)*100,HLOOKUP(INDIRECT(ADDRESS(2,COLUMN())),OFFSET($BN$2,0,0,ROW()-1,60),ROW()-1,FALSE))</f>
        <v/>
      </c>
      <c r="AY129" t="str">
        <f ca="1">IF(AND($B$158=1,LEN($AY$169) * LEN($AY$128)&gt;0),($AY$128/$AY$169)*100,HLOOKUP(INDIRECT(ADDRESS(2,COLUMN())),OFFSET($BN$2,0,0,ROW()-1,60),ROW()-1,FALSE))</f>
        <v/>
      </c>
      <c r="AZ129" t="str">
        <f ca="1">IF(AND($B$158=1,LEN($AZ$169) * LEN($AZ$128)&gt;0),($AZ$128/$AZ$169)*100,HLOOKUP(INDIRECT(ADDRESS(2,COLUMN())),OFFSET($BN$2,0,0,ROW()-1,60),ROW()-1,FALSE))</f>
        <v/>
      </c>
      <c r="BA129" t="str">
        <f ca="1">IF(AND($B$158=1,LEN($BA$169) * LEN($BA$128)&gt;0),($BA$128/$BA$169)*100,HLOOKUP(INDIRECT(ADDRESS(2,COLUMN())),OFFSET($BN$2,0,0,ROW()-1,60),ROW()-1,FALSE))</f>
        <v/>
      </c>
      <c r="BB129" t="str">
        <f ca="1">IF(AND($B$158=1,LEN($BB$169) * LEN($BB$128)&gt;0),($BB$128/$BB$169)*100,HLOOKUP(INDIRECT(ADDRESS(2,COLUMN())),OFFSET($BN$2,0,0,ROW()-1,60),ROW()-1,FALSE))</f>
        <v/>
      </c>
      <c r="BC129" t="str">
        <f ca="1">IF(AND($B$158=1,LEN($BC$169) * LEN($BC$128)&gt;0),($BC$128/$BC$169)*100,HLOOKUP(INDIRECT(ADDRESS(2,COLUMN())),OFFSET($BN$2,0,0,ROW()-1,60),ROW()-1,FALSE))</f>
        <v/>
      </c>
      <c r="BD129" t="str">
        <f ca="1">IF(AND($B$158=1,LEN($BD$169) * LEN($BD$128)&gt;0),($BD$128/$BD$169)*100,HLOOKUP(INDIRECT(ADDRESS(2,COLUMN())),OFFSET($BN$2,0,0,ROW()-1,60),ROW()-1,FALSE))</f>
        <v/>
      </c>
      <c r="BE129" t="str">
        <f ca="1">IF(AND($B$158=1,LEN($BE$169) * LEN($BE$128)&gt;0),($BE$128/$BE$169)*100,HLOOKUP(INDIRECT(ADDRESS(2,COLUMN())),OFFSET($BN$2,0,0,ROW()-1,60),ROW()-1,FALSE))</f>
        <v/>
      </c>
      <c r="BF129" t="str">
        <f ca="1">IF(AND($B$158=1,LEN($BF$169) * LEN($BF$128)&gt;0),($BF$128/$BF$169)*100,HLOOKUP(INDIRECT(ADDRESS(2,COLUMN())),OFFSET($BN$2,0,0,ROW()-1,60),ROW()-1,FALSE))</f>
        <v/>
      </c>
      <c r="BG129" t="str">
        <f ca="1">IF(AND($B$158=1,LEN($BG$169) * LEN($BG$128)&gt;0),($BG$128/$BG$169)*100,HLOOKUP(INDIRECT(ADDRESS(2,COLUMN())),OFFSET($BN$2,0,0,ROW()-1,60),ROW()-1,FALSE))</f>
        <v/>
      </c>
      <c r="BH129" t="str">
        <f ca="1">IF(AND($B$158=1,LEN($BH$169) * LEN($BH$128)&gt;0),($BH$128/$BH$169)*100,HLOOKUP(INDIRECT(ADDRESS(2,COLUMN())),OFFSET($BN$2,0,0,ROW()-1,60),ROW()-1,FALSE))</f>
        <v/>
      </c>
      <c r="BI129" t="str">
        <f ca="1">IF(AND($B$158=1,LEN($BI$169) * LEN($BI$128)&gt;0),($BI$128/$BI$169)*100,HLOOKUP(INDIRECT(ADDRESS(2,COLUMN())),OFFSET($BN$2,0,0,ROW()-1,60),ROW()-1,FALSE))</f>
        <v/>
      </c>
      <c r="BJ129" t="str">
        <f ca="1">IF(AND($B$158=1,LEN($BJ$169) * LEN($BJ$128)&gt;0),($BJ$128/$BJ$169)*100,HLOOKUP(INDIRECT(ADDRESS(2,COLUMN())),OFFSET($BN$2,0,0,ROW()-1,60),ROW()-1,FALSE))</f>
        <v/>
      </c>
      <c r="BK129" t="str">
        <f ca="1">IF(AND($B$158=1,LEN($BK$169) * LEN($BK$128)&gt;0),($BK$128/$BK$169)*100,HLOOKUP(INDIRECT(ADDRESS(2,COLUMN())),OFFSET($BN$2,0,0,ROW()-1,60),ROW()-1,FALSE))</f>
        <v/>
      </c>
      <c r="BL129" t="str">
        <f ca="1">IF(AND($B$158=1,LEN($BL$169) * LEN($BL$128)&gt;0),($BL$128/$BL$169)*100,HLOOKUP(INDIRECT(ADDRESS(2,COLUMN())),OFFSET($BN$2,0,0,ROW()-1,60),ROW()-1,FALSE))</f>
        <v/>
      </c>
      <c r="BM129" t="str">
        <f ca="1">IF(AND($B$158=1,LEN($BM$169) * LEN($BM$128)&gt;0),($BM$128/$BM$169)*100,HLOOKUP(INDIRECT(ADDRESS(2,COLUMN())),OFFSET($BN$2,0,0,ROW()-1,60),ROW()-1,FALSE))</f>
        <v/>
      </c>
      <c r="BN129" t="str">
        <f>""</f>
        <v/>
      </c>
      <c r="BO129" t="str">
        <f>""</f>
        <v/>
      </c>
      <c r="BP129" t="str">
        <f>""</f>
        <v/>
      </c>
      <c r="BQ129" t="str">
        <f>""</f>
        <v/>
      </c>
      <c r="BR129" t="str">
        <f>""</f>
        <v/>
      </c>
      <c r="BS129" t="str">
        <f>""</f>
        <v/>
      </c>
      <c r="BT129" t="str">
        <f>""</f>
        <v/>
      </c>
      <c r="BU129" t="str">
        <f>""</f>
        <v/>
      </c>
      <c r="BV129" t="str">
        <f>""</f>
        <v/>
      </c>
      <c r="BW129" t="str">
        <f>""</f>
        <v/>
      </c>
      <c r="BX129" t="str">
        <f>""</f>
        <v/>
      </c>
      <c r="BY129" t="str">
        <f>""</f>
        <v/>
      </c>
      <c r="BZ129" t="str">
        <f>""</f>
        <v/>
      </c>
      <c r="CA129" t="str">
        <f>""</f>
        <v/>
      </c>
      <c r="CB129" t="str">
        <f>""</f>
        <v/>
      </c>
      <c r="CC129" t="str">
        <f>""</f>
        <v/>
      </c>
      <c r="CD129" t="str">
        <f>""</f>
        <v/>
      </c>
      <c r="CE129" t="str">
        <f>""</f>
        <v/>
      </c>
      <c r="CF129" t="str">
        <f>""</f>
        <v/>
      </c>
      <c r="CG129" t="str">
        <f>""</f>
        <v/>
      </c>
      <c r="CH129" t="str">
        <f>""</f>
        <v/>
      </c>
      <c r="CI129" t="str">
        <f>""</f>
        <v/>
      </c>
      <c r="CJ129" t="str">
        <f>""</f>
        <v/>
      </c>
      <c r="CK129" t="str">
        <f>""</f>
        <v/>
      </c>
      <c r="CL129">
        <f>2.1375728</f>
        <v>2.1375728000000001</v>
      </c>
      <c r="CM129" t="str">
        <f>""</f>
        <v/>
      </c>
      <c r="CN129" t="str">
        <f>""</f>
        <v/>
      </c>
      <c r="CO129" t="str">
        <f>""</f>
        <v/>
      </c>
      <c r="CP129">
        <f>2.480122547</f>
        <v>2.4801225470000001</v>
      </c>
      <c r="CQ129" t="str">
        <f>""</f>
        <v/>
      </c>
      <c r="CR129" t="str">
        <f>""</f>
        <v/>
      </c>
      <c r="CS129">
        <f>2.502085071</f>
        <v>2.5020850710000002</v>
      </c>
      <c r="CT129" t="str">
        <f>""</f>
        <v/>
      </c>
      <c r="CU129" t="str">
        <f>""</f>
        <v/>
      </c>
      <c r="CV129" t="str">
        <f>""</f>
        <v/>
      </c>
      <c r="CW129">
        <f>2.573405332</f>
        <v>2.5734053320000001</v>
      </c>
      <c r="CX129" t="str">
        <f>""</f>
        <v/>
      </c>
      <c r="CY129" t="str">
        <f>""</f>
        <v/>
      </c>
      <c r="CZ129" t="str">
        <f>""</f>
        <v/>
      </c>
      <c r="DA129" t="str">
        <f>""</f>
        <v/>
      </c>
      <c r="DB129" t="str">
        <f>""</f>
        <v/>
      </c>
      <c r="DC129" t="str">
        <f>""</f>
        <v/>
      </c>
      <c r="DD129" t="str">
        <f>""</f>
        <v/>
      </c>
      <c r="DE129" t="str">
        <f>""</f>
        <v/>
      </c>
      <c r="DF129" t="str">
        <f>""</f>
        <v/>
      </c>
      <c r="DG129" t="str">
        <f>""</f>
        <v/>
      </c>
      <c r="DH129" t="str">
        <f>""</f>
        <v/>
      </c>
      <c r="DI129" t="str">
        <f>""</f>
        <v/>
      </c>
      <c r="DJ129" t="str">
        <f>""</f>
        <v/>
      </c>
      <c r="DK129" t="str">
        <f>""</f>
        <v/>
      </c>
      <c r="DL129" t="str">
        <f>""</f>
        <v/>
      </c>
      <c r="DM129" t="str">
        <f>""</f>
        <v/>
      </c>
      <c r="DN129" t="str">
        <f>""</f>
        <v/>
      </c>
      <c r="DO129" t="str">
        <f>""</f>
        <v/>
      </c>
      <c r="DP129" t="str">
        <f>""</f>
        <v/>
      </c>
      <c r="DQ129" t="str">
        <f>""</f>
        <v/>
      </c>
      <c r="DR129" t="str">
        <f>""</f>
        <v/>
      </c>
      <c r="DS129" t="str">
        <f>""</f>
        <v/>
      </c>
      <c r="DT129" t="str">
        <f>""</f>
        <v/>
      </c>
      <c r="DU129" t="str">
        <f>""</f>
        <v/>
      </c>
    </row>
    <row r="130" spans="1:125" x14ac:dyDescent="0.25">
      <c r="A130" t="str">
        <f>"            Reported Sales Growth (%)"</f>
        <v xml:space="preserve">            Reported Sales Growth (%)</v>
      </c>
      <c r="B130" t="str">
        <f t="shared" si="69"/>
        <v>KER FP Equity</v>
      </c>
      <c r="C130" t="str">
        <f>"BI047"</f>
        <v>BI047</v>
      </c>
      <c r="D130" t="str">
        <f>"BICS_SEGMENT_DATA"</f>
        <v>BICS_SEGMENT_DATA</v>
      </c>
      <c r="E130" t="str">
        <f>"Dynamic"</f>
        <v>Dynamic</v>
      </c>
      <c r="F130" t="str">
        <f ca="1">IF(AND(ISNUMBER($F$250),$B$158=1),$F$250,HLOOKUP(INDIRECT(ADDRESS(2,COLUMN())),OFFSET($BN$2,0,0,ROW()-1,60),ROW()-1,FALSE))</f>
        <v/>
      </c>
      <c r="G130" t="str">
        <f ca="1">IF(AND(ISNUMBER($G$250),$B$158=1),$G$250,HLOOKUP(INDIRECT(ADDRESS(2,COLUMN())),OFFSET($BN$2,0,0,ROW()-1,60),ROW()-1,FALSE))</f>
        <v/>
      </c>
      <c r="H130" t="str">
        <f ca="1">IF(AND(ISNUMBER($H$250),$B$158=1),$H$250,HLOOKUP(INDIRECT(ADDRESS(2,COLUMN())),OFFSET($BN$2,0,0,ROW()-1,60),ROW()-1,FALSE))</f>
        <v/>
      </c>
      <c r="I130" t="str">
        <f ca="1">IF(AND(ISNUMBER($I$250),$B$158=1),$I$250,HLOOKUP(INDIRECT(ADDRESS(2,COLUMN())),OFFSET($BN$2,0,0,ROW()-1,60),ROW()-1,FALSE))</f>
        <v/>
      </c>
      <c r="J130" t="str">
        <f ca="1">IF(AND(ISNUMBER($J$250),$B$158=1),$J$250,HLOOKUP(INDIRECT(ADDRESS(2,COLUMN())),OFFSET($BN$2,0,0,ROW()-1,60),ROW()-1,FALSE))</f>
        <v/>
      </c>
      <c r="K130" t="str">
        <f ca="1">IF(AND(ISNUMBER($K$250),$B$158=1),$K$250,HLOOKUP(INDIRECT(ADDRESS(2,COLUMN())),OFFSET($BN$2,0,0,ROW()-1,60),ROW()-1,FALSE))</f>
        <v/>
      </c>
      <c r="L130" t="str">
        <f ca="1">IF(AND(ISNUMBER($L$250),$B$158=1),$L$250,HLOOKUP(INDIRECT(ADDRESS(2,COLUMN())),OFFSET($BN$2,0,0,ROW()-1,60),ROW()-1,FALSE))</f>
        <v/>
      </c>
      <c r="M130" t="str">
        <f ca="1">IF(AND(ISNUMBER($M$250),$B$158=1),$M$250,HLOOKUP(INDIRECT(ADDRESS(2,COLUMN())),OFFSET($BN$2,0,0,ROW()-1,60),ROW()-1,FALSE))</f>
        <v/>
      </c>
      <c r="N130" t="str">
        <f ca="1">IF(AND(ISNUMBER($N$250),$B$158=1),$N$250,HLOOKUP(INDIRECT(ADDRESS(2,COLUMN())),OFFSET($BN$2,0,0,ROW()-1,60),ROW()-1,FALSE))</f>
        <v/>
      </c>
      <c r="O130" t="str">
        <f ca="1">IF(AND(ISNUMBER($O$250),$B$158=1),$O$250,HLOOKUP(INDIRECT(ADDRESS(2,COLUMN())),OFFSET($BN$2,0,0,ROW()-1,60),ROW()-1,FALSE))</f>
        <v/>
      </c>
      <c r="P130" t="str">
        <f ca="1">IF(AND(ISNUMBER($P$250),$B$158=1),$P$250,HLOOKUP(INDIRECT(ADDRESS(2,COLUMN())),OFFSET($BN$2,0,0,ROW()-1,60),ROW()-1,FALSE))</f>
        <v/>
      </c>
      <c r="Q130" t="str">
        <f ca="1">IF(AND(ISNUMBER($Q$250),$B$158=1),$Q$250,HLOOKUP(INDIRECT(ADDRESS(2,COLUMN())),OFFSET($BN$2,0,0,ROW()-1,60),ROW()-1,FALSE))</f>
        <v/>
      </c>
      <c r="R130" t="str">
        <f ca="1">IF(AND(ISNUMBER($R$250),$B$158=1),$R$250,HLOOKUP(INDIRECT(ADDRESS(2,COLUMN())),OFFSET($BN$2,0,0,ROW()-1,60),ROW()-1,FALSE))</f>
        <v/>
      </c>
      <c r="S130" t="str">
        <f ca="1">IF(AND(ISNUMBER($S$250),$B$158=1),$S$250,HLOOKUP(INDIRECT(ADDRESS(2,COLUMN())),OFFSET($BN$2,0,0,ROW()-1,60),ROW()-1,FALSE))</f>
        <v/>
      </c>
      <c r="T130" t="str">
        <f ca="1">IF(AND(ISNUMBER($T$250),$B$158=1),$T$250,HLOOKUP(INDIRECT(ADDRESS(2,COLUMN())),OFFSET($BN$2,0,0,ROW()-1,60),ROW()-1,FALSE))</f>
        <v/>
      </c>
      <c r="U130" t="str">
        <f ca="1">IF(AND(ISNUMBER($U$250),$B$158=1),$U$250,HLOOKUP(INDIRECT(ADDRESS(2,COLUMN())),OFFSET($BN$2,0,0,ROW()-1,60),ROW()-1,FALSE))</f>
        <v/>
      </c>
      <c r="V130" t="str">
        <f ca="1">IF(AND(ISNUMBER($V$250),$B$158=1),$V$250,HLOOKUP(INDIRECT(ADDRESS(2,COLUMN())),OFFSET($BN$2,0,0,ROW()-1,60),ROW()-1,FALSE))</f>
        <v/>
      </c>
      <c r="W130" t="str">
        <f ca="1">IF(AND(ISNUMBER($W$250),$B$158=1),$W$250,HLOOKUP(INDIRECT(ADDRESS(2,COLUMN())),OFFSET($BN$2,0,0,ROW()-1,60),ROW()-1,FALSE))</f>
        <v/>
      </c>
      <c r="X130" t="str">
        <f ca="1">IF(AND(ISNUMBER($X$250),$B$158=1),$X$250,HLOOKUP(INDIRECT(ADDRESS(2,COLUMN())),OFFSET($BN$2,0,0,ROW()-1,60),ROW()-1,FALSE))</f>
        <v/>
      </c>
      <c r="Y130" t="str">
        <f ca="1">IF(AND(ISNUMBER($Y$250),$B$158=1),$Y$250,HLOOKUP(INDIRECT(ADDRESS(2,COLUMN())),OFFSET($BN$2,0,0,ROW()-1,60),ROW()-1,FALSE))</f>
        <v/>
      </c>
      <c r="Z130" t="str">
        <f ca="1">IF(AND(ISNUMBER($Z$250),$B$158=1),$Z$250,HLOOKUP(INDIRECT(ADDRESS(2,COLUMN())),OFFSET($BN$2,0,0,ROW()-1,60),ROW()-1,FALSE))</f>
        <v/>
      </c>
      <c r="AA130" t="str">
        <f ca="1">IF(AND(ISNUMBER($AA$250),$B$158=1),$AA$250,HLOOKUP(INDIRECT(ADDRESS(2,COLUMN())),OFFSET($BN$2,0,0,ROW()-1,60),ROW()-1,FALSE))</f>
        <v/>
      </c>
      <c r="AB130" t="str">
        <f ca="1">IF(AND(ISNUMBER($AB$250),$B$158=1),$AB$250,HLOOKUP(INDIRECT(ADDRESS(2,COLUMN())),OFFSET($BN$2,0,0,ROW()-1,60),ROW()-1,FALSE))</f>
        <v/>
      </c>
      <c r="AC130" t="str">
        <f ca="1">IF(AND(ISNUMBER($AC$250),$B$158=1),$AC$250,HLOOKUP(INDIRECT(ADDRESS(2,COLUMN())),OFFSET($BN$2,0,0,ROW()-1,60),ROW()-1,FALSE))</f>
        <v/>
      </c>
      <c r="AD130">
        <f ca="1">IF(AND(ISNUMBER($AD$250),$B$158=1),$AD$250,HLOOKUP(INDIRECT(ADDRESS(2,COLUMN())),OFFSET($BN$2,0,0,ROW()-1,60),ROW()-1,FALSE))</f>
        <v>-0.1</v>
      </c>
      <c r="AE130">
        <f ca="1">IF(AND(ISNUMBER($AE$250),$B$158=1),$AE$250,HLOOKUP(INDIRECT(ADDRESS(2,COLUMN())),OFFSET($BN$2,0,0,ROW()-1,60),ROW()-1,FALSE))</f>
        <v>9.6</v>
      </c>
      <c r="AF130">
        <f ca="1">IF(AND(ISNUMBER($AF$250),$B$158=1),$AF$250,HLOOKUP(INDIRECT(ADDRESS(2,COLUMN())),OFFSET($BN$2,0,0,ROW()-1,60),ROW()-1,FALSE))</f>
        <v>22.3</v>
      </c>
      <c r="AG130">
        <f ca="1">IF(AND(ISNUMBER($AG$250),$B$158=1),$AG$250,HLOOKUP(INDIRECT(ADDRESS(2,COLUMN())),OFFSET($BN$2,0,0,ROW()-1,60),ROW()-1,FALSE))</f>
        <v>9.1</v>
      </c>
      <c r="AH130">
        <f ca="1">IF(AND(ISNUMBER($AH$250),$B$158=1),$AH$250,HLOOKUP(INDIRECT(ADDRESS(2,COLUMN())),OFFSET($BN$2,0,0,ROW()-1,60),ROW()-1,FALSE))</f>
        <v>12</v>
      </c>
      <c r="AI130">
        <f ca="1">IF(AND(ISNUMBER($AI$250),$B$158=1),$AI$250,HLOOKUP(INDIRECT(ADDRESS(2,COLUMN())),OFFSET($BN$2,0,0,ROW()-1,60),ROW()-1,FALSE))</f>
        <v>13</v>
      </c>
      <c r="AJ130">
        <f ca="1">IF(AND(ISNUMBER($AJ$250),$B$158=1),$AJ$250,HLOOKUP(INDIRECT(ADDRESS(2,COLUMN())),OFFSET($BN$2,0,0,ROW()-1,60),ROW()-1,FALSE))</f>
        <v>2.1</v>
      </c>
      <c r="AK130">
        <f ca="1">IF(AND(ISNUMBER($AK$250),$B$158=1),$AK$250,HLOOKUP(INDIRECT(ADDRESS(2,COLUMN())),OFFSET($BN$2,0,0,ROW()-1,60),ROW()-1,FALSE))</f>
        <v>-2.5</v>
      </c>
      <c r="AL130">
        <f ca="1">IF(AND(ISNUMBER($AL$250),$B$158=1),$AL$250,HLOOKUP(INDIRECT(ADDRESS(2,COLUMN())),OFFSET($BN$2,0,0,ROW()-1,60),ROW()-1,FALSE))</f>
        <v>-4.4000000000000004</v>
      </c>
      <c r="AM130">
        <f ca="1">IF(AND(ISNUMBER($AM$250),$B$158=1),$AM$250,HLOOKUP(INDIRECT(ADDRESS(2,COLUMN())),OFFSET($BN$2,0,0,ROW()-1,60),ROW()-1,FALSE))</f>
        <v>-7.9</v>
      </c>
      <c r="AN130">
        <f ca="1">IF(AND(ISNUMBER($AN$250),$B$158=1),$AN$250,HLOOKUP(INDIRECT(ADDRESS(2,COLUMN())),OFFSET($BN$2,0,0,ROW()-1,60),ROW()-1,FALSE))</f>
        <v>-4.9000000000000004</v>
      </c>
      <c r="AO130">
        <f ca="1">IF(AND(ISNUMBER($AO$250),$B$158=1),$AO$250,HLOOKUP(INDIRECT(ADDRESS(2,COLUMN())),OFFSET($BN$2,0,0,ROW()-1,60),ROW()-1,FALSE))</f>
        <v>-6.9</v>
      </c>
      <c r="AP130">
        <f ca="1">IF(AND(ISNUMBER($AP$250),$B$158=1),$AP$250,HLOOKUP(INDIRECT(ADDRESS(2,COLUMN())),OFFSET($BN$2,0,0,ROW()-1,60),ROW()-1,FALSE))</f>
        <v>-1.7</v>
      </c>
      <c r="AQ130">
        <f ca="1">IF(AND(ISNUMBER($AQ$250),$B$158=1),$AQ$250,HLOOKUP(INDIRECT(ADDRESS(2,COLUMN())),OFFSET($BN$2,0,0,ROW()-1,60),ROW()-1,FALSE))</f>
        <v>-5.6</v>
      </c>
      <c r="AR130" t="str">
        <f ca="1">IF(AND(ISNUMBER($AR$250),$B$158=1),$AR$250,HLOOKUP(INDIRECT(ADDRESS(2,COLUMN())),OFFSET($BN$2,0,0,ROW()-1,60),ROW()-1,FALSE))</f>
        <v/>
      </c>
      <c r="AS130" t="str">
        <f ca="1">IF(AND(ISNUMBER($AS$250),$B$158=1),$AS$250,HLOOKUP(INDIRECT(ADDRESS(2,COLUMN())),OFFSET($BN$2,0,0,ROW()-1,60),ROW()-1,FALSE))</f>
        <v/>
      </c>
      <c r="AT130" t="str">
        <f ca="1">IF(AND(ISNUMBER($AT$250),$B$158=1),$AT$250,HLOOKUP(INDIRECT(ADDRESS(2,COLUMN())),OFFSET($BN$2,0,0,ROW()-1,60),ROW()-1,FALSE))</f>
        <v/>
      </c>
      <c r="AU130" t="str">
        <f ca="1">IF(AND(ISNUMBER($AU$250),$B$158=1),$AU$250,HLOOKUP(INDIRECT(ADDRESS(2,COLUMN())),OFFSET($BN$2,0,0,ROW()-1,60),ROW()-1,FALSE))</f>
        <v/>
      </c>
      <c r="AV130" t="str">
        <f ca="1">IF(AND(ISNUMBER($AV$250),$B$158=1),$AV$250,HLOOKUP(INDIRECT(ADDRESS(2,COLUMN())),OFFSET($BN$2,0,0,ROW()-1,60),ROW()-1,FALSE))</f>
        <v/>
      </c>
      <c r="AW130" t="str">
        <f ca="1">IF(AND(ISNUMBER($AW$250),$B$158=1),$AW$250,HLOOKUP(INDIRECT(ADDRESS(2,COLUMN())),OFFSET($BN$2,0,0,ROW()-1,60),ROW()-1,FALSE))</f>
        <v/>
      </c>
      <c r="AX130" t="str">
        <f ca="1">IF(AND(ISNUMBER($AX$250),$B$158=1),$AX$250,HLOOKUP(INDIRECT(ADDRESS(2,COLUMN())),OFFSET($BN$2,0,0,ROW()-1,60),ROW()-1,FALSE))</f>
        <v/>
      </c>
      <c r="AY130" t="str">
        <f ca="1">IF(AND(ISNUMBER($AY$250),$B$158=1),$AY$250,HLOOKUP(INDIRECT(ADDRESS(2,COLUMN())),OFFSET($BN$2,0,0,ROW()-1,60),ROW()-1,FALSE))</f>
        <v/>
      </c>
      <c r="AZ130" t="str">
        <f ca="1">IF(AND(ISNUMBER($AZ$250),$B$158=1),$AZ$250,HLOOKUP(INDIRECT(ADDRESS(2,COLUMN())),OFFSET($BN$2,0,0,ROW()-1,60),ROW()-1,FALSE))</f>
        <v/>
      </c>
      <c r="BA130" t="str">
        <f ca="1">IF(AND(ISNUMBER($BA$250),$B$158=1),$BA$250,HLOOKUP(INDIRECT(ADDRESS(2,COLUMN())),OFFSET($BN$2,0,0,ROW()-1,60),ROW()-1,FALSE))</f>
        <v/>
      </c>
      <c r="BB130" t="str">
        <f ca="1">IF(AND(ISNUMBER($BB$250),$B$158=1),$BB$250,HLOOKUP(INDIRECT(ADDRESS(2,COLUMN())),OFFSET($BN$2,0,0,ROW()-1,60),ROW()-1,FALSE))</f>
        <v/>
      </c>
      <c r="BC130" t="str">
        <f ca="1">IF(AND(ISNUMBER($BC$250),$B$158=1),$BC$250,HLOOKUP(INDIRECT(ADDRESS(2,COLUMN())),OFFSET($BN$2,0,0,ROW()-1,60),ROW()-1,FALSE))</f>
        <v/>
      </c>
      <c r="BD130" t="str">
        <f ca="1">IF(AND(ISNUMBER($BD$250),$B$158=1),$BD$250,HLOOKUP(INDIRECT(ADDRESS(2,COLUMN())),OFFSET($BN$2,0,0,ROW()-1,60),ROW()-1,FALSE))</f>
        <v/>
      </c>
      <c r="BE130" t="str">
        <f ca="1">IF(AND(ISNUMBER($BE$250),$B$158=1),$BE$250,HLOOKUP(INDIRECT(ADDRESS(2,COLUMN())),OFFSET($BN$2,0,0,ROW()-1,60),ROW()-1,FALSE))</f>
        <v/>
      </c>
      <c r="BF130" t="str">
        <f ca="1">IF(AND(ISNUMBER($BF$250),$B$158=1),$BF$250,HLOOKUP(INDIRECT(ADDRESS(2,COLUMN())),OFFSET($BN$2,0,0,ROW()-1,60),ROW()-1,FALSE))</f>
        <v/>
      </c>
      <c r="BG130" t="str">
        <f ca="1">IF(AND(ISNUMBER($BG$250),$B$158=1),$BG$250,HLOOKUP(INDIRECT(ADDRESS(2,COLUMN())),OFFSET($BN$2,0,0,ROW()-1,60),ROW()-1,FALSE))</f>
        <v/>
      </c>
      <c r="BH130" t="str">
        <f ca="1">IF(AND(ISNUMBER($BH$250),$B$158=1),$BH$250,HLOOKUP(INDIRECT(ADDRESS(2,COLUMN())),OFFSET($BN$2,0,0,ROW()-1,60),ROW()-1,FALSE))</f>
        <v/>
      </c>
      <c r="BI130" t="str">
        <f ca="1">IF(AND(ISNUMBER($BI$250),$B$158=1),$BI$250,HLOOKUP(INDIRECT(ADDRESS(2,COLUMN())),OFFSET($BN$2,0,0,ROW()-1,60),ROW()-1,FALSE))</f>
        <v/>
      </c>
      <c r="BJ130" t="str">
        <f ca="1">IF(AND(ISNUMBER($BJ$250),$B$158=1),$BJ$250,HLOOKUP(INDIRECT(ADDRESS(2,COLUMN())),OFFSET($BN$2,0,0,ROW()-1,60),ROW()-1,FALSE))</f>
        <v/>
      </c>
      <c r="BK130" t="str">
        <f ca="1">IF(AND(ISNUMBER($BK$250),$B$158=1),$BK$250,HLOOKUP(INDIRECT(ADDRESS(2,COLUMN())),OFFSET($BN$2,0,0,ROW()-1,60),ROW()-1,FALSE))</f>
        <v/>
      </c>
      <c r="BL130" t="str">
        <f ca="1">IF(AND(ISNUMBER($BL$250),$B$158=1),$BL$250,HLOOKUP(INDIRECT(ADDRESS(2,COLUMN())),OFFSET($BN$2,0,0,ROW()-1,60),ROW()-1,FALSE))</f>
        <v/>
      </c>
      <c r="BM130" t="str">
        <f ca="1">IF(AND(ISNUMBER($BM$250),$B$158=1),$BM$250,HLOOKUP(INDIRECT(ADDRESS(2,COLUMN())),OFFSET($BN$2,0,0,ROW()-1,60),ROW()-1,FALSE))</f>
        <v/>
      </c>
      <c r="BN130" t="str">
        <f>""</f>
        <v/>
      </c>
      <c r="BO130" t="str">
        <f>""</f>
        <v/>
      </c>
      <c r="BP130" t="str">
        <f>""</f>
        <v/>
      </c>
      <c r="BQ130" t="str">
        <f>""</f>
        <v/>
      </c>
      <c r="BR130" t="str">
        <f>""</f>
        <v/>
      </c>
      <c r="BS130" t="str">
        <f>""</f>
        <v/>
      </c>
      <c r="BT130" t="str">
        <f>""</f>
        <v/>
      </c>
      <c r="BU130" t="str">
        <f>""</f>
        <v/>
      </c>
      <c r="BV130" t="str">
        <f>""</f>
        <v/>
      </c>
      <c r="BW130" t="str">
        <f>""</f>
        <v/>
      </c>
      <c r="BX130" t="str">
        <f>""</f>
        <v/>
      </c>
      <c r="BY130" t="str">
        <f>""</f>
        <v/>
      </c>
      <c r="BZ130" t="str">
        <f>""</f>
        <v/>
      </c>
      <c r="CA130" t="str">
        <f>""</f>
        <v/>
      </c>
      <c r="CB130" t="str">
        <f>""</f>
        <v/>
      </c>
      <c r="CC130" t="str">
        <f>""</f>
        <v/>
      </c>
      <c r="CD130" t="str">
        <f>""</f>
        <v/>
      </c>
      <c r="CE130" t="str">
        <f>""</f>
        <v/>
      </c>
      <c r="CF130" t="str">
        <f>""</f>
        <v/>
      </c>
      <c r="CG130" t="str">
        <f>""</f>
        <v/>
      </c>
      <c r="CH130" t="str">
        <f>""</f>
        <v/>
      </c>
      <c r="CI130" t="str">
        <f>""</f>
        <v/>
      </c>
      <c r="CJ130" t="str">
        <f>""</f>
        <v/>
      </c>
      <c r="CK130" t="str">
        <f>""</f>
        <v/>
      </c>
      <c r="CL130">
        <f>-0.1</f>
        <v>-0.1</v>
      </c>
      <c r="CM130">
        <f>9.6</f>
        <v>9.6</v>
      </c>
      <c r="CN130">
        <f>22.3</f>
        <v>22.3</v>
      </c>
      <c r="CO130">
        <f>9.1</f>
        <v>9.1</v>
      </c>
      <c r="CP130">
        <f>12</f>
        <v>12</v>
      </c>
      <c r="CQ130">
        <f>13</f>
        <v>13</v>
      </c>
      <c r="CR130">
        <f>2.1</f>
        <v>2.1</v>
      </c>
      <c r="CS130">
        <f>-2.5</f>
        <v>-2.5</v>
      </c>
      <c r="CT130">
        <f>-4.4</f>
        <v>-4.4000000000000004</v>
      </c>
      <c r="CU130">
        <f>-7.9</f>
        <v>-7.9</v>
      </c>
      <c r="CV130">
        <f>-4.9</f>
        <v>-4.9000000000000004</v>
      </c>
      <c r="CW130">
        <f>-6.9</f>
        <v>-6.9</v>
      </c>
      <c r="CX130">
        <f>-1.7</f>
        <v>-1.7</v>
      </c>
      <c r="CY130">
        <f>-5.6</f>
        <v>-5.6</v>
      </c>
      <c r="CZ130" t="str">
        <f>""</f>
        <v/>
      </c>
      <c r="DA130" t="str">
        <f>""</f>
        <v/>
      </c>
      <c r="DB130" t="str">
        <f>""</f>
        <v/>
      </c>
      <c r="DC130" t="str">
        <f>""</f>
        <v/>
      </c>
      <c r="DD130" t="str">
        <f>""</f>
        <v/>
      </c>
      <c r="DE130" t="str">
        <f>""</f>
        <v/>
      </c>
      <c r="DF130" t="str">
        <f>""</f>
        <v/>
      </c>
      <c r="DG130" t="str">
        <f>""</f>
        <v/>
      </c>
      <c r="DH130" t="str">
        <f>""</f>
        <v/>
      </c>
      <c r="DI130" t="str">
        <f>""</f>
        <v/>
      </c>
      <c r="DJ130" t="str">
        <f>""</f>
        <v/>
      </c>
      <c r="DK130" t="str">
        <f>""</f>
        <v/>
      </c>
      <c r="DL130" t="str">
        <f>""</f>
        <v/>
      </c>
      <c r="DM130" t="str">
        <f>""</f>
        <v/>
      </c>
      <c r="DN130" t="str">
        <f>""</f>
        <v/>
      </c>
      <c r="DO130" t="str">
        <f>""</f>
        <v/>
      </c>
      <c r="DP130" t="str">
        <f>""</f>
        <v/>
      </c>
      <c r="DQ130" t="str">
        <f>""</f>
        <v/>
      </c>
      <c r="DR130" t="str">
        <f>""</f>
        <v/>
      </c>
      <c r="DS130" t="str">
        <f>""</f>
        <v/>
      </c>
      <c r="DT130" t="str">
        <f>""</f>
        <v/>
      </c>
      <c r="DU130" t="str">
        <f>""</f>
        <v/>
      </c>
    </row>
    <row r="131" spans="1:125" x14ac:dyDescent="0.25">
      <c r="A131" t="str">
        <f>"            Organic Growth (%)"</f>
        <v xml:space="preserve">            Organic Growth (%)</v>
      </c>
      <c r="B131" t="str">
        <f t="shared" si="69"/>
        <v>KER FP Equity</v>
      </c>
      <c r="C131" t="str">
        <f>"BI047"</f>
        <v>BI047</v>
      </c>
      <c r="D131" t="str">
        <f>"BICS_SEGMENT_DATA"</f>
        <v>BICS_SEGMENT_DATA</v>
      </c>
      <c r="E131" t="str">
        <f>"Dynamic"</f>
        <v>Dynamic</v>
      </c>
      <c r="F131" t="str">
        <f ca="1">IF(AND(ISNUMBER($F$251),$B$158=1),$F$251,HLOOKUP(INDIRECT(ADDRESS(2,COLUMN())),OFFSET($BN$2,0,0,ROW()-1,60),ROW()-1,FALSE))</f>
        <v/>
      </c>
      <c r="G131" t="str">
        <f ca="1">IF(AND(ISNUMBER($G$251),$B$158=1),$G$251,HLOOKUP(INDIRECT(ADDRESS(2,COLUMN())),OFFSET($BN$2,0,0,ROW()-1,60),ROW()-1,FALSE))</f>
        <v/>
      </c>
      <c r="H131" t="str">
        <f ca="1">IF(AND(ISNUMBER($H$251),$B$158=1),$H$251,HLOOKUP(INDIRECT(ADDRESS(2,COLUMN())),OFFSET($BN$2,0,0,ROW()-1,60),ROW()-1,FALSE))</f>
        <v/>
      </c>
      <c r="I131" t="str">
        <f ca="1">IF(AND(ISNUMBER($I$251),$B$158=1),$I$251,HLOOKUP(INDIRECT(ADDRESS(2,COLUMN())),OFFSET($BN$2,0,0,ROW()-1,60),ROW()-1,FALSE))</f>
        <v/>
      </c>
      <c r="J131" t="str">
        <f ca="1">IF(AND(ISNUMBER($J$251),$B$158=1),$J$251,HLOOKUP(INDIRECT(ADDRESS(2,COLUMN())),OFFSET($BN$2,0,0,ROW()-1,60),ROW()-1,FALSE))</f>
        <v/>
      </c>
      <c r="K131" t="str">
        <f ca="1">IF(AND(ISNUMBER($K$251),$B$158=1),$K$251,HLOOKUP(INDIRECT(ADDRESS(2,COLUMN())),OFFSET($BN$2,0,0,ROW()-1,60),ROW()-1,FALSE))</f>
        <v/>
      </c>
      <c r="L131" t="str">
        <f ca="1">IF(AND(ISNUMBER($L$251),$B$158=1),$L$251,HLOOKUP(INDIRECT(ADDRESS(2,COLUMN())),OFFSET($BN$2,0,0,ROW()-1,60),ROW()-1,FALSE))</f>
        <v/>
      </c>
      <c r="M131" t="str">
        <f ca="1">IF(AND(ISNUMBER($M$251),$B$158=1),$M$251,HLOOKUP(INDIRECT(ADDRESS(2,COLUMN())),OFFSET($BN$2,0,0,ROW()-1,60),ROW()-1,FALSE))</f>
        <v/>
      </c>
      <c r="N131" t="str">
        <f ca="1">IF(AND(ISNUMBER($N$251),$B$158=1),$N$251,HLOOKUP(INDIRECT(ADDRESS(2,COLUMN())),OFFSET($BN$2,0,0,ROW()-1,60),ROW()-1,FALSE))</f>
        <v/>
      </c>
      <c r="O131" t="str">
        <f ca="1">IF(AND(ISNUMBER($O$251),$B$158=1),$O$251,HLOOKUP(INDIRECT(ADDRESS(2,COLUMN())),OFFSET($BN$2,0,0,ROW()-1,60),ROW()-1,FALSE))</f>
        <v/>
      </c>
      <c r="P131" t="str">
        <f ca="1">IF(AND(ISNUMBER($P$251),$B$158=1),$P$251,HLOOKUP(INDIRECT(ADDRESS(2,COLUMN())),OFFSET($BN$2,0,0,ROW()-1,60),ROW()-1,FALSE))</f>
        <v/>
      </c>
      <c r="Q131" t="str">
        <f ca="1">IF(AND(ISNUMBER($Q$251),$B$158=1),$Q$251,HLOOKUP(INDIRECT(ADDRESS(2,COLUMN())),OFFSET($BN$2,0,0,ROW()-1,60),ROW()-1,FALSE))</f>
        <v/>
      </c>
      <c r="R131" t="str">
        <f ca="1">IF(AND(ISNUMBER($R$251),$B$158=1),$R$251,HLOOKUP(INDIRECT(ADDRESS(2,COLUMN())),OFFSET($BN$2,0,0,ROW()-1,60),ROW()-1,FALSE))</f>
        <v/>
      </c>
      <c r="S131" t="str">
        <f ca="1">IF(AND(ISNUMBER($S$251),$B$158=1),$S$251,HLOOKUP(INDIRECT(ADDRESS(2,COLUMN())),OFFSET($BN$2,0,0,ROW()-1,60),ROW()-1,FALSE))</f>
        <v/>
      </c>
      <c r="T131" t="str">
        <f ca="1">IF(AND(ISNUMBER($T$251),$B$158=1),$T$251,HLOOKUP(INDIRECT(ADDRESS(2,COLUMN())),OFFSET($BN$2,0,0,ROW()-1,60),ROW()-1,FALSE))</f>
        <v/>
      </c>
      <c r="U131" t="str">
        <f ca="1">IF(AND(ISNUMBER($U$251),$B$158=1),$U$251,HLOOKUP(INDIRECT(ADDRESS(2,COLUMN())),OFFSET($BN$2,0,0,ROW()-1,60),ROW()-1,FALSE))</f>
        <v/>
      </c>
      <c r="V131" t="str">
        <f ca="1">IF(AND(ISNUMBER($V$251),$B$158=1),$V$251,HLOOKUP(INDIRECT(ADDRESS(2,COLUMN())),OFFSET($BN$2,0,0,ROW()-1,60),ROW()-1,FALSE))</f>
        <v/>
      </c>
      <c r="W131" t="str">
        <f ca="1">IF(AND(ISNUMBER($W$251),$B$158=1),$W$251,HLOOKUP(INDIRECT(ADDRESS(2,COLUMN())),OFFSET($BN$2,0,0,ROW()-1,60),ROW()-1,FALSE))</f>
        <v/>
      </c>
      <c r="X131" t="str">
        <f ca="1">IF(AND(ISNUMBER($X$251),$B$158=1),$X$251,HLOOKUP(INDIRECT(ADDRESS(2,COLUMN())),OFFSET($BN$2,0,0,ROW()-1,60),ROW()-1,FALSE))</f>
        <v/>
      </c>
      <c r="Y131" t="str">
        <f ca="1">IF(AND(ISNUMBER($Y$251),$B$158=1),$Y$251,HLOOKUP(INDIRECT(ADDRESS(2,COLUMN())),OFFSET($BN$2,0,0,ROW()-1,60),ROW()-1,FALSE))</f>
        <v/>
      </c>
      <c r="Z131" t="str">
        <f ca="1">IF(AND(ISNUMBER($Z$251),$B$158=1),$Z$251,HLOOKUP(INDIRECT(ADDRESS(2,COLUMN())),OFFSET($BN$2,0,0,ROW()-1,60),ROW()-1,FALSE))</f>
        <v/>
      </c>
      <c r="AA131" t="str">
        <f ca="1">IF(AND(ISNUMBER($AA$251),$B$158=1),$AA$251,HLOOKUP(INDIRECT(ADDRESS(2,COLUMN())),OFFSET($BN$2,0,0,ROW()-1,60),ROW()-1,FALSE))</f>
        <v/>
      </c>
      <c r="AB131" t="str">
        <f ca="1">IF(AND(ISNUMBER($AB$251),$B$158=1),$AB$251,HLOOKUP(INDIRECT(ADDRESS(2,COLUMN())),OFFSET($BN$2,0,0,ROW()-1,60),ROW()-1,FALSE))</f>
        <v/>
      </c>
      <c r="AC131" t="str">
        <f ca="1">IF(AND(ISNUMBER($AC$251),$B$158=1),$AC$251,HLOOKUP(INDIRECT(ADDRESS(2,COLUMN())),OFFSET($BN$2,0,0,ROW()-1,60),ROW()-1,FALSE))</f>
        <v/>
      </c>
      <c r="AD131">
        <f ca="1">IF(AND(ISNUMBER($AD$251),$B$158=1),$AD$251,HLOOKUP(INDIRECT(ADDRESS(2,COLUMN())),OFFSET($BN$2,0,0,ROW()-1,60),ROW()-1,FALSE))</f>
        <v>-10.1</v>
      </c>
      <c r="AE131">
        <f ca="1">IF(AND(ISNUMBER($AE$251),$B$158=1),$AE$251,HLOOKUP(INDIRECT(ADDRESS(2,COLUMN())),OFFSET($BN$2,0,0,ROW()-1,60),ROW()-1,FALSE))</f>
        <v>-2.4</v>
      </c>
      <c r="AF131">
        <f ca="1">IF(AND(ISNUMBER($AF$251),$B$158=1),$AF$251,HLOOKUP(INDIRECT(ADDRESS(2,COLUMN())),OFFSET($BN$2,0,0,ROW()-1,60),ROW()-1,FALSE))</f>
        <v>-3.9</v>
      </c>
      <c r="AG131">
        <f ca="1">IF(AND(ISNUMBER($AG$251),$B$158=1),$AG$251,HLOOKUP(INDIRECT(ADDRESS(2,COLUMN())),OFFSET($BN$2,0,0,ROW()-1,60),ROW()-1,FALSE))</f>
        <v>-5</v>
      </c>
      <c r="AH131">
        <f ca="1">IF(AND(ISNUMBER($AH$251),$B$158=1),$AH$251,HLOOKUP(INDIRECT(ADDRESS(2,COLUMN())),OFFSET($BN$2,0,0,ROW()-1,60),ROW()-1,FALSE))</f>
        <v>6.3</v>
      </c>
      <c r="AI131" t="str">
        <f ca="1">IF(AND(ISNUMBER($AI$251),$B$158=1),$AI$251,HLOOKUP(INDIRECT(ADDRESS(2,COLUMN())),OFFSET($BN$2,0,0,ROW()-1,60),ROW()-1,FALSE))</f>
        <v/>
      </c>
      <c r="AJ131" t="str">
        <f ca="1">IF(AND(ISNUMBER($AJ$251),$B$158=1),$AJ$251,HLOOKUP(INDIRECT(ADDRESS(2,COLUMN())),OFFSET($BN$2,0,0,ROW()-1,60),ROW()-1,FALSE))</f>
        <v/>
      </c>
      <c r="AK131" t="str">
        <f ca="1">IF(AND(ISNUMBER($AK$251),$B$158=1),$AK$251,HLOOKUP(INDIRECT(ADDRESS(2,COLUMN())),OFFSET($BN$2,0,0,ROW()-1,60),ROW()-1,FALSE))</f>
        <v/>
      </c>
      <c r="AL131">
        <f ca="1">IF(AND(ISNUMBER($AL$251),$B$158=1),$AL$251,HLOOKUP(INDIRECT(ADDRESS(2,COLUMN())),OFFSET($BN$2,0,0,ROW()-1,60),ROW()-1,FALSE))</f>
        <v>1.5</v>
      </c>
      <c r="AM131" t="str">
        <f ca="1">IF(AND(ISNUMBER($AM$251),$B$158=1),$AM$251,HLOOKUP(INDIRECT(ADDRESS(2,COLUMN())),OFFSET($BN$2,0,0,ROW()-1,60),ROW()-1,FALSE))</f>
        <v/>
      </c>
      <c r="AN131" t="str">
        <f ca="1">IF(AND(ISNUMBER($AN$251),$B$158=1),$AN$251,HLOOKUP(INDIRECT(ADDRESS(2,COLUMN())),OFFSET($BN$2,0,0,ROW()-1,60),ROW()-1,FALSE))</f>
        <v/>
      </c>
      <c r="AO131" t="str">
        <f ca="1">IF(AND(ISNUMBER($AO$251),$B$158=1),$AO$251,HLOOKUP(INDIRECT(ADDRESS(2,COLUMN())),OFFSET($BN$2,0,0,ROW()-1,60),ROW()-1,FALSE))</f>
        <v/>
      </c>
      <c r="AP131">
        <f ca="1">IF(AND(ISNUMBER($AP$251),$B$158=1),$AP$251,HLOOKUP(INDIRECT(ADDRESS(2,COLUMN())),OFFSET($BN$2,0,0,ROW()-1,60),ROW()-1,FALSE))</f>
        <v>-4.8</v>
      </c>
      <c r="AQ131">
        <f ca="1">IF(AND(ISNUMBER($AQ$251),$B$158=1),$AQ$251,HLOOKUP(INDIRECT(ADDRESS(2,COLUMN())),OFFSET($BN$2,0,0,ROW()-1,60),ROW()-1,FALSE))</f>
        <v>-13.1</v>
      </c>
      <c r="AR131">
        <f ca="1">IF(AND(ISNUMBER($AR$251),$B$158=1),$AR$251,HLOOKUP(INDIRECT(ADDRESS(2,COLUMN())),OFFSET($BN$2,0,0,ROW()-1,60),ROW()-1,FALSE))</f>
        <v>12.6</v>
      </c>
      <c r="AS131" t="str">
        <f ca="1">IF(AND(ISNUMBER($AS$251),$B$158=1),$AS$251,HLOOKUP(INDIRECT(ADDRESS(2,COLUMN())),OFFSET($BN$2,0,0,ROW()-1,60),ROW()-1,FALSE))</f>
        <v/>
      </c>
      <c r="AT131">
        <f ca="1">IF(AND(ISNUMBER($AT$251),$B$158=1),$AT$251,HLOOKUP(INDIRECT(ADDRESS(2,COLUMN())),OFFSET($BN$2,0,0,ROW()-1,60),ROW()-1,FALSE))</f>
        <v>9.6999999999999993</v>
      </c>
      <c r="AU131">
        <f ca="1">IF(AND(ISNUMBER($AU$251),$B$158=1),$AU$251,HLOOKUP(INDIRECT(ADDRESS(2,COLUMN())),OFFSET($BN$2,0,0,ROW()-1,60),ROW()-1,FALSE))</f>
        <v>7</v>
      </c>
      <c r="AV131" t="str">
        <f ca="1">IF(AND(ISNUMBER($AV$251),$B$158=1),$AV$251,HLOOKUP(INDIRECT(ADDRESS(2,COLUMN())),OFFSET($BN$2,0,0,ROW()-1,60),ROW()-1,FALSE))</f>
        <v/>
      </c>
      <c r="AW131" t="str">
        <f ca="1">IF(AND(ISNUMBER($AW$251),$B$158=1),$AW$251,HLOOKUP(INDIRECT(ADDRESS(2,COLUMN())),OFFSET($BN$2,0,0,ROW()-1,60),ROW()-1,FALSE))</f>
        <v/>
      </c>
      <c r="AX131" t="str">
        <f ca="1">IF(AND(ISNUMBER($AX$251),$B$158=1),$AX$251,HLOOKUP(INDIRECT(ADDRESS(2,COLUMN())),OFFSET($BN$2,0,0,ROW()-1,60),ROW()-1,FALSE))</f>
        <v/>
      </c>
      <c r="AY131" t="str">
        <f ca="1">IF(AND(ISNUMBER($AY$251),$B$158=1),$AY$251,HLOOKUP(INDIRECT(ADDRESS(2,COLUMN())),OFFSET($BN$2,0,0,ROW()-1,60),ROW()-1,FALSE))</f>
        <v/>
      </c>
      <c r="AZ131" t="str">
        <f ca="1">IF(AND(ISNUMBER($AZ$251),$B$158=1),$AZ$251,HLOOKUP(INDIRECT(ADDRESS(2,COLUMN())),OFFSET($BN$2,0,0,ROW()-1,60),ROW()-1,FALSE))</f>
        <v/>
      </c>
      <c r="BA131" t="str">
        <f ca="1">IF(AND(ISNUMBER($BA$251),$B$158=1),$BA$251,HLOOKUP(INDIRECT(ADDRESS(2,COLUMN())),OFFSET($BN$2,0,0,ROW()-1,60),ROW()-1,FALSE))</f>
        <v/>
      </c>
      <c r="BB131" t="str">
        <f ca="1">IF(AND(ISNUMBER($BB$251),$B$158=1),$BB$251,HLOOKUP(INDIRECT(ADDRESS(2,COLUMN())),OFFSET($BN$2,0,0,ROW()-1,60),ROW()-1,FALSE))</f>
        <v/>
      </c>
      <c r="BC131" t="str">
        <f ca="1">IF(AND(ISNUMBER($BC$251),$B$158=1),$BC$251,HLOOKUP(INDIRECT(ADDRESS(2,COLUMN())),OFFSET($BN$2,0,0,ROW()-1,60),ROW()-1,FALSE))</f>
        <v/>
      </c>
      <c r="BD131" t="str">
        <f ca="1">IF(AND(ISNUMBER($BD$251),$B$158=1),$BD$251,HLOOKUP(INDIRECT(ADDRESS(2,COLUMN())),OFFSET($BN$2,0,0,ROW()-1,60),ROW()-1,FALSE))</f>
        <v/>
      </c>
      <c r="BE131" t="str">
        <f ca="1">IF(AND(ISNUMBER($BE$251),$B$158=1),$BE$251,HLOOKUP(INDIRECT(ADDRESS(2,COLUMN())),OFFSET($BN$2,0,0,ROW()-1,60),ROW()-1,FALSE))</f>
        <v/>
      </c>
      <c r="BF131" t="str">
        <f ca="1">IF(AND(ISNUMBER($BF$251),$B$158=1),$BF$251,HLOOKUP(INDIRECT(ADDRESS(2,COLUMN())),OFFSET($BN$2,0,0,ROW()-1,60),ROW()-1,FALSE))</f>
        <v/>
      </c>
      <c r="BG131" t="str">
        <f ca="1">IF(AND(ISNUMBER($BG$251),$B$158=1),$BG$251,HLOOKUP(INDIRECT(ADDRESS(2,COLUMN())),OFFSET($BN$2,0,0,ROW()-1,60),ROW()-1,FALSE))</f>
        <v/>
      </c>
      <c r="BH131" t="str">
        <f ca="1">IF(AND(ISNUMBER($BH$251),$B$158=1),$BH$251,HLOOKUP(INDIRECT(ADDRESS(2,COLUMN())),OFFSET($BN$2,0,0,ROW()-1,60),ROW()-1,FALSE))</f>
        <v/>
      </c>
      <c r="BI131" t="str">
        <f ca="1">IF(AND(ISNUMBER($BI$251),$B$158=1),$BI$251,HLOOKUP(INDIRECT(ADDRESS(2,COLUMN())),OFFSET($BN$2,0,0,ROW()-1,60),ROW()-1,FALSE))</f>
        <v/>
      </c>
      <c r="BJ131" t="str">
        <f ca="1">IF(AND(ISNUMBER($BJ$251),$B$158=1),$BJ$251,HLOOKUP(INDIRECT(ADDRESS(2,COLUMN())),OFFSET($BN$2,0,0,ROW()-1,60),ROW()-1,FALSE))</f>
        <v/>
      </c>
      <c r="BK131" t="str">
        <f ca="1">IF(AND(ISNUMBER($BK$251),$B$158=1),$BK$251,HLOOKUP(INDIRECT(ADDRESS(2,COLUMN())),OFFSET($BN$2,0,0,ROW()-1,60),ROW()-1,FALSE))</f>
        <v/>
      </c>
      <c r="BL131" t="str">
        <f ca="1">IF(AND(ISNUMBER($BL$251),$B$158=1),$BL$251,HLOOKUP(INDIRECT(ADDRESS(2,COLUMN())),OFFSET($BN$2,0,0,ROW()-1,60),ROW()-1,FALSE))</f>
        <v/>
      </c>
      <c r="BM131" t="str">
        <f ca="1">IF(AND(ISNUMBER($BM$251),$B$158=1),$BM$251,HLOOKUP(INDIRECT(ADDRESS(2,COLUMN())),OFFSET($BN$2,0,0,ROW()-1,60),ROW()-1,FALSE))</f>
        <v/>
      </c>
      <c r="BN131" t="str">
        <f>""</f>
        <v/>
      </c>
      <c r="BO131" t="str">
        <f>""</f>
        <v/>
      </c>
      <c r="BP131" t="str">
        <f>""</f>
        <v/>
      </c>
      <c r="BQ131" t="str">
        <f>""</f>
        <v/>
      </c>
      <c r="BR131" t="str">
        <f>""</f>
        <v/>
      </c>
      <c r="BS131" t="str">
        <f>""</f>
        <v/>
      </c>
      <c r="BT131" t="str">
        <f>""</f>
        <v/>
      </c>
      <c r="BU131" t="str">
        <f>""</f>
        <v/>
      </c>
      <c r="BV131" t="str">
        <f>""</f>
        <v/>
      </c>
      <c r="BW131" t="str">
        <f>""</f>
        <v/>
      </c>
      <c r="BX131" t="str">
        <f>""</f>
        <v/>
      </c>
      <c r="BY131" t="str">
        <f>""</f>
        <v/>
      </c>
      <c r="BZ131" t="str">
        <f>""</f>
        <v/>
      </c>
      <c r="CA131" t="str">
        <f>""</f>
        <v/>
      </c>
      <c r="CB131" t="str">
        <f>""</f>
        <v/>
      </c>
      <c r="CC131" t="str">
        <f>""</f>
        <v/>
      </c>
      <c r="CD131" t="str">
        <f>""</f>
        <v/>
      </c>
      <c r="CE131" t="str">
        <f>""</f>
        <v/>
      </c>
      <c r="CF131" t="str">
        <f>""</f>
        <v/>
      </c>
      <c r="CG131" t="str">
        <f>""</f>
        <v/>
      </c>
      <c r="CH131" t="str">
        <f>""</f>
        <v/>
      </c>
      <c r="CI131" t="str">
        <f>""</f>
        <v/>
      </c>
      <c r="CJ131" t="str">
        <f>""</f>
        <v/>
      </c>
      <c r="CK131" t="str">
        <f>""</f>
        <v/>
      </c>
      <c r="CL131">
        <f>-10.1</f>
        <v>-10.1</v>
      </c>
      <c r="CM131">
        <f>-2.4</f>
        <v>-2.4</v>
      </c>
      <c r="CN131">
        <f>-3.9</f>
        <v>-3.9</v>
      </c>
      <c r="CO131">
        <f>-5</f>
        <v>-5</v>
      </c>
      <c r="CP131">
        <f>6.3</f>
        <v>6.3</v>
      </c>
      <c r="CQ131" t="str">
        <f>""</f>
        <v/>
      </c>
      <c r="CR131" t="str">
        <f>""</f>
        <v/>
      </c>
      <c r="CS131" t="str">
        <f>""</f>
        <v/>
      </c>
      <c r="CT131">
        <f>1.5</f>
        <v>1.5</v>
      </c>
      <c r="CU131" t="str">
        <f>""</f>
        <v/>
      </c>
      <c r="CV131" t="str">
        <f>""</f>
        <v/>
      </c>
      <c r="CW131" t="str">
        <f>""</f>
        <v/>
      </c>
      <c r="CX131">
        <f>-4.8</f>
        <v>-4.8</v>
      </c>
      <c r="CY131">
        <f>-13.1</f>
        <v>-13.1</v>
      </c>
      <c r="CZ131">
        <f>12.6</f>
        <v>12.6</v>
      </c>
      <c r="DA131" t="str">
        <f>""</f>
        <v/>
      </c>
      <c r="DB131">
        <f>9.7</f>
        <v>9.6999999999999993</v>
      </c>
      <c r="DC131">
        <f>7</f>
        <v>7</v>
      </c>
      <c r="DD131" t="str">
        <f>""</f>
        <v/>
      </c>
      <c r="DE131" t="str">
        <f>""</f>
        <v/>
      </c>
      <c r="DF131" t="str">
        <f>""</f>
        <v/>
      </c>
      <c r="DG131" t="str">
        <f>""</f>
        <v/>
      </c>
      <c r="DH131" t="str">
        <f>""</f>
        <v/>
      </c>
      <c r="DI131" t="str">
        <f>""</f>
        <v/>
      </c>
      <c r="DJ131" t="str">
        <f>""</f>
        <v/>
      </c>
      <c r="DK131" t="str">
        <f>""</f>
        <v/>
      </c>
      <c r="DL131" t="str">
        <f>""</f>
        <v/>
      </c>
      <c r="DM131" t="str">
        <f>""</f>
        <v/>
      </c>
      <c r="DN131" t="str">
        <f>""</f>
        <v/>
      </c>
      <c r="DO131" t="str">
        <f>""</f>
        <v/>
      </c>
      <c r="DP131" t="str">
        <f>""</f>
        <v/>
      </c>
      <c r="DQ131" t="str">
        <f>""</f>
        <v/>
      </c>
      <c r="DR131" t="str">
        <f>""</f>
        <v/>
      </c>
      <c r="DS131" t="str">
        <f>""</f>
        <v/>
      </c>
      <c r="DT131" t="str">
        <f>""</f>
        <v/>
      </c>
      <c r="DU131" t="str">
        <f>""</f>
        <v/>
      </c>
    </row>
    <row r="132" spans="1:125" x14ac:dyDescent="0.25">
      <c r="A132" t="str">
        <f>"            Recurring Operating Income"</f>
        <v xml:space="preserve">            Recurring Operating Income</v>
      </c>
      <c r="B132" t="str">
        <f t="shared" si="69"/>
        <v>KER FP Equity</v>
      </c>
      <c r="C132" t="str">
        <f>"BI047"</f>
        <v>BI047</v>
      </c>
      <c r="D132" t="str">
        <f>"BICS_SEGMENT_DATA"</f>
        <v>BICS_SEGMENT_DATA</v>
      </c>
      <c r="E132" t="str">
        <f>"Dynamic"</f>
        <v>Dynamic</v>
      </c>
      <c r="F132" t="str">
        <f ca="1">IF(AND(ISNUMBER($F$252),$B$158=1),$F$252,HLOOKUP(INDIRECT(ADDRESS(2,COLUMN())),OFFSET($BN$2,0,0,ROW()-1,60),ROW()-1,FALSE))</f>
        <v/>
      </c>
      <c r="G132" t="str">
        <f ca="1">IF(AND(ISNUMBER($G$252),$B$158=1),$G$252,HLOOKUP(INDIRECT(ADDRESS(2,COLUMN())),OFFSET($BN$2,0,0,ROW()-1,60),ROW()-1,FALSE))</f>
        <v/>
      </c>
      <c r="H132" t="str">
        <f ca="1">IF(AND(ISNUMBER($H$252),$B$158=1),$H$252,HLOOKUP(INDIRECT(ADDRESS(2,COLUMN())),OFFSET($BN$2,0,0,ROW()-1,60),ROW()-1,FALSE))</f>
        <v/>
      </c>
      <c r="I132" t="str">
        <f ca="1">IF(AND(ISNUMBER($I$252),$B$158=1),$I$252,HLOOKUP(INDIRECT(ADDRESS(2,COLUMN())),OFFSET($BN$2,0,0,ROW()-1,60),ROW()-1,FALSE))</f>
        <v/>
      </c>
      <c r="J132" t="str">
        <f ca="1">IF(AND(ISNUMBER($J$252),$B$158=1),$J$252,HLOOKUP(INDIRECT(ADDRESS(2,COLUMN())),OFFSET($BN$2,0,0,ROW()-1,60),ROW()-1,FALSE))</f>
        <v/>
      </c>
      <c r="K132" t="str">
        <f ca="1">IF(AND(ISNUMBER($K$252),$B$158=1),$K$252,HLOOKUP(INDIRECT(ADDRESS(2,COLUMN())),OFFSET($BN$2,0,0,ROW()-1,60),ROW()-1,FALSE))</f>
        <v/>
      </c>
      <c r="L132" t="str">
        <f ca="1">IF(AND(ISNUMBER($L$252),$B$158=1),$L$252,HLOOKUP(INDIRECT(ADDRESS(2,COLUMN())),OFFSET($BN$2,0,0,ROW()-1,60),ROW()-1,FALSE))</f>
        <v/>
      </c>
      <c r="M132" t="str">
        <f ca="1">IF(AND(ISNUMBER($M$252),$B$158=1),$M$252,HLOOKUP(INDIRECT(ADDRESS(2,COLUMN())),OFFSET($BN$2,0,0,ROW()-1,60),ROW()-1,FALSE))</f>
        <v/>
      </c>
      <c r="N132" t="str">
        <f ca="1">IF(AND(ISNUMBER($N$252),$B$158=1),$N$252,HLOOKUP(INDIRECT(ADDRESS(2,COLUMN())),OFFSET($BN$2,0,0,ROW()-1,60),ROW()-1,FALSE))</f>
        <v/>
      </c>
      <c r="O132" t="str">
        <f ca="1">IF(AND(ISNUMBER($O$252),$B$158=1),$O$252,HLOOKUP(INDIRECT(ADDRESS(2,COLUMN())),OFFSET($BN$2,0,0,ROW()-1,60),ROW()-1,FALSE))</f>
        <v/>
      </c>
      <c r="P132" t="str">
        <f ca="1">IF(AND(ISNUMBER($P$252),$B$158=1),$P$252,HLOOKUP(INDIRECT(ADDRESS(2,COLUMN())),OFFSET($BN$2,0,0,ROW()-1,60),ROW()-1,FALSE))</f>
        <v/>
      </c>
      <c r="Q132" t="str">
        <f ca="1">IF(AND(ISNUMBER($Q$252),$B$158=1),$Q$252,HLOOKUP(INDIRECT(ADDRESS(2,COLUMN())),OFFSET($BN$2,0,0,ROW()-1,60),ROW()-1,FALSE))</f>
        <v/>
      </c>
      <c r="R132" t="str">
        <f ca="1">IF(AND(ISNUMBER($R$252),$B$158=1),$R$252,HLOOKUP(INDIRECT(ADDRESS(2,COLUMN())),OFFSET($BN$2,0,0,ROW()-1,60),ROW()-1,FALSE))</f>
        <v/>
      </c>
      <c r="S132" t="str">
        <f ca="1">IF(AND(ISNUMBER($S$252),$B$158=1),$S$252,HLOOKUP(INDIRECT(ADDRESS(2,COLUMN())),OFFSET($BN$2,0,0,ROW()-1,60),ROW()-1,FALSE))</f>
        <v/>
      </c>
      <c r="T132" t="str">
        <f ca="1">IF(AND(ISNUMBER($T$252),$B$158=1),$T$252,HLOOKUP(INDIRECT(ADDRESS(2,COLUMN())),OFFSET($BN$2,0,0,ROW()-1,60),ROW()-1,FALSE))</f>
        <v/>
      </c>
      <c r="U132" t="str">
        <f ca="1">IF(AND(ISNUMBER($U$252),$B$158=1),$U$252,HLOOKUP(INDIRECT(ADDRESS(2,COLUMN())),OFFSET($BN$2,0,0,ROW()-1,60),ROW()-1,FALSE))</f>
        <v/>
      </c>
      <c r="V132" t="str">
        <f ca="1">IF(AND(ISNUMBER($V$252),$B$158=1),$V$252,HLOOKUP(INDIRECT(ADDRESS(2,COLUMN())),OFFSET($BN$2,0,0,ROW()-1,60),ROW()-1,FALSE))</f>
        <v/>
      </c>
      <c r="W132" t="str">
        <f ca="1">IF(AND(ISNUMBER($W$252),$B$158=1),$W$252,HLOOKUP(INDIRECT(ADDRESS(2,COLUMN())),OFFSET($BN$2,0,0,ROW()-1,60),ROW()-1,FALSE))</f>
        <v/>
      </c>
      <c r="X132" t="str">
        <f ca="1">IF(AND(ISNUMBER($X$252),$B$158=1),$X$252,HLOOKUP(INDIRECT(ADDRESS(2,COLUMN())),OFFSET($BN$2,0,0,ROW()-1,60),ROW()-1,FALSE))</f>
        <v/>
      </c>
      <c r="Y132" t="str">
        <f ca="1">IF(AND(ISNUMBER($Y$252),$B$158=1),$Y$252,HLOOKUP(INDIRECT(ADDRESS(2,COLUMN())),OFFSET($BN$2,0,0,ROW()-1,60),ROW()-1,FALSE))</f>
        <v/>
      </c>
      <c r="Z132" t="str">
        <f ca="1">IF(AND(ISNUMBER($Z$252),$B$158=1),$Z$252,HLOOKUP(INDIRECT(ADDRESS(2,COLUMN())),OFFSET($BN$2,0,0,ROW()-1,60),ROW()-1,FALSE))</f>
        <v/>
      </c>
      <c r="AA132" t="str">
        <f ca="1">IF(AND(ISNUMBER($AA$252),$B$158=1),$AA$252,HLOOKUP(INDIRECT(ADDRESS(2,COLUMN())),OFFSET($BN$2,0,0,ROW()-1,60),ROW()-1,FALSE))</f>
        <v/>
      </c>
      <c r="AB132" t="str">
        <f ca="1">IF(AND(ISNUMBER($AB$252),$B$158=1),$AB$252,HLOOKUP(INDIRECT(ADDRESS(2,COLUMN())),OFFSET($BN$2,0,0,ROW()-1,60),ROW()-1,FALSE))</f>
        <v/>
      </c>
      <c r="AC132" t="str">
        <f ca="1">IF(AND(ISNUMBER($AC$252),$B$158=1),$AC$252,HLOOKUP(INDIRECT(ADDRESS(2,COLUMN())),OFFSET($BN$2,0,0,ROW()-1,60),ROW()-1,FALSE))</f>
        <v/>
      </c>
      <c r="AD132" t="str">
        <f ca="1">IF(AND(ISNUMBER($AD$252),$B$158=1),$AD$252,HLOOKUP(INDIRECT(ADDRESS(2,COLUMN())),OFFSET($BN$2,0,0,ROW()-1,60),ROW()-1,FALSE))</f>
        <v/>
      </c>
      <c r="AE132" t="str">
        <f ca="1">IF(AND(ISNUMBER($AE$252),$B$158=1),$AE$252,HLOOKUP(INDIRECT(ADDRESS(2,COLUMN())),OFFSET($BN$2,0,0,ROW()-1,60),ROW()-1,FALSE))</f>
        <v/>
      </c>
      <c r="AF132" t="str">
        <f ca="1">IF(AND(ISNUMBER($AF$252),$B$158=1),$AF$252,HLOOKUP(INDIRECT(ADDRESS(2,COLUMN())),OFFSET($BN$2,0,0,ROW()-1,60),ROW()-1,FALSE))</f>
        <v/>
      </c>
      <c r="AG132" t="str">
        <f ca="1">IF(AND(ISNUMBER($AG$252),$B$158=1),$AG$252,HLOOKUP(INDIRECT(ADDRESS(2,COLUMN())),OFFSET($BN$2,0,0,ROW()-1,60),ROW()-1,FALSE))</f>
        <v/>
      </c>
      <c r="AH132" t="str">
        <f ca="1">IF(AND(ISNUMBER($AH$252),$B$158=1),$AH$252,HLOOKUP(INDIRECT(ADDRESS(2,COLUMN())),OFFSET($BN$2,0,0,ROW()-1,60),ROW()-1,FALSE))</f>
        <v/>
      </c>
      <c r="AI132" t="str">
        <f ca="1">IF(AND(ISNUMBER($AI$252),$B$158=1),$AI$252,HLOOKUP(INDIRECT(ADDRESS(2,COLUMN())),OFFSET($BN$2,0,0,ROW()-1,60),ROW()-1,FALSE))</f>
        <v/>
      </c>
      <c r="AJ132" t="str">
        <f ca="1">IF(AND(ISNUMBER($AJ$252),$B$158=1),$AJ$252,HLOOKUP(INDIRECT(ADDRESS(2,COLUMN())),OFFSET($BN$2,0,0,ROW()-1,60),ROW()-1,FALSE))</f>
        <v/>
      </c>
      <c r="AK132" t="str">
        <f ca="1">IF(AND(ISNUMBER($AK$252),$B$158=1),$AK$252,HLOOKUP(INDIRECT(ADDRESS(2,COLUMN())),OFFSET($BN$2,0,0,ROW()-1,60),ROW()-1,FALSE))</f>
        <v/>
      </c>
      <c r="AL132" t="str">
        <f ca="1">IF(AND(ISNUMBER($AL$252),$B$158=1),$AL$252,HLOOKUP(INDIRECT(ADDRESS(2,COLUMN())),OFFSET($BN$2,0,0,ROW()-1,60),ROW()-1,FALSE))</f>
        <v/>
      </c>
      <c r="AM132" t="str">
        <f ca="1">IF(AND(ISNUMBER($AM$252),$B$158=1),$AM$252,HLOOKUP(INDIRECT(ADDRESS(2,COLUMN())),OFFSET($BN$2,0,0,ROW()-1,60),ROW()-1,FALSE))</f>
        <v/>
      </c>
      <c r="AN132" t="str">
        <f ca="1">IF(AND(ISNUMBER($AN$252),$B$158=1),$AN$252,HLOOKUP(INDIRECT(ADDRESS(2,COLUMN())),OFFSET($BN$2,0,0,ROW()-1,60),ROW()-1,FALSE))</f>
        <v/>
      </c>
      <c r="AO132" t="str">
        <f ca="1">IF(AND(ISNUMBER($AO$252),$B$158=1),$AO$252,HLOOKUP(INDIRECT(ADDRESS(2,COLUMN())),OFFSET($BN$2,0,0,ROW()-1,60),ROW()-1,FALSE))</f>
        <v/>
      </c>
      <c r="AP132" t="str">
        <f ca="1">IF(AND(ISNUMBER($AP$252),$B$158=1),$AP$252,HLOOKUP(INDIRECT(ADDRESS(2,COLUMN())),OFFSET($BN$2,0,0,ROW()-1,60),ROW()-1,FALSE))</f>
        <v/>
      </c>
      <c r="AQ132" t="str">
        <f ca="1">IF(AND(ISNUMBER($AQ$252),$B$158=1),$AQ$252,HLOOKUP(INDIRECT(ADDRESS(2,COLUMN())),OFFSET($BN$2,0,0,ROW()-1,60),ROW()-1,FALSE))</f>
        <v/>
      </c>
      <c r="AR132" t="str">
        <f ca="1">IF(AND(ISNUMBER($AR$252),$B$158=1),$AR$252,HLOOKUP(INDIRECT(ADDRESS(2,COLUMN())),OFFSET($BN$2,0,0,ROW()-1,60),ROW()-1,FALSE))</f>
        <v/>
      </c>
      <c r="AS132" t="str">
        <f ca="1">IF(AND(ISNUMBER($AS$252),$B$158=1),$AS$252,HLOOKUP(INDIRECT(ADDRESS(2,COLUMN())),OFFSET($BN$2,0,0,ROW()-1,60),ROW()-1,FALSE))</f>
        <v/>
      </c>
      <c r="AT132" t="str">
        <f ca="1">IF(AND(ISNUMBER($AT$252),$B$158=1),$AT$252,HLOOKUP(INDIRECT(ADDRESS(2,COLUMN())),OFFSET($BN$2,0,0,ROW()-1,60),ROW()-1,FALSE))</f>
        <v/>
      </c>
      <c r="AU132" t="str">
        <f ca="1">IF(AND(ISNUMBER($AU$252),$B$158=1),$AU$252,HLOOKUP(INDIRECT(ADDRESS(2,COLUMN())),OFFSET($BN$2,0,0,ROW()-1,60),ROW()-1,FALSE))</f>
        <v/>
      </c>
      <c r="AV132" t="str">
        <f ca="1">IF(AND(ISNUMBER($AV$252),$B$158=1),$AV$252,HLOOKUP(INDIRECT(ADDRESS(2,COLUMN())),OFFSET($BN$2,0,0,ROW()-1,60),ROW()-1,FALSE))</f>
        <v/>
      </c>
      <c r="AW132" t="str">
        <f ca="1">IF(AND(ISNUMBER($AW$252),$B$158=1),$AW$252,HLOOKUP(INDIRECT(ADDRESS(2,COLUMN())),OFFSET($BN$2,0,0,ROW()-1,60),ROW()-1,FALSE))</f>
        <v/>
      </c>
      <c r="AX132" t="str">
        <f ca="1">IF(AND(ISNUMBER($AX$252),$B$158=1),$AX$252,HLOOKUP(INDIRECT(ADDRESS(2,COLUMN())),OFFSET($BN$2,0,0,ROW()-1,60),ROW()-1,FALSE))</f>
        <v/>
      </c>
      <c r="AY132" t="str">
        <f ca="1">IF(AND(ISNUMBER($AY$252),$B$158=1),$AY$252,HLOOKUP(INDIRECT(ADDRESS(2,COLUMN())),OFFSET($BN$2,0,0,ROW()-1,60),ROW()-1,FALSE))</f>
        <v/>
      </c>
      <c r="AZ132" t="str">
        <f ca="1">IF(AND(ISNUMBER($AZ$252),$B$158=1),$AZ$252,HLOOKUP(INDIRECT(ADDRESS(2,COLUMN())),OFFSET($BN$2,0,0,ROW()-1,60),ROW()-1,FALSE))</f>
        <v/>
      </c>
      <c r="BA132" t="str">
        <f ca="1">IF(AND(ISNUMBER($BA$252),$B$158=1),$BA$252,HLOOKUP(INDIRECT(ADDRESS(2,COLUMN())),OFFSET($BN$2,0,0,ROW()-1,60),ROW()-1,FALSE))</f>
        <v/>
      </c>
      <c r="BB132" t="str">
        <f ca="1">IF(AND(ISNUMBER($BB$252),$B$158=1),$BB$252,HLOOKUP(INDIRECT(ADDRESS(2,COLUMN())),OFFSET($BN$2,0,0,ROW()-1,60),ROW()-1,FALSE))</f>
        <v/>
      </c>
      <c r="BC132" t="str">
        <f ca="1">IF(AND(ISNUMBER($BC$252),$B$158=1),$BC$252,HLOOKUP(INDIRECT(ADDRESS(2,COLUMN())),OFFSET($BN$2,0,0,ROW()-1,60),ROW()-1,FALSE))</f>
        <v/>
      </c>
      <c r="BD132" t="str">
        <f ca="1">IF(AND(ISNUMBER($BD$252),$B$158=1),$BD$252,HLOOKUP(INDIRECT(ADDRESS(2,COLUMN())),OFFSET($BN$2,0,0,ROW()-1,60),ROW()-1,FALSE))</f>
        <v/>
      </c>
      <c r="BE132" t="str">
        <f ca="1">IF(AND(ISNUMBER($BE$252),$B$158=1),$BE$252,HLOOKUP(INDIRECT(ADDRESS(2,COLUMN())),OFFSET($BN$2,0,0,ROW()-1,60),ROW()-1,FALSE))</f>
        <v/>
      </c>
      <c r="BF132" t="str">
        <f ca="1">IF(AND(ISNUMBER($BF$252),$B$158=1),$BF$252,HLOOKUP(INDIRECT(ADDRESS(2,COLUMN())),OFFSET($BN$2,0,0,ROW()-1,60),ROW()-1,FALSE))</f>
        <v/>
      </c>
      <c r="BG132" t="str">
        <f ca="1">IF(AND(ISNUMBER($BG$252),$B$158=1),$BG$252,HLOOKUP(INDIRECT(ADDRESS(2,COLUMN())),OFFSET($BN$2,0,0,ROW()-1,60),ROW()-1,FALSE))</f>
        <v/>
      </c>
      <c r="BH132" t="str">
        <f ca="1">IF(AND(ISNUMBER($BH$252),$B$158=1),$BH$252,HLOOKUP(INDIRECT(ADDRESS(2,COLUMN())),OFFSET($BN$2,0,0,ROW()-1,60),ROW()-1,FALSE))</f>
        <v/>
      </c>
      <c r="BI132" t="str">
        <f ca="1">IF(AND(ISNUMBER($BI$252),$B$158=1),$BI$252,HLOOKUP(INDIRECT(ADDRESS(2,COLUMN())),OFFSET($BN$2,0,0,ROW()-1,60),ROW()-1,FALSE))</f>
        <v/>
      </c>
      <c r="BJ132" t="str">
        <f ca="1">IF(AND(ISNUMBER($BJ$252),$B$158=1),$BJ$252,HLOOKUP(INDIRECT(ADDRESS(2,COLUMN())),OFFSET($BN$2,0,0,ROW()-1,60),ROW()-1,FALSE))</f>
        <v/>
      </c>
      <c r="BK132" t="str">
        <f ca="1">IF(AND(ISNUMBER($BK$252),$B$158=1),$BK$252,HLOOKUP(INDIRECT(ADDRESS(2,COLUMN())),OFFSET($BN$2,0,0,ROW()-1,60),ROW()-1,FALSE))</f>
        <v/>
      </c>
      <c r="BL132" t="str">
        <f ca="1">IF(AND(ISNUMBER($BL$252),$B$158=1),$BL$252,HLOOKUP(INDIRECT(ADDRESS(2,COLUMN())),OFFSET($BN$2,0,0,ROW()-1,60),ROW()-1,FALSE))</f>
        <v/>
      </c>
      <c r="BM132" t="str">
        <f ca="1">IF(AND(ISNUMBER($BM$252),$B$158=1),$BM$252,HLOOKUP(INDIRECT(ADDRESS(2,COLUMN())),OFFSET($BN$2,0,0,ROW()-1,60),ROW()-1,FALSE))</f>
        <v/>
      </c>
      <c r="BN132" t="str">
        <f>""</f>
        <v/>
      </c>
      <c r="BO132" t="str">
        <f>""</f>
        <v/>
      </c>
      <c r="BP132" t="str">
        <f>""</f>
        <v/>
      </c>
      <c r="BQ132" t="str">
        <f>""</f>
        <v/>
      </c>
      <c r="BR132" t="str">
        <f>""</f>
        <v/>
      </c>
      <c r="BS132" t="str">
        <f>""</f>
        <v/>
      </c>
      <c r="BT132" t="str">
        <f>""</f>
        <v/>
      </c>
      <c r="BU132" t="str">
        <f>""</f>
        <v/>
      </c>
      <c r="BV132" t="str">
        <f>""</f>
        <v/>
      </c>
      <c r="BW132" t="str">
        <f>""</f>
        <v/>
      </c>
      <c r="BX132" t="str">
        <f>""</f>
        <v/>
      </c>
      <c r="BY132" t="str">
        <f>""</f>
        <v/>
      </c>
      <c r="BZ132" t="str">
        <f>""</f>
        <v/>
      </c>
      <c r="CA132" t="str">
        <f>""</f>
        <v/>
      </c>
      <c r="CB132" t="str">
        <f>""</f>
        <v/>
      </c>
      <c r="CC132" t="str">
        <f>""</f>
        <v/>
      </c>
      <c r="CD132" t="str">
        <f>""</f>
        <v/>
      </c>
      <c r="CE132" t="str">
        <f>""</f>
        <v/>
      </c>
      <c r="CF132" t="str">
        <f>""</f>
        <v/>
      </c>
      <c r="CG132" t="str">
        <f>""</f>
        <v/>
      </c>
      <c r="CH132" t="str">
        <f>""</f>
        <v/>
      </c>
      <c r="CI132" t="str">
        <f>""</f>
        <v/>
      </c>
      <c r="CJ132" t="str">
        <f>""</f>
        <v/>
      </c>
      <c r="CK132" t="str">
        <f>""</f>
        <v/>
      </c>
      <c r="CL132" t="str">
        <f>""</f>
        <v/>
      </c>
      <c r="CM132" t="str">
        <f>""</f>
        <v/>
      </c>
      <c r="CN132" t="str">
        <f>""</f>
        <v/>
      </c>
      <c r="CO132" t="str">
        <f>""</f>
        <v/>
      </c>
      <c r="CP132" t="str">
        <f>""</f>
        <v/>
      </c>
      <c r="CQ132" t="str">
        <f>""</f>
        <v/>
      </c>
      <c r="CR132" t="str">
        <f>""</f>
        <v/>
      </c>
      <c r="CS132" t="str">
        <f>""</f>
        <v/>
      </c>
      <c r="CT132" t="str">
        <f>""</f>
        <v/>
      </c>
      <c r="CU132" t="str">
        <f>""</f>
        <v/>
      </c>
      <c r="CV132" t="str">
        <f>""</f>
        <v/>
      </c>
      <c r="CW132" t="str">
        <f>""</f>
        <v/>
      </c>
      <c r="CX132" t="str">
        <f>""</f>
        <v/>
      </c>
      <c r="CY132" t="str">
        <f>""</f>
        <v/>
      </c>
      <c r="CZ132" t="str">
        <f>""</f>
        <v/>
      </c>
      <c r="DA132" t="str">
        <f>""</f>
        <v/>
      </c>
      <c r="DB132" t="str">
        <f>""</f>
        <v/>
      </c>
      <c r="DC132" t="str">
        <f>""</f>
        <v/>
      </c>
      <c r="DD132" t="str">
        <f>""</f>
        <v/>
      </c>
      <c r="DE132" t="str">
        <f>""</f>
        <v/>
      </c>
      <c r="DF132" t="str">
        <f>""</f>
        <v/>
      </c>
      <c r="DG132" t="str">
        <f>""</f>
        <v/>
      </c>
      <c r="DH132" t="str">
        <f>""</f>
        <v/>
      </c>
      <c r="DI132" t="str">
        <f>""</f>
        <v/>
      </c>
      <c r="DJ132" t="str">
        <f>""</f>
        <v/>
      </c>
      <c r="DK132" t="str">
        <f>""</f>
        <v/>
      </c>
      <c r="DL132" t="str">
        <f>""</f>
        <v/>
      </c>
      <c r="DM132" t="str">
        <f>""</f>
        <v/>
      </c>
      <c r="DN132" t="str">
        <f>""</f>
        <v/>
      </c>
      <c r="DO132" t="str">
        <f>""</f>
        <v/>
      </c>
      <c r="DP132" t="str">
        <f>""</f>
        <v/>
      </c>
      <c r="DQ132" t="str">
        <f>""</f>
        <v/>
      </c>
      <c r="DR132" t="str">
        <f>""</f>
        <v/>
      </c>
      <c r="DS132" t="str">
        <f>""</f>
        <v/>
      </c>
      <c r="DT132" t="str">
        <f>""</f>
        <v/>
      </c>
      <c r="DU132" t="str">
        <f>""</f>
        <v/>
      </c>
    </row>
    <row r="133" spans="1:125" x14ac:dyDescent="0.25">
      <c r="A133" t="str">
        <f>"            Recurring Operating Margin (%)"</f>
        <v xml:space="preserve">            Recurring Operating Margin (%)</v>
      </c>
      <c r="B133" t="str">
        <f t="shared" si="69"/>
        <v>KER FP Equity</v>
      </c>
      <c r="E133" t="str">
        <f>"Expression"</f>
        <v>Expression</v>
      </c>
      <c r="F133" t="str">
        <f ca="1">IF(AND($B$158=1,LEN($F$132) * LEN($F$128)&gt;0),$F$132/$F$128*100,HLOOKUP(INDIRECT(ADDRESS(2,COLUMN())),OFFSET($BN$2,0,0,ROW()-1,60),ROW()-1,FALSE))</f>
        <v/>
      </c>
      <c r="G133" t="str">
        <f ca="1">IF(AND($B$158=1,LEN($G$132) * LEN($G$128)&gt;0),$G$132/$G$128*100,HLOOKUP(INDIRECT(ADDRESS(2,COLUMN())),OFFSET($BN$2,0,0,ROW()-1,60),ROW()-1,FALSE))</f>
        <v/>
      </c>
      <c r="H133" t="str">
        <f ca="1">IF(AND($B$158=1,LEN($H$132) * LEN($H$128)&gt;0),$H$132/$H$128*100,HLOOKUP(INDIRECT(ADDRESS(2,COLUMN())),OFFSET($BN$2,0,0,ROW()-1,60),ROW()-1,FALSE))</f>
        <v/>
      </c>
      <c r="I133" t="str">
        <f ca="1">IF(AND($B$158=1,LEN($I$132) * LEN($I$128)&gt;0),$I$132/$I$128*100,HLOOKUP(INDIRECT(ADDRESS(2,COLUMN())),OFFSET($BN$2,0,0,ROW()-1,60),ROW()-1,FALSE))</f>
        <v/>
      </c>
      <c r="J133" t="str">
        <f ca="1">IF(AND($B$158=1,LEN($J$132) * LEN($J$128)&gt;0),$J$132/$J$128*100,HLOOKUP(INDIRECT(ADDRESS(2,COLUMN())),OFFSET($BN$2,0,0,ROW()-1,60),ROW()-1,FALSE))</f>
        <v/>
      </c>
      <c r="K133" t="str">
        <f ca="1">IF(AND($B$158=1,LEN($K$132) * LEN($K$128)&gt;0),$K$132/$K$128*100,HLOOKUP(INDIRECT(ADDRESS(2,COLUMN())),OFFSET($BN$2,0,0,ROW()-1,60),ROW()-1,FALSE))</f>
        <v/>
      </c>
      <c r="L133" t="str">
        <f ca="1">IF(AND($B$158=1,LEN($L$132) * LEN($L$128)&gt;0),$L$132/$L$128*100,HLOOKUP(INDIRECT(ADDRESS(2,COLUMN())),OFFSET($BN$2,0,0,ROW()-1,60),ROW()-1,FALSE))</f>
        <v/>
      </c>
      <c r="M133" t="str">
        <f ca="1">IF(AND($B$158=1,LEN($M$132) * LEN($M$128)&gt;0),$M$132/$M$128*100,HLOOKUP(INDIRECT(ADDRESS(2,COLUMN())),OFFSET($BN$2,0,0,ROW()-1,60),ROW()-1,FALSE))</f>
        <v/>
      </c>
      <c r="N133" t="str">
        <f ca="1">IF(AND($B$158=1,LEN($N$132) * LEN($N$128)&gt;0),$N$132/$N$128*100,HLOOKUP(INDIRECT(ADDRESS(2,COLUMN())),OFFSET($BN$2,0,0,ROW()-1,60),ROW()-1,FALSE))</f>
        <v/>
      </c>
      <c r="O133" t="str">
        <f ca="1">IF(AND($B$158=1,LEN($O$132) * LEN($O$128)&gt;0),$O$132/$O$128*100,HLOOKUP(INDIRECT(ADDRESS(2,COLUMN())),OFFSET($BN$2,0,0,ROW()-1,60),ROW()-1,FALSE))</f>
        <v/>
      </c>
      <c r="P133" t="str">
        <f ca="1">IF(AND($B$158=1,LEN($P$132) * LEN($P$128)&gt;0),$P$132/$P$128*100,HLOOKUP(INDIRECT(ADDRESS(2,COLUMN())),OFFSET($BN$2,0,0,ROW()-1,60),ROW()-1,FALSE))</f>
        <v/>
      </c>
      <c r="Q133" t="str">
        <f ca="1">IF(AND($B$158=1,LEN($Q$132) * LEN($Q$128)&gt;0),$Q$132/$Q$128*100,HLOOKUP(INDIRECT(ADDRESS(2,COLUMN())),OFFSET($BN$2,0,0,ROW()-1,60),ROW()-1,FALSE))</f>
        <v/>
      </c>
      <c r="R133" t="str">
        <f ca="1">IF(AND($B$158=1,LEN($R$132) * LEN($R$128)&gt;0),$R$132/$R$128*100,HLOOKUP(INDIRECT(ADDRESS(2,COLUMN())),OFFSET($BN$2,0,0,ROW()-1,60),ROW()-1,FALSE))</f>
        <v/>
      </c>
      <c r="S133" t="str">
        <f ca="1">IF(AND($B$158=1,LEN($S$132) * LEN($S$128)&gt;0),$S$132/$S$128*100,HLOOKUP(INDIRECT(ADDRESS(2,COLUMN())),OFFSET($BN$2,0,0,ROW()-1,60),ROW()-1,FALSE))</f>
        <v/>
      </c>
      <c r="T133" t="str">
        <f ca="1">IF(AND($B$158=1,LEN($T$132) * LEN($T$128)&gt;0),$T$132/$T$128*100,HLOOKUP(INDIRECT(ADDRESS(2,COLUMN())),OFFSET($BN$2,0,0,ROW()-1,60),ROW()-1,FALSE))</f>
        <v/>
      </c>
      <c r="U133" t="str">
        <f ca="1">IF(AND($B$158=1,LEN($U$132) * LEN($U$128)&gt;0),$U$132/$U$128*100,HLOOKUP(INDIRECT(ADDRESS(2,COLUMN())),OFFSET($BN$2,0,0,ROW()-1,60),ROW()-1,FALSE))</f>
        <v/>
      </c>
      <c r="V133" t="str">
        <f ca="1">IF(AND($B$158=1,LEN($V$132) * LEN($V$128)&gt;0),$V$132/$V$128*100,HLOOKUP(INDIRECT(ADDRESS(2,COLUMN())),OFFSET($BN$2,0,0,ROW()-1,60),ROW()-1,FALSE))</f>
        <v/>
      </c>
      <c r="W133" t="str">
        <f ca="1">IF(AND($B$158=1,LEN($W$132) * LEN($W$128)&gt;0),$W$132/$W$128*100,HLOOKUP(INDIRECT(ADDRESS(2,COLUMN())),OFFSET($BN$2,0,0,ROW()-1,60),ROW()-1,FALSE))</f>
        <v/>
      </c>
      <c r="X133" t="str">
        <f ca="1">IF(AND($B$158=1,LEN($X$132) * LEN($X$128)&gt;0),$X$132/$X$128*100,HLOOKUP(INDIRECT(ADDRESS(2,COLUMN())),OFFSET($BN$2,0,0,ROW()-1,60),ROW()-1,FALSE))</f>
        <v/>
      </c>
      <c r="Y133" t="str">
        <f ca="1">IF(AND($B$158=1,LEN($Y$132) * LEN($Y$128)&gt;0),$Y$132/$Y$128*100,HLOOKUP(INDIRECT(ADDRESS(2,COLUMN())),OFFSET($BN$2,0,0,ROW()-1,60),ROW()-1,FALSE))</f>
        <v/>
      </c>
      <c r="Z133" t="str">
        <f ca="1">IF(AND($B$158=1,LEN($Z$132) * LEN($Z$128)&gt;0),$Z$132/$Z$128*100,HLOOKUP(INDIRECT(ADDRESS(2,COLUMN())),OFFSET($BN$2,0,0,ROW()-1,60),ROW()-1,FALSE))</f>
        <v/>
      </c>
      <c r="AA133" t="str">
        <f ca="1">IF(AND($B$158=1,LEN($AA$132) * LEN($AA$128)&gt;0),$AA$132/$AA$128*100,HLOOKUP(INDIRECT(ADDRESS(2,COLUMN())),OFFSET($BN$2,0,0,ROW()-1,60),ROW()-1,FALSE))</f>
        <v/>
      </c>
      <c r="AB133" t="str">
        <f ca="1">IF(AND($B$158=1,LEN($AB$132) * LEN($AB$128)&gt;0),$AB$132/$AB$128*100,HLOOKUP(INDIRECT(ADDRESS(2,COLUMN())),OFFSET($BN$2,0,0,ROW()-1,60),ROW()-1,FALSE))</f>
        <v/>
      </c>
      <c r="AC133" t="str">
        <f ca="1">IF(AND($B$158=1,LEN($AC$132) * LEN($AC$128)&gt;0),$AC$132/$AC$128*100,HLOOKUP(INDIRECT(ADDRESS(2,COLUMN())),OFFSET($BN$2,0,0,ROW()-1,60),ROW()-1,FALSE))</f>
        <v/>
      </c>
      <c r="AD133" t="str">
        <f ca="1">IF(AND($B$158=1,LEN($AD$132) * LEN($AD$128)&gt;0),$AD$132/$AD$128*100,HLOOKUP(INDIRECT(ADDRESS(2,COLUMN())),OFFSET($BN$2,0,0,ROW()-1,60),ROW()-1,FALSE))</f>
        <v/>
      </c>
      <c r="AE133" t="str">
        <f ca="1">IF(AND($B$158=1,LEN($AE$132) * LEN($AE$128)&gt;0),$AE$132/$AE$128*100,HLOOKUP(INDIRECT(ADDRESS(2,COLUMN())),OFFSET($BN$2,0,0,ROW()-1,60),ROW()-1,FALSE))</f>
        <v/>
      </c>
      <c r="AF133" t="str">
        <f ca="1">IF(AND($B$158=1,LEN($AF$132) * LEN($AF$128)&gt;0),$AF$132/$AF$128*100,HLOOKUP(INDIRECT(ADDRESS(2,COLUMN())),OFFSET($BN$2,0,0,ROW()-1,60),ROW()-1,FALSE))</f>
        <v/>
      </c>
      <c r="AG133" t="str">
        <f ca="1">IF(AND($B$158=1,LEN($AG$132) * LEN($AG$128)&gt;0),$AG$132/$AG$128*100,HLOOKUP(INDIRECT(ADDRESS(2,COLUMN())),OFFSET($BN$2,0,0,ROW()-1,60),ROW()-1,FALSE))</f>
        <v/>
      </c>
      <c r="AH133" t="str">
        <f ca="1">IF(AND($B$158=1,LEN($AH$132) * LEN($AH$128)&gt;0),$AH$132/$AH$128*100,HLOOKUP(INDIRECT(ADDRESS(2,COLUMN())),OFFSET($BN$2,0,0,ROW()-1,60),ROW()-1,FALSE))</f>
        <v/>
      </c>
      <c r="AI133" t="str">
        <f ca="1">IF(AND($B$158=1,LEN($AI$132) * LEN($AI$128)&gt;0),$AI$132/$AI$128*100,HLOOKUP(INDIRECT(ADDRESS(2,COLUMN())),OFFSET($BN$2,0,0,ROW()-1,60),ROW()-1,FALSE))</f>
        <v/>
      </c>
      <c r="AJ133" t="str">
        <f ca="1">IF(AND($B$158=1,LEN($AJ$132) * LEN($AJ$128)&gt;0),$AJ$132/$AJ$128*100,HLOOKUP(INDIRECT(ADDRESS(2,COLUMN())),OFFSET($BN$2,0,0,ROW()-1,60),ROW()-1,FALSE))</f>
        <v/>
      </c>
      <c r="AK133" t="str">
        <f ca="1">IF(AND($B$158=1,LEN($AK$132) * LEN($AK$128)&gt;0),$AK$132/$AK$128*100,HLOOKUP(INDIRECT(ADDRESS(2,COLUMN())),OFFSET($BN$2,0,0,ROW()-1,60),ROW()-1,FALSE))</f>
        <v/>
      </c>
      <c r="AL133" t="str">
        <f ca="1">IF(AND($B$158=1,LEN($AL$132) * LEN($AL$128)&gt;0),$AL$132/$AL$128*100,HLOOKUP(INDIRECT(ADDRESS(2,COLUMN())),OFFSET($BN$2,0,0,ROW()-1,60),ROW()-1,FALSE))</f>
        <v/>
      </c>
      <c r="AM133" t="str">
        <f ca="1">IF(AND($B$158=1,LEN($AM$132) * LEN($AM$128)&gt;0),$AM$132/$AM$128*100,HLOOKUP(INDIRECT(ADDRESS(2,COLUMN())),OFFSET($BN$2,0,0,ROW()-1,60),ROW()-1,FALSE))</f>
        <v/>
      </c>
      <c r="AN133" t="str">
        <f ca="1">IF(AND($B$158=1,LEN($AN$132) * LEN($AN$128)&gt;0),$AN$132/$AN$128*100,HLOOKUP(INDIRECT(ADDRESS(2,COLUMN())),OFFSET($BN$2,0,0,ROW()-1,60),ROW()-1,FALSE))</f>
        <v/>
      </c>
      <c r="AO133" t="str">
        <f ca="1">IF(AND($B$158=1,LEN($AO$132) * LEN($AO$128)&gt;0),$AO$132/$AO$128*100,HLOOKUP(INDIRECT(ADDRESS(2,COLUMN())),OFFSET($BN$2,0,0,ROW()-1,60),ROW()-1,FALSE))</f>
        <v/>
      </c>
      <c r="AP133" t="str">
        <f ca="1">IF(AND($B$158=1,LEN($AP$132) * LEN($AP$128)&gt;0),$AP$132/$AP$128*100,HLOOKUP(INDIRECT(ADDRESS(2,COLUMN())),OFFSET($BN$2,0,0,ROW()-1,60),ROW()-1,FALSE))</f>
        <v/>
      </c>
      <c r="AQ133" t="str">
        <f ca="1">IF(AND($B$158=1,LEN($AQ$132) * LEN($AQ$128)&gt;0),$AQ$132/$AQ$128*100,HLOOKUP(INDIRECT(ADDRESS(2,COLUMN())),OFFSET($BN$2,0,0,ROW()-1,60),ROW()-1,FALSE))</f>
        <v/>
      </c>
      <c r="AR133" t="str">
        <f ca="1">IF(AND($B$158=1,LEN($AR$132) * LEN($AR$128)&gt;0),$AR$132/$AR$128*100,HLOOKUP(INDIRECT(ADDRESS(2,COLUMN())),OFFSET($BN$2,0,0,ROW()-1,60),ROW()-1,FALSE))</f>
        <v/>
      </c>
      <c r="AS133" t="str">
        <f ca="1">IF(AND($B$158=1,LEN($AS$132) * LEN($AS$128)&gt;0),$AS$132/$AS$128*100,HLOOKUP(INDIRECT(ADDRESS(2,COLUMN())),OFFSET($BN$2,0,0,ROW()-1,60),ROW()-1,FALSE))</f>
        <v/>
      </c>
      <c r="AT133" t="str">
        <f ca="1">IF(AND($B$158=1,LEN($AT$132) * LEN($AT$128)&gt;0),$AT$132/$AT$128*100,HLOOKUP(INDIRECT(ADDRESS(2,COLUMN())),OFFSET($BN$2,0,0,ROW()-1,60),ROW()-1,FALSE))</f>
        <v/>
      </c>
      <c r="AU133" t="str">
        <f ca="1">IF(AND($B$158=1,LEN($AU$132) * LEN($AU$128)&gt;0),$AU$132/$AU$128*100,HLOOKUP(INDIRECT(ADDRESS(2,COLUMN())),OFFSET($BN$2,0,0,ROW()-1,60),ROW()-1,FALSE))</f>
        <v/>
      </c>
      <c r="AV133" t="str">
        <f ca="1">IF(AND($B$158=1,LEN($AV$132) * LEN($AV$128)&gt;0),$AV$132/$AV$128*100,HLOOKUP(INDIRECT(ADDRESS(2,COLUMN())),OFFSET($BN$2,0,0,ROW()-1,60),ROW()-1,FALSE))</f>
        <v/>
      </c>
      <c r="AW133" t="str">
        <f ca="1">IF(AND($B$158=1,LEN($AW$132) * LEN($AW$128)&gt;0),$AW$132/$AW$128*100,HLOOKUP(INDIRECT(ADDRESS(2,COLUMN())),OFFSET($BN$2,0,0,ROW()-1,60),ROW()-1,FALSE))</f>
        <v/>
      </c>
      <c r="AX133" t="str">
        <f ca="1">IF(AND($B$158=1,LEN($AX$132) * LEN($AX$128)&gt;0),$AX$132/$AX$128*100,HLOOKUP(INDIRECT(ADDRESS(2,COLUMN())),OFFSET($BN$2,0,0,ROW()-1,60),ROW()-1,FALSE))</f>
        <v/>
      </c>
      <c r="AY133" t="str">
        <f ca="1">IF(AND($B$158=1,LEN($AY$132) * LEN($AY$128)&gt;0),$AY$132/$AY$128*100,HLOOKUP(INDIRECT(ADDRESS(2,COLUMN())),OFFSET($BN$2,0,0,ROW()-1,60),ROW()-1,FALSE))</f>
        <v/>
      </c>
      <c r="AZ133" t="str">
        <f ca="1">IF(AND($B$158=1,LEN($AZ$132) * LEN($AZ$128)&gt;0),$AZ$132/$AZ$128*100,HLOOKUP(INDIRECT(ADDRESS(2,COLUMN())),OFFSET($BN$2,0,0,ROW()-1,60),ROW()-1,FALSE))</f>
        <v/>
      </c>
      <c r="BA133" t="str">
        <f ca="1">IF(AND($B$158=1,LEN($BA$132) * LEN($BA$128)&gt;0),$BA$132/$BA$128*100,HLOOKUP(INDIRECT(ADDRESS(2,COLUMN())),OFFSET($BN$2,0,0,ROW()-1,60),ROW()-1,FALSE))</f>
        <v/>
      </c>
      <c r="BB133" t="str">
        <f ca="1">IF(AND($B$158=1,LEN($BB$132) * LEN($BB$128)&gt;0),$BB$132/$BB$128*100,HLOOKUP(INDIRECT(ADDRESS(2,COLUMN())),OFFSET($BN$2,0,0,ROW()-1,60),ROW()-1,FALSE))</f>
        <v/>
      </c>
      <c r="BC133" t="str">
        <f ca="1">IF(AND($B$158=1,LEN($BC$132) * LEN($BC$128)&gt;0),$BC$132/$BC$128*100,HLOOKUP(INDIRECT(ADDRESS(2,COLUMN())),OFFSET($BN$2,0,0,ROW()-1,60),ROW()-1,FALSE))</f>
        <v/>
      </c>
      <c r="BD133" t="str">
        <f ca="1">IF(AND($B$158=1,LEN($BD$132) * LEN($BD$128)&gt;0),$BD$132/$BD$128*100,HLOOKUP(INDIRECT(ADDRESS(2,COLUMN())),OFFSET($BN$2,0,0,ROW()-1,60),ROW()-1,FALSE))</f>
        <v/>
      </c>
      <c r="BE133" t="str">
        <f ca="1">IF(AND($B$158=1,LEN($BE$132) * LEN($BE$128)&gt;0),$BE$132/$BE$128*100,HLOOKUP(INDIRECT(ADDRESS(2,COLUMN())),OFFSET($BN$2,0,0,ROW()-1,60),ROW()-1,FALSE))</f>
        <v/>
      </c>
      <c r="BF133" t="str">
        <f ca="1">IF(AND($B$158=1,LEN($BF$132) * LEN($BF$128)&gt;0),$BF$132/$BF$128*100,HLOOKUP(INDIRECT(ADDRESS(2,COLUMN())),OFFSET($BN$2,0,0,ROW()-1,60),ROW()-1,FALSE))</f>
        <v/>
      </c>
      <c r="BG133" t="str">
        <f ca="1">IF(AND($B$158=1,LEN($BG$132) * LEN($BG$128)&gt;0),$BG$132/$BG$128*100,HLOOKUP(INDIRECT(ADDRESS(2,COLUMN())),OFFSET($BN$2,0,0,ROW()-1,60),ROW()-1,FALSE))</f>
        <v/>
      </c>
      <c r="BH133" t="str">
        <f ca="1">IF(AND($B$158=1,LEN($BH$132) * LEN($BH$128)&gt;0),$BH$132/$BH$128*100,HLOOKUP(INDIRECT(ADDRESS(2,COLUMN())),OFFSET($BN$2,0,0,ROW()-1,60),ROW()-1,FALSE))</f>
        <v/>
      </c>
      <c r="BI133" t="str">
        <f ca="1">IF(AND($B$158=1,LEN($BI$132) * LEN($BI$128)&gt;0),$BI$132/$BI$128*100,HLOOKUP(INDIRECT(ADDRESS(2,COLUMN())),OFFSET($BN$2,0,0,ROW()-1,60),ROW()-1,FALSE))</f>
        <v/>
      </c>
      <c r="BJ133" t="str">
        <f ca="1">IF(AND($B$158=1,LEN($BJ$132) * LEN($BJ$128)&gt;0),$BJ$132/$BJ$128*100,HLOOKUP(INDIRECT(ADDRESS(2,COLUMN())),OFFSET($BN$2,0,0,ROW()-1,60),ROW()-1,FALSE))</f>
        <v/>
      </c>
      <c r="BK133" t="str">
        <f ca="1">IF(AND($B$158=1,LEN($BK$132) * LEN($BK$128)&gt;0),$BK$132/$BK$128*100,HLOOKUP(INDIRECT(ADDRESS(2,COLUMN())),OFFSET($BN$2,0,0,ROW()-1,60),ROW()-1,FALSE))</f>
        <v/>
      </c>
      <c r="BL133" t="str">
        <f ca="1">IF(AND($B$158=1,LEN($BL$132) * LEN($BL$128)&gt;0),$BL$132/$BL$128*100,HLOOKUP(INDIRECT(ADDRESS(2,COLUMN())),OFFSET($BN$2,0,0,ROW()-1,60),ROW()-1,FALSE))</f>
        <v/>
      </c>
      <c r="BM133" t="str">
        <f ca="1">IF(AND($B$158=1,LEN($BM$132) * LEN($BM$128)&gt;0),$BM$132/$BM$128*100,HLOOKUP(INDIRECT(ADDRESS(2,COLUMN())),OFFSET($BN$2,0,0,ROW()-1,60),ROW()-1,FALSE))</f>
        <v/>
      </c>
      <c r="BN133" t="str">
        <f>""</f>
        <v/>
      </c>
      <c r="BO133" t="str">
        <f>""</f>
        <v/>
      </c>
      <c r="BP133" t="str">
        <f>""</f>
        <v/>
      </c>
      <c r="BQ133" t="str">
        <f>""</f>
        <v/>
      </c>
      <c r="BR133" t="str">
        <f>""</f>
        <v/>
      </c>
      <c r="BS133" t="str">
        <f>""</f>
        <v/>
      </c>
      <c r="BT133" t="str">
        <f>""</f>
        <v/>
      </c>
      <c r="BU133" t="str">
        <f>""</f>
        <v/>
      </c>
      <c r="BV133" t="str">
        <f>""</f>
        <v/>
      </c>
      <c r="BW133" t="str">
        <f>""</f>
        <v/>
      </c>
      <c r="BX133" t="str">
        <f>""</f>
        <v/>
      </c>
      <c r="BY133" t="str">
        <f>""</f>
        <v/>
      </c>
      <c r="BZ133" t="str">
        <f>""</f>
        <v/>
      </c>
      <c r="CA133" t="str">
        <f>""</f>
        <v/>
      </c>
      <c r="CB133" t="str">
        <f>""</f>
        <v/>
      </c>
      <c r="CC133" t="str">
        <f>""</f>
        <v/>
      </c>
      <c r="CD133" t="str">
        <f>""</f>
        <v/>
      </c>
      <c r="CE133" t="str">
        <f>""</f>
        <v/>
      </c>
      <c r="CF133" t="str">
        <f>""</f>
        <v/>
      </c>
      <c r="CG133" t="str">
        <f>""</f>
        <v/>
      </c>
      <c r="CH133" t="str">
        <f>""</f>
        <v/>
      </c>
      <c r="CI133" t="str">
        <f>""</f>
        <v/>
      </c>
      <c r="CJ133" t="str">
        <f>""</f>
        <v/>
      </c>
      <c r="CK133" t="str">
        <f>""</f>
        <v/>
      </c>
      <c r="CL133" t="str">
        <f>""</f>
        <v/>
      </c>
      <c r="CM133" t="str">
        <f>""</f>
        <v/>
      </c>
      <c r="CN133" t="str">
        <f>""</f>
        <v/>
      </c>
      <c r="CO133" t="str">
        <f>""</f>
        <v/>
      </c>
      <c r="CP133" t="str">
        <f>""</f>
        <v/>
      </c>
      <c r="CQ133" t="str">
        <f>""</f>
        <v/>
      </c>
      <c r="CR133" t="str">
        <f>""</f>
        <v/>
      </c>
      <c r="CS133" t="str">
        <f>""</f>
        <v/>
      </c>
      <c r="CT133" t="str">
        <f>""</f>
        <v/>
      </c>
      <c r="CU133" t="str">
        <f>""</f>
        <v/>
      </c>
      <c r="CV133" t="str">
        <f>""</f>
        <v/>
      </c>
      <c r="CW133" t="str">
        <f>""</f>
        <v/>
      </c>
      <c r="CX133" t="str">
        <f>""</f>
        <v/>
      </c>
      <c r="CY133" t="str">
        <f>""</f>
        <v/>
      </c>
      <c r="CZ133" t="str">
        <f>""</f>
        <v/>
      </c>
      <c r="DA133" t="str">
        <f>""</f>
        <v/>
      </c>
      <c r="DB133" t="str">
        <f>""</f>
        <v/>
      </c>
      <c r="DC133" t="str">
        <f>""</f>
        <v/>
      </c>
      <c r="DD133" t="str">
        <f>""</f>
        <v/>
      </c>
      <c r="DE133" t="str">
        <f>""</f>
        <v/>
      </c>
      <c r="DF133" t="str">
        <f>""</f>
        <v/>
      </c>
      <c r="DG133" t="str">
        <f>""</f>
        <v/>
      </c>
      <c r="DH133" t="str">
        <f>""</f>
        <v/>
      </c>
      <c r="DI133" t="str">
        <f>""</f>
        <v/>
      </c>
      <c r="DJ133" t="str">
        <f>""</f>
        <v/>
      </c>
      <c r="DK133" t="str">
        <f>""</f>
        <v/>
      </c>
      <c r="DL133" t="str">
        <f>""</f>
        <v/>
      </c>
      <c r="DM133" t="str">
        <f>""</f>
        <v/>
      </c>
      <c r="DN133" t="str">
        <f>""</f>
        <v/>
      </c>
      <c r="DO133" t="str">
        <f>""</f>
        <v/>
      </c>
      <c r="DP133" t="str">
        <f>""</f>
        <v/>
      </c>
      <c r="DQ133" t="str">
        <f>""</f>
        <v/>
      </c>
      <c r="DR133" t="str">
        <f>""</f>
        <v/>
      </c>
      <c r="DS133" t="str">
        <f>""</f>
        <v/>
      </c>
      <c r="DT133" t="str">
        <f>""</f>
        <v/>
      </c>
      <c r="DU133" t="str">
        <f>""</f>
        <v/>
      </c>
    </row>
    <row r="134" spans="1:125" x14ac:dyDescent="0.25">
      <c r="A134" t="str">
        <f>""</f>
        <v/>
      </c>
      <c r="B134" t="str">
        <f>""</f>
        <v/>
      </c>
      <c r="E134" t="str">
        <f>"Static"</f>
        <v>Static</v>
      </c>
      <c r="F134" t="str">
        <f t="shared" ref="F134:AK134" ca="1" si="70">HLOOKUP(INDIRECT(ADDRESS(2,COLUMN())),OFFSET($BN$2,0,0,ROW()-1,60),ROW()-1,FALSE)</f>
        <v/>
      </c>
      <c r="G134" t="str">
        <f t="shared" ca="1" si="70"/>
        <v/>
      </c>
      <c r="H134" t="str">
        <f t="shared" ca="1" si="70"/>
        <v/>
      </c>
      <c r="I134" t="str">
        <f t="shared" ca="1" si="70"/>
        <v/>
      </c>
      <c r="J134" t="str">
        <f t="shared" ca="1" si="70"/>
        <v/>
      </c>
      <c r="K134" t="str">
        <f t="shared" ca="1" si="70"/>
        <v/>
      </c>
      <c r="L134" t="str">
        <f t="shared" ca="1" si="70"/>
        <v/>
      </c>
      <c r="M134" t="str">
        <f t="shared" ca="1" si="70"/>
        <v/>
      </c>
      <c r="N134" t="str">
        <f t="shared" ca="1" si="70"/>
        <v/>
      </c>
      <c r="O134" t="str">
        <f t="shared" ca="1" si="70"/>
        <v/>
      </c>
      <c r="P134" t="str">
        <f t="shared" ca="1" si="70"/>
        <v/>
      </c>
      <c r="Q134" t="str">
        <f t="shared" ca="1" si="70"/>
        <v/>
      </c>
      <c r="R134" t="str">
        <f t="shared" ca="1" si="70"/>
        <v/>
      </c>
      <c r="S134" t="str">
        <f t="shared" ca="1" si="70"/>
        <v/>
      </c>
      <c r="T134" t="str">
        <f t="shared" ca="1" si="70"/>
        <v/>
      </c>
      <c r="U134" t="str">
        <f t="shared" ca="1" si="70"/>
        <v/>
      </c>
      <c r="V134" t="str">
        <f t="shared" ca="1" si="70"/>
        <v/>
      </c>
      <c r="W134" t="str">
        <f t="shared" ca="1" si="70"/>
        <v/>
      </c>
      <c r="X134" t="str">
        <f t="shared" ca="1" si="70"/>
        <v/>
      </c>
      <c r="Y134" t="str">
        <f t="shared" ca="1" si="70"/>
        <v/>
      </c>
      <c r="Z134" t="str">
        <f t="shared" ca="1" si="70"/>
        <v/>
      </c>
      <c r="AA134" t="str">
        <f t="shared" ca="1" si="70"/>
        <v/>
      </c>
      <c r="AB134" t="str">
        <f t="shared" ca="1" si="70"/>
        <v/>
      </c>
      <c r="AC134" t="str">
        <f t="shared" ca="1" si="70"/>
        <v/>
      </c>
      <c r="AD134" t="str">
        <f t="shared" ca="1" si="70"/>
        <v/>
      </c>
      <c r="AE134" t="str">
        <f t="shared" ca="1" si="70"/>
        <v/>
      </c>
      <c r="AF134" t="str">
        <f t="shared" ca="1" si="70"/>
        <v/>
      </c>
      <c r="AG134" t="str">
        <f t="shared" ca="1" si="70"/>
        <v/>
      </c>
      <c r="AH134" t="str">
        <f t="shared" ca="1" si="70"/>
        <v/>
      </c>
      <c r="AI134" t="str">
        <f t="shared" ca="1" si="70"/>
        <v/>
      </c>
      <c r="AJ134" t="str">
        <f t="shared" ca="1" si="70"/>
        <v/>
      </c>
      <c r="AK134" t="str">
        <f t="shared" ca="1" si="70"/>
        <v/>
      </c>
      <c r="AL134" t="str">
        <f t="shared" ref="AL134:BM134" ca="1" si="71">HLOOKUP(INDIRECT(ADDRESS(2,COLUMN())),OFFSET($BN$2,0,0,ROW()-1,60),ROW()-1,FALSE)</f>
        <v/>
      </c>
      <c r="AM134" t="str">
        <f t="shared" ca="1" si="71"/>
        <v/>
      </c>
      <c r="AN134" t="str">
        <f t="shared" ca="1" si="71"/>
        <v/>
      </c>
      <c r="AO134" t="str">
        <f t="shared" ca="1" si="71"/>
        <v/>
      </c>
      <c r="AP134" t="str">
        <f t="shared" ca="1" si="71"/>
        <v/>
      </c>
      <c r="AQ134" t="str">
        <f t="shared" ca="1" si="71"/>
        <v/>
      </c>
      <c r="AR134" t="str">
        <f t="shared" ca="1" si="71"/>
        <v/>
      </c>
      <c r="AS134" t="str">
        <f t="shared" ca="1" si="71"/>
        <v/>
      </c>
      <c r="AT134" t="str">
        <f t="shared" ca="1" si="71"/>
        <v/>
      </c>
      <c r="AU134" t="str">
        <f t="shared" ca="1" si="71"/>
        <v/>
      </c>
      <c r="AV134" t="str">
        <f t="shared" ca="1" si="71"/>
        <v/>
      </c>
      <c r="AW134" t="str">
        <f t="shared" ca="1" si="71"/>
        <v/>
      </c>
      <c r="AX134" t="str">
        <f t="shared" ca="1" si="71"/>
        <v/>
      </c>
      <c r="AY134" t="str">
        <f t="shared" ca="1" si="71"/>
        <v/>
      </c>
      <c r="AZ134" t="str">
        <f t="shared" ca="1" si="71"/>
        <v/>
      </c>
      <c r="BA134" t="str">
        <f t="shared" ca="1" si="71"/>
        <v/>
      </c>
      <c r="BB134" t="str">
        <f t="shared" ca="1" si="71"/>
        <v/>
      </c>
      <c r="BC134" t="str">
        <f t="shared" ca="1" si="71"/>
        <v/>
      </c>
      <c r="BD134" t="str">
        <f t="shared" ca="1" si="71"/>
        <v/>
      </c>
      <c r="BE134" t="str">
        <f t="shared" ca="1" si="71"/>
        <v/>
      </c>
      <c r="BF134" t="str">
        <f t="shared" ca="1" si="71"/>
        <v/>
      </c>
      <c r="BG134" t="str">
        <f t="shared" ca="1" si="71"/>
        <v/>
      </c>
      <c r="BH134" t="str">
        <f t="shared" ca="1" si="71"/>
        <v/>
      </c>
      <c r="BI134" t="str">
        <f t="shared" ca="1" si="71"/>
        <v/>
      </c>
      <c r="BJ134" t="str">
        <f t="shared" ca="1" si="71"/>
        <v/>
      </c>
      <c r="BK134" t="str">
        <f t="shared" ca="1" si="71"/>
        <v/>
      </c>
      <c r="BL134" t="str">
        <f t="shared" ca="1" si="71"/>
        <v/>
      </c>
      <c r="BM134" t="str">
        <f t="shared" ca="1" si="71"/>
        <v/>
      </c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  <c r="BT134" t="str">
        <f>""</f>
        <v/>
      </c>
      <c r="BU134" t="str">
        <f>""</f>
        <v/>
      </c>
      <c r="BV134" t="str">
        <f>""</f>
        <v/>
      </c>
      <c r="BW134" t="str">
        <f>""</f>
        <v/>
      </c>
      <c r="BX134" t="str">
        <f>""</f>
        <v/>
      </c>
      <c r="BY134" t="str">
        <f>""</f>
        <v/>
      </c>
      <c r="BZ134" t="str">
        <f>""</f>
        <v/>
      </c>
      <c r="CA134" t="str">
        <f>""</f>
        <v/>
      </c>
      <c r="CB134" t="str">
        <f>""</f>
        <v/>
      </c>
      <c r="CC134" t="str">
        <f>""</f>
        <v/>
      </c>
      <c r="CD134" t="str">
        <f>""</f>
        <v/>
      </c>
      <c r="CE134" t="str">
        <f>""</f>
        <v/>
      </c>
      <c r="CF134" t="str">
        <f>""</f>
        <v/>
      </c>
      <c r="CG134" t="str">
        <f>""</f>
        <v/>
      </c>
      <c r="CH134" t="str">
        <f>""</f>
        <v/>
      </c>
      <c r="CI134" t="str">
        <f>""</f>
        <v/>
      </c>
      <c r="CJ134" t="str">
        <f>""</f>
        <v/>
      </c>
      <c r="CK134" t="str">
        <f>""</f>
        <v/>
      </c>
      <c r="CL134" t="str">
        <f>""</f>
        <v/>
      </c>
      <c r="CM134" t="str">
        <f>""</f>
        <v/>
      </c>
      <c r="CN134" t="str">
        <f>""</f>
        <v/>
      </c>
      <c r="CO134" t="str">
        <f>""</f>
        <v/>
      </c>
      <c r="CP134" t="str">
        <f>""</f>
        <v/>
      </c>
      <c r="CQ134" t="str">
        <f>""</f>
        <v/>
      </c>
      <c r="CR134" t="str">
        <f>""</f>
        <v/>
      </c>
      <c r="CS134" t="str">
        <f>""</f>
        <v/>
      </c>
      <c r="CT134" t="str">
        <f>""</f>
        <v/>
      </c>
      <c r="CU134" t="str">
        <f>""</f>
        <v/>
      </c>
      <c r="CV134" t="str">
        <f>""</f>
        <v/>
      </c>
      <c r="CW134" t="str">
        <f>""</f>
        <v/>
      </c>
      <c r="CX134" t="str">
        <f>""</f>
        <v/>
      </c>
      <c r="CY134" t="str">
        <f>""</f>
        <v/>
      </c>
      <c r="CZ134" t="str">
        <f>""</f>
        <v/>
      </c>
      <c r="DA134" t="str">
        <f>""</f>
        <v/>
      </c>
      <c r="DB134" t="str">
        <f>""</f>
        <v/>
      </c>
      <c r="DC134" t="str">
        <f>""</f>
        <v/>
      </c>
      <c r="DD134" t="str">
        <f>""</f>
        <v/>
      </c>
      <c r="DE134" t="str">
        <f>""</f>
        <v/>
      </c>
      <c r="DF134" t="str">
        <f>""</f>
        <v/>
      </c>
      <c r="DG134" t="str">
        <f>""</f>
        <v/>
      </c>
      <c r="DH134" t="str">
        <f>""</f>
        <v/>
      </c>
      <c r="DI134" t="str">
        <f>""</f>
        <v/>
      </c>
      <c r="DJ134" t="str">
        <f>""</f>
        <v/>
      </c>
      <c r="DK134" t="str">
        <f>""</f>
        <v/>
      </c>
      <c r="DL134" t="str">
        <f>""</f>
        <v/>
      </c>
      <c r="DM134" t="str">
        <f>""</f>
        <v/>
      </c>
      <c r="DN134" t="str">
        <f>""</f>
        <v/>
      </c>
      <c r="DO134" t="str">
        <f>""</f>
        <v/>
      </c>
      <c r="DP134" t="str">
        <f>""</f>
        <v/>
      </c>
      <c r="DQ134" t="str">
        <f>""</f>
        <v/>
      </c>
      <c r="DR134" t="str">
        <f>""</f>
        <v/>
      </c>
      <c r="DS134" t="str">
        <f>""</f>
        <v/>
      </c>
      <c r="DT134" t="str">
        <f>""</f>
        <v/>
      </c>
      <c r="DU134" t="str">
        <f>""</f>
        <v/>
      </c>
    </row>
    <row r="135" spans="1:125" x14ac:dyDescent="0.25">
      <c r="A135" t="str">
        <f>"Income Statement"</f>
        <v>Income Statement</v>
      </c>
      <c r="B135" t="str">
        <f>""</f>
        <v/>
      </c>
      <c r="E135" t="str">
        <f>"Heading"</f>
        <v>Heading</v>
      </c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 t="str">
        <f>""</f>
        <v/>
      </c>
      <c r="BS135" t="str">
        <f>""</f>
        <v/>
      </c>
      <c r="BT135" t="str">
        <f>""</f>
        <v/>
      </c>
      <c r="BU135" t="str">
        <f>""</f>
        <v/>
      </c>
      <c r="BV135" t="str">
        <f>""</f>
        <v/>
      </c>
      <c r="BW135" t="str">
        <f>""</f>
        <v/>
      </c>
      <c r="BX135" t="str">
        <f>""</f>
        <v/>
      </c>
      <c r="BY135" t="str">
        <f>""</f>
        <v/>
      </c>
      <c r="BZ135" t="str">
        <f>""</f>
        <v/>
      </c>
      <c r="CA135" t="str">
        <f>""</f>
        <v/>
      </c>
      <c r="CB135" t="str">
        <f>""</f>
        <v/>
      </c>
      <c r="CC135" t="str">
        <f>""</f>
        <v/>
      </c>
      <c r="CD135" t="str">
        <f>""</f>
        <v/>
      </c>
      <c r="CE135" t="str">
        <f>""</f>
        <v/>
      </c>
      <c r="CF135" t="str">
        <f>""</f>
        <v/>
      </c>
      <c r="CG135" t="str">
        <f>""</f>
        <v/>
      </c>
      <c r="CH135" t="str">
        <f>""</f>
        <v/>
      </c>
      <c r="CI135" t="str">
        <f>""</f>
        <v/>
      </c>
      <c r="CJ135" t="str">
        <f>""</f>
        <v/>
      </c>
      <c r="CK135" t="str">
        <f>""</f>
        <v/>
      </c>
      <c r="CL135" t="str">
        <f>""</f>
        <v/>
      </c>
      <c r="CM135" t="str">
        <f>""</f>
        <v/>
      </c>
      <c r="CN135" t="str">
        <f>""</f>
        <v/>
      </c>
      <c r="CO135" t="str">
        <f>""</f>
        <v/>
      </c>
      <c r="CP135" t="str">
        <f>""</f>
        <v/>
      </c>
      <c r="CQ135" t="str">
        <f>""</f>
        <v/>
      </c>
      <c r="CR135" t="str">
        <f>""</f>
        <v/>
      </c>
      <c r="CS135" t="str">
        <f>""</f>
        <v/>
      </c>
      <c r="CT135" t="str">
        <f>""</f>
        <v/>
      </c>
      <c r="CU135" t="str">
        <f>""</f>
        <v/>
      </c>
      <c r="CV135" t="str">
        <f>""</f>
        <v/>
      </c>
      <c r="CW135" t="str">
        <f>""</f>
        <v/>
      </c>
      <c r="CX135" t="str">
        <f>""</f>
        <v/>
      </c>
      <c r="CY135" t="str">
        <f>""</f>
        <v/>
      </c>
      <c r="CZ135" t="str">
        <f>""</f>
        <v/>
      </c>
      <c r="DA135" t="str">
        <f>""</f>
        <v/>
      </c>
      <c r="DB135" t="str">
        <f>""</f>
        <v/>
      </c>
      <c r="DC135" t="str">
        <f>""</f>
        <v/>
      </c>
      <c r="DD135" t="str">
        <f>""</f>
        <v/>
      </c>
      <c r="DE135" t="str">
        <f>""</f>
        <v/>
      </c>
      <c r="DF135" t="str">
        <f>""</f>
        <v/>
      </c>
      <c r="DG135" t="str">
        <f>""</f>
        <v/>
      </c>
      <c r="DH135" t="str">
        <f>""</f>
        <v/>
      </c>
      <c r="DI135" t="str">
        <f>""</f>
        <v/>
      </c>
      <c r="DJ135" t="str">
        <f>""</f>
        <v/>
      </c>
      <c r="DK135" t="str">
        <f>""</f>
        <v/>
      </c>
      <c r="DL135" t="str">
        <f>""</f>
        <v/>
      </c>
      <c r="DM135" t="str">
        <f>""</f>
        <v/>
      </c>
      <c r="DN135" t="str">
        <f>""</f>
        <v/>
      </c>
      <c r="DO135" t="str">
        <f>""</f>
        <v/>
      </c>
      <c r="DP135" t="str">
        <f>""</f>
        <v/>
      </c>
      <c r="DQ135" t="str">
        <f>""</f>
        <v/>
      </c>
      <c r="DR135" t="str">
        <f>""</f>
        <v/>
      </c>
      <c r="DS135" t="str">
        <f>""</f>
        <v/>
      </c>
      <c r="DT135" t="str">
        <f>""</f>
        <v/>
      </c>
      <c r="DU135" t="str">
        <f>""</f>
        <v/>
      </c>
    </row>
    <row r="136" spans="1:125" x14ac:dyDescent="0.25">
      <c r="A136" t="str">
        <f>"    "</f>
        <v xml:space="preserve">    </v>
      </c>
      <c r="B136" t="str">
        <f>""</f>
        <v/>
      </c>
      <c r="E136" t="str">
        <f>"Static"</f>
        <v>Static</v>
      </c>
      <c r="F136" t="str">
        <f t="shared" ref="F136:AK136" ca="1" si="72">HLOOKUP(INDIRECT(ADDRESS(2,COLUMN())),OFFSET($BN$2,0,0,ROW()-1,60),ROW()-1,FALSE)</f>
        <v/>
      </c>
      <c r="G136" t="str">
        <f t="shared" ca="1" si="72"/>
        <v/>
      </c>
      <c r="H136" t="str">
        <f t="shared" ca="1" si="72"/>
        <v/>
      </c>
      <c r="I136" t="str">
        <f t="shared" ca="1" si="72"/>
        <v/>
      </c>
      <c r="J136" t="str">
        <f t="shared" ca="1" si="72"/>
        <v/>
      </c>
      <c r="K136" t="str">
        <f t="shared" ca="1" si="72"/>
        <v/>
      </c>
      <c r="L136" t="str">
        <f t="shared" ca="1" si="72"/>
        <v/>
      </c>
      <c r="M136" t="str">
        <f t="shared" ca="1" si="72"/>
        <v/>
      </c>
      <c r="N136" t="str">
        <f t="shared" ca="1" si="72"/>
        <v/>
      </c>
      <c r="O136" t="str">
        <f t="shared" ca="1" si="72"/>
        <v/>
      </c>
      <c r="P136" t="str">
        <f t="shared" ca="1" si="72"/>
        <v/>
      </c>
      <c r="Q136" t="str">
        <f t="shared" ca="1" si="72"/>
        <v/>
      </c>
      <c r="R136" t="str">
        <f t="shared" ca="1" si="72"/>
        <v/>
      </c>
      <c r="S136" t="str">
        <f t="shared" ca="1" si="72"/>
        <v/>
      </c>
      <c r="T136" t="str">
        <f t="shared" ca="1" si="72"/>
        <v/>
      </c>
      <c r="U136" t="str">
        <f t="shared" ca="1" si="72"/>
        <v/>
      </c>
      <c r="V136" t="str">
        <f t="shared" ca="1" si="72"/>
        <v/>
      </c>
      <c r="W136" t="str">
        <f t="shared" ca="1" si="72"/>
        <v/>
      </c>
      <c r="X136" t="str">
        <f t="shared" ca="1" si="72"/>
        <v/>
      </c>
      <c r="Y136" t="str">
        <f t="shared" ca="1" si="72"/>
        <v/>
      </c>
      <c r="Z136" t="str">
        <f t="shared" ca="1" si="72"/>
        <v/>
      </c>
      <c r="AA136" t="str">
        <f t="shared" ca="1" si="72"/>
        <v/>
      </c>
      <c r="AB136" t="str">
        <f t="shared" ca="1" si="72"/>
        <v/>
      </c>
      <c r="AC136" t="str">
        <f t="shared" ca="1" si="72"/>
        <v/>
      </c>
      <c r="AD136" t="str">
        <f t="shared" ca="1" si="72"/>
        <v/>
      </c>
      <c r="AE136" t="str">
        <f t="shared" ca="1" si="72"/>
        <v/>
      </c>
      <c r="AF136" t="str">
        <f t="shared" ca="1" si="72"/>
        <v/>
      </c>
      <c r="AG136" t="str">
        <f t="shared" ca="1" si="72"/>
        <v/>
      </c>
      <c r="AH136" t="str">
        <f t="shared" ca="1" si="72"/>
        <v/>
      </c>
      <c r="AI136" t="str">
        <f t="shared" ca="1" si="72"/>
        <v/>
      </c>
      <c r="AJ136" t="str">
        <f t="shared" ca="1" si="72"/>
        <v/>
      </c>
      <c r="AK136" t="str">
        <f t="shared" ca="1" si="72"/>
        <v/>
      </c>
      <c r="AL136" t="str">
        <f t="shared" ref="AL136:BM136" ca="1" si="73">HLOOKUP(INDIRECT(ADDRESS(2,COLUMN())),OFFSET($BN$2,0,0,ROW()-1,60),ROW()-1,FALSE)</f>
        <v/>
      </c>
      <c r="AM136" t="str">
        <f t="shared" ca="1" si="73"/>
        <v/>
      </c>
      <c r="AN136" t="str">
        <f t="shared" ca="1" si="73"/>
        <v/>
      </c>
      <c r="AO136" t="str">
        <f t="shared" ca="1" si="73"/>
        <v/>
      </c>
      <c r="AP136" t="str">
        <f t="shared" ca="1" si="73"/>
        <v/>
      </c>
      <c r="AQ136" t="str">
        <f t="shared" ca="1" si="73"/>
        <v/>
      </c>
      <c r="AR136" t="str">
        <f t="shared" ca="1" si="73"/>
        <v/>
      </c>
      <c r="AS136" t="str">
        <f t="shared" ca="1" si="73"/>
        <v/>
      </c>
      <c r="AT136" t="str">
        <f t="shared" ca="1" si="73"/>
        <v/>
      </c>
      <c r="AU136" t="str">
        <f t="shared" ca="1" si="73"/>
        <v/>
      </c>
      <c r="AV136" t="str">
        <f t="shared" ca="1" si="73"/>
        <v/>
      </c>
      <c r="AW136" t="str">
        <f t="shared" ca="1" si="73"/>
        <v/>
      </c>
      <c r="AX136" t="str">
        <f t="shared" ca="1" si="73"/>
        <v/>
      </c>
      <c r="AY136" t="str">
        <f t="shared" ca="1" si="73"/>
        <v/>
      </c>
      <c r="AZ136" t="str">
        <f t="shared" ca="1" si="73"/>
        <v/>
      </c>
      <c r="BA136" t="str">
        <f t="shared" ca="1" si="73"/>
        <v/>
      </c>
      <c r="BB136" t="str">
        <f t="shared" ca="1" si="73"/>
        <v/>
      </c>
      <c r="BC136" t="str">
        <f t="shared" ca="1" si="73"/>
        <v/>
      </c>
      <c r="BD136" t="str">
        <f t="shared" ca="1" si="73"/>
        <v/>
      </c>
      <c r="BE136" t="str">
        <f t="shared" ca="1" si="73"/>
        <v/>
      </c>
      <c r="BF136" t="str">
        <f t="shared" ca="1" si="73"/>
        <v/>
      </c>
      <c r="BG136" t="str">
        <f t="shared" ca="1" si="73"/>
        <v/>
      </c>
      <c r="BH136" t="str">
        <f t="shared" ca="1" si="73"/>
        <v/>
      </c>
      <c r="BI136" t="str">
        <f t="shared" ca="1" si="73"/>
        <v/>
      </c>
      <c r="BJ136" t="str">
        <f t="shared" ca="1" si="73"/>
        <v/>
      </c>
      <c r="BK136" t="str">
        <f t="shared" ca="1" si="73"/>
        <v/>
      </c>
      <c r="BL136" t="str">
        <f t="shared" ca="1" si="73"/>
        <v/>
      </c>
      <c r="BM136" t="str">
        <f t="shared" ca="1" si="73"/>
        <v/>
      </c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  <c r="BT136" t="str">
        <f>""</f>
        <v/>
      </c>
      <c r="BU136" t="str">
        <f>""</f>
        <v/>
      </c>
      <c r="BV136" t="str">
        <f>""</f>
        <v/>
      </c>
      <c r="BW136" t="str">
        <f>""</f>
        <v/>
      </c>
      <c r="BX136" t="str">
        <f>""</f>
        <v/>
      </c>
      <c r="BY136" t="str">
        <f>""</f>
        <v/>
      </c>
      <c r="BZ136" t="str">
        <f>""</f>
        <v/>
      </c>
      <c r="CA136" t="str">
        <f>""</f>
        <v/>
      </c>
      <c r="CB136" t="str">
        <f>""</f>
        <v/>
      </c>
      <c r="CC136" t="str">
        <f>""</f>
        <v/>
      </c>
      <c r="CD136" t="str">
        <f>""</f>
        <v/>
      </c>
      <c r="CE136" t="str">
        <f>""</f>
        <v/>
      </c>
      <c r="CF136" t="str">
        <f>""</f>
        <v/>
      </c>
      <c r="CG136" t="str">
        <f>""</f>
        <v/>
      </c>
      <c r="CH136" t="str">
        <f>""</f>
        <v/>
      </c>
      <c r="CI136" t="str">
        <f>""</f>
        <v/>
      </c>
      <c r="CJ136" t="str">
        <f>""</f>
        <v/>
      </c>
      <c r="CK136" t="str">
        <f>""</f>
        <v/>
      </c>
      <c r="CL136" t="str">
        <f>""</f>
        <v/>
      </c>
      <c r="CM136" t="str">
        <f>""</f>
        <v/>
      </c>
      <c r="CN136" t="str">
        <f>""</f>
        <v/>
      </c>
      <c r="CO136" t="str">
        <f>""</f>
        <v/>
      </c>
      <c r="CP136" t="str">
        <f>""</f>
        <v/>
      </c>
      <c r="CQ136" t="str">
        <f>""</f>
        <v/>
      </c>
      <c r="CR136" t="str">
        <f>""</f>
        <v/>
      </c>
      <c r="CS136" t="str">
        <f>""</f>
        <v/>
      </c>
      <c r="CT136" t="str">
        <f>""</f>
        <v/>
      </c>
      <c r="CU136" t="str">
        <f>""</f>
        <v/>
      </c>
      <c r="CV136" t="str">
        <f>""</f>
        <v/>
      </c>
      <c r="CW136" t="str">
        <f>""</f>
        <v/>
      </c>
      <c r="CX136" t="str">
        <f>""</f>
        <v/>
      </c>
      <c r="CY136" t="str">
        <f>""</f>
        <v/>
      </c>
      <c r="CZ136" t="str">
        <f>""</f>
        <v/>
      </c>
      <c r="DA136" t="str">
        <f>""</f>
        <v/>
      </c>
      <c r="DB136" t="str">
        <f>""</f>
        <v/>
      </c>
      <c r="DC136" t="str">
        <f>""</f>
        <v/>
      </c>
      <c r="DD136" t="str">
        <f>""</f>
        <v/>
      </c>
      <c r="DE136" t="str">
        <f>""</f>
        <v/>
      </c>
      <c r="DF136" t="str">
        <f>""</f>
        <v/>
      </c>
      <c r="DG136" t="str">
        <f>""</f>
        <v/>
      </c>
      <c r="DH136" t="str">
        <f>""</f>
        <v/>
      </c>
      <c r="DI136" t="str">
        <f>""</f>
        <v/>
      </c>
      <c r="DJ136" t="str">
        <f>""</f>
        <v/>
      </c>
      <c r="DK136" t="str">
        <f>""</f>
        <v/>
      </c>
      <c r="DL136" t="str">
        <f>""</f>
        <v/>
      </c>
      <c r="DM136" t="str">
        <f>""</f>
        <v/>
      </c>
      <c r="DN136" t="str">
        <f>""</f>
        <v/>
      </c>
      <c r="DO136" t="str">
        <f>""</f>
        <v/>
      </c>
      <c r="DP136" t="str">
        <f>""</f>
        <v/>
      </c>
      <c r="DQ136" t="str">
        <f>""</f>
        <v/>
      </c>
      <c r="DR136" t="str">
        <f>""</f>
        <v/>
      </c>
      <c r="DS136" t="str">
        <f>""</f>
        <v/>
      </c>
      <c r="DT136" t="str">
        <f>""</f>
        <v/>
      </c>
      <c r="DU136" t="str">
        <f>""</f>
        <v/>
      </c>
    </row>
    <row r="137" spans="1:125" x14ac:dyDescent="0.25">
      <c r="A137" t="str">
        <f>"    Revenue"</f>
        <v xml:space="preserve">    Revenue</v>
      </c>
      <c r="B137" t="str">
        <f>"KER FP Equity"</f>
        <v>KER FP Equity</v>
      </c>
      <c r="E137" t="str">
        <f>"Expression"</f>
        <v>Expression</v>
      </c>
      <c r="F137" t="str">
        <f ca="1">IF(AND($B$158=1,LEN($F$77) * LEN($F$87) * LEN($F$91)&gt;0),$F$77+$F$87+$F$91,HLOOKUP(INDIRECT(ADDRESS(2,COLUMN())),OFFSET($BN$2,0,0,ROW()-1,60),ROW()-1,FALSE))</f>
        <v/>
      </c>
      <c r="G137">
        <f ca="1">IF(AND($B$158=1,LEN($G$77) * LEN($G$87) * LEN($G$91)&gt;0),$G$77+$G$87+$G$91,HLOOKUP(INDIRECT(ADDRESS(2,COLUMN())),OFFSET($BN$2,0,0,ROW()-1,60),ROW()-1,FALSE))</f>
        <v>4187.8</v>
      </c>
      <c r="H137">
        <f ca="1">IF(AND($B$158=1,LEN($H$77) * LEN($H$87) * LEN($H$91)&gt;0),$H$77+$H$87+$H$91,HLOOKUP(INDIRECT(ADDRESS(2,COLUMN())),OFFSET($BN$2,0,0,ROW()-1,60),ROW()-1,FALSE))</f>
        <v>4157.2</v>
      </c>
      <c r="I137">
        <f ca="1">IF(AND($B$158=1,LEN($I$77) * LEN($I$87) * LEN($I$91)&gt;0),$I$77+$I$87+$I$91,HLOOKUP(INDIRECT(ADDRESS(2,COLUMN())),OFFSET($BN$2,0,0,ROW()-1,60),ROW()-1,FALSE))</f>
        <v>3890</v>
      </c>
      <c r="J137">
        <f ca="1">IF(AND($B$158=1,LEN($J$77) * LEN($J$87) * LEN($J$91)&gt;0),$J$77+$J$87+$J$91,HLOOKUP(INDIRECT(ADDRESS(2,COLUMN())),OFFSET($BN$2,0,0,ROW()-1,60),ROW()-1,FALSE))</f>
        <v>4004.2</v>
      </c>
      <c r="K137">
        <f ca="1">IF(AND($B$158=1,LEN($K$77) * LEN($K$87) * LEN($K$91)&gt;0),$K$77+$K$87+$K$91,HLOOKUP(INDIRECT(ADDRESS(2,COLUMN())),OFFSET($BN$2,0,0,ROW()-1,60),ROW()-1,FALSE))</f>
        <v>3717.7</v>
      </c>
      <c r="L137">
        <f ca="1">IF(AND($B$158=1,LEN($L$77) * LEN($L$87) * LEN($L$91)&gt;0),$L$77+$L$87+$L$91,HLOOKUP(INDIRECT(ADDRESS(2,COLUMN())),OFFSET($BN$2,0,0,ROW()-1,60),ROW()-1,FALSE))</f>
        <v>2175.1</v>
      </c>
      <c r="M137">
        <f ca="1">IF(AND($B$158=1,LEN($M$77) * LEN($M$87) * LEN($M$91)&gt;0),$M$77+$M$87+$M$91,HLOOKUP(INDIRECT(ADDRESS(2,COLUMN())),OFFSET($BN$2,0,0,ROW()-1,60),ROW()-1,FALSE))</f>
        <v>3203.2</v>
      </c>
      <c r="N137">
        <f ca="1">IF(AND($B$158=1,LEN($N$77) * LEN($N$87) * LEN($N$91)&gt;0),$N$77+$N$87+$N$91,HLOOKUP(INDIRECT(ADDRESS(2,COLUMN())),OFFSET($BN$2,0,0,ROW()-1,60),ROW()-1,FALSE))</f>
        <v>4360.5</v>
      </c>
      <c r="O137">
        <f ca="1">IF(AND($B$158=1,LEN($O$77) * LEN($O$87) * LEN($O$91)&gt;0),$O$77+$O$87+$O$91,HLOOKUP(INDIRECT(ADDRESS(2,COLUMN())),OFFSET($BN$2,0,0,ROW()-1,60),ROW()-1,FALSE))</f>
        <v>3884.6</v>
      </c>
      <c r="P137">
        <f ca="1">IF(AND($B$158=1,LEN($P$77) * LEN($P$87) * LEN($P$91)&gt;0),$P$77+$P$87+$P$91,HLOOKUP(INDIRECT(ADDRESS(2,COLUMN())),OFFSET($BN$2,0,0,ROW()-1,60),ROW()-1,FALSE))</f>
        <v>3853.1</v>
      </c>
      <c r="Q137">
        <f ca="1">IF(AND($B$158=1,LEN($Q$77) * LEN($Q$87) * LEN($Q$91)&gt;0),$Q$77+$Q$87+$Q$91,HLOOKUP(INDIRECT(ADDRESS(2,COLUMN())),OFFSET($BN$2,0,0,ROW()-1,60),ROW()-1,FALSE))</f>
        <v>3785.3</v>
      </c>
      <c r="R137">
        <f ca="1">IF(AND($B$158=1,LEN($R$77) * LEN($R$87) * LEN($R$91)&gt;0),$R$77+$R$87+$R$91,HLOOKUP(INDIRECT(ADDRESS(2,COLUMN())),OFFSET($BN$2,0,0,ROW()-1,60),ROW()-1,FALSE))</f>
        <v>3831.3</v>
      </c>
      <c r="S137">
        <f ca="1">IF(AND($B$158=1,LEN($S$77) * LEN($S$87) * LEN($S$91)&gt;0),$S$77+$S$87+$S$91,HLOOKUP(INDIRECT(ADDRESS(2,COLUMN())),OFFSET($BN$2,0,0,ROW()-1,60),ROW()-1,FALSE))</f>
        <v>3402</v>
      </c>
      <c r="T137">
        <f ca="1">IF(AND($B$158=1,LEN($T$77) * LEN($T$87) * LEN($T$91)&gt;0),$T$77+$T$87+$T$91,HLOOKUP(INDIRECT(ADDRESS(2,COLUMN())),OFFSET($BN$2,0,0,ROW()-1,60),ROW()-1,FALSE))</f>
        <v>3324.1</v>
      </c>
      <c r="U137">
        <f ca="1">IF(AND($B$158=1,LEN($U$77) * LEN($U$87) * LEN($U$91)&gt;0),$U$77+$U$87+$U$91,HLOOKUP(INDIRECT(ADDRESS(2,COLUMN())),OFFSET($BN$2,0,0,ROW()-1,60),ROW()-1,FALSE))</f>
        <v>3107.8</v>
      </c>
      <c r="V137">
        <f ca="1">IF(AND($B$158=1,LEN($V$77) * LEN($V$87) * LEN($V$91)&gt;0),$V$77+$V$87+$V$91,HLOOKUP(INDIRECT(ADDRESS(2,COLUMN())),OFFSET($BN$2,0,0,ROW()-1,60),ROW()-1,FALSE))</f>
        <v>4256.5</v>
      </c>
      <c r="W137">
        <f ca="1">IF(AND($B$158=1,LEN($W$77) * LEN($W$87) * LEN($W$91)&gt;0),$W$77+$W$87+$W$91,HLOOKUP(INDIRECT(ADDRESS(2,COLUMN())),OFFSET($BN$2,0,0,ROW()-1,60),ROW()-1,FALSE))</f>
        <v>3925</v>
      </c>
      <c r="X137">
        <f ca="1">IF(AND($B$158=1,LEN($X$77) * LEN($X$87) * LEN($X$91)&gt;0),$X$77+$X$87+$X$91,HLOOKUP(INDIRECT(ADDRESS(2,COLUMN())),OFFSET($BN$2,0,0,ROW()-1,60),ROW()-1,FALSE))</f>
        <v>3722.7</v>
      </c>
      <c r="Y137">
        <f ca="1">IF(AND($B$158=1,LEN($Y$77) * LEN($Y$87) * LEN($Y$91)&gt;0),$Y$77+$Y$87+$Y$91,HLOOKUP(INDIRECT(ADDRESS(2,COLUMN())),OFFSET($BN$2,0,0,ROW()-1,60),ROW()-1,FALSE))</f>
        <v>3573.5</v>
      </c>
      <c r="Z137">
        <f ca="1">IF(AND($B$158=1,LEN($Z$77) * LEN($Z$87) * LEN($Z$91)&gt;0),$Z$77+$Z$87+$Z$91,HLOOKUP(INDIRECT(ADDRESS(2,COLUMN())),OFFSET($BN$2,0,0,ROW()-1,60),ROW()-1,FALSE))</f>
        <v>3507.3</v>
      </c>
      <c r="AA137">
        <f ca="1">IF(AND($B$158=1,LEN($AA$77) * LEN($AA$87) * LEN($AA$91)&gt;0),$AA$77+$AA$87+$AA$91,HLOOKUP(INDIRECT(ADDRESS(2,COLUMN())),OFFSET($BN$2,0,0,ROW()-1,60),ROW()-1,FALSE))</f>
        <v>3184.7</v>
      </c>
      <c r="AB137">
        <f ca="1">IF(AND($B$158=1,LEN($AB$77) * LEN($AB$87) * LEN($AB$91)&gt;0),$AB$77+$AB$87+$AB$91,HLOOKUP(INDIRECT(ADDRESS(2,COLUMN())),OFFSET($BN$2,0,0,ROW()-1,60),ROW()-1,FALSE))</f>
        <v>2968.9</v>
      </c>
      <c r="AC137">
        <f ca="1">IF(AND($B$158=1,LEN($AC$77) * LEN($AC$87) * LEN($AC$91)&gt;0),$AC$77+$AC$87+$AC$91,HLOOKUP(INDIRECT(ADDRESS(2,COLUMN())),OFFSET($BN$2,0,0,ROW()-1,60),ROW()-1,FALSE))</f>
        <v>2724</v>
      </c>
      <c r="AD137">
        <f ca="1">IF(AND($B$158=1,LEN($AD$77) * LEN($AD$87) * LEN($AD$91)&gt;0),$AD$77+$AD$87+$AD$91,HLOOKUP(INDIRECT(ADDRESS(2,COLUMN())),OFFSET($BN$2,0,0,ROW()-1,60),ROW()-1,FALSE))</f>
        <v>3176.5</v>
      </c>
      <c r="AE137">
        <f ca="1">IF(AND($B$158=1,LEN($AE$77) * LEN($AE$87) * LEN($AE$91)&gt;0),$AE$77+$AE$87+$AE$91,HLOOKUP(INDIRECT(ADDRESS(2,COLUMN())),OFFSET($BN$2,0,0,ROW()-1,60),ROW()-1,FALSE))</f>
        <v>2895.2</v>
      </c>
      <c r="AF137">
        <f ca="1">IF(AND($B$158=1,LEN($AF$77) * LEN($AF$87) * LEN($AF$91)&gt;0),$AF$77+$AF$87+$AF$91,HLOOKUP(INDIRECT(ADDRESS(2,COLUMN())),OFFSET($BN$2,0,0,ROW()-1,60),ROW()-1,FALSE))</f>
        <v>2861.3</v>
      </c>
      <c r="AG137">
        <f ca="1">IF(AND($B$158=1,LEN($AG$77) * LEN($AG$87) * LEN($AG$91)&gt;0),$AG$77+$AG$87+$AG$91,HLOOKUP(INDIRECT(ADDRESS(2,COLUMN())),OFFSET($BN$2,0,0,ROW()-1,60),ROW()-1,FALSE))</f>
        <v>2651</v>
      </c>
      <c r="AH137">
        <f ca="1">IF(AND($B$158=1,LEN($AH$77) * LEN($AH$87) * LEN($AH$91)&gt;0),$AH$77+$AH$87+$AH$91,HLOOKUP(INDIRECT(ADDRESS(2,COLUMN())),OFFSET($BN$2,0,0,ROW()-1,60),ROW()-1,FALSE))</f>
        <v>2741.8</v>
      </c>
      <c r="AI137">
        <f ca="1">IF(AND($B$158=1,LEN($AI$77) * LEN($AI$87) * LEN($AI$91)&gt;0),$AI$77+$AI$87+$AI$91,HLOOKUP(INDIRECT(ADDRESS(2,COLUMN())),OFFSET($BN$2,0,0,ROW()-1,60),ROW()-1,FALSE))</f>
        <v>2585.3000000000002</v>
      </c>
      <c r="AJ137">
        <f ca="1">IF(AND($B$158=1,LEN($AJ$77) * LEN($AJ$87) * LEN($AJ$91)&gt;0),$AJ$77+$AJ$87+$AJ$91,HLOOKUP(INDIRECT(ADDRESS(2,COLUMN())),OFFSET($BN$2,0,0,ROW()-1,60),ROW()-1,FALSE))</f>
        <v>2349.1999999999998</v>
      </c>
      <c r="AK137">
        <f ca="1">IF(AND($B$158=1,LEN($AK$77) * LEN($AK$87) * LEN($AK$91)&gt;0),$AK$77+$AK$87+$AK$91,HLOOKUP(INDIRECT(ADDRESS(2,COLUMN())),OFFSET($BN$2,0,0,ROW()-1,60),ROW()-1,FALSE))</f>
        <v>2398</v>
      </c>
      <c r="AL137">
        <f ca="1">IF(AND($B$158=1,LEN($AL$77) * LEN($AL$87) * LEN($AL$91)&gt;0),$AL$77+$AL$87+$AL$91,HLOOKUP(INDIRECT(ADDRESS(2,COLUMN())),OFFSET($BN$2,0,0,ROW()-1,60),ROW()-1,FALSE))</f>
        <v>2547</v>
      </c>
      <c r="AM137">
        <f ca="1">IF(AND($B$158=1,LEN($AM$77) * LEN($AM$87) * LEN($AM$91)&gt;0),$AM$77+$AM$87+$AM$91,HLOOKUP(INDIRECT(ADDRESS(2,COLUMN())),OFFSET($BN$2,0,0,ROW()-1,60),ROW()-1,FALSE))</f>
        <v>2523</v>
      </c>
      <c r="AN137">
        <f ca="1">IF(AND($B$158=1,LEN($AN$77) * LEN($AN$87) * LEN($AN$91)&gt;0),$AN$77+$AN$87+$AN$91,HLOOKUP(INDIRECT(ADDRESS(2,COLUMN())),OFFSET($BN$2,0,0,ROW()-1,60),ROW()-1,FALSE))</f>
        <v>2308</v>
      </c>
      <c r="AO137">
        <f ca="1">IF(AND($B$158=1,LEN($AO$77) * LEN($AO$87) * LEN($AO$91)&gt;0),$AO$77+$AO$87+$AO$91,HLOOKUP(INDIRECT(ADDRESS(2,COLUMN())),OFFSET($BN$2,0,0,ROW()-1,60),ROW()-1,FALSE))</f>
        <v>2370.3000000000002</v>
      </c>
      <c r="AP137">
        <f ca="1">IF(AND($B$158=1,LEN($AP$77) * LEN($AP$87) * LEN($AP$91)&gt;0),$AP$77+$AP$87+$AP$91,HLOOKUP(INDIRECT(ADDRESS(2,COLUMN())),OFFSET($BN$2,0,0,ROW()-1,60),ROW()-1,FALSE))</f>
        <v>2562.1999999999998</v>
      </c>
      <c r="AQ137">
        <f ca="1">IF(AND($B$158=1,LEN($AQ$77) * LEN($AQ$87) * LEN($AQ$91)&gt;0),$AQ$77+$AQ$87+$AQ$91,HLOOKUP(INDIRECT(ADDRESS(2,COLUMN())),OFFSET($BN$2,0,0,ROW()-1,60),ROW()-1,FALSE))</f>
        <v>2560.4</v>
      </c>
      <c r="AR137">
        <f ca="1">IF(AND($B$158=1,LEN($AR$77) * LEN($AR$87) * LEN($AR$91)&gt;0),$AR$77+$AR$87+$AR$91,HLOOKUP(INDIRECT(ADDRESS(2,COLUMN())),OFFSET($BN$2,0,0,ROW()-1,60),ROW()-1,FALSE))</f>
        <v>2271.8000000000002</v>
      </c>
      <c r="AS137">
        <f ca="1">IF(AND($B$158=1,LEN($AS$77) * LEN($AS$87) * LEN($AS$91)&gt;0),$AS$77+$AS$87+$AS$91,HLOOKUP(INDIRECT(ADDRESS(2,COLUMN())),OFFSET($BN$2,0,0,ROW()-1,60),ROW()-1,FALSE))</f>
        <v>2341.9</v>
      </c>
      <c r="AT137">
        <f ca="1">IF(AND($B$158=1,LEN($AT$77) * LEN($AT$87) * LEN($AT$91)&gt;0),$AT$77+$AT$87+$AT$91,HLOOKUP(INDIRECT(ADDRESS(2,COLUMN())),OFFSET($BN$2,0,0,ROW()-1,60),ROW()-1,FALSE))</f>
        <v>2008.8</v>
      </c>
      <c r="AU137">
        <f ca="1">IF(AND($B$158=1,LEN($AU$77) * LEN($AU$87) * LEN($AU$91)&gt;0),$AU$77+$AU$87+$AU$91,HLOOKUP(INDIRECT(ADDRESS(2,COLUMN())),OFFSET($BN$2,0,0,ROW()-1,60),ROW()-1,FALSE))</f>
        <v>3857</v>
      </c>
      <c r="AV137">
        <f ca="1">IF(AND($B$158=1,LEN($AV$77) * LEN($AV$87) * LEN($AV$91)&gt;0),$AV$77+$AV$87+$AV$91,HLOOKUP(INDIRECT(ADDRESS(2,COLUMN())),OFFSET($BN$2,0,0,ROW()-1,60),ROW()-1,FALSE))</f>
        <v>2650.2</v>
      </c>
      <c r="AW137">
        <f ca="1">IF(AND($B$158=1,LEN($AW$77) * LEN($AW$87) * LEN($AW$91)&gt;0),$AW$77+$AW$87+$AW$91,HLOOKUP(INDIRECT(ADDRESS(2,COLUMN())),OFFSET($BN$2,0,0,ROW()-1,60),ROW()-1,FALSE))</f>
        <v>2821.8</v>
      </c>
      <c r="AX137">
        <f ca="1">IF(AND($B$158=1,LEN($AX$77) * LEN($AX$87) * LEN($AX$91)&gt;0),$AX$77+$AX$87+$AX$91,HLOOKUP(INDIRECT(ADDRESS(2,COLUMN())),OFFSET($BN$2,0,0,ROW()-1,60),ROW()-1,FALSE))</f>
        <v>4245.8999999999996</v>
      </c>
      <c r="AY137">
        <f ca="1">IF(AND($B$158=1,LEN($AY$77) * LEN($AY$87) * LEN($AY$91)&gt;0),$AY$77+$AY$87+$AY$91,HLOOKUP(INDIRECT(ADDRESS(2,COLUMN())),OFFSET($BN$2,0,0,ROW()-1,60),ROW()-1,FALSE))</f>
        <v>3570.2</v>
      </c>
      <c r="AZ137">
        <f ca="1">IF(AND($B$158=1,LEN($AZ$77) * LEN($AZ$87) * LEN($AZ$91)&gt;0),$AZ$77+$AZ$87+$AZ$91,HLOOKUP(INDIRECT(ADDRESS(2,COLUMN())),OFFSET($BN$2,0,0,ROW()-1,60),ROW()-1,FALSE))</f>
        <v>3325.9</v>
      </c>
      <c r="BA137">
        <f ca="1">IF(AND($B$158=1,LEN($BA$77) * LEN($BA$87) * LEN($BA$91)&gt;0),$BA$77+$BA$87+$BA$91,HLOOKUP(INDIRECT(ADDRESS(2,COLUMN())),OFFSET($BN$2,0,0,ROW()-1,60),ROW()-1,FALSE))</f>
        <v>3399.6</v>
      </c>
      <c r="BB137">
        <f ca="1">IF(AND($B$158=1,LEN($BB$77) * LEN($BB$87) * LEN($BB$91)&gt;0),$BB$77+$BB$87+$BB$91,HLOOKUP(INDIRECT(ADDRESS(2,COLUMN())),OFFSET($BN$2,0,0,ROW()-1,60),ROW()-1,FALSE))</f>
        <v>3873.2</v>
      </c>
      <c r="BC137">
        <f ca="1">IF(AND($B$158=1,LEN($BC$77) * LEN($BC$87) * LEN($BC$91)&gt;0),$BC$77+$BC$87+$BC$91,HLOOKUP(INDIRECT(ADDRESS(2,COLUMN())),OFFSET($BN$2,0,0,ROW()-1,60),ROW()-1,FALSE))</f>
        <v>4563.2</v>
      </c>
      <c r="BD137">
        <f ca="1">IF(AND($B$158=1,LEN($BD$77) * LEN($BD$87) * LEN($BD$91)&gt;0),$BD$77+$BD$87+$BD$91,HLOOKUP(INDIRECT(ADDRESS(2,COLUMN())),OFFSET($BN$2,0,0,ROW()-1,60),ROW()-1,FALSE))</f>
        <v>3770.7</v>
      </c>
      <c r="BE137">
        <f ca="1">IF(AND($B$158=1,LEN($BE$77) * LEN($BE$87) * LEN($BE$91)&gt;0),$BE$77+$BE$87+$BE$91,HLOOKUP(INDIRECT(ADDRESS(2,COLUMN())),OFFSET($BN$2,0,0,ROW()-1,60),ROW()-1,FALSE))</f>
        <v>4777</v>
      </c>
      <c r="BF137" t="str">
        <f ca="1">IF(AND($B$158=1,LEN($BF$77) * LEN($BF$87) * LEN($BF$91)&gt;0),$BF$77+$BF$87+$BF$91,HLOOKUP(INDIRECT(ADDRESS(2,COLUMN())),OFFSET($BN$2,0,0,ROW()-1,60),ROW()-1,FALSE))</f>
        <v/>
      </c>
      <c r="BG137" t="str">
        <f ca="1">IF(AND($B$158=1,LEN($BG$77) * LEN($BG$87) * LEN($BG$91)&gt;0),$BG$77+$BG$87+$BG$91,HLOOKUP(INDIRECT(ADDRESS(2,COLUMN())),OFFSET($BN$2,0,0,ROW()-1,60),ROW()-1,FALSE))</f>
        <v/>
      </c>
      <c r="BH137" t="str">
        <f ca="1">IF(AND($B$158=1,LEN($BH$77) * LEN($BH$87) * LEN($BH$91)&gt;0),$BH$77+$BH$87+$BH$91,HLOOKUP(INDIRECT(ADDRESS(2,COLUMN())),OFFSET($BN$2,0,0,ROW()-1,60),ROW()-1,FALSE))</f>
        <v/>
      </c>
      <c r="BI137" t="str">
        <f ca="1">IF(AND($B$158=1,LEN($BI$77) * LEN($BI$87) * LEN($BI$91)&gt;0),$BI$77+$BI$87+$BI$91,HLOOKUP(INDIRECT(ADDRESS(2,COLUMN())),OFFSET($BN$2,0,0,ROW()-1,60),ROW()-1,FALSE))</f>
        <v/>
      </c>
      <c r="BJ137" t="str">
        <f ca="1">IF(AND($B$158=1,LEN($BJ$77) * LEN($BJ$87) * LEN($BJ$91)&gt;0),$BJ$77+$BJ$87+$BJ$91,HLOOKUP(INDIRECT(ADDRESS(2,COLUMN())),OFFSET($BN$2,0,0,ROW()-1,60),ROW()-1,FALSE))</f>
        <v/>
      </c>
      <c r="BK137" t="str">
        <f ca="1">IF(AND($B$158=1,LEN($BK$77) * LEN($BK$87) * LEN($BK$91)&gt;0),$BK$77+$BK$87+$BK$91,HLOOKUP(INDIRECT(ADDRESS(2,COLUMN())),OFFSET($BN$2,0,0,ROW()-1,60),ROW()-1,FALSE))</f>
        <v/>
      </c>
      <c r="BL137" t="str">
        <f ca="1">IF(AND($B$158=1,LEN($BL$77) * LEN($BL$87) * LEN($BL$91)&gt;0),$BL$77+$BL$87+$BL$91,HLOOKUP(INDIRECT(ADDRESS(2,COLUMN())),OFFSET($BN$2,0,0,ROW()-1,60),ROW()-1,FALSE))</f>
        <v/>
      </c>
      <c r="BM137" t="str">
        <f ca="1">IF(AND($B$158=1,LEN($BM$77) * LEN($BM$87) * LEN($BM$91)&gt;0),$BM$77+$BM$87+$BM$91,HLOOKUP(INDIRECT(ADDRESS(2,COLUMN())),OFFSET($BN$2,0,0,ROW()-1,60),ROW()-1,FALSE))</f>
        <v/>
      </c>
      <c r="BN137" t="str">
        <f>""</f>
        <v/>
      </c>
      <c r="BO137">
        <f>4187.8</f>
        <v>4187.8</v>
      </c>
      <c r="BP137">
        <f>4157.2</f>
        <v>4157.2</v>
      </c>
      <c r="BQ137">
        <f>3890</f>
        <v>3890</v>
      </c>
      <c r="BR137">
        <f>4004.2</f>
        <v>4004.2</v>
      </c>
      <c r="BS137">
        <f>3717.7</f>
        <v>3717.7</v>
      </c>
      <c r="BT137">
        <f>2175.1</f>
        <v>2175.1</v>
      </c>
      <c r="BU137">
        <f>3203.2</f>
        <v>3203.2</v>
      </c>
      <c r="BV137">
        <f>4360.5</f>
        <v>4360.5</v>
      </c>
      <c r="BW137">
        <f>3884.6</f>
        <v>3884.6</v>
      </c>
      <c r="BX137">
        <f>3853.1</f>
        <v>3853.1</v>
      </c>
      <c r="BY137">
        <f>3785.3</f>
        <v>3785.3</v>
      </c>
      <c r="BZ137">
        <f>3831.3</f>
        <v>3831.3</v>
      </c>
      <c r="CA137">
        <f>3402</f>
        <v>3402</v>
      </c>
      <c r="CB137">
        <f>3324.1</f>
        <v>3324.1</v>
      </c>
      <c r="CC137">
        <f>3107.8</f>
        <v>3107.8</v>
      </c>
      <c r="CD137">
        <f>4256.5</f>
        <v>4256.5</v>
      </c>
      <c r="CE137">
        <f>3925</f>
        <v>3925</v>
      </c>
      <c r="CF137">
        <f>3722.7</f>
        <v>3722.7</v>
      </c>
      <c r="CG137">
        <f>3573.5</f>
        <v>3573.5</v>
      </c>
      <c r="CH137">
        <f>3507.3</f>
        <v>3507.3</v>
      </c>
      <c r="CI137">
        <f>3184.7</f>
        <v>3184.7</v>
      </c>
      <c r="CJ137">
        <f>2968.9</f>
        <v>2968.9</v>
      </c>
      <c r="CK137">
        <f>2724</f>
        <v>2724</v>
      </c>
      <c r="CL137">
        <f>3176.5</f>
        <v>3176.5</v>
      </c>
      <c r="CM137">
        <f>2895.2</f>
        <v>2895.2</v>
      </c>
      <c r="CN137">
        <f>2861.3</f>
        <v>2861.3</v>
      </c>
      <c r="CO137">
        <f>2651</f>
        <v>2651</v>
      </c>
      <c r="CP137">
        <f>2741.8</f>
        <v>2741.8</v>
      </c>
      <c r="CQ137">
        <f>2585.3</f>
        <v>2585.3000000000002</v>
      </c>
      <c r="CR137">
        <f>2349.2</f>
        <v>2349.1999999999998</v>
      </c>
      <c r="CS137">
        <f>2398</f>
        <v>2398</v>
      </c>
      <c r="CT137">
        <f>2547</f>
        <v>2547</v>
      </c>
      <c r="CU137">
        <f>2523</f>
        <v>2523</v>
      </c>
      <c r="CV137">
        <f>2308</f>
        <v>2308</v>
      </c>
      <c r="CW137">
        <f>2370.3</f>
        <v>2370.3000000000002</v>
      </c>
      <c r="CX137">
        <f>2562.2</f>
        <v>2562.1999999999998</v>
      </c>
      <c r="CY137">
        <f>2560.4</f>
        <v>2560.4</v>
      </c>
      <c r="CZ137">
        <f>2271.8</f>
        <v>2271.8000000000002</v>
      </c>
      <c r="DA137">
        <f>2341.9</f>
        <v>2341.9</v>
      </c>
      <c r="DB137">
        <f>2008.8</f>
        <v>2008.8</v>
      </c>
      <c r="DC137">
        <f>3857</f>
        <v>3857</v>
      </c>
      <c r="DD137">
        <f>2650.2</f>
        <v>2650.2</v>
      </c>
      <c r="DE137">
        <f>2821.8</f>
        <v>2821.8</v>
      </c>
      <c r="DF137">
        <f>4245.9</f>
        <v>4245.8999999999996</v>
      </c>
      <c r="DG137">
        <f>3570.2</f>
        <v>3570.2</v>
      </c>
      <c r="DH137">
        <f>3325.9</f>
        <v>3325.9</v>
      </c>
      <c r="DI137">
        <f>3399.6</f>
        <v>3399.6</v>
      </c>
      <c r="DJ137">
        <f>3873.2</f>
        <v>3873.2</v>
      </c>
      <c r="DK137">
        <f>4563.2</f>
        <v>4563.2</v>
      </c>
      <c r="DL137">
        <f>3770.7</f>
        <v>3770.7</v>
      </c>
      <c r="DM137">
        <f>4777</f>
        <v>4777</v>
      </c>
      <c r="DN137" t="str">
        <f>""</f>
        <v/>
      </c>
      <c r="DO137" t="str">
        <f>""</f>
        <v/>
      </c>
      <c r="DP137" t="str">
        <f>""</f>
        <v/>
      </c>
      <c r="DQ137" t="str">
        <f>""</f>
        <v/>
      </c>
      <c r="DR137" t="str">
        <f>""</f>
        <v/>
      </c>
      <c r="DS137" t="str">
        <f>""</f>
        <v/>
      </c>
      <c r="DT137" t="str">
        <f>""</f>
        <v/>
      </c>
      <c r="DU137" t="str">
        <f>""</f>
        <v/>
      </c>
    </row>
    <row r="138" spans="1:125" x14ac:dyDescent="0.25">
      <c r="A138" t="str">
        <f>"        Revenue (As Reported)"</f>
        <v xml:space="preserve">        Revenue (As Reported)</v>
      </c>
      <c r="B138" t="str">
        <f>"KER FP Equity"</f>
        <v>KER FP Equity</v>
      </c>
      <c r="C138" t="str">
        <f>"IS010"</f>
        <v>IS010</v>
      </c>
      <c r="D138" t="str">
        <f>"SALES_REV_TURN"</f>
        <v>SALES_REV_TURN</v>
      </c>
      <c r="E138" t="str">
        <f>"Dynamic"</f>
        <v>Dynamic</v>
      </c>
      <c r="F138" t="str">
        <f ca="1">IF(AND(ISNUMBER($F$253),$B$158=1),$F$253,HLOOKUP(INDIRECT(ADDRESS(2,COLUMN())),OFFSET($BN$2,0,0,ROW()-1,60),ROW()-1,FALSE))</f>
        <v/>
      </c>
      <c r="G138">
        <f ca="1">IF(AND(ISNUMBER($G$253),$B$158=1),$G$253,HLOOKUP(INDIRECT(ADDRESS(2,COLUMN())),OFFSET($BN$2,0,0,ROW()-1,60),ROW()-1,FALSE))</f>
        <v>4187.8</v>
      </c>
      <c r="H138">
        <f ca="1">IF(AND(ISNUMBER($H$253),$B$158=1),$H$253,HLOOKUP(INDIRECT(ADDRESS(2,COLUMN())),OFFSET($BN$2,0,0,ROW()-1,60),ROW()-1,FALSE))</f>
        <v>4157.2</v>
      </c>
      <c r="I138">
        <f ca="1">IF(AND(ISNUMBER($I$253),$B$158=1),$I$253,HLOOKUP(INDIRECT(ADDRESS(2,COLUMN())),OFFSET($BN$2,0,0,ROW()-1,60),ROW()-1,FALSE))</f>
        <v>3890</v>
      </c>
      <c r="J138">
        <f ca="1">IF(AND(ISNUMBER($J$253),$B$158=1),$J$253,HLOOKUP(INDIRECT(ADDRESS(2,COLUMN())),OFFSET($BN$2,0,0,ROW()-1,60),ROW()-1,FALSE))</f>
        <v>4004.2</v>
      </c>
      <c r="K138">
        <f ca="1">IF(AND(ISNUMBER($K$253),$B$158=1),$K$253,HLOOKUP(INDIRECT(ADDRESS(2,COLUMN())),OFFSET($BN$2,0,0,ROW()-1,60),ROW()-1,FALSE))</f>
        <v>3717.7</v>
      </c>
      <c r="L138">
        <f ca="1">IF(AND(ISNUMBER($L$253),$B$158=1),$L$253,HLOOKUP(INDIRECT(ADDRESS(2,COLUMN())),OFFSET($BN$2,0,0,ROW()-1,60),ROW()-1,FALSE))</f>
        <v>2175.1</v>
      </c>
      <c r="M138">
        <f ca="1">IF(AND(ISNUMBER($M$253),$B$158=1),$M$253,HLOOKUP(INDIRECT(ADDRESS(2,COLUMN())),OFFSET($BN$2,0,0,ROW()-1,60),ROW()-1,FALSE))</f>
        <v>3203.2</v>
      </c>
      <c r="N138">
        <f ca="1">IF(AND(ISNUMBER($N$253),$B$158=1),$N$253,HLOOKUP(INDIRECT(ADDRESS(2,COLUMN())),OFFSET($BN$2,0,0,ROW()-1,60),ROW()-1,FALSE))</f>
        <v>4360.5</v>
      </c>
      <c r="O138">
        <f ca="1">IF(AND(ISNUMBER($O$253),$B$158=1),$O$253,HLOOKUP(INDIRECT(ADDRESS(2,COLUMN())),OFFSET($BN$2,0,0,ROW()-1,60),ROW()-1,FALSE))</f>
        <v>3884.6</v>
      </c>
      <c r="P138">
        <f ca="1">IF(AND(ISNUMBER($P$253),$B$158=1),$P$253,HLOOKUP(INDIRECT(ADDRESS(2,COLUMN())),OFFSET($BN$2,0,0,ROW()-1,60),ROW()-1,FALSE))</f>
        <v>3853.1</v>
      </c>
      <c r="Q138">
        <f ca="1">IF(AND(ISNUMBER($Q$253),$B$158=1),$Q$253,HLOOKUP(INDIRECT(ADDRESS(2,COLUMN())),OFFSET($BN$2,0,0,ROW()-1,60),ROW()-1,FALSE))</f>
        <v>3785.3</v>
      </c>
      <c r="R138">
        <f ca="1">IF(AND(ISNUMBER($R$253),$B$158=1),$R$253,HLOOKUP(INDIRECT(ADDRESS(2,COLUMN())),OFFSET($BN$2,0,0,ROW()-1,60),ROW()-1,FALSE))</f>
        <v>3829.4</v>
      </c>
      <c r="S138">
        <f ca="1">IF(AND(ISNUMBER($S$253),$B$158=1),$S$253,HLOOKUP(INDIRECT(ADDRESS(2,COLUMN())),OFFSET($BN$2,0,0,ROW()-1,60),ROW()-1,FALSE))</f>
        <v>3402</v>
      </c>
      <c r="T138">
        <f ca="1">IF(AND(ISNUMBER($T$253),$B$158=1),$T$253,HLOOKUP(INDIRECT(ADDRESS(2,COLUMN())),OFFSET($BN$2,0,0,ROW()-1,60),ROW()-1,FALSE))</f>
        <v>3326</v>
      </c>
      <c r="U138">
        <f ca="1">IF(AND(ISNUMBER($U$253),$B$158=1),$U$253,HLOOKUP(INDIRECT(ADDRESS(2,COLUMN())),OFFSET($BN$2,0,0,ROW()-1,60),ROW()-1,FALSE))</f>
        <v>3106.2</v>
      </c>
      <c r="V138">
        <f ca="1">IF(AND(ISNUMBER($V$253),$B$158=1),$V$253,HLOOKUP(INDIRECT(ADDRESS(2,COLUMN())),OFFSET($BN$2,0,0,ROW()-1,60),ROW()-1,FALSE))</f>
        <v>4256.5</v>
      </c>
      <c r="W138">
        <f ca="1">IF(AND(ISNUMBER($W$253),$B$158=1),$W$253,HLOOKUP(INDIRECT(ADDRESS(2,COLUMN())),OFFSET($BN$2,0,0,ROW()-1,60),ROW()-1,FALSE))</f>
        <v>2665.2</v>
      </c>
      <c r="X138">
        <f ca="1">IF(AND(ISNUMBER($X$253),$B$158=1),$X$253,HLOOKUP(INDIRECT(ADDRESS(2,COLUMN())),OFFSET($BN$2,0,0,ROW()-1,60),ROW()-1,FALSE))</f>
        <v>2627.6</v>
      </c>
      <c r="Y138">
        <f ca="1">IF(AND(ISNUMBER($Y$253),$B$158=1),$Y$253,HLOOKUP(INDIRECT(ADDRESS(2,COLUMN())),OFFSET($BN$2,0,0,ROW()-1,60),ROW()-1,FALSE))</f>
        <v>3573.5</v>
      </c>
      <c r="Z138">
        <f ca="1">IF(AND(ISNUMBER($Z$253),$B$158=1),$Z$253,HLOOKUP(INDIRECT(ADDRESS(2,COLUMN())),OFFSET($BN$2,0,0,ROW()-1,60),ROW()-1,FALSE))</f>
        <v>3507.3</v>
      </c>
      <c r="AA138">
        <f ca="1">IF(AND(ISNUMBER($AA$253),$B$158=1),$AA$253,HLOOKUP(INDIRECT(ADDRESS(2,COLUMN())),OFFSET($BN$2,0,0,ROW()-1,60),ROW()-1,FALSE))</f>
        <v>3184.7</v>
      </c>
      <c r="AB138">
        <f ca="1">IF(AND(ISNUMBER($AB$253),$B$158=1),$AB$253,HLOOKUP(INDIRECT(ADDRESS(2,COLUMN())),OFFSET($BN$2,0,0,ROW()-1,60),ROW()-1,FALSE))</f>
        <v>2969.1</v>
      </c>
      <c r="AC138">
        <f ca="1">IF(AND(ISNUMBER($AC$253),$B$158=1),$AC$253,HLOOKUP(INDIRECT(ADDRESS(2,COLUMN())),OFFSET($BN$2,0,0,ROW()-1,60),ROW()-1,FALSE))</f>
        <v>2723.8</v>
      </c>
      <c r="AD138">
        <f ca="1">IF(AND(ISNUMBER($AD$253),$B$158=1),$AD$253,HLOOKUP(INDIRECT(ADDRESS(2,COLUMN())),OFFSET($BN$2,0,0,ROW()-1,60),ROW()-1,FALSE))</f>
        <v>3176.5</v>
      </c>
      <c r="AE138">
        <f ca="1">IF(AND(ISNUMBER($AE$253),$B$158=1),$AE$253,HLOOKUP(INDIRECT(ADDRESS(2,COLUMN())),OFFSET($BN$2,0,0,ROW()-1,60),ROW()-1,FALSE))</f>
        <v>2895.2</v>
      </c>
      <c r="AF138">
        <f ca="1">IF(AND(ISNUMBER($AF$253),$B$158=1),$AF$253,HLOOKUP(INDIRECT(ADDRESS(2,COLUMN())),OFFSET($BN$2,0,0,ROW()-1,60),ROW()-1,FALSE))</f>
        <v>2861.3</v>
      </c>
      <c r="AG138">
        <f ca="1">IF(AND(ISNUMBER($AG$253),$B$158=1),$AG$253,HLOOKUP(INDIRECT(ADDRESS(2,COLUMN())),OFFSET($BN$2,0,0,ROW()-1,60),ROW()-1,FALSE))</f>
        <v>2651</v>
      </c>
      <c r="AH138">
        <f ca="1">IF(AND(ISNUMBER($AH$253),$B$158=1),$AH$253,HLOOKUP(INDIRECT(ADDRESS(2,COLUMN())),OFFSET($BN$2,0,0,ROW()-1,60),ROW()-1,FALSE))</f>
        <v>2741.8</v>
      </c>
      <c r="AI138">
        <f ca="1">IF(AND(ISNUMBER($AI$253),$B$158=1),$AI$253,HLOOKUP(INDIRECT(ADDRESS(2,COLUMN())),OFFSET($BN$2,0,0,ROW()-1,60),ROW()-1,FALSE))</f>
        <v>2585.3000000000002</v>
      </c>
      <c r="AJ138">
        <f ca="1">IF(AND(ISNUMBER($AJ$253),$B$158=1),$AJ$253,HLOOKUP(INDIRECT(ADDRESS(2,COLUMN())),OFFSET($BN$2,0,0,ROW()-1,60),ROW()-1,FALSE))</f>
        <v>2349.1999999999998</v>
      </c>
      <c r="AK138">
        <f ca="1">IF(AND(ISNUMBER($AK$253),$B$158=1),$AK$253,HLOOKUP(INDIRECT(ADDRESS(2,COLUMN())),OFFSET($BN$2,0,0,ROW()-1,60),ROW()-1,FALSE))</f>
        <v>2398</v>
      </c>
      <c r="AL138">
        <f ca="1">IF(AND(ISNUMBER($AL$253),$B$158=1),$AL$253,HLOOKUP(INDIRECT(ADDRESS(2,COLUMN())),OFFSET($BN$2,0,0,ROW()-1,60),ROW()-1,FALSE))</f>
        <v>2521.9</v>
      </c>
      <c r="AM138">
        <f ca="1">IF(AND(ISNUMBER($AM$253),$B$158=1),$AM$253,HLOOKUP(INDIRECT(ADDRESS(2,COLUMN())),OFFSET($BN$2,0,0,ROW()-1,60),ROW()-1,FALSE))</f>
        <v>2523</v>
      </c>
      <c r="AN138">
        <f ca="1">IF(AND(ISNUMBER($AN$253),$B$158=1),$AN$253,HLOOKUP(INDIRECT(ADDRESS(2,COLUMN())),OFFSET($BN$2,0,0,ROW()-1,60),ROW()-1,FALSE))</f>
        <v>2308</v>
      </c>
      <c r="AO138">
        <f ca="1">IF(AND(ISNUMBER($AO$253),$B$158=1),$AO$253,HLOOKUP(INDIRECT(ADDRESS(2,COLUMN())),OFFSET($BN$2,0,0,ROW()-1,60),ROW()-1,FALSE))</f>
        <v>2370.4</v>
      </c>
      <c r="AP138">
        <f ca="1">IF(AND(ISNUMBER($AP$253),$B$158=1),$AP$253,HLOOKUP(INDIRECT(ADDRESS(2,COLUMN())),OFFSET($BN$2,0,0,ROW()-1,60),ROW()-1,FALSE))</f>
        <v>2562.1999999999998</v>
      </c>
      <c r="AQ138">
        <f ca="1">IF(AND(ISNUMBER($AQ$253),$B$158=1),$AQ$253,HLOOKUP(INDIRECT(ADDRESS(2,COLUMN())),OFFSET($BN$2,0,0,ROW()-1,60),ROW()-1,FALSE))</f>
        <v>2560.4</v>
      </c>
      <c r="AR138">
        <f ca="1">IF(AND(ISNUMBER($AR$253),$B$158=1),$AR$253,HLOOKUP(INDIRECT(ADDRESS(2,COLUMN())),OFFSET($BN$2,0,0,ROW()-1,60),ROW()-1,FALSE))</f>
        <v>2271.8000000000002</v>
      </c>
      <c r="AS138">
        <f ca="1">IF(AND(ISNUMBER($AS$253),$B$158=1),$AS$253,HLOOKUP(INDIRECT(ADDRESS(2,COLUMN())),OFFSET($BN$2,0,0,ROW()-1,60),ROW()-1,FALSE))</f>
        <v>2341.9</v>
      </c>
      <c r="AT138">
        <f ca="1">IF(AND(ISNUMBER($AT$253),$B$158=1),$AT$253,HLOOKUP(INDIRECT(ADDRESS(2,COLUMN())),OFFSET($BN$2,0,0,ROW()-1,60),ROW()-1,FALSE))</f>
        <v>2008.8</v>
      </c>
      <c r="AU138">
        <f ca="1">IF(AND(ISNUMBER($AU$253),$B$158=1),$AU$253,HLOOKUP(INDIRECT(ADDRESS(2,COLUMN())),OFFSET($BN$2,0,0,ROW()-1,60),ROW()-1,FALSE))</f>
        <v>3856.9</v>
      </c>
      <c r="AV138">
        <f ca="1">IF(AND(ISNUMBER($AV$253),$B$158=1),$AV$253,HLOOKUP(INDIRECT(ADDRESS(2,COLUMN())),OFFSET($BN$2,0,0,ROW()-1,60),ROW()-1,FALSE))</f>
        <v>2650.2</v>
      </c>
      <c r="AW138">
        <f ca="1">IF(AND(ISNUMBER($AW$253),$B$158=1),$AW$253,HLOOKUP(INDIRECT(ADDRESS(2,COLUMN())),OFFSET($BN$2,0,0,ROW()-1,60),ROW()-1,FALSE))</f>
        <v>2821.8</v>
      </c>
      <c r="AX138">
        <f ca="1">IF(AND(ISNUMBER($AX$253),$B$158=1),$AX$253,HLOOKUP(INDIRECT(ADDRESS(2,COLUMN())),OFFSET($BN$2,0,0,ROW()-1,60),ROW()-1,FALSE))</f>
        <v>4245.8999999999996</v>
      </c>
      <c r="AY138">
        <f ca="1">IF(AND(ISNUMBER($AY$253),$B$158=1),$AY$253,HLOOKUP(INDIRECT(ADDRESS(2,COLUMN())),OFFSET($BN$2,0,0,ROW()-1,60),ROW()-1,FALSE))</f>
        <v>3570.2</v>
      </c>
      <c r="AZ138">
        <f ca="1">IF(AND(ISNUMBER($AZ$253),$B$158=1),$AZ$253,HLOOKUP(INDIRECT(ADDRESS(2,COLUMN())),OFFSET($BN$2,0,0,ROW()-1,60),ROW()-1,FALSE))</f>
        <v>4010</v>
      </c>
      <c r="BA138">
        <f ca="1">IF(AND(ISNUMBER($BA$253),$B$158=1),$BA$253,HLOOKUP(INDIRECT(ADDRESS(2,COLUMN())),OFFSET($BN$2,0,0,ROW()-1,60),ROW()-1,FALSE))</f>
        <v>3399.6</v>
      </c>
      <c r="BB138">
        <f ca="1">IF(AND(ISNUMBER($BB$253),$B$158=1),$BB$253,HLOOKUP(INDIRECT(ADDRESS(2,COLUMN())),OFFSET($BN$2,0,0,ROW()-1,60),ROW()-1,FALSE))</f>
        <v>4725.2</v>
      </c>
      <c r="BC138">
        <f ca="1">IF(AND(ISNUMBER($BC$253),$B$158=1),$BC$253,HLOOKUP(INDIRECT(ADDRESS(2,COLUMN())),OFFSET($BN$2,0,0,ROW()-1,60),ROW()-1,FALSE))</f>
        <v>4563.2001950000003</v>
      </c>
      <c r="BD138">
        <f ca="1">IF(AND(ISNUMBER($BD$253),$B$158=1),$BD$253,HLOOKUP(INDIRECT(ADDRESS(2,COLUMN())),OFFSET($BN$2,0,0,ROW()-1,60),ROW()-1,FALSE))</f>
        <v>4458.3</v>
      </c>
      <c r="BE138">
        <f ca="1">IF(AND(ISNUMBER($BE$253),$B$158=1),$BE$253,HLOOKUP(INDIRECT(ADDRESS(2,COLUMN())),OFFSET($BN$2,0,0,ROW()-1,60),ROW()-1,FALSE))</f>
        <v>4777</v>
      </c>
      <c r="BF138" t="str">
        <f ca="1">IF(AND(ISNUMBER($BF$253),$B$158=1),$BF$253,HLOOKUP(INDIRECT(ADDRESS(2,COLUMN())),OFFSET($BN$2,0,0,ROW()-1,60),ROW()-1,FALSE))</f>
        <v/>
      </c>
      <c r="BG138" t="str">
        <f ca="1">IF(AND(ISNUMBER($BG$253),$B$158=1),$BG$253,HLOOKUP(INDIRECT(ADDRESS(2,COLUMN())),OFFSET($BN$2,0,0,ROW()-1,60),ROW()-1,FALSE))</f>
        <v/>
      </c>
      <c r="BH138" t="str">
        <f ca="1">IF(AND(ISNUMBER($BH$253),$B$158=1),$BH$253,HLOOKUP(INDIRECT(ADDRESS(2,COLUMN())),OFFSET($BN$2,0,0,ROW()-1,60),ROW()-1,FALSE))</f>
        <v/>
      </c>
      <c r="BI138" t="str">
        <f ca="1">IF(AND(ISNUMBER($BI$253),$B$158=1),$BI$253,HLOOKUP(INDIRECT(ADDRESS(2,COLUMN())),OFFSET($BN$2,0,0,ROW()-1,60),ROW()-1,FALSE))</f>
        <v/>
      </c>
      <c r="BJ138" t="str">
        <f ca="1">IF(AND(ISNUMBER($BJ$253),$B$158=1),$BJ$253,HLOOKUP(INDIRECT(ADDRESS(2,COLUMN())),OFFSET($BN$2,0,0,ROW()-1,60),ROW()-1,FALSE))</f>
        <v/>
      </c>
      <c r="BK138" t="str">
        <f ca="1">IF(AND(ISNUMBER($BK$253),$B$158=1),$BK$253,HLOOKUP(INDIRECT(ADDRESS(2,COLUMN())),OFFSET($BN$2,0,0,ROW()-1,60),ROW()-1,FALSE))</f>
        <v/>
      </c>
      <c r="BL138" t="str">
        <f ca="1">IF(AND(ISNUMBER($BL$253),$B$158=1),$BL$253,HLOOKUP(INDIRECT(ADDRESS(2,COLUMN())),OFFSET($BN$2,0,0,ROW()-1,60),ROW()-1,FALSE))</f>
        <v/>
      </c>
      <c r="BM138" t="str">
        <f ca="1">IF(AND(ISNUMBER($BM$253),$B$158=1),$BM$253,HLOOKUP(INDIRECT(ADDRESS(2,COLUMN())),OFFSET($BN$2,0,0,ROW()-1,60),ROW()-1,FALSE))</f>
        <v/>
      </c>
      <c r="BN138" t="str">
        <f>""</f>
        <v/>
      </c>
      <c r="BO138">
        <f>4187.8</f>
        <v>4187.8</v>
      </c>
      <c r="BP138">
        <f>4157.2</f>
        <v>4157.2</v>
      </c>
      <c r="BQ138">
        <f>3890</f>
        <v>3890</v>
      </c>
      <c r="BR138">
        <f>4004.2</f>
        <v>4004.2</v>
      </c>
      <c r="BS138">
        <f>3717.7</f>
        <v>3717.7</v>
      </c>
      <c r="BT138">
        <f>2175.1</f>
        <v>2175.1</v>
      </c>
      <c r="BU138">
        <f>3203.2</f>
        <v>3203.2</v>
      </c>
      <c r="BV138">
        <f>4360.5</f>
        <v>4360.5</v>
      </c>
      <c r="BW138">
        <f>3884.6</f>
        <v>3884.6</v>
      </c>
      <c r="BX138">
        <f>3853.1</f>
        <v>3853.1</v>
      </c>
      <c r="BY138">
        <f>3785.3</f>
        <v>3785.3</v>
      </c>
      <c r="BZ138">
        <f>3829.4</f>
        <v>3829.4</v>
      </c>
      <c r="CA138">
        <f>3402</f>
        <v>3402</v>
      </c>
      <c r="CB138">
        <f>3326</f>
        <v>3326</v>
      </c>
      <c r="CC138">
        <f>3106.2</f>
        <v>3106.2</v>
      </c>
      <c r="CD138">
        <f>4256.5</f>
        <v>4256.5</v>
      </c>
      <c r="CE138">
        <f>2665.2</f>
        <v>2665.2</v>
      </c>
      <c r="CF138">
        <f>2627.6</f>
        <v>2627.6</v>
      </c>
      <c r="CG138">
        <f>3573.5</f>
        <v>3573.5</v>
      </c>
      <c r="CH138">
        <f>3507.3</f>
        <v>3507.3</v>
      </c>
      <c r="CI138">
        <f>3184.7</f>
        <v>3184.7</v>
      </c>
      <c r="CJ138">
        <f>2969.1</f>
        <v>2969.1</v>
      </c>
      <c r="CK138">
        <f>2723.8</f>
        <v>2723.8</v>
      </c>
      <c r="CL138">
        <f>3176.5</f>
        <v>3176.5</v>
      </c>
      <c r="CM138">
        <f>2895.2</f>
        <v>2895.2</v>
      </c>
      <c r="CN138">
        <f>2861.3</f>
        <v>2861.3</v>
      </c>
      <c r="CO138">
        <f>2651</f>
        <v>2651</v>
      </c>
      <c r="CP138">
        <f>2741.8</f>
        <v>2741.8</v>
      </c>
      <c r="CQ138">
        <f>2585.3</f>
        <v>2585.3000000000002</v>
      </c>
      <c r="CR138">
        <f>2349.2</f>
        <v>2349.1999999999998</v>
      </c>
      <c r="CS138">
        <f>2398</f>
        <v>2398</v>
      </c>
      <c r="CT138">
        <f>2521.9</f>
        <v>2521.9</v>
      </c>
      <c r="CU138">
        <f>2523</f>
        <v>2523</v>
      </c>
      <c r="CV138">
        <f>2308</f>
        <v>2308</v>
      </c>
      <c r="CW138">
        <f>2370.4</f>
        <v>2370.4</v>
      </c>
      <c r="CX138">
        <f>2562.2</f>
        <v>2562.1999999999998</v>
      </c>
      <c r="CY138">
        <f>2560.4</f>
        <v>2560.4</v>
      </c>
      <c r="CZ138">
        <f>2271.8</f>
        <v>2271.8000000000002</v>
      </c>
      <c r="DA138">
        <f>2341.9</f>
        <v>2341.9</v>
      </c>
      <c r="DB138">
        <f>2008.8</f>
        <v>2008.8</v>
      </c>
      <c r="DC138">
        <f>3856.9</f>
        <v>3856.9</v>
      </c>
      <c r="DD138">
        <f>2650.2</f>
        <v>2650.2</v>
      </c>
      <c r="DE138">
        <f>2821.8</f>
        <v>2821.8</v>
      </c>
      <c r="DF138">
        <f>4245.9</f>
        <v>4245.8999999999996</v>
      </c>
      <c r="DG138">
        <f>3570.2</f>
        <v>3570.2</v>
      </c>
      <c r="DH138">
        <f>4010</f>
        <v>4010</v>
      </c>
      <c r="DI138">
        <f>3399.6</f>
        <v>3399.6</v>
      </c>
      <c r="DJ138">
        <f>4725.2</f>
        <v>4725.2</v>
      </c>
      <c r="DK138">
        <f>4563.200195</f>
        <v>4563.2001950000003</v>
      </c>
      <c r="DL138">
        <f>4458.3</f>
        <v>4458.3</v>
      </c>
      <c r="DM138">
        <f>4777</f>
        <v>4777</v>
      </c>
      <c r="DN138" t="str">
        <f>""</f>
        <v/>
      </c>
      <c r="DO138" t="str">
        <f>""</f>
        <v/>
      </c>
      <c r="DP138" t="str">
        <f>""</f>
        <v/>
      </c>
      <c r="DQ138" t="str">
        <f>""</f>
        <v/>
      </c>
      <c r="DR138" t="str">
        <f>""</f>
        <v/>
      </c>
      <c r="DS138" t="str">
        <f>""</f>
        <v/>
      </c>
      <c r="DT138" t="str">
        <f>""</f>
        <v/>
      </c>
      <c r="DU138" t="str">
        <f>""</f>
        <v/>
      </c>
    </row>
    <row r="139" spans="1:125" x14ac:dyDescent="0.25">
      <c r="A139" t="str">
        <f>"            Check"</f>
        <v xml:space="preserve">            Check</v>
      </c>
      <c r="B139" t="str">
        <f>"KER FP Equity"</f>
        <v>KER FP Equity</v>
      </c>
      <c r="E139" t="str">
        <f>"Expression"</f>
        <v>Expression</v>
      </c>
      <c r="F139" t="str">
        <f ca="1">IF(AND($B$158=1,LEN($F$137) * LEN($F$138)&gt;0),$F$137-$F$138,HLOOKUP(INDIRECT(ADDRESS(2,COLUMN())),OFFSET($BN$2,0,0,ROW()-1,60),ROW()-1,FALSE))</f>
        <v/>
      </c>
      <c r="G139">
        <f ca="1">IF(AND($B$158=1,LEN($G$137) * LEN($G$138)&gt;0),$G$137-$G$138,HLOOKUP(INDIRECT(ADDRESS(2,COLUMN())),OFFSET($BN$2,0,0,ROW()-1,60),ROW()-1,FALSE))</f>
        <v>0</v>
      </c>
      <c r="H139">
        <f ca="1">IF(AND($B$158=1,LEN($H$137) * LEN($H$138)&gt;0),$H$137-$H$138,HLOOKUP(INDIRECT(ADDRESS(2,COLUMN())),OFFSET($BN$2,0,0,ROW()-1,60),ROW()-1,FALSE))</f>
        <v>0</v>
      </c>
      <c r="I139">
        <f ca="1">IF(AND($B$158=1,LEN($I$137) * LEN($I$138)&gt;0),$I$137-$I$138,HLOOKUP(INDIRECT(ADDRESS(2,COLUMN())),OFFSET($BN$2,0,0,ROW()-1,60),ROW()-1,FALSE))</f>
        <v>0</v>
      </c>
      <c r="J139">
        <f ca="1">IF(AND($B$158=1,LEN($J$137) * LEN($J$138)&gt;0),$J$137-$J$138,HLOOKUP(INDIRECT(ADDRESS(2,COLUMN())),OFFSET($BN$2,0,0,ROW()-1,60),ROW()-1,FALSE))</f>
        <v>0</v>
      </c>
      <c r="K139">
        <f ca="1">IF(AND($B$158=1,LEN($K$137) * LEN($K$138)&gt;0),$K$137-$K$138,HLOOKUP(INDIRECT(ADDRESS(2,COLUMN())),OFFSET($BN$2,0,0,ROW()-1,60),ROW()-1,FALSE))</f>
        <v>0</v>
      </c>
      <c r="L139">
        <f ca="1">IF(AND($B$158=1,LEN($L$137) * LEN($L$138)&gt;0),$L$137-$L$138,HLOOKUP(INDIRECT(ADDRESS(2,COLUMN())),OFFSET($BN$2,0,0,ROW()-1,60),ROW()-1,FALSE))</f>
        <v>0</v>
      </c>
      <c r="M139">
        <f ca="1">IF(AND($B$158=1,LEN($M$137) * LEN($M$138)&gt;0),$M$137-$M$138,HLOOKUP(INDIRECT(ADDRESS(2,COLUMN())),OFFSET($BN$2,0,0,ROW()-1,60),ROW()-1,FALSE))</f>
        <v>0</v>
      </c>
      <c r="N139">
        <f ca="1">IF(AND($B$158=1,LEN($N$137) * LEN($N$138)&gt;0),$N$137-$N$138,HLOOKUP(INDIRECT(ADDRESS(2,COLUMN())),OFFSET($BN$2,0,0,ROW()-1,60),ROW()-1,FALSE))</f>
        <v>0</v>
      </c>
      <c r="O139">
        <f ca="1">IF(AND($B$158=1,LEN($O$137) * LEN($O$138)&gt;0),$O$137-$O$138,HLOOKUP(INDIRECT(ADDRESS(2,COLUMN())),OFFSET($BN$2,0,0,ROW()-1,60),ROW()-1,FALSE))</f>
        <v>0</v>
      </c>
      <c r="P139">
        <f ca="1">IF(AND($B$158=1,LEN($P$137) * LEN($P$138)&gt;0),$P$137-$P$138,HLOOKUP(INDIRECT(ADDRESS(2,COLUMN())),OFFSET($BN$2,0,0,ROW()-1,60),ROW()-1,FALSE))</f>
        <v>0</v>
      </c>
      <c r="Q139">
        <f ca="1">IF(AND($B$158=1,LEN($Q$137) * LEN($Q$138)&gt;0),$Q$137-$Q$138,HLOOKUP(INDIRECT(ADDRESS(2,COLUMN())),OFFSET($BN$2,0,0,ROW()-1,60),ROW()-1,FALSE))</f>
        <v>0</v>
      </c>
      <c r="R139">
        <f ca="1">IF(AND($B$158=1,LEN($R$137) * LEN($R$138)&gt;0),$R$137-$R$138,HLOOKUP(INDIRECT(ADDRESS(2,COLUMN())),OFFSET($BN$2,0,0,ROW()-1,60),ROW()-1,FALSE))</f>
        <v>1.9</v>
      </c>
      <c r="S139">
        <f ca="1">IF(AND($B$158=1,LEN($S$137) * LEN($S$138)&gt;0),$S$137-$S$138,HLOOKUP(INDIRECT(ADDRESS(2,COLUMN())),OFFSET($BN$2,0,0,ROW()-1,60),ROW()-1,FALSE))</f>
        <v>0</v>
      </c>
      <c r="T139">
        <f ca="1">IF(AND($B$158=1,LEN($T$137) * LEN($T$138)&gt;0),$T$137-$T$138,HLOOKUP(INDIRECT(ADDRESS(2,COLUMN())),OFFSET($BN$2,0,0,ROW()-1,60),ROW()-1,FALSE))</f>
        <v>-1.9</v>
      </c>
      <c r="U139">
        <f ca="1">IF(AND($B$158=1,LEN($U$137) * LEN($U$138)&gt;0),$U$137-$U$138,HLOOKUP(INDIRECT(ADDRESS(2,COLUMN())),OFFSET($BN$2,0,0,ROW()-1,60),ROW()-1,FALSE))</f>
        <v>1.6</v>
      </c>
      <c r="V139">
        <f ca="1">IF(AND($B$158=1,LEN($V$137) * LEN($V$138)&gt;0),$V$137-$V$138,HLOOKUP(INDIRECT(ADDRESS(2,COLUMN())),OFFSET($BN$2,0,0,ROW()-1,60),ROW()-1,FALSE))</f>
        <v>0</v>
      </c>
      <c r="W139">
        <f ca="1">IF(AND($B$158=1,LEN($W$137) * LEN($W$138)&gt;0),$W$137-$W$138,HLOOKUP(INDIRECT(ADDRESS(2,COLUMN())),OFFSET($BN$2,0,0,ROW()-1,60),ROW()-1,FALSE))</f>
        <v>1259.8</v>
      </c>
      <c r="X139">
        <f ca="1">IF(AND($B$158=1,LEN($X$137) * LEN($X$138)&gt;0),$X$137-$X$138,HLOOKUP(INDIRECT(ADDRESS(2,COLUMN())),OFFSET($BN$2,0,0,ROW()-1,60),ROW()-1,FALSE))</f>
        <v>1095.0999999999999</v>
      </c>
      <c r="Y139">
        <f ca="1">IF(AND($B$158=1,LEN($Y$137) * LEN($Y$138)&gt;0),$Y$137-$Y$138,HLOOKUP(INDIRECT(ADDRESS(2,COLUMN())),OFFSET($BN$2,0,0,ROW()-1,60),ROW()-1,FALSE))</f>
        <v>0</v>
      </c>
      <c r="Z139">
        <f ca="1">IF(AND($B$158=1,LEN($Z$137) * LEN($Z$138)&gt;0),$Z$137-$Z$138,HLOOKUP(INDIRECT(ADDRESS(2,COLUMN())),OFFSET($BN$2,0,0,ROW()-1,60),ROW()-1,FALSE))</f>
        <v>0</v>
      </c>
      <c r="AA139">
        <f ca="1">IF(AND($B$158=1,LEN($AA$137) * LEN($AA$138)&gt;0),$AA$137-$AA$138,HLOOKUP(INDIRECT(ADDRESS(2,COLUMN())),OFFSET($BN$2,0,0,ROW()-1,60),ROW()-1,FALSE))</f>
        <v>0</v>
      </c>
      <c r="AB139">
        <f ca="1">IF(AND($B$158=1,LEN($AB$137) * LEN($AB$138)&gt;0),$AB$137-$AB$138,HLOOKUP(INDIRECT(ADDRESS(2,COLUMN())),OFFSET($BN$2,0,0,ROW()-1,60),ROW()-1,FALSE))</f>
        <v>-0.2</v>
      </c>
      <c r="AC139">
        <f ca="1">IF(AND($B$158=1,LEN($AC$137) * LEN($AC$138)&gt;0),$AC$137-$AC$138,HLOOKUP(INDIRECT(ADDRESS(2,COLUMN())),OFFSET($BN$2,0,0,ROW()-1,60),ROW()-1,FALSE))</f>
        <v>0.2</v>
      </c>
      <c r="AD139">
        <f ca="1">IF(AND($B$158=1,LEN($AD$137) * LEN($AD$138)&gt;0),$AD$137-$AD$138,HLOOKUP(INDIRECT(ADDRESS(2,COLUMN())),OFFSET($BN$2,0,0,ROW()-1,60),ROW()-1,FALSE))</f>
        <v>0</v>
      </c>
      <c r="AE139">
        <f ca="1">IF(AND($B$158=1,LEN($AE$137) * LEN($AE$138)&gt;0),$AE$137-$AE$138,HLOOKUP(INDIRECT(ADDRESS(2,COLUMN())),OFFSET($BN$2,0,0,ROW()-1,60),ROW()-1,FALSE))</f>
        <v>0</v>
      </c>
      <c r="AF139">
        <f ca="1">IF(AND($B$158=1,LEN($AF$137) * LEN($AF$138)&gt;0),$AF$137-$AF$138,HLOOKUP(INDIRECT(ADDRESS(2,COLUMN())),OFFSET($BN$2,0,0,ROW()-1,60),ROW()-1,FALSE))</f>
        <v>0</v>
      </c>
      <c r="AG139">
        <f ca="1">IF(AND($B$158=1,LEN($AG$137) * LEN($AG$138)&gt;0),$AG$137-$AG$138,HLOOKUP(INDIRECT(ADDRESS(2,COLUMN())),OFFSET($BN$2,0,0,ROW()-1,60),ROW()-1,FALSE))</f>
        <v>0</v>
      </c>
      <c r="AH139">
        <f ca="1">IF(AND($B$158=1,LEN($AH$137) * LEN($AH$138)&gt;0),$AH$137-$AH$138,HLOOKUP(INDIRECT(ADDRESS(2,COLUMN())),OFFSET($BN$2,0,0,ROW()-1,60),ROW()-1,FALSE))</f>
        <v>0</v>
      </c>
      <c r="AI139">
        <f ca="1">IF(AND($B$158=1,LEN($AI$137) * LEN($AI$138)&gt;0),$AI$137-$AI$138,HLOOKUP(INDIRECT(ADDRESS(2,COLUMN())),OFFSET($BN$2,0,0,ROW()-1,60),ROW()-1,FALSE))</f>
        <v>0</v>
      </c>
      <c r="AJ139">
        <f ca="1">IF(AND($B$158=1,LEN($AJ$137) * LEN($AJ$138)&gt;0),$AJ$137-$AJ$138,HLOOKUP(INDIRECT(ADDRESS(2,COLUMN())),OFFSET($BN$2,0,0,ROW()-1,60),ROW()-1,FALSE))</f>
        <v>0</v>
      </c>
      <c r="AK139">
        <f ca="1">IF(AND($B$158=1,LEN($AK$137) * LEN($AK$138)&gt;0),$AK$137-$AK$138,HLOOKUP(INDIRECT(ADDRESS(2,COLUMN())),OFFSET($BN$2,0,0,ROW()-1,60),ROW()-1,FALSE))</f>
        <v>0</v>
      </c>
      <c r="AL139">
        <f ca="1">IF(AND($B$158=1,LEN($AL$137) * LEN($AL$138)&gt;0),$AL$137-$AL$138,HLOOKUP(INDIRECT(ADDRESS(2,COLUMN())),OFFSET($BN$2,0,0,ROW()-1,60),ROW()-1,FALSE))</f>
        <v>25.1</v>
      </c>
      <c r="AM139">
        <f ca="1">IF(AND($B$158=1,LEN($AM$137) * LEN($AM$138)&gt;0),$AM$137-$AM$138,HLOOKUP(INDIRECT(ADDRESS(2,COLUMN())),OFFSET($BN$2,0,0,ROW()-1,60),ROW()-1,FALSE))</f>
        <v>0</v>
      </c>
      <c r="AN139">
        <f ca="1">IF(AND($B$158=1,LEN($AN$137) * LEN($AN$138)&gt;0),$AN$137-$AN$138,HLOOKUP(INDIRECT(ADDRESS(2,COLUMN())),OFFSET($BN$2,0,0,ROW()-1,60),ROW()-1,FALSE))</f>
        <v>0</v>
      </c>
      <c r="AO139">
        <f ca="1">IF(AND($B$158=1,LEN($AO$137) * LEN($AO$138)&gt;0),$AO$137-$AO$138,HLOOKUP(INDIRECT(ADDRESS(2,COLUMN())),OFFSET($BN$2,0,0,ROW()-1,60),ROW()-1,FALSE))</f>
        <v>-0.1</v>
      </c>
      <c r="AP139">
        <f ca="1">IF(AND($B$158=1,LEN($AP$137) * LEN($AP$138)&gt;0),$AP$137-$AP$138,HLOOKUP(INDIRECT(ADDRESS(2,COLUMN())),OFFSET($BN$2,0,0,ROW()-1,60),ROW()-1,FALSE))</f>
        <v>0</v>
      </c>
      <c r="AQ139">
        <f ca="1">IF(AND($B$158=1,LEN($AQ$137) * LEN($AQ$138)&gt;0),$AQ$137-$AQ$138,HLOOKUP(INDIRECT(ADDRESS(2,COLUMN())),OFFSET($BN$2,0,0,ROW()-1,60),ROW()-1,FALSE))</f>
        <v>0</v>
      </c>
      <c r="AR139">
        <f ca="1">IF(AND($B$158=1,LEN($AR$137) * LEN($AR$138)&gt;0),$AR$137-$AR$138,HLOOKUP(INDIRECT(ADDRESS(2,COLUMN())),OFFSET($BN$2,0,0,ROW()-1,60),ROW()-1,FALSE))</f>
        <v>0</v>
      </c>
      <c r="AS139">
        <f ca="1">IF(AND($B$158=1,LEN($AS$137) * LEN($AS$138)&gt;0),$AS$137-$AS$138,HLOOKUP(INDIRECT(ADDRESS(2,COLUMN())),OFFSET($BN$2,0,0,ROW()-1,60),ROW()-1,FALSE))</f>
        <v>0</v>
      </c>
      <c r="AT139">
        <f ca="1">IF(AND($B$158=1,LEN($AT$137) * LEN($AT$138)&gt;0),$AT$137-$AT$138,HLOOKUP(INDIRECT(ADDRESS(2,COLUMN())),OFFSET($BN$2,0,0,ROW()-1,60),ROW()-1,FALSE))</f>
        <v>0</v>
      </c>
      <c r="AU139">
        <f ca="1">IF(AND($B$158=1,LEN($AU$137) * LEN($AU$138)&gt;0),$AU$137-$AU$138,HLOOKUP(INDIRECT(ADDRESS(2,COLUMN())),OFFSET($BN$2,0,0,ROW()-1,60),ROW()-1,FALSE))</f>
        <v>0.1</v>
      </c>
      <c r="AV139">
        <f ca="1">IF(AND($B$158=1,LEN($AV$137) * LEN($AV$138)&gt;0),$AV$137-$AV$138,HLOOKUP(INDIRECT(ADDRESS(2,COLUMN())),OFFSET($BN$2,0,0,ROW()-1,60),ROW()-1,FALSE))</f>
        <v>0</v>
      </c>
      <c r="AW139">
        <f ca="1">IF(AND($B$158=1,LEN($AW$137) * LEN($AW$138)&gt;0),$AW$137-$AW$138,HLOOKUP(INDIRECT(ADDRESS(2,COLUMN())),OFFSET($BN$2,0,0,ROW()-1,60),ROW()-1,FALSE))</f>
        <v>0</v>
      </c>
      <c r="AX139">
        <f ca="1">IF(AND($B$158=1,LEN($AX$137) * LEN($AX$138)&gt;0),$AX$137-$AX$138,HLOOKUP(INDIRECT(ADDRESS(2,COLUMN())),OFFSET($BN$2,0,0,ROW()-1,60),ROW()-1,FALSE))</f>
        <v>0</v>
      </c>
      <c r="AY139">
        <f ca="1">IF(AND($B$158=1,LEN($AY$137) * LEN($AY$138)&gt;0),$AY$137-$AY$138,HLOOKUP(INDIRECT(ADDRESS(2,COLUMN())),OFFSET($BN$2,0,0,ROW()-1,60),ROW()-1,FALSE))</f>
        <v>0</v>
      </c>
      <c r="AZ139">
        <f ca="1">IF(AND($B$158=1,LEN($AZ$137) * LEN($AZ$138)&gt;0),$AZ$137-$AZ$138,HLOOKUP(INDIRECT(ADDRESS(2,COLUMN())),OFFSET($BN$2,0,0,ROW()-1,60),ROW()-1,FALSE))</f>
        <v>-684.1</v>
      </c>
      <c r="BA139">
        <f ca="1">IF(AND($B$158=1,LEN($BA$137) * LEN($BA$138)&gt;0),$BA$137-$BA$138,HLOOKUP(INDIRECT(ADDRESS(2,COLUMN())),OFFSET($BN$2,0,0,ROW()-1,60),ROW()-1,FALSE))</f>
        <v>0</v>
      </c>
      <c r="BB139">
        <f ca="1">IF(AND($B$158=1,LEN($BB$137) * LEN($BB$138)&gt;0),$BB$137-$BB$138,HLOOKUP(INDIRECT(ADDRESS(2,COLUMN())),OFFSET($BN$2,0,0,ROW()-1,60),ROW()-1,FALSE))</f>
        <v>-852</v>
      </c>
      <c r="BC139">
        <f ca="1">IF(AND($B$158=1,LEN($BC$137) * LEN($BC$138)&gt;0),$BC$137-$BC$138,HLOOKUP(INDIRECT(ADDRESS(2,COLUMN())),OFFSET($BN$2,0,0,ROW()-1,60),ROW()-1,FALSE))</f>
        <v>-1.95E-4</v>
      </c>
      <c r="BD139">
        <f ca="1">IF(AND($B$158=1,LEN($BD$137) * LEN($BD$138)&gt;0),$BD$137-$BD$138,HLOOKUP(INDIRECT(ADDRESS(2,COLUMN())),OFFSET($BN$2,0,0,ROW()-1,60),ROW()-1,FALSE))</f>
        <v>-687.6</v>
      </c>
      <c r="BE139">
        <f ca="1">IF(AND($B$158=1,LEN($BE$137) * LEN($BE$138)&gt;0),$BE$137-$BE$138,HLOOKUP(INDIRECT(ADDRESS(2,COLUMN())),OFFSET($BN$2,0,0,ROW()-1,60),ROW()-1,FALSE))</f>
        <v>0</v>
      </c>
      <c r="BF139" t="str">
        <f ca="1">IF(AND($B$158=1,LEN($BF$137) * LEN($BF$138)&gt;0),$BF$137-$BF$138,HLOOKUP(INDIRECT(ADDRESS(2,COLUMN())),OFFSET($BN$2,0,0,ROW()-1,60),ROW()-1,FALSE))</f>
        <v/>
      </c>
      <c r="BG139" t="str">
        <f ca="1">IF(AND($B$158=1,LEN($BG$137) * LEN($BG$138)&gt;0),$BG$137-$BG$138,HLOOKUP(INDIRECT(ADDRESS(2,COLUMN())),OFFSET($BN$2,0,0,ROW()-1,60),ROW()-1,FALSE))</f>
        <v/>
      </c>
      <c r="BH139" t="str">
        <f ca="1">IF(AND($B$158=1,LEN($BH$137) * LEN($BH$138)&gt;0),$BH$137-$BH$138,HLOOKUP(INDIRECT(ADDRESS(2,COLUMN())),OFFSET($BN$2,0,0,ROW()-1,60),ROW()-1,FALSE))</f>
        <v/>
      </c>
      <c r="BI139" t="str">
        <f ca="1">IF(AND($B$158=1,LEN($BI$137) * LEN($BI$138)&gt;0),$BI$137-$BI$138,HLOOKUP(INDIRECT(ADDRESS(2,COLUMN())),OFFSET($BN$2,0,0,ROW()-1,60),ROW()-1,FALSE))</f>
        <v/>
      </c>
      <c r="BJ139" t="str">
        <f ca="1">IF(AND($B$158=1,LEN($BJ$137) * LEN($BJ$138)&gt;0),$BJ$137-$BJ$138,HLOOKUP(INDIRECT(ADDRESS(2,COLUMN())),OFFSET($BN$2,0,0,ROW()-1,60),ROW()-1,FALSE))</f>
        <v/>
      </c>
      <c r="BK139" t="str">
        <f ca="1">IF(AND($B$158=1,LEN($BK$137) * LEN($BK$138)&gt;0),$BK$137-$BK$138,HLOOKUP(INDIRECT(ADDRESS(2,COLUMN())),OFFSET($BN$2,0,0,ROW()-1,60),ROW()-1,FALSE))</f>
        <v/>
      </c>
      <c r="BL139" t="str">
        <f ca="1">IF(AND($B$158=1,LEN($BL$137) * LEN($BL$138)&gt;0),$BL$137-$BL$138,HLOOKUP(INDIRECT(ADDRESS(2,COLUMN())),OFFSET($BN$2,0,0,ROW()-1,60),ROW()-1,FALSE))</f>
        <v/>
      </c>
      <c r="BM139" t="str">
        <f ca="1">IF(AND($B$158=1,LEN($BM$137) * LEN($BM$138)&gt;0),$BM$137-$BM$138,HLOOKUP(INDIRECT(ADDRESS(2,COLUMN())),OFFSET($BN$2,0,0,ROW()-1,60),ROW()-1,FALSE))</f>
        <v/>
      </c>
      <c r="BN139" t="str">
        <f>""</f>
        <v/>
      </c>
      <c r="BO139">
        <f>0</f>
        <v>0</v>
      </c>
      <c r="BP139">
        <f>0</f>
        <v>0</v>
      </c>
      <c r="BQ139">
        <f>0</f>
        <v>0</v>
      </c>
      <c r="BR139">
        <f>0</f>
        <v>0</v>
      </c>
      <c r="BS139">
        <f>0</f>
        <v>0</v>
      </c>
      <c r="BT139">
        <f>0</f>
        <v>0</v>
      </c>
      <c r="BU139">
        <f>0</f>
        <v>0</v>
      </c>
      <c r="BV139">
        <f>0</f>
        <v>0</v>
      </c>
      <c r="BW139">
        <f>0</f>
        <v>0</v>
      </c>
      <c r="BX139">
        <f>0</f>
        <v>0</v>
      </c>
      <c r="BY139">
        <f>0</f>
        <v>0</v>
      </c>
      <c r="BZ139">
        <f>1.9</f>
        <v>1.9</v>
      </c>
      <c r="CA139">
        <f>0</f>
        <v>0</v>
      </c>
      <c r="CB139">
        <f>-1.9</f>
        <v>-1.9</v>
      </c>
      <c r="CC139">
        <f>1.6</f>
        <v>1.6</v>
      </c>
      <c r="CD139">
        <f>0</f>
        <v>0</v>
      </c>
      <c r="CE139">
        <f>1259.8</f>
        <v>1259.8</v>
      </c>
      <c r="CF139">
        <f>1095.1</f>
        <v>1095.0999999999999</v>
      </c>
      <c r="CG139">
        <f>0</f>
        <v>0</v>
      </c>
      <c r="CH139">
        <f>0</f>
        <v>0</v>
      </c>
      <c r="CI139">
        <f>0</f>
        <v>0</v>
      </c>
      <c r="CJ139">
        <f>-0.2</f>
        <v>-0.2</v>
      </c>
      <c r="CK139">
        <f>0.2</f>
        <v>0.2</v>
      </c>
      <c r="CL139">
        <f>0</f>
        <v>0</v>
      </c>
      <c r="CM139">
        <f>0</f>
        <v>0</v>
      </c>
      <c r="CN139">
        <f>0</f>
        <v>0</v>
      </c>
      <c r="CO139">
        <f>0</f>
        <v>0</v>
      </c>
      <c r="CP139">
        <f>0</f>
        <v>0</v>
      </c>
      <c r="CQ139">
        <f>0</f>
        <v>0</v>
      </c>
      <c r="CR139">
        <f>0</f>
        <v>0</v>
      </c>
      <c r="CS139">
        <f>0</f>
        <v>0</v>
      </c>
      <c r="CT139">
        <f>25.1</f>
        <v>25.1</v>
      </c>
      <c r="CU139">
        <f>0</f>
        <v>0</v>
      </c>
      <c r="CV139">
        <f>0</f>
        <v>0</v>
      </c>
      <c r="CW139">
        <f>-0.1</f>
        <v>-0.1</v>
      </c>
      <c r="CX139">
        <f>0</f>
        <v>0</v>
      </c>
      <c r="CY139">
        <f>0</f>
        <v>0</v>
      </c>
      <c r="CZ139">
        <f>0</f>
        <v>0</v>
      </c>
      <c r="DA139">
        <f>0</f>
        <v>0</v>
      </c>
      <c r="DB139">
        <f>0</f>
        <v>0</v>
      </c>
      <c r="DC139">
        <f>0.1</f>
        <v>0.1</v>
      </c>
      <c r="DD139">
        <f>0</f>
        <v>0</v>
      </c>
      <c r="DE139">
        <f>0</f>
        <v>0</v>
      </c>
      <c r="DF139">
        <f>0</f>
        <v>0</v>
      </c>
      <c r="DG139">
        <f>0</f>
        <v>0</v>
      </c>
      <c r="DH139">
        <f>-684.1</f>
        <v>-684.1</v>
      </c>
      <c r="DI139">
        <f>0</f>
        <v>0</v>
      </c>
      <c r="DJ139">
        <f>-852</f>
        <v>-852</v>
      </c>
      <c r="DK139">
        <f>-0.000195</f>
        <v>-1.95E-4</v>
      </c>
      <c r="DL139">
        <f>-687.6</f>
        <v>-687.6</v>
      </c>
      <c r="DM139">
        <f>0</f>
        <v>0</v>
      </c>
      <c r="DN139" t="str">
        <f>""</f>
        <v/>
      </c>
      <c r="DO139" t="str">
        <f>""</f>
        <v/>
      </c>
      <c r="DP139" t="str">
        <f>""</f>
        <v/>
      </c>
      <c r="DQ139" t="str">
        <f>""</f>
        <v/>
      </c>
      <c r="DR139" t="str">
        <f>""</f>
        <v/>
      </c>
      <c r="DS139" t="str">
        <f>""</f>
        <v/>
      </c>
      <c r="DT139" t="str">
        <f>""</f>
        <v/>
      </c>
      <c r="DU139" t="str">
        <f>""</f>
        <v/>
      </c>
    </row>
    <row r="140" spans="1:125" x14ac:dyDescent="0.25">
      <c r="A140" t="str">
        <f>"    Estimated Sales"</f>
        <v xml:space="preserve">    Estimated Sales</v>
      </c>
      <c r="B140" t="str">
        <f>"KER FP Equity"</f>
        <v>KER FP Equity</v>
      </c>
      <c r="C140" t="str">
        <f>"IS902"</f>
        <v>IS902</v>
      </c>
      <c r="D140" t="str">
        <f>"IS_COMP_SALES"</f>
        <v>IS_COMP_SALES</v>
      </c>
      <c r="E140" t="str">
        <f>"Dynamic"</f>
        <v>Dynamic</v>
      </c>
      <c r="F140" t="str">
        <f ca="1">IF(AND(ISNUMBER($F$254),$B$158=1),$F$254,HLOOKUP(INDIRECT(ADDRESS(2,COLUMN())),OFFSET($BN$2,0,0,ROW()-1,60),ROW()-1,FALSE))</f>
        <v/>
      </c>
      <c r="G140">
        <f ca="1">IF(AND(ISNUMBER($G$254),$B$158=1),$G$254,HLOOKUP(INDIRECT(ADDRESS(2,COLUMN())),OFFSET($BN$2,0,0,ROW()-1,60),ROW()-1,FALSE))</f>
        <v>4039.6669999999999</v>
      </c>
      <c r="H140">
        <f ca="1">IF(AND(ISNUMBER($H$254),$B$158=1),$H$254,HLOOKUP(INDIRECT(ADDRESS(2,COLUMN())),OFFSET($BN$2,0,0,ROW()-1,60),ROW()-1,FALSE))</f>
        <v>3943.875</v>
      </c>
      <c r="I140">
        <f ca="1">IF(AND(ISNUMBER($I$254),$B$158=1),$I$254,HLOOKUP(INDIRECT(ADDRESS(2,COLUMN())),OFFSET($BN$2,0,0,ROW()-1,60),ROW()-1,FALSE))</f>
        <v>3576.6</v>
      </c>
      <c r="J140">
        <f ca="1">IF(AND(ISNUMBER($J$254),$B$158=1),$J$254,HLOOKUP(INDIRECT(ADDRESS(2,COLUMN())),OFFSET($BN$2,0,0,ROW()-1,60),ROW()-1,FALSE))</f>
        <v>4208.6670000000004</v>
      </c>
      <c r="K140">
        <f ca="1">IF(AND(ISNUMBER($K$254),$B$158=1),$K$254,HLOOKUP(INDIRECT(ADDRESS(2,COLUMN())),OFFSET($BN$2,0,0,ROW()-1,60),ROW()-1,FALSE))</f>
        <v>3452.25</v>
      </c>
      <c r="L140">
        <f ca="1">IF(AND(ISNUMBER($L$254),$B$158=1),$L$254,HLOOKUP(INDIRECT(ADDRESS(2,COLUMN())),OFFSET($BN$2,0,0,ROW()-1,60),ROW()-1,FALSE))</f>
        <v>3106</v>
      </c>
      <c r="M140">
        <f ca="1">IF(AND(ISNUMBER($M$254),$B$158=1),$M$254,HLOOKUP(INDIRECT(ADDRESS(2,COLUMN())),OFFSET($BN$2,0,0,ROW()-1,60),ROW()-1,FALSE))</f>
        <v>4086.25</v>
      </c>
      <c r="N140">
        <f ca="1">IF(AND(ISNUMBER($N$254),$B$158=1),$N$254,HLOOKUP(INDIRECT(ADDRESS(2,COLUMN())),OFFSET($BN$2,0,0,ROW()-1,60),ROW()-1,FALSE))</f>
        <v>4140.3329999999996</v>
      </c>
      <c r="O140">
        <f ca="1">IF(AND(ISNUMBER($O$254),$B$158=1),$O$254,HLOOKUP(INDIRECT(ADDRESS(2,COLUMN())),OFFSET($BN$2,0,0,ROW()-1,60),ROW()-1,FALSE))</f>
        <v>4035</v>
      </c>
      <c r="P140">
        <f ca="1">IF(AND(ISNUMBER($P$254),$B$158=1),$P$254,HLOOKUP(INDIRECT(ADDRESS(2,COLUMN())),OFFSET($BN$2,0,0,ROW()-1,60),ROW()-1,FALSE))</f>
        <v>4123.75</v>
      </c>
      <c r="Q140">
        <f ca="1">IF(AND(ISNUMBER($Q$254),$B$158=1),$Q$254,HLOOKUP(INDIRECT(ADDRESS(2,COLUMN())),OFFSET($BN$2,0,0,ROW()-1,60),ROW()-1,FALSE))</f>
        <v>3702.6669999999999</v>
      </c>
      <c r="R140">
        <f ca="1">IF(AND(ISNUMBER($R$254),$B$158=1),$R$254,HLOOKUP(INDIRECT(ADDRESS(2,COLUMN())),OFFSET($BN$2,0,0,ROW()-1,60),ROW()-1,FALSE))</f>
        <v>3795.3330000000001</v>
      </c>
      <c r="S140">
        <f ca="1">IF(AND(ISNUMBER($S$254),$B$158=1),$S$254,HLOOKUP(INDIRECT(ADDRESS(2,COLUMN())),OFFSET($BN$2,0,0,ROW()-1,60),ROW()-1,FALSE))</f>
        <v>3462.25</v>
      </c>
      <c r="T140">
        <f ca="1">IF(AND(ISNUMBER($T$254),$B$158=1),$T$254,HLOOKUP(INDIRECT(ADDRESS(2,COLUMN())),OFFSET($BN$2,0,0,ROW()-1,60),ROW()-1,FALSE))</f>
        <v>3507</v>
      </c>
      <c r="U140">
        <f ca="1">IF(AND(ISNUMBER($U$254),$B$158=1),$U$254,HLOOKUP(INDIRECT(ADDRESS(2,COLUMN())),OFFSET($BN$2,0,0,ROW()-1,60),ROW()-1,FALSE))</f>
        <v>2813.6</v>
      </c>
      <c r="V140">
        <f ca="1">IF(AND(ISNUMBER($V$254),$B$158=1),$V$254,HLOOKUP(INDIRECT(ADDRESS(2,COLUMN())),OFFSET($BN$2,0,0,ROW()-1,60),ROW()-1,FALSE))</f>
        <v>4192.8</v>
      </c>
      <c r="W140">
        <f ca="1">IF(AND(ISNUMBER($W$254),$B$158=1),$W$254,HLOOKUP(INDIRECT(ADDRESS(2,COLUMN())),OFFSET($BN$2,0,0,ROW()-1,60),ROW()-1,FALSE))</f>
        <v>3726.1669999999999</v>
      </c>
      <c r="X140">
        <f ca="1">IF(AND(ISNUMBER($X$254),$B$158=1),$X$254,HLOOKUP(INDIRECT(ADDRESS(2,COLUMN())),OFFSET($BN$2,0,0,ROW()-1,60),ROW()-1,FALSE))</f>
        <v>3640.4290000000001</v>
      </c>
      <c r="Y140">
        <f ca="1">IF(AND(ISNUMBER($Y$254),$B$158=1),$Y$254,HLOOKUP(INDIRECT(ADDRESS(2,COLUMN())),OFFSET($BN$2,0,0,ROW()-1,60),ROW()-1,FALSE))</f>
        <v>3162</v>
      </c>
      <c r="Z140">
        <f ca="1">IF(AND(ISNUMBER($Z$254),$B$158=1),$Z$254,HLOOKUP(INDIRECT(ADDRESS(2,COLUMN())),OFFSET($BN$2,0,0,ROW()-1,60),ROW()-1,FALSE))</f>
        <v>3428</v>
      </c>
      <c r="AA140">
        <f ca="1">IF(AND(ISNUMBER($AA$254),$B$158=1),$AA$254,HLOOKUP(INDIRECT(ADDRESS(2,COLUMN())),OFFSET($BN$2,0,0,ROW()-1,60),ROW()-1,FALSE))</f>
        <v>3097</v>
      </c>
      <c r="AB140">
        <f ca="1">IF(AND(ISNUMBER($AB$254),$B$158=1),$AB$254,HLOOKUP(INDIRECT(ADDRESS(2,COLUMN())),OFFSET($BN$2,0,0,ROW()-1,60),ROW()-1,FALSE))</f>
        <v>2881</v>
      </c>
      <c r="AC140">
        <f ca="1">IF(AND(ISNUMBER($AC$254),$B$158=1),$AC$254,HLOOKUP(INDIRECT(ADDRESS(2,COLUMN())),OFFSET($BN$2,0,0,ROW()-1,60),ROW()-1,FALSE))</f>
        <v>2778.25</v>
      </c>
      <c r="AD140">
        <f ca="1">IF(AND(ISNUMBER($AD$254),$B$158=1),$AD$254,HLOOKUP(INDIRECT(ADDRESS(2,COLUMN())),OFFSET($BN$2,0,0,ROW()-1,60),ROW()-1,FALSE))</f>
        <v>3031.4290000000001</v>
      </c>
      <c r="AE140">
        <f ca="1">IF(AND(ISNUMBER($AE$254),$B$158=1),$AE$254,HLOOKUP(INDIRECT(ADDRESS(2,COLUMN())),OFFSET($BN$2,0,0,ROW()-1,60),ROW()-1,FALSE))</f>
        <v>2897.25</v>
      </c>
      <c r="AF140">
        <f ca="1">IF(AND(ISNUMBER($AF$254),$B$158=1),$AF$254,HLOOKUP(INDIRECT(ADDRESS(2,COLUMN())),OFFSET($BN$2,0,0,ROW()-1,60),ROW()-1,FALSE))</f>
        <v>2636.8</v>
      </c>
      <c r="AG140">
        <f ca="1">IF(AND(ISNUMBER($AG$254),$B$158=1),$AG$254,HLOOKUP(INDIRECT(ADDRESS(2,COLUMN())),OFFSET($BN$2,0,0,ROW()-1,60),ROW()-1,FALSE))</f>
        <v>2607.8000000000002</v>
      </c>
      <c r="AH140">
        <f ca="1">IF(AND(ISNUMBER($AH$254),$B$158=1),$AH$254,HLOOKUP(INDIRECT(ADDRESS(2,COLUMN())),OFFSET($BN$2,0,0,ROW()-1,60),ROW()-1,FALSE))</f>
        <v>2718.2</v>
      </c>
      <c r="AI140">
        <f ca="1">IF(AND(ISNUMBER($AI$254),$B$158=1),$AI$254,HLOOKUP(INDIRECT(ADDRESS(2,COLUMN())),OFFSET($BN$2,0,0,ROW()-1,60),ROW()-1,FALSE))</f>
        <v>2594.5450000000001</v>
      </c>
      <c r="AJ140">
        <f ca="1">IF(AND(ISNUMBER($AJ$254),$B$158=1),$AJ$254,HLOOKUP(INDIRECT(ADDRESS(2,COLUMN())),OFFSET($BN$2,0,0,ROW()-1,60),ROW()-1,FALSE))</f>
        <v>2336</v>
      </c>
      <c r="AK140">
        <f ca="1">IF(AND(ISNUMBER($AK$254),$B$158=1),$AK$254,HLOOKUP(INDIRECT(ADDRESS(2,COLUMN())),OFFSET($BN$2,0,0,ROW()-1,60),ROW()-1,FALSE))</f>
        <v>2357.6669999999999</v>
      </c>
      <c r="AL140">
        <f ca="1">IF(AND(ISNUMBER($AL$254),$B$158=1),$AL$254,HLOOKUP(INDIRECT(ADDRESS(2,COLUMN())),OFFSET($BN$2,0,0,ROW()-1,60),ROW()-1,FALSE))</f>
        <v>2505.4290000000001</v>
      </c>
      <c r="AM140">
        <f ca="1">IF(AND(ISNUMBER($AM$254),$B$158=1),$AM$254,HLOOKUP(INDIRECT(ADDRESS(2,COLUMN())),OFFSET($BN$2,0,0,ROW()-1,60),ROW()-1,FALSE))</f>
        <v>2540.75</v>
      </c>
      <c r="AN140">
        <f ca="1">IF(AND(ISNUMBER($AN$254),$B$158=1),$AN$254,HLOOKUP(INDIRECT(ADDRESS(2,COLUMN())),OFFSET($BN$2,0,0,ROW()-1,60),ROW()-1,FALSE))</f>
        <v>2292.6</v>
      </c>
      <c r="AO140">
        <f ca="1">IF(AND(ISNUMBER($AO$254),$B$158=1),$AO$254,HLOOKUP(INDIRECT(ADDRESS(2,COLUMN())),OFFSET($BN$2,0,0,ROW()-1,60),ROW()-1,FALSE))</f>
        <v>2414.25</v>
      </c>
      <c r="AP140">
        <f ca="1">IF(AND(ISNUMBER($AP$254),$B$158=1),$AP$254,HLOOKUP(INDIRECT(ADDRESS(2,COLUMN())),OFFSET($BN$2,0,0,ROW()-1,60),ROW()-1,FALSE))</f>
        <v>2426</v>
      </c>
      <c r="AQ140">
        <f ca="1">IF(AND(ISNUMBER($AQ$254),$B$158=1),$AQ$254,HLOOKUP(INDIRECT(ADDRESS(2,COLUMN())),OFFSET($BN$2,0,0,ROW()-1,60),ROW()-1,FALSE))</f>
        <v>3475.25</v>
      </c>
      <c r="AR140">
        <f ca="1">IF(AND(ISNUMBER($AR$254),$B$158=1),$AR$254,HLOOKUP(INDIRECT(ADDRESS(2,COLUMN())),OFFSET($BN$2,0,0,ROW()-1,60),ROW()-1,FALSE))</f>
        <v>3040.25</v>
      </c>
      <c r="AS140">
        <f ca="1">IF(AND(ISNUMBER($AS$254),$B$158=1),$AS$254,HLOOKUP(INDIRECT(ADDRESS(2,COLUMN())),OFFSET($BN$2,0,0,ROW()-1,60),ROW()-1,FALSE))</f>
        <v>3146.8330000000001</v>
      </c>
      <c r="AT140">
        <f ca="1">IF(AND(ISNUMBER($AT$254),$B$158=1),$AT$254,HLOOKUP(INDIRECT(ADDRESS(2,COLUMN())),OFFSET($BN$2,0,0,ROW()-1,60),ROW()-1,FALSE))</f>
        <v>2665.3330000000001</v>
      </c>
      <c r="AU140">
        <f ca="1">IF(AND(ISNUMBER($AU$254),$B$158=1),$AU$254,HLOOKUP(INDIRECT(ADDRESS(2,COLUMN())),OFFSET($BN$2,0,0,ROW()-1,60),ROW()-1,FALSE))</f>
        <v>3791.25</v>
      </c>
      <c r="AV140">
        <f ca="1">IF(AND(ISNUMBER($AV$254),$B$158=1),$AV$254,HLOOKUP(INDIRECT(ADDRESS(2,COLUMN())),OFFSET($BN$2,0,0,ROW()-1,60),ROW()-1,FALSE))</f>
        <v>3422.3330000000001</v>
      </c>
      <c r="AW140">
        <f ca="1">IF(AND(ISNUMBER($AW$254),$B$158=1),$AW$254,HLOOKUP(INDIRECT(ADDRESS(2,COLUMN())),OFFSET($BN$2,0,0,ROW()-1,60),ROW()-1,FALSE))</f>
        <v>3610</v>
      </c>
      <c r="AX140" t="str">
        <f ca="1">IF(AND(ISNUMBER($AX$254),$B$158=1),$AX$254,HLOOKUP(INDIRECT(ADDRESS(2,COLUMN())),OFFSET($BN$2,0,0,ROW()-1,60),ROW()-1,FALSE))</f>
        <v/>
      </c>
      <c r="AY140" t="str">
        <f ca="1">IF(AND(ISNUMBER($AY$254),$B$158=1),$AY$254,HLOOKUP(INDIRECT(ADDRESS(2,COLUMN())),OFFSET($BN$2,0,0,ROW()-1,60),ROW()-1,FALSE))</f>
        <v/>
      </c>
      <c r="AZ140" t="str">
        <f ca="1">IF(AND(ISNUMBER($AZ$254),$B$158=1),$AZ$254,HLOOKUP(INDIRECT(ADDRESS(2,COLUMN())),OFFSET($BN$2,0,0,ROW()-1,60),ROW()-1,FALSE))</f>
        <v/>
      </c>
      <c r="BA140" t="str">
        <f ca="1">IF(AND(ISNUMBER($BA$254),$B$158=1),$BA$254,HLOOKUP(INDIRECT(ADDRESS(2,COLUMN())),OFFSET($BN$2,0,0,ROW()-1,60),ROW()-1,FALSE))</f>
        <v/>
      </c>
      <c r="BB140" t="str">
        <f ca="1">IF(AND(ISNUMBER($BB$254),$B$158=1),$BB$254,HLOOKUP(INDIRECT(ADDRESS(2,COLUMN())),OFFSET($BN$2,0,0,ROW()-1,60),ROW()-1,FALSE))</f>
        <v/>
      </c>
      <c r="BC140" t="str">
        <f ca="1">IF(AND(ISNUMBER($BC$254),$B$158=1),$BC$254,HLOOKUP(INDIRECT(ADDRESS(2,COLUMN())),OFFSET($BN$2,0,0,ROW()-1,60),ROW()-1,FALSE))</f>
        <v/>
      </c>
      <c r="BD140" t="str">
        <f ca="1">IF(AND(ISNUMBER($BD$254),$B$158=1),$BD$254,HLOOKUP(INDIRECT(ADDRESS(2,COLUMN())),OFFSET($BN$2,0,0,ROW()-1,60),ROW()-1,FALSE))</f>
        <v/>
      </c>
      <c r="BE140">
        <f ca="1">IF(AND(ISNUMBER($BE$254),$B$158=1),$BE$254,HLOOKUP(INDIRECT(ADDRESS(2,COLUMN())),OFFSET($BN$2,0,0,ROW()-1,60),ROW()-1,FALSE))</f>
        <v>4727</v>
      </c>
      <c r="BF140" t="str">
        <f ca="1">IF(AND(ISNUMBER($BF$254),$B$158=1),$BF$254,HLOOKUP(INDIRECT(ADDRESS(2,COLUMN())),OFFSET($BN$2,0,0,ROW()-1,60),ROW()-1,FALSE))</f>
        <v/>
      </c>
      <c r="BG140" t="str">
        <f ca="1">IF(AND(ISNUMBER($BG$254),$B$158=1),$BG$254,HLOOKUP(INDIRECT(ADDRESS(2,COLUMN())),OFFSET($BN$2,0,0,ROW()-1,60),ROW()-1,FALSE))</f>
        <v/>
      </c>
      <c r="BH140" t="str">
        <f ca="1">IF(AND(ISNUMBER($BH$254),$B$158=1),$BH$254,HLOOKUP(INDIRECT(ADDRESS(2,COLUMN())),OFFSET($BN$2,0,0,ROW()-1,60),ROW()-1,FALSE))</f>
        <v/>
      </c>
      <c r="BI140" t="str">
        <f ca="1">IF(AND(ISNUMBER($BI$254),$B$158=1),$BI$254,HLOOKUP(INDIRECT(ADDRESS(2,COLUMN())),OFFSET($BN$2,0,0,ROW()-1,60),ROW()-1,FALSE))</f>
        <v/>
      </c>
      <c r="BJ140" t="str">
        <f ca="1">IF(AND(ISNUMBER($BJ$254),$B$158=1),$BJ$254,HLOOKUP(INDIRECT(ADDRESS(2,COLUMN())),OFFSET($BN$2,0,0,ROW()-1,60),ROW()-1,FALSE))</f>
        <v/>
      </c>
      <c r="BK140" t="str">
        <f ca="1">IF(AND(ISNUMBER($BK$254),$B$158=1),$BK$254,HLOOKUP(INDIRECT(ADDRESS(2,COLUMN())),OFFSET($BN$2,0,0,ROW()-1,60),ROW()-1,FALSE))</f>
        <v/>
      </c>
      <c r="BL140" t="str">
        <f ca="1">IF(AND(ISNUMBER($BL$254),$B$158=1),$BL$254,HLOOKUP(INDIRECT(ADDRESS(2,COLUMN())),OFFSET($BN$2,0,0,ROW()-1,60),ROW()-1,FALSE))</f>
        <v/>
      </c>
      <c r="BM140">
        <f ca="1">IF(AND(ISNUMBER($BM$254),$B$158=1),$BM$254,HLOOKUP(INDIRECT(ADDRESS(2,COLUMN())),OFFSET($BN$2,0,0,ROW()-1,60),ROW()-1,FALSE))</f>
        <v>4344</v>
      </c>
      <c r="BN140" t="str">
        <f>""</f>
        <v/>
      </c>
      <c r="BO140">
        <f>4039.667</f>
        <v>4039.6669999999999</v>
      </c>
      <c r="BP140">
        <f>3943.875</f>
        <v>3943.875</v>
      </c>
      <c r="BQ140">
        <f>3576.6</f>
        <v>3576.6</v>
      </c>
      <c r="BR140">
        <f>4208.667</f>
        <v>4208.6670000000004</v>
      </c>
      <c r="BS140">
        <f>3452.25</f>
        <v>3452.25</v>
      </c>
      <c r="BT140">
        <f>3106</f>
        <v>3106</v>
      </c>
      <c r="BU140">
        <f>4086.25</f>
        <v>4086.25</v>
      </c>
      <c r="BV140">
        <f>4140.333</f>
        <v>4140.3329999999996</v>
      </c>
      <c r="BW140">
        <f>4035</f>
        <v>4035</v>
      </c>
      <c r="BX140">
        <f>4123.75</f>
        <v>4123.75</v>
      </c>
      <c r="BY140">
        <f>3702.667</f>
        <v>3702.6669999999999</v>
      </c>
      <c r="BZ140">
        <f>3795.333</f>
        <v>3795.3330000000001</v>
      </c>
      <c r="CA140">
        <f>3462.25</f>
        <v>3462.25</v>
      </c>
      <c r="CB140">
        <f>3507</f>
        <v>3507</v>
      </c>
      <c r="CC140">
        <f>2813.6</f>
        <v>2813.6</v>
      </c>
      <c r="CD140">
        <f>4192.8</f>
        <v>4192.8</v>
      </c>
      <c r="CE140">
        <f>3726.167</f>
        <v>3726.1669999999999</v>
      </c>
      <c r="CF140">
        <f>3640.429</f>
        <v>3640.4290000000001</v>
      </c>
      <c r="CG140">
        <f>3162</f>
        <v>3162</v>
      </c>
      <c r="CH140">
        <f>3428</f>
        <v>3428</v>
      </c>
      <c r="CI140">
        <f>3097</f>
        <v>3097</v>
      </c>
      <c r="CJ140">
        <f>2881</f>
        <v>2881</v>
      </c>
      <c r="CK140">
        <f>2778.25</f>
        <v>2778.25</v>
      </c>
      <c r="CL140">
        <f>3031.429</f>
        <v>3031.4290000000001</v>
      </c>
      <c r="CM140">
        <f>2897.25</f>
        <v>2897.25</v>
      </c>
      <c r="CN140">
        <f>2636.8</f>
        <v>2636.8</v>
      </c>
      <c r="CO140">
        <f>2607.8</f>
        <v>2607.8000000000002</v>
      </c>
      <c r="CP140">
        <f>2718.2</f>
        <v>2718.2</v>
      </c>
      <c r="CQ140">
        <f>2594.545</f>
        <v>2594.5450000000001</v>
      </c>
      <c r="CR140">
        <f>2336</f>
        <v>2336</v>
      </c>
      <c r="CS140">
        <f>2357.667</f>
        <v>2357.6669999999999</v>
      </c>
      <c r="CT140">
        <f>2505.429</f>
        <v>2505.4290000000001</v>
      </c>
      <c r="CU140">
        <f>2540.75</f>
        <v>2540.75</v>
      </c>
      <c r="CV140">
        <f>2292.6</f>
        <v>2292.6</v>
      </c>
      <c r="CW140">
        <f>2414.25</f>
        <v>2414.25</v>
      </c>
      <c r="CX140">
        <f>2426</f>
        <v>2426</v>
      </c>
      <c r="CY140">
        <f>3475.25</f>
        <v>3475.25</v>
      </c>
      <c r="CZ140">
        <f>3040.25</f>
        <v>3040.25</v>
      </c>
      <c r="DA140">
        <f>3146.833</f>
        <v>3146.8330000000001</v>
      </c>
      <c r="DB140">
        <f>2665.333</f>
        <v>2665.3330000000001</v>
      </c>
      <c r="DC140">
        <f>3791.25</f>
        <v>3791.25</v>
      </c>
      <c r="DD140">
        <f>3422.333</f>
        <v>3422.3330000000001</v>
      </c>
      <c r="DE140">
        <f>3610</f>
        <v>3610</v>
      </c>
      <c r="DF140" t="str">
        <f>""</f>
        <v/>
      </c>
      <c r="DG140" t="str">
        <f>""</f>
        <v/>
      </c>
      <c r="DH140" t="str">
        <f>""</f>
        <v/>
      </c>
      <c r="DI140" t="str">
        <f>""</f>
        <v/>
      </c>
      <c r="DJ140" t="str">
        <f>""</f>
        <v/>
      </c>
      <c r="DK140" t="str">
        <f>""</f>
        <v/>
      </c>
      <c r="DL140" t="str">
        <f>""</f>
        <v/>
      </c>
      <c r="DM140">
        <f>4727</f>
        <v>4727</v>
      </c>
      <c r="DN140" t="str">
        <f>""</f>
        <v/>
      </c>
      <c r="DO140" t="str">
        <f>""</f>
        <v/>
      </c>
      <c r="DP140" t="str">
        <f>""</f>
        <v/>
      </c>
      <c r="DQ140" t="str">
        <f>""</f>
        <v/>
      </c>
      <c r="DR140" t="str">
        <f>""</f>
        <v/>
      </c>
      <c r="DS140" t="str">
        <f>""</f>
        <v/>
      </c>
      <c r="DT140" t="str">
        <f>""</f>
        <v/>
      </c>
      <c r="DU140">
        <f>4344</f>
        <v>4344</v>
      </c>
    </row>
    <row r="141" spans="1:125" x14ac:dyDescent="0.25">
      <c r="A141" t="str">
        <f>"    Surprise (%)"</f>
        <v xml:space="preserve">    Surprise (%)</v>
      </c>
      <c r="B141" t="str">
        <f>"KER FP Equity"</f>
        <v>KER FP Equity</v>
      </c>
      <c r="E141" t="str">
        <f>"Expression"</f>
        <v>Expression</v>
      </c>
      <c r="F141" t="str">
        <f ca="1">IF(AND($B$158=1,LEN($F$138) * LEN($F$140) * LEN($F$140)&gt;0),($F$138-$F$140)/(ABS($F$140))*100,HLOOKUP(INDIRECT(ADDRESS(2,COLUMN())),OFFSET($BN$2,0,0,ROW()-1,60),ROW()-1,FALSE))</f>
        <v/>
      </c>
      <c r="G141">
        <f ca="1">IF(AND($B$158=1,LEN($G$138) * LEN($G$140) * LEN($G$140)&gt;0),($G$138-$G$140)/(ABS($G$140))*100,HLOOKUP(INDIRECT(ADDRESS(2,COLUMN())),OFFSET($BN$2,0,0,ROW()-1,60),ROW()-1,FALSE))</f>
        <v>3.6669606680000002</v>
      </c>
      <c r="H141">
        <f ca="1">IF(AND($B$158=1,LEN($H$138) * LEN($H$140) * LEN($H$140)&gt;0),($H$138-$H$140)/(ABS($H$140))*100,HLOOKUP(INDIRECT(ADDRESS(2,COLUMN())),OFFSET($BN$2,0,0,ROW()-1,60),ROW()-1,FALSE))</f>
        <v>5.4090203160000003</v>
      </c>
      <c r="I141">
        <f ca="1">IF(AND($B$158=1,LEN($I$138) * LEN($I$140) * LEN($I$140)&gt;0),($I$138-$I$140)/(ABS($I$140))*100,HLOOKUP(INDIRECT(ADDRESS(2,COLUMN())),OFFSET($BN$2,0,0,ROW()-1,60),ROW()-1,FALSE))</f>
        <v>8.7625118830000002</v>
      </c>
      <c r="J141">
        <f ca="1">IF(AND($B$158=1,LEN($J$138) * LEN($J$140) * LEN($J$140)&gt;0),($J$138-$J$140)/(ABS($J$140))*100,HLOOKUP(INDIRECT(ADDRESS(2,COLUMN())),OFFSET($BN$2,0,0,ROW()-1,60),ROW()-1,FALSE))</f>
        <v>-4.8582365870000004</v>
      </c>
      <c r="K141">
        <f ca="1">IF(AND($B$158=1,LEN($K$138) * LEN($K$140) * LEN($K$140)&gt;0),($K$138-$K$140)/(ABS($K$140))*100,HLOOKUP(INDIRECT(ADDRESS(2,COLUMN())),OFFSET($BN$2,0,0,ROW()-1,60),ROW()-1,FALSE))</f>
        <v>7.6891882110000003</v>
      </c>
      <c r="L141">
        <f ca="1">IF(AND($B$158=1,LEN($L$138) * LEN($L$140) * LEN($L$140)&gt;0),($L$138-$L$140)/(ABS($L$140))*100,HLOOKUP(INDIRECT(ADDRESS(2,COLUMN())),OFFSET($BN$2,0,0,ROW()-1,60),ROW()-1,FALSE))</f>
        <v>-29.971023819999999</v>
      </c>
      <c r="M141">
        <f ca="1">IF(AND($B$158=1,LEN($M$138) * LEN($M$140) * LEN($M$140)&gt;0),($M$138-$M$140)/(ABS($M$140))*100,HLOOKUP(INDIRECT(ADDRESS(2,COLUMN())),OFFSET($BN$2,0,0,ROW()-1,60),ROW()-1,FALSE))</f>
        <v>-21.61027837</v>
      </c>
      <c r="N141">
        <f ca="1">IF(AND($B$158=1,LEN($N$138) * LEN($N$140) * LEN($N$140)&gt;0),($N$138-$N$140)/(ABS($N$140))*100,HLOOKUP(INDIRECT(ADDRESS(2,COLUMN())),OFFSET($BN$2,0,0,ROW()-1,60),ROW()-1,FALSE))</f>
        <v>5.3176157570000004</v>
      </c>
      <c r="O141">
        <f ca="1">IF(AND($B$158=1,LEN($O$138) * LEN($O$140) * LEN($O$140)&gt;0),($O$138-$O$140)/(ABS($O$140))*100,HLOOKUP(INDIRECT(ADDRESS(2,COLUMN())),OFFSET($BN$2,0,0,ROW()-1,60),ROW()-1,FALSE))</f>
        <v>-3.7273853780000001</v>
      </c>
      <c r="P141">
        <f ca="1">IF(AND($B$158=1,LEN($P$138) * LEN($P$140) * LEN($P$140)&gt;0),($P$138-$P$140)/(ABS($P$140))*100,HLOOKUP(INDIRECT(ADDRESS(2,COLUMN())),OFFSET($BN$2,0,0,ROW()-1,60),ROW()-1,FALSE))</f>
        <v>-6.5632009699999996</v>
      </c>
      <c r="Q141">
        <f ca="1">IF(AND($B$158=1,LEN($Q$138) * LEN($Q$140) * LEN($Q$140)&gt;0),($Q$138-$Q$140)/(ABS($Q$140))*100,HLOOKUP(INDIRECT(ADDRESS(2,COLUMN())),OFFSET($BN$2,0,0,ROW()-1,60),ROW()-1,FALSE))</f>
        <v>2.2317156800000002</v>
      </c>
      <c r="R141">
        <f ca="1">IF(AND($B$158=1,LEN($R$138) * LEN($R$140) * LEN($R$140)&gt;0),($R$138-$R$140)/(ABS($R$140))*100,HLOOKUP(INDIRECT(ADDRESS(2,COLUMN())),OFFSET($BN$2,0,0,ROW()-1,60),ROW()-1,FALSE))</f>
        <v>0.89760239799999997</v>
      </c>
      <c r="S141">
        <f ca="1">IF(AND($B$158=1,LEN($S$138) * LEN($S$140) * LEN($S$140)&gt;0),($S$138-$S$140)/(ABS($S$140))*100,HLOOKUP(INDIRECT(ADDRESS(2,COLUMN())),OFFSET($BN$2,0,0,ROW()-1,60),ROW()-1,FALSE))</f>
        <v>-1.740197848</v>
      </c>
      <c r="T141">
        <f ca="1">IF(AND($B$158=1,LEN($T$138) * LEN($T$140) * LEN($T$140)&gt;0),($T$138-$T$140)/(ABS($T$140))*100,HLOOKUP(INDIRECT(ADDRESS(2,COLUMN())),OFFSET($BN$2,0,0,ROW()-1,60),ROW()-1,FALSE))</f>
        <v>-5.1611063589999997</v>
      </c>
      <c r="U141">
        <f ca="1">IF(AND($B$158=1,LEN($U$138) * LEN($U$140) * LEN($U$140)&gt;0),($U$138-$U$140)/(ABS($U$140))*100,HLOOKUP(INDIRECT(ADDRESS(2,COLUMN())),OFFSET($BN$2,0,0,ROW()-1,60),ROW()-1,FALSE))</f>
        <v>10.3994882</v>
      </c>
      <c r="V141">
        <f ca="1">IF(AND($B$158=1,LEN($V$138) * LEN($V$140) * LEN($V$140)&gt;0),($V$138-$V$140)/(ABS($V$140))*100,HLOOKUP(INDIRECT(ADDRESS(2,COLUMN())),OFFSET($BN$2,0,0,ROW()-1,60),ROW()-1,FALSE))</f>
        <v>1.519271131</v>
      </c>
      <c r="W141">
        <f ca="1">IF(AND($B$158=1,LEN($W$138) * LEN($W$140) * LEN($W$140)&gt;0),($W$138-$W$140)/(ABS($W$140))*100,HLOOKUP(INDIRECT(ADDRESS(2,COLUMN())),OFFSET($BN$2,0,0,ROW()-1,60),ROW()-1,FALSE))</f>
        <v>-28.473415169999999</v>
      </c>
      <c r="X141">
        <f ca="1">IF(AND($B$158=1,LEN($X$138) * LEN($X$140) * LEN($X$140)&gt;0),($X$138-$X$140)/(ABS($X$140))*100,HLOOKUP(INDIRECT(ADDRESS(2,COLUMN())),OFFSET($BN$2,0,0,ROW()-1,60),ROW()-1,FALSE))</f>
        <v>-27.821693539999998</v>
      </c>
      <c r="Y141">
        <f ca="1">IF(AND($B$158=1,LEN($Y$138) * LEN($Y$140) * LEN($Y$140)&gt;0),($Y$138-$Y$140)/(ABS($Y$140))*100,HLOOKUP(INDIRECT(ADDRESS(2,COLUMN())),OFFSET($BN$2,0,0,ROW()-1,60),ROW()-1,FALSE))</f>
        <v>13.013915239999999</v>
      </c>
      <c r="Z141">
        <f ca="1">IF(AND($B$158=1,LEN($Z$138) * LEN($Z$140) * LEN($Z$140)&gt;0),($Z$138-$Z$140)/(ABS($Z$140))*100,HLOOKUP(INDIRECT(ADDRESS(2,COLUMN())),OFFSET($BN$2,0,0,ROW()-1,60),ROW()-1,FALSE))</f>
        <v>2.3133022169999999</v>
      </c>
      <c r="AA141">
        <f ca="1">IF(AND($B$158=1,LEN($AA$138) * LEN($AA$140) * LEN($AA$140)&gt;0),($AA$138-$AA$140)/(ABS($AA$140))*100,HLOOKUP(INDIRECT(ADDRESS(2,COLUMN())),OFFSET($BN$2,0,0,ROW()-1,60),ROW()-1,FALSE))</f>
        <v>2.8317726830000001</v>
      </c>
      <c r="AB141">
        <f ca="1">IF(AND($B$158=1,LEN($AB$138) * LEN($AB$140) * LEN($AB$140)&gt;0),($AB$138-$AB$140)/(ABS($AB$140))*100,HLOOKUP(INDIRECT(ADDRESS(2,COLUMN())),OFFSET($BN$2,0,0,ROW()-1,60),ROW()-1,FALSE))</f>
        <v>3.057965984</v>
      </c>
      <c r="AC141">
        <f ca="1">IF(AND($B$158=1,LEN($AC$138) * LEN($AC$140) * LEN($AC$140)&gt;0),($AC$138-$AC$140)/(ABS($AC$140))*100,HLOOKUP(INDIRECT(ADDRESS(2,COLUMN())),OFFSET($BN$2,0,0,ROW()-1,60),ROW()-1,FALSE))</f>
        <v>-1.959866823</v>
      </c>
      <c r="AD141">
        <f ca="1">IF(AND($B$158=1,LEN($AD$138) * LEN($AD$140) * LEN($AD$140)&gt;0),($AD$138-$AD$140)/(ABS($AD$140))*100,HLOOKUP(INDIRECT(ADDRESS(2,COLUMN())),OFFSET($BN$2,0,0,ROW()-1,60),ROW()-1,FALSE))</f>
        <v>4.785564828</v>
      </c>
      <c r="AE141">
        <f ca="1">IF(AND($B$158=1,LEN($AE$138) * LEN($AE$140) * LEN($AE$140)&gt;0),($AE$138-$AE$140)/(ABS($AE$140))*100,HLOOKUP(INDIRECT(ADDRESS(2,COLUMN())),OFFSET($BN$2,0,0,ROW()-1,60),ROW()-1,FALSE))</f>
        <v>-7.0756752000000006E-2</v>
      </c>
      <c r="AF141">
        <f ca="1">IF(AND($B$158=1,LEN($AF$138) * LEN($AF$140) * LEN($AF$140)&gt;0),($AF$138-$AF$140)/(ABS($AF$140))*100,HLOOKUP(INDIRECT(ADDRESS(2,COLUMN())),OFFSET($BN$2,0,0,ROW()-1,60),ROW()-1,FALSE))</f>
        <v>8.5141080099999993</v>
      </c>
      <c r="AG141">
        <f ca="1">IF(AND($B$158=1,LEN($AG$138) * LEN($AG$140) * LEN($AG$140)&gt;0),($AG$138-$AG$140)/(ABS($AG$140))*100,HLOOKUP(INDIRECT(ADDRESS(2,COLUMN())),OFFSET($BN$2,0,0,ROW()-1,60),ROW()-1,FALSE))</f>
        <v>1.6565687549999999</v>
      </c>
      <c r="AH141">
        <f ca="1">IF(AND($B$158=1,LEN($AH$138) * LEN($AH$140) * LEN($AH$140)&gt;0),($AH$138-$AH$140)/(ABS($AH$140))*100,HLOOKUP(INDIRECT(ADDRESS(2,COLUMN())),OFFSET($BN$2,0,0,ROW()-1,60),ROW()-1,FALSE))</f>
        <v>0.868221617</v>
      </c>
      <c r="AI141">
        <f ca="1">IF(AND($B$158=1,LEN($AI$138) * LEN($AI$140) * LEN($AI$140)&gt;0),($AI$138-$AI$140)/(ABS($AI$140))*100,HLOOKUP(INDIRECT(ADDRESS(2,COLUMN())),OFFSET($BN$2,0,0,ROW()-1,60),ROW()-1,FALSE))</f>
        <v>-0.35632451900000001</v>
      </c>
      <c r="AJ141">
        <f ca="1">IF(AND($B$158=1,LEN($AJ$138) * LEN($AJ$140) * LEN($AJ$140)&gt;0),($AJ$138-$AJ$140)/(ABS($AJ$140))*100,HLOOKUP(INDIRECT(ADDRESS(2,COLUMN())),OFFSET($BN$2,0,0,ROW()-1,60),ROW()-1,FALSE))</f>
        <v>0.56506849299999995</v>
      </c>
      <c r="AK141">
        <f ca="1">IF(AND($B$158=1,LEN($AK$138) * LEN($AK$140) * LEN($AK$140)&gt;0),($AK$138-$AK$140)/(ABS($AK$140))*100,HLOOKUP(INDIRECT(ADDRESS(2,COLUMN())),OFFSET($BN$2,0,0,ROW()-1,60),ROW()-1,FALSE))</f>
        <v>1.7107165689999999</v>
      </c>
      <c r="AL141">
        <f ca="1">IF(AND($B$158=1,LEN($AL$138) * LEN($AL$140) * LEN($AL$140)&gt;0),($AL$138-$AL$140)/(ABS($AL$140))*100,HLOOKUP(INDIRECT(ADDRESS(2,COLUMN())),OFFSET($BN$2,0,0,ROW()-1,60),ROW()-1,FALSE))</f>
        <v>0.65741236300000006</v>
      </c>
      <c r="AM141">
        <f ca="1">IF(AND($B$158=1,LEN($AM$138) * LEN($AM$140) * LEN($AM$140)&gt;0),($AM$138-$AM$140)/(ABS($AM$140))*100,HLOOKUP(INDIRECT(ADDRESS(2,COLUMN())),OFFSET($BN$2,0,0,ROW()-1,60),ROW()-1,FALSE))</f>
        <v>-0.69861261399999997</v>
      </c>
      <c r="AN141">
        <f ca="1">IF(AND($B$158=1,LEN($AN$138) * LEN($AN$140) * LEN($AN$140)&gt;0),($AN$138-$AN$140)/(ABS($AN$140))*100,HLOOKUP(INDIRECT(ADDRESS(2,COLUMN())),OFFSET($BN$2,0,0,ROW()-1,60),ROW()-1,FALSE))</f>
        <v>0.67172642400000004</v>
      </c>
      <c r="AO141">
        <f ca="1">IF(AND($B$158=1,LEN($AO$138) * LEN($AO$140) * LEN($AO$140)&gt;0),($AO$138-$AO$140)/(ABS($AO$140))*100,HLOOKUP(INDIRECT(ADDRESS(2,COLUMN())),OFFSET($BN$2,0,0,ROW()-1,60),ROW()-1,FALSE))</f>
        <v>-1.816299058</v>
      </c>
      <c r="AP141">
        <f ca="1">IF(AND($B$158=1,LEN($AP$138) * LEN($AP$140) * LEN($AP$140)&gt;0),($AP$138-$AP$140)/(ABS($AP$140))*100,HLOOKUP(INDIRECT(ADDRESS(2,COLUMN())),OFFSET($BN$2,0,0,ROW()-1,60),ROW()-1,FALSE))</f>
        <v>5.6141797200000001</v>
      </c>
      <c r="AQ141">
        <f ca="1">IF(AND($B$158=1,LEN($AQ$138) * LEN($AQ$140) * LEN($AQ$140)&gt;0),($AQ$138-$AQ$140)/(ABS($AQ$140))*100,HLOOKUP(INDIRECT(ADDRESS(2,COLUMN())),OFFSET($BN$2,0,0,ROW()-1,60),ROW()-1,FALSE))</f>
        <v>-26.324724839999998</v>
      </c>
      <c r="AR141">
        <f ca="1">IF(AND($B$158=1,LEN($AR$138) * LEN($AR$140) * LEN($AR$140)&gt;0),($AR$138-$AR$140)/(ABS($AR$140))*100,HLOOKUP(INDIRECT(ADDRESS(2,COLUMN())),OFFSET($BN$2,0,0,ROW()-1,60),ROW()-1,FALSE))</f>
        <v>-25.27588192</v>
      </c>
      <c r="AS141">
        <f ca="1">IF(AND($B$158=1,LEN($AS$138) * LEN($AS$140) * LEN($AS$140)&gt;0),($AS$138-$AS$140)/(ABS($AS$140))*100,HLOOKUP(INDIRECT(ADDRESS(2,COLUMN())),OFFSET($BN$2,0,0,ROW()-1,60),ROW()-1,FALSE))</f>
        <v>-25.579145759999999</v>
      </c>
      <c r="AT141">
        <f ca="1">IF(AND($B$158=1,LEN($AT$138) * LEN($AT$140) * LEN($AT$140)&gt;0),($AT$138-$AT$140)/(ABS($AT$140))*100,HLOOKUP(INDIRECT(ADDRESS(2,COLUMN())),OFFSET($BN$2,0,0,ROW()-1,60),ROW()-1,FALSE))</f>
        <v>-24.63230673</v>
      </c>
      <c r="AU141">
        <f ca="1">IF(AND($B$158=1,LEN($AU$138) * LEN($AU$140) * LEN($AU$140)&gt;0),($AU$138-$AU$140)/(ABS($AU$140))*100,HLOOKUP(INDIRECT(ADDRESS(2,COLUMN())),OFFSET($BN$2,0,0,ROW()-1,60),ROW()-1,FALSE))</f>
        <v>1.7316188589999999</v>
      </c>
      <c r="AV141">
        <f ca="1">IF(AND($B$158=1,LEN($AV$138) * LEN($AV$140) * LEN($AV$140)&gt;0),($AV$138-$AV$140)/(ABS($AV$140))*100,HLOOKUP(INDIRECT(ADDRESS(2,COLUMN())),OFFSET($BN$2,0,0,ROW()-1,60),ROW()-1,FALSE))</f>
        <v>-22.561597599999999</v>
      </c>
      <c r="AW141">
        <f ca="1">IF(AND($B$158=1,LEN($AW$138) * LEN($AW$140) * LEN($AW$140)&gt;0),($AW$138-$AW$140)/(ABS($AW$140))*100,HLOOKUP(INDIRECT(ADDRESS(2,COLUMN())),OFFSET($BN$2,0,0,ROW()-1,60),ROW()-1,FALSE))</f>
        <v>-21.833795009999999</v>
      </c>
      <c r="AX141" t="str">
        <f ca="1">IF(AND($B$158=1,LEN($AX$138) * LEN($AX$140) * LEN($AX$140)&gt;0),($AX$138-$AX$140)/(ABS($AX$140))*100,HLOOKUP(INDIRECT(ADDRESS(2,COLUMN())),OFFSET($BN$2,0,0,ROW()-1,60),ROW()-1,FALSE))</f>
        <v/>
      </c>
      <c r="AY141" t="str">
        <f ca="1">IF(AND($B$158=1,LEN($AY$138) * LEN($AY$140) * LEN($AY$140)&gt;0),($AY$138-$AY$140)/(ABS($AY$140))*100,HLOOKUP(INDIRECT(ADDRESS(2,COLUMN())),OFFSET($BN$2,0,0,ROW()-1,60),ROW()-1,FALSE))</f>
        <v/>
      </c>
      <c r="AZ141" t="str">
        <f ca="1">IF(AND($B$158=1,LEN($AZ$138) * LEN($AZ$140) * LEN($AZ$140)&gt;0),($AZ$138-$AZ$140)/(ABS($AZ$140))*100,HLOOKUP(INDIRECT(ADDRESS(2,COLUMN())),OFFSET($BN$2,0,0,ROW()-1,60),ROW()-1,FALSE))</f>
        <v/>
      </c>
      <c r="BA141" t="str">
        <f ca="1">IF(AND($B$158=1,LEN($BA$138) * LEN($BA$140) * LEN($BA$140)&gt;0),($BA$138-$BA$140)/(ABS($BA$140))*100,HLOOKUP(INDIRECT(ADDRESS(2,COLUMN())),OFFSET($BN$2,0,0,ROW()-1,60),ROW()-1,FALSE))</f>
        <v/>
      </c>
      <c r="BB141" t="str">
        <f ca="1">IF(AND($B$158=1,LEN($BB$138) * LEN($BB$140) * LEN($BB$140)&gt;0),($BB$138-$BB$140)/(ABS($BB$140))*100,HLOOKUP(INDIRECT(ADDRESS(2,COLUMN())),OFFSET($BN$2,0,0,ROW()-1,60),ROW()-1,FALSE))</f>
        <v/>
      </c>
      <c r="BC141" t="str">
        <f ca="1">IF(AND($B$158=1,LEN($BC$138) * LEN($BC$140) * LEN($BC$140)&gt;0),($BC$138-$BC$140)/(ABS($BC$140))*100,HLOOKUP(INDIRECT(ADDRESS(2,COLUMN())),OFFSET($BN$2,0,0,ROW()-1,60),ROW()-1,FALSE))</f>
        <v/>
      </c>
      <c r="BD141" t="str">
        <f ca="1">IF(AND($B$158=1,LEN($BD$138) * LEN($BD$140) * LEN($BD$140)&gt;0),($BD$138-$BD$140)/(ABS($BD$140))*100,HLOOKUP(INDIRECT(ADDRESS(2,COLUMN())),OFFSET($BN$2,0,0,ROW()-1,60),ROW()-1,FALSE))</f>
        <v/>
      </c>
      <c r="BE141">
        <f ca="1">IF(AND($B$158=1,LEN($BE$138) * LEN($BE$140) * LEN($BE$140)&gt;0),($BE$138-$BE$140)/(ABS($BE$140))*100,HLOOKUP(INDIRECT(ADDRESS(2,COLUMN())),OFFSET($BN$2,0,0,ROW()-1,60),ROW()-1,FALSE))</f>
        <v>1.0577533320000001</v>
      </c>
      <c r="BF141" t="str">
        <f ca="1">IF(AND($B$158=1,LEN($BF$138) * LEN($BF$140) * LEN($BF$140)&gt;0),($BF$138-$BF$140)/(ABS($BF$140))*100,HLOOKUP(INDIRECT(ADDRESS(2,COLUMN())),OFFSET($BN$2,0,0,ROW()-1,60),ROW()-1,FALSE))</f>
        <v/>
      </c>
      <c r="BG141" t="str">
        <f ca="1">IF(AND($B$158=1,LEN($BG$138) * LEN($BG$140) * LEN($BG$140)&gt;0),($BG$138-$BG$140)/(ABS($BG$140))*100,HLOOKUP(INDIRECT(ADDRESS(2,COLUMN())),OFFSET($BN$2,0,0,ROW()-1,60),ROW()-1,FALSE))</f>
        <v/>
      </c>
      <c r="BH141" t="str">
        <f ca="1">IF(AND($B$158=1,LEN($BH$138) * LEN($BH$140) * LEN($BH$140)&gt;0),($BH$138-$BH$140)/(ABS($BH$140))*100,HLOOKUP(INDIRECT(ADDRESS(2,COLUMN())),OFFSET($BN$2,0,0,ROW()-1,60),ROW()-1,FALSE))</f>
        <v/>
      </c>
      <c r="BI141" t="str">
        <f ca="1">IF(AND($B$158=1,LEN($BI$138) * LEN($BI$140) * LEN($BI$140)&gt;0),($BI$138-$BI$140)/(ABS($BI$140))*100,HLOOKUP(INDIRECT(ADDRESS(2,COLUMN())),OFFSET($BN$2,0,0,ROW()-1,60),ROW()-1,FALSE))</f>
        <v/>
      </c>
      <c r="BJ141" t="str">
        <f ca="1">IF(AND($B$158=1,LEN($BJ$138) * LEN($BJ$140) * LEN($BJ$140)&gt;0),($BJ$138-$BJ$140)/(ABS($BJ$140))*100,HLOOKUP(INDIRECT(ADDRESS(2,COLUMN())),OFFSET($BN$2,0,0,ROW()-1,60),ROW()-1,FALSE))</f>
        <v/>
      </c>
      <c r="BK141" t="str">
        <f ca="1">IF(AND($B$158=1,LEN($BK$138) * LEN($BK$140) * LEN($BK$140)&gt;0),($BK$138-$BK$140)/(ABS($BK$140))*100,HLOOKUP(INDIRECT(ADDRESS(2,COLUMN())),OFFSET($BN$2,0,0,ROW()-1,60),ROW()-1,FALSE))</f>
        <v/>
      </c>
      <c r="BL141" t="str">
        <f ca="1">IF(AND($B$158=1,LEN($BL$138) * LEN($BL$140) * LEN($BL$140)&gt;0),($BL$138-$BL$140)/(ABS($BL$140))*100,HLOOKUP(INDIRECT(ADDRESS(2,COLUMN())),OFFSET($BN$2,0,0,ROW()-1,60),ROW()-1,FALSE))</f>
        <v/>
      </c>
      <c r="BM141" t="str">
        <f ca="1">IF(AND($B$158=1,LEN($BM$138) * LEN($BM$140) * LEN($BM$140)&gt;0),($BM$138-$BM$140)/(ABS($BM$140))*100,HLOOKUP(INDIRECT(ADDRESS(2,COLUMN())),OFFSET($BN$2,0,0,ROW()-1,60),ROW()-1,FALSE))</f>
        <v/>
      </c>
      <c r="BN141" t="str">
        <f>""</f>
        <v/>
      </c>
      <c r="BO141">
        <f>3.666960668</f>
        <v>3.6669606680000002</v>
      </c>
      <c r="BP141">
        <f>5.409020316</f>
        <v>5.4090203160000003</v>
      </c>
      <c r="BQ141">
        <f>8.762511883</f>
        <v>8.7625118830000002</v>
      </c>
      <c r="BR141">
        <f>-4.858236587</f>
        <v>-4.8582365870000004</v>
      </c>
      <c r="BS141">
        <f>7.689188211</f>
        <v>7.6891882110000003</v>
      </c>
      <c r="BT141">
        <f>-29.97102382</f>
        <v>-29.971023819999999</v>
      </c>
      <c r="BU141">
        <f>-21.61027837</f>
        <v>-21.61027837</v>
      </c>
      <c r="BV141">
        <f>5.317615757</f>
        <v>5.3176157570000004</v>
      </c>
      <c r="BW141">
        <f>-3.727385378</f>
        <v>-3.7273853780000001</v>
      </c>
      <c r="BX141">
        <f>-6.56320097</f>
        <v>-6.5632009699999996</v>
      </c>
      <c r="BY141">
        <f>2.23171568</f>
        <v>2.2317156800000002</v>
      </c>
      <c r="BZ141">
        <f>0.897602398</f>
        <v>0.89760239799999997</v>
      </c>
      <c r="CA141">
        <f>-1.740197848</f>
        <v>-1.740197848</v>
      </c>
      <c r="CB141">
        <f>-5.161106359</f>
        <v>-5.1611063589999997</v>
      </c>
      <c r="CC141">
        <f>10.3994882</f>
        <v>10.3994882</v>
      </c>
      <c r="CD141">
        <f>1.519271131</f>
        <v>1.519271131</v>
      </c>
      <c r="CE141">
        <f>-28.47341517</f>
        <v>-28.473415169999999</v>
      </c>
      <c r="CF141">
        <f>-27.82169354</f>
        <v>-27.821693539999998</v>
      </c>
      <c r="CG141">
        <f>13.01391524</f>
        <v>13.013915239999999</v>
      </c>
      <c r="CH141">
        <f>2.313302217</f>
        <v>2.3133022169999999</v>
      </c>
      <c r="CI141">
        <f>2.831772683</f>
        <v>2.8317726830000001</v>
      </c>
      <c r="CJ141">
        <f>3.057965984</f>
        <v>3.057965984</v>
      </c>
      <c r="CK141">
        <f>-1.959866823</f>
        <v>-1.959866823</v>
      </c>
      <c r="CL141">
        <f>4.785564828</f>
        <v>4.785564828</v>
      </c>
      <c r="CM141">
        <f>-0.070756752</f>
        <v>-7.0756752000000006E-2</v>
      </c>
      <c r="CN141">
        <f>8.51410801</f>
        <v>8.5141080099999993</v>
      </c>
      <c r="CO141">
        <f>1.656568755</f>
        <v>1.6565687549999999</v>
      </c>
      <c r="CP141">
        <f>0.868221617</f>
        <v>0.868221617</v>
      </c>
      <c r="CQ141">
        <f>-0.356324519</f>
        <v>-0.35632451900000001</v>
      </c>
      <c r="CR141">
        <f>0.565068493</f>
        <v>0.56506849299999995</v>
      </c>
      <c r="CS141">
        <f>1.710716569</f>
        <v>1.7107165689999999</v>
      </c>
      <c r="CT141">
        <f>0.657412363</f>
        <v>0.65741236300000006</v>
      </c>
      <c r="CU141">
        <f>-0.698612614</f>
        <v>-0.69861261399999997</v>
      </c>
      <c r="CV141">
        <f>0.671726424</f>
        <v>0.67172642400000004</v>
      </c>
      <c r="CW141">
        <f>-1.816299058</f>
        <v>-1.816299058</v>
      </c>
      <c r="CX141">
        <f>5.61417972</f>
        <v>5.6141797200000001</v>
      </c>
      <c r="CY141">
        <f>-26.32472484</f>
        <v>-26.324724839999998</v>
      </c>
      <c r="CZ141">
        <f>-25.27588192</f>
        <v>-25.27588192</v>
      </c>
      <c r="DA141">
        <f>-25.57914576</f>
        <v>-25.579145759999999</v>
      </c>
      <c r="DB141">
        <f>-24.63230673</f>
        <v>-24.63230673</v>
      </c>
      <c r="DC141">
        <f>1.731618859</f>
        <v>1.7316188589999999</v>
      </c>
      <c r="DD141">
        <f>-22.5615976</f>
        <v>-22.561597599999999</v>
      </c>
      <c r="DE141">
        <f>-21.83379501</f>
        <v>-21.833795009999999</v>
      </c>
      <c r="DF141" t="str">
        <f>""</f>
        <v/>
      </c>
      <c r="DG141" t="str">
        <f>""</f>
        <v/>
      </c>
      <c r="DH141" t="str">
        <f>""</f>
        <v/>
      </c>
      <c r="DI141" t="str">
        <f>""</f>
        <v/>
      </c>
      <c r="DJ141" t="str">
        <f>""</f>
        <v/>
      </c>
      <c r="DK141" t="str">
        <f>""</f>
        <v/>
      </c>
      <c r="DL141" t="str">
        <f>""</f>
        <v/>
      </c>
      <c r="DM141">
        <f>1.057753332</f>
        <v>1.0577533320000001</v>
      </c>
      <c r="DN141" t="str">
        <f>""</f>
        <v/>
      </c>
      <c r="DO141" t="str">
        <f>""</f>
        <v/>
      </c>
      <c r="DP141" t="str">
        <f>""</f>
        <v/>
      </c>
      <c r="DQ141" t="str">
        <f>""</f>
        <v/>
      </c>
      <c r="DR141" t="str">
        <f>""</f>
        <v/>
      </c>
      <c r="DS141" t="str">
        <f>""</f>
        <v/>
      </c>
      <c r="DT141" t="str">
        <f>""</f>
        <v/>
      </c>
      <c r="DU141" t="str">
        <f>""</f>
        <v/>
      </c>
    </row>
    <row r="142" spans="1:125" x14ac:dyDescent="0.25">
      <c r="A142" t="str">
        <f>"    "</f>
        <v xml:space="preserve">    </v>
      </c>
      <c r="B142" t="str">
        <f>""</f>
        <v/>
      </c>
      <c r="E142" t="str">
        <f>"Static"</f>
        <v>Static</v>
      </c>
      <c r="F142" t="str">
        <f t="shared" ref="F142:AK142" ca="1" si="74">HLOOKUP(INDIRECT(ADDRESS(2,COLUMN())),OFFSET($BN$2,0,0,ROW()-1,60),ROW()-1,FALSE)</f>
        <v/>
      </c>
      <c r="G142" t="str">
        <f t="shared" ca="1" si="74"/>
        <v/>
      </c>
      <c r="H142" t="str">
        <f t="shared" ca="1" si="74"/>
        <v/>
      </c>
      <c r="I142" t="str">
        <f t="shared" ca="1" si="74"/>
        <v/>
      </c>
      <c r="J142" t="str">
        <f t="shared" ca="1" si="74"/>
        <v/>
      </c>
      <c r="K142" t="str">
        <f t="shared" ca="1" si="74"/>
        <v/>
      </c>
      <c r="L142" t="str">
        <f t="shared" ca="1" si="74"/>
        <v/>
      </c>
      <c r="M142" t="str">
        <f t="shared" ca="1" si="74"/>
        <v/>
      </c>
      <c r="N142" t="str">
        <f t="shared" ca="1" si="74"/>
        <v/>
      </c>
      <c r="O142" t="str">
        <f t="shared" ca="1" si="74"/>
        <v/>
      </c>
      <c r="P142" t="str">
        <f t="shared" ca="1" si="74"/>
        <v/>
      </c>
      <c r="Q142" t="str">
        <f t="shared" ca="1" si="74"/>
        <v/>
      </c>
      <c r="R142" t="str">
        <f t="shared" ca="1" si="74"/>
        <v/>
      </c>
      <c r="S142" t="str">
        <f t="shared" ca="1" si="74"/>
        <v/>
      </c>
      <c r="T142" t="str">
        <f t="shared" ca="1" si="74"/>
        <v/>
      </c>
      <c r="U142" t="str">
        <f t="shared" ca="1" si="74"/>
        <v/>
      </c>
      <c r="V142" t="str">
        <f t="shared" ca="1" si="74"/>
        <v/>
      </c>
      <c r="W142" t="str">
        <f t="shared" ca="1" si="74"/>
        <v/>
      </c>
      <c r="X142" t="str">
        <f t="shared" ca="1" si="74"/>
        <v/>
      </c>
      <c r="Y142" t="str">
        <f t="shared" ca="1" si="74"/>
        <v/>
      </c>
      <c r="Z142" t="str">
        <f t="shared" ca="1" si="74"/>
        <v/>
      </c>
      <c r="AA142" t="str">
        <f t="shared" ca="1" si="74"/>
        <v/>
      </c>
      <c r="AB142" t="str">
        <f t="shared" ca="1" si="74"/>
        <v/>
      </c>
      <c r="AC142" t="str">
        <f t="shared" ca="1" si="74"/>
        <v/>
      </c>
      <c r="AD142" t="str">
        <f t="shared" ca="1" si="74"/>
        <v/>
      </c>
      <c r="AE142" t="str">
        <f t="shared" ca="1" si="74"/>
        <v/>
      </c>
      <c r="AF142" t="str">
        <f t="shared" ca="1" si="74"/>
        <v/>
      </c>
      <c r="AG142" t="str">
        <f t="shared" ca="1" si="74"/>
        <v/>
      </c>
      <c r="AH142" t="str">
        <f t="shared" ca="1" si="74"/>
        <v/>
      </c>
      <c r="AI142" t="str">
        <f t="shared" ca="1" si="74"/>
        <v/>
      </c>
      <c r="AJ142" t="str">
        <f t="shared" ca="1" si="74"/>
        <v/>
      </c>
      <c r="AK142" t="str">
        <f t="shared" ca="1" si="74"/>
        <v/>
      </c>
      <c r="AL142" t="str">
        <f t="shared" ref="AL142:BM142" ca="1" si="75">HLOOKUP(INDIRECT(ADDRESS(2,COLUMN())),OFFSET($BN$2,0,0,ROW()-1,60),ROW()-1,FALSE)</f>
        <v/>
      </c>
      <c r="AM142" t="str">
        <f t="shared" ca="1" si="75"/>
        <v/>
      </c>
      <c r="AN142" t="str">
        <f t="shared" ca="1" si="75"/>
        <v/>
      </c>
      <c r="AO142" t="str">
        <f t="shared" ca="1" si="75"/>
        <v/>
      </c>
      <c r="AP142" t="str">
        <f t="shared" ca="1" si="75"/>
        <v/>
      </c>
      <c r="AQ142" t="str">
        <f t="shared" ca="1" si="75"/>
        <v/>
      </c>
      <c r="AR142" t="str">
        <f t="shared" ca="1" si="75"/>
        <v/>
      </c>
      <c r="AS142" t="str">
        <f t="shared" ca="1" si="75"/>
        <v/>
      </c>
      <c r="AT142" t="str">
        <f t="shared" ca="1" si="75"/>
        <v/>
      </c>
      <c r="AU142" t="str">
        <f t="shared" ca="1" si="75"/>
        <v/>
      </c>
      <c r="AV142" t="str">
        <f t="shared" ca="1" si="75"/>
        <v/>
      </c>
      <c r="AW142" t="str">
        <f t="shared" ca="1" si="75"/>
        <v/>
      </c>
      <c r="AX142" t="str">
        <f t="shared" ca="1" si="75"/>
        <v/>
      </c>
      <c r="AY142" t="str">
        <f t="shared" ca="1" si="75"/>
        <v/>
      </c>
      <c r="AZ142" t="str">
        <f t="shared" ca="1" si="75"/>
        <v/>
      </c>
      <c r="BA142" t="str">
        <f t="shared" ca="1" si="75"/>
        <v/>
      </c>
      <c r="BB142" t="str">
        <f t="shared" ca="1" si="75"/>
        <v/>
      </c>
      <c r="BC142" t="str">
        <f t="shared" ca="1" si="75"/>
        <v/>
      </c>
      <c r="BD142" t="str">
        <f t="shared" ca="1" si="75"/>
        <v/>
      </c>
      <c r="BE142" t="str">
        <f t="shared" ca="1" si="75"/>
        <v/>
      </c>
      <c r="BF142" t="str">
        <f t="shared" ca="1" si="75"/>
        <v/>
      </c>
      <c r="BG142" t="str">
        <f t="shared" ca="1" si="75"/>
        <v/>
      </c>
      <c r="BH142" t="str">
        <f t="shared" ca="1" si="75"/>
        <v/>
      </c>
      <c r="BI142" t="str">
        <f t="shared" ca="1" si="75"/>
        <v/>
      </c>
      <c r="BJ142" t="str">
        <f t="shared" ca="1" si="75"/>
        <v/>
      </c>
      <c r="BK142" t="str">
        <f t="shared" ca="1" si="75"/>
        <v/>
      </c>
      <c r="BL142" t="str">
        <f t="shared" ca="1" si="75"/>
        <v/>
      </c>
      <c r="BM142" t="str">
        <f t="shared" ca="1" si="75"/>
        <v/>
      </c>
      <c r="BN142" t="str">
        <f>""</f>
        <v/>
      </c>
      <c r="BO142" t="str">
        <f>""</f>
        <v/>
      </c>
      <c r="BP142" t="str">
        <f>""</f>
        <v/>
      </c>
      <c r="BQ142" t="str">
        <f>""</f>
        <v/>
      </c>
      <c r="BR142" t="str">
        <f>""</f>
        <v/>
      </c>
      <c r="BS142" t="str">
        <f>""</f>
        <v/>
      </c>
      <c r="BT142" t="str">
        <f>""</f>
        <v/>
      </c>
      <c r="BU142" t="str">
        <f>""</f>
        <v/>
      </c>
      <c r="BV142" t="str">
        <f>""</f>
        <v/>
      </c>
      <c r="BW142" t="str">
        <f>""</f>
        <v/>
      </c>
      <c r="BX142" t="str">
        <f>""</f>
        <v/>
      </c>
      <c r="BY142" t="str">
        <f>""</f>
        <v/>
      </c>
      <c r="BZ142" t="str">
        <f>""</f>
        <v/>
      </c>
      <c r="CA142" t="str">
        <f>""</f>
        <v/>
      </c>
      <c r="CB142" t="str">
        <f>""</f>
        <v/>
      </c>
      <c r="CC142" t="str">
        <f>""</f>
        <v/>
      </c>
      <c r="CD142" t="str">
        <f>""</f>
        <v/>
      </c>
      <c r="CE142" t="str">
        <f>""</f>
        <v/>
      </c>
      <c r="CF142" t="str">
        <f>""</f>
        <v/>
      </c>
      <c r="CG142" t="str">
        <f>""</f>
        <v/>
      </c>
      <c r="CH142" t="str">
        <f>""</f>
        <v/>
      </c>
      <c r="CI142" t="str">
        <f>""</f>
        <v/>
      </c>
      <c r="CJ142" t="str">
        <f>""</f>
        <v/>
      </c>
      <c r="CK142" t="str">
        <f>""</f>
        <v/>
      </c>
      <c r="CL142" t="str">
        <f>""</f>
        <v/>
      </c>
      <c r="CM142" t="str">
        <f>""</f>
        <v/>
      </c>
      <c r="CN142" t="str">
        <f>""</f>
        <v/>
      </c>
      <c r="CO142" t="str">
        <f>""</f>
        <v/>
      </c>
      <c r="CP142" t="str">
        <f>""</f>
        <v/>
      </c>
      <c r="CQ142" t="str">
        <f>""</f>
        <v/>
      </c>
      <c r="CR142" t="str">
        <f>""</f>
        <v/>
      </c>
      <c r="CS142" t="str">
        <f>""</f>
        <v/>
      </c>
      <c r="CT142" t="str">
        <f>""</f>
        <v/>
      </c>
      <c r="CU142" t="str">
        <f>""</f>
        <v/>
      </c>
      <c r="CV142" t="str">
        <f>""</f>
        <v/>
      </c>
      <c r="CW142" t="str">
        <f>""</f>
        <v/>
      </c>
      <c r="CX142" t="str">
        <f>""</f>
        <v/>
      </c>
      <c r="CY142" t="str">
        <f>""</f>
        <v/>
      </c>
      <c r="CZ142" t="str">
        <f>""</f>
        <v/>
      </c>
      <c r="DA142" t="str">
        <f>""</f>
        <v/>
      </c>
      <c r="DB142" t="str">
        <f>""</f>
        <v/>
      </c>
      <c r="DC142" t="str">
        <f>""</f>
        <v/>
      </c>
      <c r="DD142" t="str">
        <f>""</f>
        <v/>
      </c>
      <c r="DE142" t="str">
        <f>""</f>
        <v/>
      </c>
      <c r="DF142" t="str">
        <f>""</f>
        <v/>
      </c>
      <c r="DG142" t="str">
        <f>""</f>
        <v/>
      </c>
      <c r="DH142" t="str">
        <f>""</f>
        <v/>
      </c>
      <c r="DI142" t="str">
        <f>""</f>
        <v/>
      </c>
      <c r="DJ142" t="str">
        <f>""</f>
        <v/>
      </c>
      <c r="DK142" t="str">
        <f>""</f>
        <v/>
      </c>
      <c r="DL142" t="str">
        <f>""</f>
        <v/>
      </c>
      <c r="DM142" t="str">
        <f>""</f>
        <v/>
      </c>
      <c r="DN142" t="str">
        <f>""</f>
        <v/>
      </c>
      <c r="DO142" t="str">
        <f>""</f>
        <v/>
      </c>
      <c r="DP142" t="str">
        <f>""</f>
        <v/>
      </c>
      <c r="DQ142" t="str">
        <f>""</f>
        <v/>
      </c>
      <c r="DR142" t="str">
        <f>""</f>
        <v/>
      </c>
      <c r="DS142" t="str">
        <f>""</f>
        <v/>
      </c>
      <c r="DT142" t="str">
        <f>""</f>
        <v/>
      </c>
      <c r="DU142" t="str">
        <f>""</f>
        <v/>
      </c>
    </row>
    <row r="143" spans="1:125" x14ac:dyDescent="0.25">
      <c r="BN143" t="str">
        <f>""</f>
        <v/>
      </c>
      <c r="BO143" t="str">
        <f>""</f>
        <v/>
      </c>
      <c r="BP143" t="str">
        <f>""</f>
        <v/>
      </c>
      <c r="BQ143" t="str">
        <f>""</f>
        <v/>
      </c>
      <c r="BR143" t="str">
        <f>""</f>
        <v/>
      </c>
      <c r="BS143" t="str">
        <f>""</f>
        <v/>
      </c>
      <c r="BT143" t="str">
        <f>""</f>
        <v/>
      </c>
      <c r="BU143" t="str">
        <f>""</f>
        <v/>
      </c>
      <c r="BV143" t="str">
        <f>""</f>
        <v/>
      </c>
      <c r="BW143" t="str">
        <f>""</f>
        <v/>
      </c>
      <c r="BX143" t="str">
        <f>""</f>
        <v/>
      </c>
      <c r="BY143" t="str">
        <f>""</f>
        <v/>
      </c>
      <c r="BZ143" t="str">
        <f>""</f>
        <v/>
      </c>
      <c r="CA143" t="str">
        <f>""</f>
        <v/>
      </c>
      <c r="CB143" t="str">
        <f>""</f>
        <v/>
      </c>
      <c r="CC143" t="str">
        <f>""</f>
        <v/>
      </c>
      <c r="CD143" t="str">
        <f>""</f>
        <v/>
      </c>
      <c r="CE143" t="str">
        <f>""</f>
        <v/>
      </c>
      <c r="CF143" t="str">
        <f>""</f>
        <v/>
      </c>
      <c r="CG143" t="str">
        <f>""</f>
        <v/>
      </c>
      <c r="CH143" t="str">
        <f>""</f>
        <v/>
      </c>
      <c r="CI143" t="str">
        <f>""</f>
        <v/>
      </c>
      <c r="CJ143" t="str">
        <f>""</f>
        <v/>
      </c>
      <c r="CK143" t="str">
        <f>""</f>
        <v/>
      </c>
      <c r="CL143" t="str">
        <f>""</f>
        <v/>
      </c>
      <c r="CM143" t="str">
        <f>""</f>
        <v/>
      </c>
      <c r="CN143" t="str">
        <f>""</f>
        <v/>
      </c>
      <c r="CO143" t="str">
        <f>""</f>
        <v/>
      </c>
      <c r="CP143" t="str">
        <f>""</f>
        <v/>
      </c>
      <c r="CQ143" t="str">
        <f>""</f>
        <v/>
      </c>
      <c r="CR143" t="str">
        <f>""</f>
        <v/>
      </c>
      <c r="CS143" t="str">
        <f>""</f>
        <v/>
      </c>
      <c r="CT143" t="str">
        <f>""</f>
        <v/>
      </c>
      <c r="CU143" t="str">
        <f>""</f>
        <v/>
      </c>
      <c r="CV143" t="str">
        <f>""</f>
        <v/>
      </c>
      <c r="CW143" t="str">
        <f>""</f>
        <v/>
      </c>
      <c r="CX143" t="str">
        <f>""</f>
        <v/>
      </c>
      <c r="CY143" t="str">
        <f>""</f>
        <v/>
      </c>
      <c r="CZ143" t="str">
        <f>""</f>
        <v/>
      </c>
      <c r="DA143" t="str">
        <f>""</f>
        <v/>
      </c>
      <c r="DB143" t="str">
        <f>""</f>
        <v/>
      </c>
      <c r="DC143" t="str">
        <f>""</f>
        <v/>
      </c>
      <c r="DD143" t="str">
        <f>""</f>
        <v/>
      </c>
      <c r="DE143" t="str">
        <f>""</f>
        <v/>
      </c>
      <c r="DF143" t="str">
        <f>""</f>
        <v/>
      </c>
      <c r="DG143" t="str">
        <f>""</f>
        <v/>
      </c>
      <c r="DH143" t="str">
        <f>""</f>
        <v/>
      </c>
      <c r="DI143" t="str">
        <f>""</f>
        <v/>
      </c>
      <c r="DJ143" t="str">
        <f>""</f>
        <v/>
      </c>
      <c r="DK143" t="str">
        <f>""</f>
        <v/>
      </c>
      <c r="DL143" t="str">
        <f>""</f>
        <v/>
      </c>
      <c r="DM143" t="str">
        <f>""</f>
        <v/>
      </c>
      <c r="DN143" t="str">
        <f>""</f>
        <v/>
      </c>
      <c r="DO143" t="str">
        <f>""</f>
        <v/>
      </c>
      <c r="DP143" t="str">
        <f>""</f>
        <v/>
      </c>
      <c r="DQ143" t="str">
        <f>""</f>
        <v/>
      </c>
      <c r="DR143" t="str">
        <f>""</f>
        <v/>
      </c>
      <c r="DS143" t="str">
        <f>""</f>
        <v/>
      </c>
      <c r="DT143" t="str">
        <f>""</f>
        <v/>
      </c>
      <c r="DU143" t="str">
        <f>""</f>
        <v/>
      </c>
    </row>
    <row r="144" spans="1:125" x14ac:dyDescent="0.25">
      <c r="BN144" t="str">
        <f>""</f>
        <v/>
      </c>
      <c r="BO144" t="str">
        <f>""</f>
        <v/>
      </c>
      <c r="BP144" t="str">
        <f>""</f>
        <v/>
      </c>
      <c r="BQ144" t="str">
        <f>""</f>
        <v/>
      </c>
      <c r="BR144" t="str">
        <f>""</f>
        <v/>
      </c>
      <c r="BS144" t="str">
        <f>""</f>
        <v/>
      </c>
      <c r="BT144" t="str">
        <f>""</f>
        <v/>
      </c>
      <c r="BU144" t="str">
        <f>""</f>
        <v/>
      </c>
      <c r="BV144" t="str">
        <f>""</f>
        <v/>
      </c>
      <c r="BW144" t="str">
        <f>""</f>
        <v/>
      </c>
      <c r="BX144" t="str">
        <f>""</f>
        <v/>
      </c>
      <c r="BY144" t="str">
        <f>""</f>
        <v/>
      </c>
      <c r="BZ144" t="str">
        <f>""</f>
        <v/>
      </c>
      <c r="CA144" t="str">
        <f>""</f>
        <v/>
      </c>
      <c r="CB144" t="str">
        <f>""</f>
        <v/>
      </c>
      <c r="CC144" t="str">
        <f>""</f>
        <v/>
      </c>
      <c r="CD144" t="str">
        <f>""</f>
        <v/>
      </c>
      <c r="CE144" t="str">
        <f>""</f>
        <v/>
      </c>
      <c r="CF144" t="str">
        <f>""</f>
        <v/>
      </c>
      <c r="CG144" t="str">
        <f>""</f>
        <v/>
      </c>
      <c r="CH144" t="str">
        <f>""</f>
        <v/>
      </c>
      <c r="CI144" t="str">
        <f>""</f>
        <v/>
      </c>
      <c r="CJ144" t="str">
        <f>""</f>
        <v/>
      </c>
      <c r="CK144" t="str">
        <f>""</f>
        <v/>
      </c>
      <c r="CL144" t="str">
        <f>""</f>
        <v/>
      </c>
      <c r="CM144" t="str">
        <f>""</f>
        <v/>
      </c>
      <c r="CN144" t="str">
        <f>""</f>
        <v/>
      </c>
      <c r="CO144" t="str">
        <f>""</f>
        <v/>
      </c>
      <c r="CP144" t="str">
        <f>""</f>
        <v/>
      </c>
      <c r="CQ144" t="str">
        <f>""</f>
        <v/>
      </c>
      <c r="CR144" t="str">
        <f>""</f>
        <v/>
      </c>
      <c r="CS144" t="str">
        <f>""</f>
        <v/>
      </c>
      <c r="CT144" t="str">
        <f>""</f>
        <v/>
      </c>
      <c r="CU144" t="str">
        <f>""</f>
        <v/>
      </c>
      <c r="CV144" t="str">
        <f>""</f>
        <v/>
      </c>
      <c r="CW144" t="str">
        <f>""</f>
        <v/>
      </c>
      <c r="CX144" t="str">
        <f>""</f>
        <v/>
      </c>
      <c r="CY144" t="str">
        <f>""</f>
        <v/>
      </c>
      <c r="CZ144" t="str">
        <f>""</f>
        <v/>
      </c>
      <c r="DA144" t="str">
        <f>""</f>
        <v/>
      </c>
      <c r="DB144" t="str">
        <f>""</f>
        <v/>
      </c>
      <c r="DC144" t="str">
        <f>""</f>
        <v/>
      </c>
      <c r="DD144" t="str">
        <f>""</f>
        <v/>
      </c>
      <c r="DE144" t="str">
        <f>""</f>
        <v/>
      </c>
      <c r="DF144" t="str">
        <f>""</f>
        <v/>
      </c>
      <c r="DG144" t="str">
        <f>""</f>
        <v/>
      </c>
      <c r="DH144" t="str">
        <f>""</f>
        <v/>
      </c>
      <c r="DI144" t="str">
        <f>""</f>
        <v/>
      </c>
      <c r="DJ144" t="str">
        <f>""</f>
        <v/>
      </c>
      <c r="DK144" t="str">
        <f>""</f>
        <v/>
      </c>
      <c r="DL144" t="str">
        <f>""</f>
        <v/>
      </c>
      <c r="DM144" t="str">
        <f>""</f>
        <v/>
      </c>
      <c r="DN144" t="str">
        <f>""</f>
        <v/>
      </c>
      <c r="DO144" t="str">
        <f>""</f>
        <v/>
      </c>
      <c r="DP144" t="str">
        <f>""</f>
        <v/>
      </c>
      <c r="DQ144" t="str">
        <f>""</f>
        <v/>
      </c>
      <c r="DR144" t="str">
        <f>""</f>
        <v/>
      </c>
      <c r="DS144" t="str">
        <f>""</f>
        <v/>
      </c>
      <c r="DT144" t="str">
        <f>""</f>
        <v/>
      </c>
      <c r="DU144" t="str">
        <f>""</f>
        <v/>
      </c>
    </row>
    <row r="145" spans="1:125" x14ac:dyDescent="0.25">
      <c r="BN145" t="str">
        <f>""</f>
        <v/>
      </c>
      <c r="BO145" t="str">
        <f>""</f>
        <v/>
      </c>
      <c r="BP145" t="str">
        <f>""</f>
        <v/>
      </c>
      <c r="BQ145" t="str">
        <f>""</f>
        <v/>
      </c>
      <c r="BR145" t="str">
        <f>""</f>
        <v/>
      </c>
      <c r="BS145" t="str">
        <f>""</f>
        <v/>
      </c>
      <c r="BT145" t="str">
        <f>""</f>
        <v/>
      </c>
      <c r="BU145" t="str">
        <f>""</f>
        <v/>
      </c>
      <c r="BV145" t="str">
        <f>""</f>
        <v/>
      </c>
      <c r="BW145" t="str">
        <f>""</f>
        <v/>
      </c>
      <c r="BX145" t="str">
        <f>""</f>
        <v/>
      </c>
      <c r="BY145" t="str">
        <f>""</f>
        <v/>
      </c>
      <c r="BZ145" t="str">
        <f>""</f>
        <v/>
      </c>
      <c r="CA145" t="str">
        <f>""</f>
        <v/>
      </c>
      <c r="CB145" t="str">
        <f>""</f>
        <v/>
      </c>
      <c r="CC145" t="str">
        <f>""</f>
        <v/>
      </c>
      <c r="CD145" t="str">
        <f>""</f>
        <v/>
      </c>
      <c r="CE145" t="str">
        <f>""</f>
        <v/>
      </c>
      <c r="CF145" t="str">
        <f>""</f>
        <v/>
      </c>
      <c r="CG145" t="str">
        <f>""</f>
        <v/>
      </c>
      <c r="CH145" t="str">
        <f>""</f>
        <v/>
      </c>
      <c r="CI145" t="str">
        <f>""</f>
        <v/>
      </c>
      <c r="CJ145" t="str">
        <f>""</f>
        <v/>
      </c>
      <c r="CK145" t="str">
        <f>""</f>
        <v/>
      </c>
      <c r="CL145" t="str">
        <f>""</f>
        <v/>
      </c>
      <c r="CM145" t="str">
        <f>""</f>
        <v/>
      </c>
      <c r="CN145" t="str">
        <f>""</f>
        <v/>
      </c>
      <c r="CO145" t="str">
        <f>""</f>
        <v/>
      </c>
      <c r="CP145" t="str">
        <f>""</f>
        <v/>
      </c>
      <c r="CQ145" t="str">
        <f>""</f>
        <v/>
      </c>
      <c r="CR145" t="str">
        <f>""</f>
        <v/>
      </c>
      <c r="CS145" t="str">
        <f>""</f>
        <v/>
      </c>
      <c r="CT145" t="str">
        <f>""</f>
        <v/>
      </c>
      <c r="CU145" t="str">
        <f>""</f>
        <v/>
      </c>
      <c r="CV145" t="str">
        <f>""</f>
        <v/>
      </c>
      <c r="CW145" t="str">
        <f>""</f>
        <v/>
      </c>
      <c r="CX145" t="str">
        <f>""</f>
        <v/>
      </c>
      <c r="CY145" t="str">
        <f>""</f>
        <v/>
      </c>
      <c r="CZ145" t="str">
        <f>""</f>
        <v/>
      </c>
      <c r="DA145" t="str">
        <f>""</f>
        <v/>
      </c>
      <c r="DB145" t="str">
        <f>""</f>
        <v/>
      </c>
      <c r="DC145" t="str">
        <f>""</f>
        <v/>
      </c>
      <c r="DD145" t="str">
        <f>""</f>
        <v/>
      </c>
      <c r="DE145" t="str">
        <f>""</f>
        <v/>
      </c>
      <c r="DF145" t="str">
        <f>""</f>
        <v/>
      </c>
      <c r="DG145" t="str">
        <f>""</f>
        <v/>
      </c>
      <c r="DH145" t="str">
        <f>""</f>
        <v/>
      </c>
      <c r="DI145" t="str">
        <f>""</f>
        <v/>
      </c>
      <c r="DJ145" t="str">
        <f>""</f>
        <v/>
      </c>
      <c r="DK145" t="str">
        <f>""</f>
        <v/>
      </c>
      <c r="DL145" t="str">
        <f>""</f>
        <v/>
      </c>
      <c r="DM145" t="str">
        <f>""</f>
        <v/>
      </c>
      <c r="DN145" t="str">
        <f>""</f>
        <v/>
      </c>
      <c r="DO145" t="str">
        <f>""</f>
        <v/>
      </c>
      <c r="DP145" t="str">
        <f>""</f>
        <v/>
      </c>
      <c r="DQ145" t="str">
        <f>""</f>
        <v/>
      </c>
      <c r="DR145" t="str">
        <f>""</f>
        <v/>
      </c>
      <c r="DS145" t="str">
        <f>""</f>
        <v/>
      </c>
      <c r="DT145" t="str">
        <f>""</f>
        <v/>
      </c>
      <c r="DU145" t="str">
        <f>""</f>
        <v/>
      </c>
    </row>
    <row r="146" spans="1:125" x14ac:dyDescent="0.25">
      <c r="BN146" t="str">
        <f>""</f>
        <v/>
      </c>
      <c r="BO146" t="str">
        <f>""</f>
        <v/>
      </c>
      <c r="BP146" t="str">
        <f>""</f>
        <v/>
      </c>
      <c r="BQ146" t="str">
        <f>""</f>
        <v/>
      </c>
      <c r="BR146" t="str">
        <f>""</f>
        <v/>
      </c>
      <c r="BS146" t="str">
        <f>""</f>
        <v/>
      </c>
      <c r="BT146" t="str">
        <f>""</f>
        <v/>
      </c>
      <c r="BU146" t="str">
        <f>""</f>
        <v/>
      </c>
      <c r="BV146" t="str">
        <f>""</f>
        <v/>
      </c>
      <c r="BW146" t="str">
        <f>""</f>
        <v/>
      </c>
      <c r="BX146" t="str">
        <f>""</f>
        <v/>
      </c>
      <c r="BY146" t="str">
        <f>""</f>
        <v/>
      </c>
      <c r="BZ146" t="str">
        <f>""</f>
        <v/>
      </c>
      <c r="CA146" t="str">
        <f>""</f>
        <v/>
      </c>
      <c r="CB146" t="str">
        <f>""</f>
        <v/>
      </c>
      <c r="CC146" t="str">
        <f>""</f>
        <v/>
      </c>
      <c r="CD146" t="str">
        <f>""</f>
        <v/>
      </c>
      <c r="CE146" t="str">
        <f>""</f>
        <v/>
      </c>
      <c r="CF146" t="str">
        <f>""</f>
        <v/>
      </c>
      <c r="CG146" t="str">
        <f>""</f>
        <v/>
      </c>
      <c r="CH146" t="str">
        <f>""</f>
        <v/>
      </c>
      <c r="CI146" t="str">
        <f>""</f>
        <v/>
      </c>
      <c r="CJ146" t="str">
        <f>""</f>
        <v/>
      </c>
      <c r="CK146" t="str">
        <f>""</f>
        <v/>
      </c>
      <c r="CL146" t="str">
        <f>""</f>
        <v/>
      </c>
      <c r="CM146" t="str">
        <f>""</f>
        <v/>
      </c>
      <c r="CN146" t="str">
        <f>""</f>
        <v/>
      </c>
      <c r="CO146" t="str">
        <f>""</f>
        <v/>
      </c>
      <c r="CP146" t="str">
        <f>""</f>
        <v/>
      </c>
      <c r="CQ146" t="str">
        <f>""</f>
        <v/>
      </c>
      <c r="CR146" t="str">
        <f>""</f>
        <v/>
      </c>
      <c r="CS146" t="str">
        <f>""</f>
        <v/>
      </c>
      <c r="CT146" t="str">
        <f>""</f>
        <v/>
      </c>
      <c r="CU146" t="str">
        <f>""</f>
        <v/>
      </c>
      <c r="CV146" t="str">
        <f>""</f>
        <v/>
      </c>
      <c r="CW146" t="str">
        <f>""</f>
        <v/>
      </c>
      <c r="CX146" t="str">
        <f>""</f>
        <v/>
      </c>
      <c r="CY146" t="str">
        <f>""</f>
        <v/>
      </c>
      <c r="CZ146" t="str">
        <f>""</f>
        <v/>
      </c>
      <c r="DA146" t="str">
        <f>""</f>
        <v/>
      </c>
      <c r="DB146" t="str">
        <f>""</f>
        <v/>
      </c>
      <c r="DC146" t="str">
        <f>""</f>
        <v/>
      </c>
      <c r="DD146" t="str">
        <f>""</f>
        <v/>
      </c>
      <c r="DE146" t="str">
        <f>""</f>
        <v/>
      </c>
      <c r="DF146" t="str">
        <f>""</f>
        <v/>
      </c>
      <c r="DG146" t="str">
        <f>""</f>
        <v/>
      </c>
      <c r="DH146" t="str">
        <f>""</f>
        <v/>
      </c>
      <c r="DI146" t="str">
        <f>""</f>
        <v/>
      </c>
      <c r="DJ146" t="str">
        <f>""</f>
        <v/>
      </c>
      <c r="DK146" t="str">
        <f>""</f>
        <v/>
      </c>
      <c r="DL146" t="str">
        <f>""</f>
        <v/>
      </c>
      <c r="DM146" t="str">
        <f>""</f>
        <v/>
      </c>
      <c r="DN146" t="str">
        <f>""</f>
        <v/>
      </c>
      <c r="DO146" t="str">
        <f>""</f>
        <v/>
      </c>
      <c r="DP146" t="str">
        <f>""</f>
        <v/>
      </c>
      <c r="DQ146" t="str">
        <f>""</f>
        <v/>
      </c>
      <c r="DR146" t="str">
        <f>""</f>
        <v/>
      </c>
      <c r="DS146" t="str">
        <f>""</f>
        <v/>
      </c>
      <c r="DT146" t="str">
        <f>""</f>
        <v/>
      </c>
      <c r="DU146" t="str">
        <f>""</f>
        <v/>
      </c>
    </row>
    <row r="147" spans="1:125" x14ac:dyDescent="0.25">
      <c r="BN147" t="str">
        <f>""</f>
        <v/>
      </c>
      <c r="BO147" t="str">
        <f>""</f>
        <v/>
      </c>
      <c r="BP147" t="str">
        <f>""</f>
        <v/>
      </c>
      <c r="BQ147" t="str">
        <f>""</f>
        <v/>
      </c>
      <c r="BR147" t="str">
        <f>""</f>
        <v/>
      </c>
      <c r="BS147" t="str">
        <f>""</f>
        <v/>
      </c>
      <c r="BT147" t="str">
        <f>""</f>
        <v/>
      </c>
      <c r="BU147" t="str">
        <f>""</f>
        <v/>
      </c>
      <c r="BV147" t="str">
        <f>""</f>
        <v/>
      </c>
      <c r="BW147" t="str">
        <f>""</f>
        <v/>
      </c>
      <c r="BX147" t="str">
        <f>""</f>
        <v/>
      </c>
      <c r="BY147" t="str">
        <f>""</f>
        <v/>
      </c>
      <c r="BZ147" t="str">
        <f>""</f>
        <v/>
      </c>
      <c r="CA147" t="str">
        <f>""</f>
        <v/>
      </c>
      <c r="CB147" t="str">
        <f>""</f>
        <v/>
      </c>
      <c r="CC147" t="str">
        <f>""</f>
        <v/>
      </c>
      <c r="CD147" t="str">
        <f>""</f>
        <v/>
      </c>
      <c r="CE147" t="str">
        <f>""</f>
        <v/>
      </c>
      <c r="CF147" t="str">
        <f>""</f>
        <v/>
      </c>
      <c r="CG147" t="str">
        <f>""</f>
        <v/>
      </c>
      <c r="CH147" t="str">
        <f>""</f>
        <v/>
      </c>
      <c r="CI147" t="str">
        <f>""</f>
        <v/>
      </c>
      <c r="CJ147" t="str">
        <f>""</f>
        <v/>
      </c>
      <c r="CK147" t="str">
        <f>""</f>
        <v/>
      </c>
      <c r="CL147" t="str">
        <f>""</f>
        <v/>
      </c>
      <c r="CM147" t="str">
        <f>""</f>
        <v/>
      </c>
      <c r="CN147" t="str">
        <f>""</f>
        <v/>
      </c>
      <c r="CO147" t="str">
        <f>""</f>
        <v/>
      </c>
      <c r="CP147" t="str">
        <f>""</f>
        <v/>
      </c>
      <c r="CQ147" t="str">
        <f>""</f>
        <v/>
      </c>
      <c r="CR147" t="str">
        <f>""</f>
        <v/>
      </c>
      <c r="CS147" t="str">
        <f>""</f>
        <v/>
      </c>
      <c r="CT147" t="str">
        <f>""</f>
        <v/>
      </c>
      <c r="CU147" t="str">
        <f>""</f>
        <v/>
      </c>
      <c r="CV147" t="str">
        <f>""</f>
        <v/>
      </c>
      <c r="CW147" t="str">
        <f>""</f>
        <v/>
      </c>
      <c r="CX147" t="str">
        <f>""</f>
        <v/>
      </c>
      <c r="CY147" t="str">
        <f>""</f>
        <v/>
      </c>
      <c r="CZ147" t="str">
        <f>""</f>
        <v/>
      </c>
      <c r="DA147" t="str">
        <f>""</f>
        <v/>
      </c>
      <c r="DB147" t="str">
        <f>""</f>
        <v/>
      </c>
      <c r="DC147" t="str">
        <f>""</f>
        <v/>
      </c>
      <c r="DD147" t="str">
        <f>""</f>
        <v/>
      </c>
      <c r="DE147" t="str">
        <f>""</f>
        <v/>
      </c>
      <c r="DF147" t="str">
        <f>""</f>
        <v/>
      </c>
      <c r="DG147" t="str">
        <f>""</f>
        <v/>
      </c>
      <c r="DH147" t="str">
        <f>""</f>
        <v/>
      </c>
      <c r="DI147" t="str">
        <f>""</f>
        <v/>
      </c>
      <c r="DJ147" t="str">
        <f>""</f>
        <v/>
      </c>
      <c r="DK147" t="str">
        <f>""</f>
        <v/>
      </c>
      <c r="DL147" t="str">
        <f>""</f>
        <v/>
      </c>
      <c r="DM147" t="str">
        <f>""</f>
        <v/>
      </c>
      <c r="DN147" t="str">
        <f>""</f>
        <v/>
      </c>
      <c r="DO147" t="str">
        <f>""</f>
        <v/>
      </c>
      <c r="DP147" t="str">
        <f>""</f>
        <v/>
      </c>
      <c r="DQ147" t="str">
        <f>""</f>
        <v/>
      </c>
      <c r="DR147" t="str">
        <f>""</f>
        <v/>
      </c>
      <c r="DS147" t="str">
        <f>""</f>
        <v/>
      </c>
      <c r="DT147" t="str">
        <f>""</f>
        <v/>
      </c>
      <c r="DU147" t="str">
        <f>""</f>
        <v/>
      </c>
    </row>
    <row r="148" spans="1:125" x14ac:dyDescent="0.25">
      <c r="BN148" t="str">
        <f>""</f>
        <v/>
      </c>
      <c r="BO148" t="str">
        <f>""</f>
        <v/>
      </c>
      <c r="BP148" t="str">
        <f>""</f>
        <v/>
      </c>
      <c r="BQ148" t="str">
        <f>""</f>
        <v/>
      </c>
      <c r="BR148" t="str">
        <f>""</f>
        <v/>
      </c>
      <c r="BS148" t="str">
        <f>""</f>
        <v/>
      </c>
      <c r="BT148" t="str">
        <f>""</f>
        <v/>
      </c>
      <c r="BU148" t="str">
        <f>""</f>
        <v/>
      </c>
      <c r="BV148" t="str">
        <f>""</f>
        <v/>
      </c>
      <c r="BW148" t="str">
        <f>""</f>
        <v/>
      </c>
      <c r="BX148" t="str">
        <f>""</f>
        <v/>
      </c>
      <c r="BY148" t="str">
        <f>""</f>
        <v/>
      </c>
      <c r="BZ148" t="str">
        <f>""</f>
        <v/>
      </c>
      <c r="CA148" t="str">
        <f>""</f>
        <v/>
      </c>
      <c r="CB148" t="str">
        <f>""</f>
        <v/>
      </c>
      <c r="CC148" t="str">
        <f>""</f>
        <v/>
      </c>
      <c r="CD148" t="str">
        <f>""</f>
        <v/>
      </c>
      <c r="CE148" t="str">
        <f>""</f>
        <v/>
      </c>
      <c r="CF148" t="str">
        <f>""</f>
        <v/>
      </c>
      <c r="CG148" t="str">
        <f>""</f>
        <v/>
      </c>
      <c r="CH148" t="str">
        <f>""</f>
        <v/>
      </c>
      <c r="CI148" t="str">
        <f>""</f>
        <v/>
      </c>
      <c r="CJ148" t="str">
        <f>""</f>
        <v/>
      </c>
      <c r="CK148" t="str">
        <f>""</f>
        <v/>
      </c>
      <c r="CL148" t="str">
        <f>""</f>
        <v/>
      </c>
      <c r="CM148" t="str">
        <f>""</f>
        <v/>
      </c>
      <c r="CN148" t="str">
        <f>""</f>
        <v/>
      </c>
      <c r="CO148" t="str">
        <f>""</f>
        <v/>
      </c>
      <c r="CP148" t="str">
        <f>""</f>
        <v/>
      </c>
      <c r="CQ148" t="str">
        <f>""</f>
        <v/>
      </c>
      <c r="CR148" t="str">
        <f>""</f>
        <v/>
      </c>
      <c r="CS148" t="str">
        <f>""</f>
        <v/>
      </c>
      <c r="CT148" t="str">
        <f>""</f>
        <v/>
      </c>
      <c r="CU148" t="str">
        <f>""</f>
        <v/>
      </c>
      <c r="CV148" t="str">
        <f>""</f>
        <v/>
      </c>
      <c r="CW148" t="str">
        <f>""</f>
        <v/>
      </c>
      <c r="CX148" t="str">
        <f>""</f>
        <v/>
      </c>
      <c r="CY148" t="str">
        <f>""</f>
        <v/>
      </c>
      <c r="CZ148" t="str">
        <f>""</f>
        <v/>
      </c>
      <c r="DA148" t="str">
        <f>""</f>
        <v/>
      </c>
      <c r="DB148" t="str">
        <f>""</f>
        <v/>
      </c>
      <c r="DC148" t="str">
        <f>""</f>
        <v/>
      </c>
      <c r="DD148" t="str">
        <f>""</f>
        <v/>
      </c>
      <c r="DE148" t="str">
        <f>""</f>
        <v/>
      </c>
      <c r="DF148" t="str">
        <f>""</f>
        <v/>
      </c>
      <c r="DG148" t="str">
        <f>""</f>
        <v/>
      </c>
      <c r="DH148" t="str">
        <f>""</f>
        <v/>
      </c>
      <c r="DI148" t="str">
        <f>""</f>
        <v/>
      </c>
      <c r="DJ148" t="str">
        <f>""</f>
        <v/>
      </c>
      <c r="DK148" t="str">
        <f>""</f>
        <v/>
      </c>
      <c r="DL148" t="str">
        <f>""</f>
        <v/>
      </c>
      <c r="DM148" t="str">
        <f>""</f>
        <v/>
      </c>
      <c r="DN148" t="str">
        <f>""</f>
        <v/>
      </c>
      <c r="DO148" t="str">
        <f>""</f>
        <v/>
      </c>
      <c r="DP148" t="str">
        <f>""</f>
        <v/>
      </c>
      <c r="DQ148" t="str">
        <f>""</f>
        <v/>
      </c>
      <c r="DR148" t="str">
        <f>""</f>
        <v/>
      </c>
      <c r="DS148" t="str">
        <f>""</f>
        <v/>
      </c>
      <c r="DT148" t="str">
        <f>""</f>
        <v/>
      </c>
      <c r="DU148" t="str">
        <f>""</f>
        <v/>
      </c>
    </row>
    <row r="149" spans="1:125" x14ac:dyDescent="0.25">
      <c r="BN149" t="str">
        <f>""</f>
        <v/>
      </c>
      <c r="BO149" t="str">
        <f>""</f>
        <v/>
      </c>
      <c r="BP149" t="str">
        <f>""</f>
        <v/>
      </c>
      <c r="BQ149" t="str">
        <f>""</f>
        <v/>
      </c>
      <c r="BR149" t="str">
        <f>""</f>
        <v/>
      </c>
      <c r="BS149" t="str">
        <f>""</f>
        <v/>
      </c>
      <c r="BT149" t="str">
        <f>""</f>
        <v/>
      </c>
      <c r="BU149" t="str">
        <f>""</f>
        <v/>
      </c>
      <c r="BV149" t="str">
        <f>""</f>
        <v/>
      </c>
      <c r="BW149" t="str">
        <f>""</f>
        <v/>
      </c>
      <c r="BX149" t="str">
        <f>""</f>
        <v/>
      </c>
      <c r="BY149" t="str">
        <f>""</f>
        <v/>
      </c>
      <c r="BZ149" t="str">
        <f>""</f>
        <v/>
      </c>
      <c r="CA149" t="str">
        <f>""</f>
        <v/>
      </c>
      <c r="CB149" t="str">
        <f>""</f>
        <v/>
      </c>
      <c r="CC149" t="str">
        <f>""</f>
        <v/>
      </c>
      <c r="CD149" t="str">
        <f>""</f>
        <v/>
      </c>
      <c r="CE149" t="str">
        <f>""</f>
        <v/>
      </c>
      <c r="CF149" t="str">
        <f>""</f>
        <v/>
      </c>
      <c r="CG149" t="str">
        <f>""</f>
        <v/>
      </c>
      <c r="CH149" t="str">
        <f>""</f>
        <v/>
      </c>
      <c r="CI149" t="str">
        <f>""</f>
        <v/>
      </c>
      <c r="CJ149" t="str">
        <f>""</f>
        <v/>
      </c>
      <c r="CK149" t="str">
        <f>""</f>
        <v/>
      </c>
      <c r="CL149" t="str">
        <f>""</f>
        <v/>
      </c>
      <c r="CM149" t="str">
        <f>""</f>
        <v/>
      </c>
      <c r="CN149" t="str">
        <f>""</f>
        <v/>
      </c>
      <c r="CO149" t="str">
        <f>""</f>
        <v/>
      </c>
      <c r="CP149" t="str">
        <f>""</f>
        <v/>
      </c>
      <c r="CQ149" t="str">
        <f>""</f>
        <v/>
      </c>
      <c r="CR149" t="str">
        <f>""</f>
        <v/>
      </c>
      <c r="CS149" t="str">
        <f>""</f>
        <v/>
      </c>
      <c r="CT149" t="str">
        <f>""</f>
        <v/>
      </c>
      <c r="CU149" t="str">
        <f>""</f>
        <v/>
      </c>
      <c r="CV149" t="str">
        <f>""</f>
        <v/>
      </c>
      <c r="CW149" t="str">
        <f>""</f>
        <v/>
      </c>
      <c r="CX149" t="str">
        <f>""</f>
        <v/>
      </c>
      <c r="CY149" t="str">
        <f>""</f>
        <v/>
      </c>
      <c r="CZ149" t="str">
        <f>""</f>
        <v/>
      </c>
      <c r="DA149" t="str">
        <f>""</f>
        <v/>
      </c>
      <c r="DB149" t="str">
        <f>""</f>
        <v/>
      </c>
      <c r="DC149" t="str">
        <f>""</f>
        <v/>
      </c>
      <c r="DD149" t="str">
        <f>""</f>
        <v/>
      </c>
      <c r="DE149" t="str">
        <f>""</f>
        <v/>
      </c>
      <c r="DF149" t="str">
        <f>""</f>
        <v/>
      </c>
      <c r="DG149" t="str">
        <f>""</f>
        <v/>
      </c>
      <c r="DH149" t="str">
        <f>""</f>
        <v/>
      </c>
      <c r="DI149" t="str">
        <f>""</f>
        <v/>
      </c>
      <c r="DJ149" t="str">
        <f>""</f>
        <v/>
      </c>
      <c r="DK149" t="str">
        <f>""</f>
        <v/>
      </c>
      <c r="DL149" t="str">
        <f>""</f>
        <v/>
      </c>
      <c r="DM149" t="str">
        <f>""</f>
        <v/>
      </c>
      <c r="DN149" t="str">
        <f>""</f>
        <v/>
      </c>
      <c r="DO149" t="str">
        <f>""</f>
        <v/>
      </c>
      <c r="DP149" t="str">
        <f>""</f>
        <v/>
      </c>
      <c r="DQ149" t="str">
        <f>""</f>
        <v/>
      </c>
      <c r="DR149" t="str">
        <f>""</f>
        <v/>
      </c>
      <c r="DS149" t="str">
        <f>""</f>
        <v/>
      </c>
      <c r="DT149" t="str">
        <f>""</f>
        <v/>
      </c>
      <c r="DU149" t="str">
        <f>""</f>
        <v/>
      </c>
    </row>
    <row r="150" spans="1:125" x14ac:dyDescent="0.25">
      <c r="A150" t="str">
        <f t="shared" ref="A150:AF150" si="76">"~~~~~~~~~~"</f>
        <v>~~~~~~~~~~</v>
      </c>
      <c r="B150" t="str">
        <f t="shared" si="76"/>
        <v>~~~~~~~~~~</v>
      </c>
      <c r="C150" t="str">
        <f t="shared" si="76"/>
        <v>~~~~~~~~~~</v>
      </c>
      <c r="D150" t="str">
        <f t="shared" si="76"/>
        <v>~~~~~~~~~~</v>
      </c>
      <c r="E150" t="str">
        <f t="shared" si="76"/>
        <v>~~~~~~~~~~</v>
      </c>
      <c r="F150" t="str">
        <f t="shared" si="76"/>
        <v>~~~~~~~~~~</v>
      </c>
      <c r="G150" t="str">
        <f t="shared" si="76"/>
        <v>~~~~~~~~~~</v>
      </c>
      <c r="H150" t="str">
        <f t="shared" si="76"/>
        <v>~~~~~~~~~~</v>
      </c>
      <c r="I150" t="str">
        <f t="shared" si="76"/>
        <v>~~~~~~~~~~</v>
      </c>
      <c r="J150" t="str">
        <f t="shared" si="76"/>
        <v>~~~~~~~~~~</v>
      </c>
      <c r="K150" t="str">
        <f t="shared" si="76"/>
        <v>~~~~~~~~~~</v>
      </c>
      <c r="L150" t="str">
        <f t="shared" si="76"/>
        <v>~~~~~~~~~~</v>
      </c>
      <c r="M150" t="str">
        <f t="shared" si="76"/>
        <v>~~~~~~~~~~</v>
      </c>
      <c r="N150" t="str">
        <f t="shared" si="76"/>
        <v>~~~~~~~~~~</v>
      </c>
      <c r="O150" t="str">
        <f t="shared" si="76"/>
        <v>~~~~~~~~~~</v>
      </c>
      <c r="P150" t="str">
        <f t="shared" si="76"/>
        <v>~~~~~~~~~~</v>
      </c>
      <c r="Q150" t="str">
        <f t="shared" si="76"/>
        <v>~~~~~~~~~~</v>
      </c>
      <c r="R150" t="str">
        <f t="shared" si="76"/>
        <v>~~~~~~~~~~</v>
      </c>
      <c r="S150" t="str">
        <f t="shared" si="76"/>
        <v>~~~~~~~~~~</v>
      </c>
      <c r="T150" t="str">
        <f t="shared" si="76"/>
        <v>~~~~~~~~~~</v>
      </c>
      <c r="U150" t="str">
        <f t="shared" si="76"/>
        <v>~~~~~~~~~~</v>
      </c>
      <c r="V150" t="str">
        <f t="shared" si="76"/>
        <v>~~~~~~~~~~</v>
      </c>
      <c r="W150" t="str">
        <f t="shared" si="76"/>
        <v>~~~~~~~~~~</v>
      </c>
      <c r="X150" t="str">
        <f t="shared" si="76"/>
        <v>~~~~~~~~~~</v>
      </c>
      <c r="Y150" t="str">
        <f t="shared" si="76"/>
        <v>~~~~~~~~~~</v>
      </c>
      <c r="Z150" t="str">
        <f t="shared" si="76"/>
        <v>~~~~~~~~~~</v>
      </c>
      <c r="AA150" t="str">
        <f t="shared" si="76"/>
        <v>~~~~~~~~~~</v>
      </c>
      <c r="AB150" t="str">
        <f t="shared" si="76"/>
        <v>~~~~~~~~~~</v>
      </c>
      <c r="AC150" t="str">
        <f t="shared" si="76"/>
        <v>~~~~~~~~~~</v>
      </c>
      <c r="AD150" t="str">
        <f t="shared" si="76"/>
        <v>~~~~~~~~~~</v>
      </c>
      <c r="AE150" t="str">
        <f t="shared" si="76"/>
        <v>~~~~~~~~~~</v>
      </c>
      <c r="AF150" t="str">
        <f t="shared" si="76"/>
        <v>~~~~~~~~~~</v>
      </c>
      <c r="AG150" t="str">
        <f t="shared" ref="AG150:BM150" si="77">"~~~~~~~~~~"</f>
        <v>~~~~~~~~~~</v>
      </c>
      <c r="AH150" t="str">
        <f t="shared" si="77"/>
        <v>~~~~~~~~~~</v>
      </c>
      <c r="AI150" t="str">
        <f t="shared" si="77"/>
        <v>~~~~~~~~~~</v>
      </c>
      <c r="AJ150" t="str">
        <f t="shared" si="77"/>
        <v>~~~~~~~~~~</v>
      </c>
      <c r="AK150" t="str">
        <f t="shared" si="77"/>
        <v>~~~~~~~~~~</v>
      </c>
      <c r="AL150" t="str">
        <f t="shared" si="77"/>
        <v>~~~~~~~~~~</v>
      </c>
      <c r="AM150" t="str">
        <f t="shared" si="77"/>
        <v>~~~~~~~~~~</v>
      </c>
      <c r="AN150" t="str">
        <f t="shared" si="77"/>
        <v>~~~~~~~~~~</v>
      </c>
      <c r="AO150" t="str">
        <f t="shared" si="77"/>
        <v>~~~~~~~~~~</v>
      </c>
      <c r="AP150" t="str">
        <f t="shared" si="77"/>
        <v>~~~~~~~~~~</v>
      </c>
      <c r="AQ150" t="str">
        <f t="shared" si="77"/>
        <v>~~~~~~~~~~</v>
      </c>
      <c r="AR150" t="str">
        <f t="shared" si="77"/>
        <v>~~~~~~~~~~</v>
      </c>
      <c r="AS150" t="str">
        <f t="shared" si="77"/>
        <v>~~~~~~~~~~</v>
      </c>
      <c r="AT150" t="str">
        <f t="shared" si="77"/>
        <v>~~~~~~~~~~</v>
      </c>
      <c r="AU150" t="str">
        <f t="shared" si="77"/>
        <v>~~~~~~~~~~</v>
      </c>
      <c r="AV150" t="str">
        <f t="shared" si="77"/>
        <v>~~~~~~~~~~</v>
      </c>
      <c r="AW150" t="str">
        <f t="shared" si="77"/>
        <v>~~~~~~~~~~</v>
      </c>
      <c r="AX150" t="str">
        <f t="shared" si="77"/>
        <v>~~~~~~~~~~</v>
      </c>
      <c r="AY150" t="str">
        <f t="shared" si="77"/>
        <v>~~~~~~~~~~</v>
      </c>
      <c r="AZ150" t="str">
        <f t="shared" si="77"/>
        <v>~~~~~~~~~~</v>
      </c>
      <c r="BA150" t="str">
        <f t="shared" si="77"/>
        <v>~~~~~~~~~~</v>
      </c>
      <c r="BB150" t="str">
        <f t="shared" si="77"/>
        <v>~~~~~~~~~~</v>
      </c>
      <c r="BC150" t="str">
        <f t="shared" si="77"/>
        <v>~~~~~~~~~~</v>
      </c>
      <c r="BD150" t="str">
        <f t="shared" si="77"/>
        <v>~~~~~~~~~~</v>
      </c>
      <c r="BE150" t="str">
        <f t="shared" si="77"/>
        <v>~~~~~~~~~~</v>
      </c>
      <c r="BF150" t="str">
        <f t="shared" si="77"/>
        <v>~~~~~~~~~~</v>
      </c>
      <c r="BG150" t="str">
        <f t="shared" si="77"/>
        <v>~~~~~~~~~~</v>
      </c>
      <c r="BH150" t="str">
        <f t="shared" si="77"/>
        <v>~~~~~~~~~~</v>
      </c>
      <c r="BI150" t="str">
        <f t="shared" si="77"/>
        <v>~~~~~~~~~~</v>
      </c>
      <c r="BJ150" t="str">
        <f t="shared" si="77"/>
        <v>~~~~~~~~~~</v>
      </c>
      <c r="BK150" t="str">
        <f t="shared" si="77"/>
        <v>~~~~~~~~~~</v>
      </c>
      <c r="BL150" t="str">
        <f t="shared" si="77"/>
        <v>~~~~~~~~~~</v>
      </c>
      <c r="BM150" t="str">
        <f t="shared" si="77"/>
        <v>~~~~~~~~~~</v>
      </c>
      <c r="BN150" t="str">
        <f>""</f>
        <v/>
      </c>
      <c r="BO150" t="str">
        <f>""</f>
        <v/>
      </c>
      <c r="BP150" t="str">
        <f>""</f>
        <v/>
      </c>
      <c r="BQ150" t="str">
        <f>""</f>
        <v/>
      </c>
      <c r="BR150" t="str">
        <f>""</f>
        <v/>
      </c>
      <c r="BS150" t="str">
        <f>""</f>
        <v/>
      </c>
      <c r="BT150" t="str">
        <f>""</f>
        <v/>
      </c>
      <c r="BU150" t="str">
        <f>""</f>
        <v/>
      </c>
      <c r="BV150" t="str">
        <f>""</f>
        <v/>
      </c>
      <c r="BW150" t="str">
        <f>""</f>
        <v/>
      </c>
      <c r="BX150" t="str">
        <f>""</f>
        <v/>
      </c>
      <c r="BY150" t="str">
        <f>""</f>
        <v/>
      </c>
      <c r="BZ150" t="str">
        <f>""</f>
        <v/>
      </c>
      <c r="CA150" t="str">
        <f>""</f>
        <v/>
      </c>
      <c r="CB150" t="str">
        <f>""</f>
        <v/>
      </c>
      <c r="CC150" t="str">
        <f>""</f>
        <v/>
      </c>
      <c r="CD150" t="str">
        <f>""</f>
        <v/>
      </c>
      <c r="CE150" t="str">
        <f>""</f>
        <v/>
      </c>
      <c r="CF150" t="str">
        <f>""</f>
        <v/>
      </c>
      <c r="CG150" t="str">
        <f>""</f>
        <v/>
      </c>
      <c r="CH150" t="str">
        <f>""</f>
        <v/>
      </c>
      <c r="CI150" t="str">
        <f>""</f>
        <v/>
      </c>
      <c r="CJ150" t="str">
        <f>""</f>
        <v/>
      </c>
      <c r="CK150" t="str">
        <f>""</f>
        <v/>
      </c>
      <c r="CL150" t="str">
        <f>""</f>
        <v/>
      </c>
      <c r="CM150" t="str">
        <f>""</f>
        <v/>
      </c>
      <c r="CN150" t="str">
        <f>""</f>
        <v/>
      </c>
      <c r="CO150" t="str">
        <f>""</f>
        <v/>
      </c>
      <c r="CP150" t="str">
        <f>""</f>
        <v/>
      </c>
      <c r="CQ150" t="str">
        <f>""</f>
        <v/>
      </c>
      <c r="CR150" t="str">
        <f>""</f>
        <v/>
      </c>
      <c r="CS150" t="str">
        <f>""</f>
        <v/>
      </c>
      <c r="CT150" t="str">
        <f>""</f>
        <v/>
      </c>
      <c r="CU150" t="str">
        <f>""</f>
        <v/>
      </c>
      <c r="CV150" t="str">
        <f>""</f>
        <v/>
      </c>
      <c r="CW150" t="str">
        <f>""</f>
        <v/>
      </c>
      <c r="CX150" t="str">
        <f>""</f>
        <v/>
      </c>
      <c r="CY150" t="str">
        <f>""</f>
        <v/>
      </c>
      <c r="CZ150" t="str">
        <f>""</f>
        <v/>
      </c>
      <c r="DA150" t="str">
        <f>""</f>
        <v/>
      </c>
      <c r="DB150" t="str">
        <f>""</f>
        <v/>
      </c>
      <c r="DC150" t="str">
        <f>""</f>
        <v/>
      </c>
      <c r="DD150" t="str">
        <f>""</f>
        <v/>
      </c>
      <c r="DE150" t="str">
        <f>""</f>
        <v/>
      </c>
      <c r="DF150" t="str">
        <f>""</f>
        <v/>
      </c>
      <c r="DG150" t="str">
        <f>""</f>
        <v/>
      </c>
      <c r="DH150" t="str">
        <f>""</f>
        <v/>
      </c>
      <c r="DI150" t="str">
        <f>""</f>
        <v/>
      </c>
      <c r="DJ150" t="str">
        <f>""</f>
        <v/>
      </c>
      <c r="DK150" t="str">
        <f>""</f>
        <v/>
      </c>
      <c r="DL150" t="str">
        <f>""</f>
        <v/>
      </c>
      <c r="DM150" t="str">
        <f>""</f>
        <v/>
      </c>
      <c r="DN150" t="str">
        <f>""</f>
        <v/>
      </c>
      <c r="DO150" t="str">
        <f>""</f>
        <v/>
      </c>
      <c r="DP150" t="str">
        <f>""</f>
        <v/>
      </c>
      <c r="DQ150" t="str">
        <f>""</f>
        <v/>
      </c>
      <c r="DR150" t="str">
        <f>""</f>
        <v/>
      </c>
      <c r="DS150" t="str">
        <f>""</f>
        <v/>
      </c>
      <c r="DT150" t="str">
        <f>""</f>
        <v/>
      </c>
      <c r="DU150" t="str">
        <f>""</f>
        <v/>
      </c>
    </row>
    <row r="151" spans="1:125" x14ac:dyDescent="0.25">
      <c r="A151" t="str">
        <f>"All rows below have been added for reference by formula rows above."</f>
        <v>All rows below have been added for reference by formula rows above.</v>
      </c>
      <c r="BN151" t="str">
        <f>""</f>
        <v/>
      </c>
      <c r="BO151" t="str">
        <f>""</f>
        <v/>
      </c>
      <c r="BP151" t="str">
        <f>""</f>
        <v/>
      </c>
      <c r="BQ151" t="str">
        <f>""</f>
        <v/>
      </c>
      <c r="BR151" t="str">
        <f>""</f>
        <v/>
      </c>
      <c r="BS151" t="str">
        <f>""</f>
        <v/>
      </c>
      <c r="BT151" t="str">
        <f>""</f>
        <v/>
      </c>
      <c r="BU151" t="str">
        <f>""</f>
        <v/>
      </c>
      <c r="BV151" t="str">
        <f>""</f>
        <v/>
      </c>
      <c r="BW151" t="str">
        <f>""</f>
        <v/>
      </c>
      <c r="BX151" t="str">
        <f>""</f>
        <v/>
      </c>
      <c r="BY151" t="str">
        <f>""</f>
        <v/>
      </c>
      <c r="BZ151" t="str">
        <f>""</f>
        <v/>
      </c>
      <c r="CA151" t="str">
        <f>""</f>
        <v/>
      </c>
      <c r="CB151" t="str">
        <f>""</f>
        <v/>
      </c>
      <c r="CC151" t="str">
        <f>""</f>
        <v/>
      </c>
      <c r="CD151" t="str">
        <f>""</f>
        <v/>
      </c>
      <c r="CE151" t="str">
        <f>""</f>
        <v/>
      </c>
      <c r="CF151" t="str">
        <f>""</f>
        <v/>
      </c>
      <c r="CG151" t="str">
        <f>""</f>
        <v/>
      </c>
      <c r="CH151" t="str">
        <f>""</f>
        <v/>
      </c>
      <c r="CI151" t="str">
        <f>""</f>
        <v/>
      </c>
      <c r="CJ151" t="str">
        <f>""</f>
        <v/>
      </c>
      <c r="CK151" t="str">
        <f>""</f>
        <v/>
      </c>
      <c r="CL151" t="str">
        <f>""</f>
        <v/>
      </c>
      <c r="CM151" t="str">
        <f>""</f>
        <v/>
      </c>
      <c r="CN151" t="str">
        <f>""</f>
        <v/>
      </c>
      <c r="CO151" t="str">
        <f>""</f>
        <v/>
      </c>
      <c r="CP151" t="str">
        <f>""</f>
        <v/>
      </c>
      <c r="CQ151" t="str">
        <f>""</f>
        <v/>
      </c>
      <c r="CR151" t="str">
        <f>""</f>
        <v/>
      </c>
      <c r="CS151" t="str">
        <f>""</f>
        <v/>
      </c>
      <c r="CT151" t="str">
        <f>""</f>
        <v/>
      </c>
      <c r="CU151" t="str">
        <f>""</f>
        <v/>
      </c>
      <c r="CV151" t="str">
        <f>""</f>
        <v/>
      </c>
      <c r="CW151" t="str">
        <f>""</f>
        <v/>
      </c>
      <c r="CX151" t="str">
        <f>""</f>
        <v/>
      </c>
      <c r="CY151" t="str">
        <f>""</f>
        <v/>
      </c>
      <c r="CZ151" t="str">
        <f>""</f>
        <v/>
      </c>
      <c r="DA151" t="str">
        <f>""</f>
        <v/>
      </c>
      <c r="DB151" t="str">
        <f>""</f>
        <v/>
      </c>
      <c r="DC151" t="str">
        <f>""</f>
        <v/>
      </c>
      <c r="DD151" t="str">
        <f>""</f>
        <v/>
      </c>
      <c r="DE151" t="str">
        <f>""</f>
        <v/>
      </c>
      <c r="DF151" t="str">
        <f>""</f>
        <v/>
      </c>
      <c r="DG151" t="str">
        <f>""</f>
        <v/>
      </c>
      <c r="DH151" t="str">
        <f>""</f>
        <v/>
      </c>
      <c r="DI151" t="str">
        <f>""</f>
        <v/>
      </c>
      <c r="DJ151" t="str">
        <f>""</f>
        <v/>
      </c>
      <c r="DK151" t="str">
        <f>""</f>
        <v/>
      </c>
      <c r="DL151" t="str">
        <f>""</f>
        <v/>
      </c>
      <c r="DM151" t="str">
        <f>""</f>
        <v/>
      </c>
      <c r="DN151" t="str">
        <f>""</f>
        <v/>
      </c>
      <c r="DO151" t="str">
        <f>""</f>
        <v/>
      </c>
      <c r="DP151" t="str">
        <f>""</f>
        <v/>
      </c>
      <c r="DQ151" t="str">
        <f>""</f>
        <v/>
      </c>
      <c r="DR151" t="str">
        <f>""</f>
        <v/>
      </c>
      <c r="DS151" t="str">
        <f>""</f>
        <v/>
      </c>
      <c r="DT151" t="str">
        <f>""</f>
        <v/>
      </c>
      <c r="DU151" t="str">
        <f>""</f>
        <v/>
      </c>
    </row>
    <row r="152" spans="1:125" x14ac:dyDescent="0.25">
      <c r="A152">
        <f>RTD("bloomberg.ccyreader", "", "#track", "DBG", "BIHITX", "1.0","RepeatHit")</f>
        <v>0</v>
      </c>
      <c r="BN152" t="str">
        <f>""</f>
        <v/>
      </c>
      <c r="BO152" t="str">
        <f>""</f>
        <v/>
      </c>
      <c r="BP152" t="str">
        <f>""</f>
        <v/>
      </c>
      <c r="BQ152" t="str">
        <f>""</f>
        <v/>
      </c>
      <c r="BR152" t="str">
        <f>""</f>
        <v/>
      </c>
      <c r="BS152" t="str">
        <f>""</f>
        <v/>
      </c>
      <c r="BT152" t="str">
        <f>""</f>
        <v/>
      </c>
      <c r="BU152" t="str">
        <f>""</f>
        <v/>
      </c>
      <c r="BV152" t="str">
        <f>""</f>
        <v/>
      </c>
      <c r="BW152" t="str">
        <f>""</f>
        <v/>
      </c>
      <c r="BX152" t="str">
        <f>""</f>
        <v/>
      </c>
      <c r="BY152" t="str">
        <f>""</f>
        <v/>
      </c>
      <c r="BZ152" t="str">
        <f>""</f>
        <v/>
      </c>
      <c r="CA152" t="str">
        <f>""</f>
        <v/>
      </c>
      <c r="CB152" t="str">
        <f>""</f>
        <v/>
      </c>
      <c r="CC152" t="str">
        <f>""</f>
        <v/>
      </c>
      <c r="CD152" t="str">
        <f>""</f>
        <v/>
      </c>
      <c r="CE152" t="str">
        <f>""</f>
        <v/>
      </c>
      <c r="CF152" t="str">
        <f>""</f>
        <v/>
      </c>
      <c r="CG152" t="str">
        <f>""</f>
        <v/>
      </c>
      <c r="CH152" t="str">
        <f>""</f>
        <v/>
      </c>
      <c r="CI152" t="str">
        <f>""</f>
        <v/>
      </c>
      <c r="CJ152" t="str">
        <f>""</f>
        <v/>
      </c>
      <c r="CK152" t="str">
        <f>""</f>
        <v/>
      </c>
      <c r="CL152" t="str">
        <f>""</f>
        <v/>
      </c>
      <c r="CM152" t="str">
        <f>""</f>
        <v/>
      </c>
      <c r="CN152" t="str">
        <f>""</f>
        <v/>
      </c>
      <c r="CO152" t="str">
        <f>""</f>
        <v/>
      </c>
      <c r="CP152" t="str">
        <f>""</f>
        <v/>
      </c>
      <c r="CQ152" t="str">
        <f>""</f>
        <v/>
      </c>
      <c r="CR152" t="str">
        <f>""</f>
        <v/>
      </c>
      <c r="CS152" t="str">
        <f>""</f>
        <v/>
      </c>
      <c r="CT152" t="str">
        <f>""</f>
        <v/>
      </c>
      <c r="CU152" t="str">
        <f>""</f>
        <v/>
      </c>
      <c r="CV152" t="str">
        <f>""</f>
        <v/>
      </c>
      <c r="CW152" t="str">
        <f>""</f>
        <v/>
      </c>
      <c r="CX152" t="str">
        <f>""</f>
        <v/>
      </c>
      <c r="CY152" t="str">
        <f>""</f>
        <v/>
      </c>
      <c r="CZ152" t="str">
        <f>""</f>
        <v/>
      </c>
      <c r="DA152" t="str">
        <f>""</f>
        <v/>
      </c>
      <c r="DB152" t="str">
        <f>""</f>
        <v/>
      </c>
      <c r="DC152" t="str">
        <f>""</f>
        <v/>
      </c>
      <c r="DD152" t="str">
        <f>""</f>
        <v/>
      </c>
      <c r="DE152" t="str">
        <f>""</f>
        <v/>
      </c>
      <c r="DF152" t="str">
        <f>""</f>
        <v/>
      </c>
      <c r="DG152" t="str">
        <f>""</f>
        <v/>
      </c>
      <c r="DH152" t="str">
        <f>""</f>
        <v/>
      </c>
      <c r="DI152" t="str">
        <f>""</f>
        <v/>
      </c>
      <c r="DJ152" t="str">
        <f>""</f>
        <v/>
      </c>
      <c r="DK152" t="str">
        <f>""</f>
        <v/>
      </c>
      <c r="DL152" t="str">
        <f>""</f>
        <v/>
      </c>
      <c r="DM152" t="str">
        <f>""</f>
        <v/>
      </c>
      <c r="DN152" t="str">
        <f>""</f>
        <v/>
      </c>
      <c r="DO152" t="str">
        <f>""</f>
        <v/>
      </c>
      <c r="DP152" t="str">
        <f>""</f>
        <v/>
      </c>
      <c r="DQ152" t="str">
        <f>""</f>
        <v/>
      </c>
      <c r="DR152" t="str">
        <f>""</f>
        <v/>
      </c>
      <c r="DS152" t="str">
        <f>""</f>
        <v/>
      </c>
      <c r="DT152" t="str">
        <f>""</f>
        <v/>
      </c>
      <c r="DU152" t="str">
        <f>""</f>
        <v/>
      </c>
    </row>
    <row r="153" spans="1:125" x14ac:dyDescent="0.25">
      <c r="A153" t="str">
        <f>"Currency"</f>
        <v>Currency</v>
      </c>
      <c r="B153" t="str">
        <f>""</f>
        <v/>
      </c>
      <c r="BN153" t="str">
        <f>""</f>
        <v/>
      </c>
      <c r="BO153" t="str">
        <f>""</f>
        <v/>
      </c>
      <c r="BP153" t="str">
        <f>""</f>
        <v/>
      </c>
      <c r="BQ153" t="str">
        <f>""</f>
        <v/>
      </c>
      <c r="BR153" t="str">
        <f>""</f>
        <v/>
      </c>
      <c r="BS153" t="str">
        <f>""</f>
        <v/>
      </c>
      <c r="BT153" t="str">
        <f>""</f>
        <v/>
      </c>
      <c r="BU153" t="str">
        <f>""</f>
        <v/>
      </c>
      <c r="BV153" t="str">
        <f>""</f>
        <v/>
      </c>
      <c r="BW153" t="str">
        <f>""</f>
        <v/>
      </c>
      <c r="BX153" t="str">
        <f>""</f>
        <v/>
      </c>
      <c r="BY153" t="str">
        <f>""</f>
        <v/>
      </c>
      <c r="BZ153" t="str">
        <f>""</f>
        <v/>
      </c>
      <c r="CA153" t="str">
        <f>""</f>
        <v/>
      </c>
      <c r="CB153" t="str">
        <f>""</f>
        <v/>
      </c>
      <c r="CC153" t="str">
        <f>""</f>
        <v/>
      </c>
      <c r="CD153" t="str">
        <f>""</f>
        <v/>
      </c>
      <c r="CE153" t="str">
        <f>""</f>
        <v/>
      </c>
      <c r="CF153" t="str">
        <f>""</f>
        <v/>
      </c>
      <c r="CG153" t="str">
        <f>""</f>
        <v/>
      </c>
      <c r="CH153" t="str">
        <f>""</f>
        <v/>
      </c>
      <c r="CI153" t="str">
        <f>""</f>
        <v/>
      </c>
      <c r="CJ153" t="str">
        <f>""</f>
        <v/>
      </c>
      <c r="CK153" t="str">
        <f>""</f>
        <v/>
      </c>
      <c r="CL153" t="str">
        <f>""</f>
        <v/>
      </c>
      <c r="CM153" t="str">
        <f>""</f>
        <v/>
      </c>
      <c r="CN153" t="str">
        <f>""</f>
        <v/>
      </c>
      <c r="CO153" t="str">
        <f>""</f>
        <v/>
      </c>
      <c r="CP153" t="str">
        <f>""</f>
        <v/>
      </c>
      <c r="CQ153" t="str">
        <f>""</f>
        <v/>
      </c>
      <c r="CR153" t="str">
        <f>""</f>
        <v/>
      </c>
      <c r="CS153" t="str">
        <f>""</f>
        <v/>
      </c>
      <c r="CT153" t="str">
        <f>""</f>
        <v/>
      </c>
      <c r="CU153" t="str">
        <f>""</f>
        <v/>
      </c>
      <c r="CV153" t="str">
        <f>""</f>
        <v/>
      </c>
      <c r="CW153" t="str">
        <f>""</f>
        <v/>
      </c>
      <c r="CX153" t="str">
        <f>""</f>
        <v/>
      </c>
      <c r="CY153" t="str">
        <f>""</f>
        <v/>
      </c>
      <c r="CZ153" t="str">
        <f>""</f>
        <v/>
      </c>
      <c r="DA153" t="str">
        <f>""</f>
        <v/>
      </c>
      <c r="DB153" t="str">
        <f>""</f>
        <v/>
      </c>
      <c r="DC153" t="str">
        <f>""</f>
        <v/>
      </c>
      <c r="DD153" t="str">
        <f>""</f>
        <v/>
      </c>
      <c r="DE153" t="str">
        <f>""</f>
        <v/>
      </c>
      <c r="DF153" t="str">
        <f>""</f>
        <v/>
      </c>
      <c r="DG153" t="str">
        <f>""</f>
        <v/>
      </c>
      <c r="DH153" t="str">
        <f>""</f>
        <v/>
      </c>
      <c r="DI153" t="str">
        <f>""</f>
        <v/>
      </c>
      <c r="DJ153" t="str">
        <f>""</f>
        <v/>
      </c>
      <c r="DK153" t="str">
        <f>""</f>
        <v/>
      </c>
      <c r="DL153" t="str">
        <f>""</f>
        <v/>
      </c>
      <c r="DM153" t="str">
        <f>""</f>
        <v/>
      </c>
      <c r="DN153" t="str">
        <f>""</f>
        <v/>
      </c>
      <c r="DO153" t="str">
        <f>""</f>
        <v/>
      </c>
      <c r="DP153" t="str">
        <f>""</f>
        <v/>
      </c>
      <c r="DQ153" t="str">
        <f>""</f>
        <v/>
      </c>
      <c r="DR153" t="str">
        <f>""</f>
        <v/>
      </c>
      <c r="DS153" t="str">
        <f>""</f>
        <v/>
      </c>
      <c r="DT153" t="str">
        <f>""</f>
        <v/>
      </c>
      <c r="DU153" t="str">
        <f>""</f>
        <v/>
      </c>
    </row>
    <row r="154" spans="1:125" x14ac:dyDescent="0.25">
      <c r="A154" t="str">
        <f>"Periodicity"</f>
        <v>Periodicity</v>
      </c>
      <c r="B154" t="str">
        <f>"CQ"</f>
        <v>CQ</v>
      </c>
      <c r="C154" t="str">
        <f>"AQ"</f>
        <v>AQ</v>
      </c>
      <c r="BN154" t="str">
        <f>""</f>
        <v/>
      </c>
      <c r="BO154" t="str">
        <f>""</f>
        <v/>
      </c>
      <c r="BP154" t="str">
        <f>""</f>
        <v/>
      </c>
      <c r="BQ154" t="str">
        <f>""</f>
        <v/>
      </c>
      <c r="BR154" t="str">
        <f>""</f>
        <v/>
      </c>
      <c r="BS154" t="str">
        <f>""</f>
        <v/>
      </c>
      <c r="BT154" t="str">
        <f>""</f>
        <v/>
      </c>
      <c r="BU154" t="str">
        <f>""</f>
        <v/>
      </c>
      <c r="BV154" t="str">
        <f>""</f>
        <v/>
      </c>
      <c r="BW154" t="str">
        <f>""</f>
        <v/>
      </c>
      <c r="BX154" t="str">
        <f>""</f>
        <v/>
      </c>
      <c r="BY154" t="str">
        <f>""</f>
        <v/>
      </c>
      <c r="BZ154" t="str">
        <f>""</f>
        <v/>
      </c>
      <c r="CA154" t="str">
        <f>""</f>
        <v/>
      </c>
      <c r="CB154" t="str">
        <f>""</f>
        <v/>
      </c>
      <c r="CC154" t="str">
        <f>""</f>
        <v/>
      </c>
      <c r="CD154" t="str">
        <f>""</f>
        <v/>
      </c>
      <c r="CE154" t="str">
        <f>""</f>
        <v/>
      </c>
      <c r="CF154" t="str">
        <f>""</f>
        <v/>
      </c>
      <c r="CG154" t="str">
        <f>""</f>
        <v/>
      </c>
      <c r="CH154" t="str">
        <f>""</f>
        <v/>
      </c>
      <c r="CI154" t="str">
        <f>""</f>
        <v/>
      </c>
      <c r="CJ154" t="str">
        <f>""</f>
        <v/>
      </c>
      <c r="CK154" t="str">
        <f>""</f>
        <v/>
      </c>
      <c r="CL154" t="str">
        <f>""</f>
        <v/>
      </c>
      <c r="CM154" t="str">
        <f>""</f>
        <v/>
      </c>
      <c r="CN154" t="str">
        <f>""</f>
        <v/>
      </c>
      <c r="CO154" t="str">
        <f>""</f>
        <v/>
      </c>
      <c r="CP154" t="str">
        <f>""</f>
        <v/>
      </c>
      <c r="CQ154" t="str">
        <f>""</f>
        <v/>
      </c>
      <c r="CR154" t="str">
        <f>""</f>
        <v/>
      </c>
      <c r="CS154" t="str">
        <f>""</f>
        <v/>
      </c>
      <c r="CT154" t="str">
        <f>""</f>
        <v/>
      </c>
      <c r="CU154" t="str">
        <f>""</f>
        <v/>
      </c>
      <c r="CV154" t="str">
        <f>""</f>
        <v/>
      </c>
      <c r="CW154" t="str">
        <f>""</f>
        <v/>
      </c>
      <c r="CX154" t="str">
        <f>""</f>
        <v/>
      </c>
      <c r="CY154" t="str">
        <f>""</f>
        <v/>
      </c>
      <c r="CZ154" t="str">
        <f>""</f>
        <v/>
      </c>
      <c r="DA154" t="str">
        <f>""</f>
        <v/>
      </c>
      <c r="DB154" t="str">
        <f>""</f>
        <v/>
      </c>
      <c r="DC154" t="str">
        <f>""</f>
        <v/>
      </c>
      <c r="DD154" t="str">
        <f>""</f>
        <v/>
      </c>
      <c r="DE154" t="str">
        <f>""</f>
        <v/>
      </c>
      <c r="DF154" t="str">
        <f>""</f>
        <v/>
      </c>
      <c r="DG154" t="str">
        <f>""</f>
        <v/>
      </c>
      <c r="DH154" t="str">
        <f>""</f>
        <v/>
      </c>
      <c r="DI154" t="str">
        <f>""</f>
        <v/>
      </c>
      <c r="DJ154" t="str">
        <f>""</f>
        <v/>
      </c>
      <c r="DK154" t="str">
        <f>""</f>
        <v/>
      </c>
      <c r="DL154" t="str">
        <f>""</f>
        <v/>
      </c>
      <c r="DM154" t="str">
        <f>""</f>
        <v/>
      </c>
      <c r="DN154" t="str">
        <f>""</f>
        <v/>
      </c>
      <c r="DO154" t="str">
        <f>""</f>
        <v/>
      </c>
      <c r="DP154" t="str">
        <f>""</f>
        <v/>
      </c>
      <c r="DQ154" t="str">
        <f>""</f>
        <v/>
      </c>
      <c r="DR154" t="str">
        <f>""</f>
        <v/>
      </c>
      <c r="DS154" t="str">
        <f>""</f>
        <v/>
      </c>
      <c r="DT154" t="str">
        <f>""</f>
        <v/>
      </c>
      <c r="DU154" t="str">
        <f>""</f>
        <v/>
      </c>
    </row>
    <row r="155" spans="1:125" x14ac:dyDescent="0.25">
      <c r="A155" t="str">
        <f>"Number of Periods"</f>
        <v>Number of Periods</v>
      </c>
      <c r="B155">
        <f>60</f>
        <v>60</v>
      </c>
      <c r="BN155" t="str">
        <f>""</f>
        <v/>
      </c>
      <c r="BO155" t="str">
        <f>""</f>
        <v/>
      </c>
      <c r="BP155" t="str">
        <f>""</f>
        <v/>
      </c>
      <c r="BQ155" t="str">
        <f>""</f>
        <v/>
      </c>
      <c r="BR155" t="str">
        <f>""</f>
        <v/>
      </c>
      <c r="BS155" t="str">
        <f>""</f>
        <v/>
      </c>
      <c r="BT155" t="str">
        <f>""</f>
        <v/>
      </c>
      <c r="BU155" t="str">
        <f>""</f>
        <v/>
      </c>
      <c r="BV155" t="str">
        <f>""</f>
        <v/>
      </c>
      <c r="BW155" t="str">
        <f>""</f>
        <v/>
      </c>
      <c r="BX155" t="str">
        <f>""</f>
        <v/>
      </c>
      <c r="BY155" t="str">
        <f>""</f>
        <v/>
      </c>
      <c r="BZ155" t="str">
        <f>""</f>
        <v/>
      </c>
      <c r="CA155" t="str">
        <f>""</f>
        <v/>
      </c>
      <c r="CB155" t="str">
        <f>""</f>
        <v/>
      </c>
      <c r="CC155" t="str">
        <f>""</f>
        <v/>
      </c>
      <c r="CD155" t="str">
        <f>""</f>
        <v/>
      </c>
      <c r="CE155" t="str">
        <f>""</f>
        <v/>
      </c>
      <c r="CF155" t="str">
        <f>""</f>
        <v/>
      </c>
      <c r="CG155" t="str">
        <f>""</f>
        <v/>
      </c>
      <c r="CH155" t="str">
        <f>""</f>
        <v/>
      </c>
      <c r="CI155" t="str">
        <f>""</f>
        <v/>
      </c>
      <c r="CJ155" t="str">
        <f>""</f>
        <v/>
      </c>
      <c r="CK155" t="str">
        <f>""</f>
        <v/>
      </c>
      <c r="CL155" t="str">
        <f>""</f>
        <v/>
      </c>
      <c r="CM155" t="str">
        <f>""</f>
        <v/>
      </c>
      <c r="CN155" t="str">
        <f>""</f>
        <v/>
      </c>
      <c r="CO155" t="str">
        <f>""</f>
        <v/>
      </c>
      <c r="CP155" t="str">
        <f>""</f>
        <v/>
      </c>
      <c r="CQ155" t="str">
        <f>""</f>
        <v/>
      </c>
      <c r="CR155" t="str">
        <f>""</f>
        <v/>
      </c>
      <c r="CS155" t="str">
        <f>""</f>
        <v/>
      </c>
      <c r="CT155" t="str">
        <f>""</f>
        <v/>
      </c>
      <c r="CU155" t="str">
        <f>""</f>
        <v/>
      </c>
      <c r="CV155" t="str">
        <f>""</f>
        <v/>
      </c>
      <c r="CW155" t="str">
        <f>""</f>
        <v/>
      </c>
      <c r="CX155" t="str">
        <f>""</f>
        <v/>
      </c>
      <c r="CY155" t="str">
        <f>""</f>
        <v/>
      </c>
      <c r="CZ155" t="str">
        <f>""</f>
        <v/>
      </c>
      <c r="DA155" t="str">
        <f>""</f>
        <v/>
      </c>
      <c r="DB155" t="str">
        <f>""</f>
        <v/>
      </c>
      <c r="DC155" t="str">
        <f>""</f>
        <v/>
      </c>
      <c r="DD155" t="str">
        <f>""</f>
        <v/>
      </c>
      <c r="DE155" t="str">
        <f>""</f>
        <v/>
      </c>
      <c r="DF155" t="str">
        <f>""</f>
        <v/>
      </c>
      <c r="DG155" t="str">
        <f>""</f>
        <v/>
      </c>
      <c r="DH155" t="str">
        <f>""</f>
        <v/>
      </c>
      <c r="DI155" t="str">
        <f>""</f>
        <v/>
      </c>
      <c r="DJ155" t="str">
        <f>""</f>
        <v/>
      </c>
      <c r="DK155" t="str">
        <f>""</f>
        <v/>
      </c>
      <c r="DL155" t="str">
        <f>""</f>
        <v/>
      </c>
      <c r="DM155" t="str">
        <f>""</f>
        <v/>
      </c>
      <c r="DN155" t="str">
        <f>""</f>
        <v/>
      </c>
      <c r="DO155" t="str">
        <f>""</f>
        <v/>
      </c>
      <c r="DP155" t="str">
        <f>""</f>
        <v/>
      </c>
      <c r="DQ155" t="str">
        <f>""</f>
        <v/>
      </c>
      <c r="DR155" t="str">
        <f>""</f>
        <v/>
      </c>
      <c r="DS155" t="str">
        <f>""</f>
        <v/>
      </c>
      <c r="DT155" t="str">
        <f>""</f>
        <v/>
      </c>
      <c r="DU155" t="str">
        <f>""</f>
        <v/>
      </c>
    </row>
    <row r="156" spans="1:125" x14ac:dyDescent="0.25">
      <c r="A156" t="str">
        <f>"Start Date"</f>
        <v>Start Date</v>
      </c>
      <c r="B156" t="str">
        <f>CONCATENATE("-",$B$155,$B$154)</f>
        <v>-60CQ</v>
      </c>
      <c r="C156" t="str">
        <f>CONCATENATE("-",$B$155,$C$154)</f>
        <v>-60AQ</v>
      </c>
      <c r="BN156" t="str">
        <f>""</f>
        <v/>
      </c>
      <c r="BO156" t="str">
        <f>""</f>
        <v/>
      </c>
      <c r="BP156" t="str">
        <f>""</f>
        <v/>
      </c>
      <c r="BQ156" t="str">
        <f>""</f>
        <v/>
      </c>
      <c r="BR156" t="str">
        <f>""</f>
        <v/>
      </c>
      <c r="BS156" t="str">
        <f>""</f>
        <v/>
      </c>
      <c r="BT156" t="str">
        <f>""</f>
        <v/>
      </c>
      <c r="BU156" t="str">
        <f>""</f>
        <v/>
      </c>
      <c r="BV156" t="str">
        <f>""</f>
        <v/>
      </c>
      <c r="BW156" t="str">
        <f>""</f>
        <v/>
      </c>
      <c r="BX156" t="str">
        <f>""</f>
        <v/>
      </c>
      <c r="BY156" t="str">
        <f>""</f>
        <v/>
      </c>
      <c r="BZ156" t="str">
        <f>""</f>
        <v/>
      </c>
      <c r="CA156" t="str">
        <f>""</f>
        <v/>
      </c>
      <c r="CB156" t="str">
        <f>""</f>
        <v/>
      </c>
      <c r="CC156" t="str">
        <f>""</f>
        <v/>
      </c>
      <c r="CD156" t="str">
        <f>""</f>
        <v/>
      </c>
      <c r="CE156" t="str">
        <f>""</f>
        <v/>
      </c>
      <c r="CF156" t="str">
        <f>""</f>
        <v/>
      </c>
      <c r="CG156" t="str">
        <f>""</f>
        <v/>
      </c>
      <c r="CH156" t="str">
        <f>""</f>
        <v/>
      </c>
      <c r="CI156" t="str">
        <f>""</f>
        <v/>
      </c>
      <c r="CJ156" t="str">
        <f>""</f>
        <v/>
      </c>
      <c r="CK156" t="str">
        <f>""</f>
        <v/>
      </c>
      <c r="CL156" t="str">
        <f>""</f>
        <v/>
      </c>
      <c r="CM156" t="str">
        <f>""</f>
        <v/>
      </c>
      <c r="CN156" t="str">
        <f>""</f>
        <v/>
      </c>
      <c r="CO156" t="str">
        <f>""</f>
        <v/>
      </c>
      <c r="CP156" t="str">
        <f>""</f>
        <v/>
      </c>
      <c r="CQ156" t="str">
        <f>""</f>
        <v/>
      </c>
      <c r="CR156" t="str">
        <f>""</f>
        <v/>
      </c>
      <c r="CS156" t="str">
        <f>""</f>
        <v/>
      </c>
      <c r="CT156" t="str">
        <f>""</f>
        <v/>
      </c>
      <c r="CU156" t="str">
        <f>""</f>
        <v/>
      </c>
      <c r="CV156" t="str">
        <f>""</f>
        <v/>
      </c>
      <c r="CW156" t="str">
        <f>""</f>
        <v/>
      </c>
      <c r="CX156" t="str">
        <f>""</f>
        <v/>
      </c>
      <c r="CY156" t="str">
        <f>""</f>
        <v/>
      </c>
      <c r="CZ156" t="str">
        <f>""</f>
        <v/>
      </c>
      <c r="DA156" t="str">
        <f>""</f>
        <v/>
      </c>
      <c r="DB156" t="str">
        <f>""</f>
        <v/>
      </c>
      <c r="DC156" t="str">
        <f>""</f>
        <v/>
      </c>
      <c r="DD156" t="str">
        <f>""</f>
        <v/>
      </c>
      <c r="DE156" t="str">
        <f>""</f>
        <v/>
      </c>
      <c r="DF156" t="str">
        <f>""</f>
        <v/>
      </c>
      <c r="DG156" t="str">
        <f>""</f>
        <v/>
      </c>
      <c r="DH156" t="str">
        <f>""</f>
        <v/>
      </c>
      <c r="DI156" t="str">
        <f>""</f>
        <v/>
      </c>
      <c r="DJ156" t="str">
        <f>""</f>
        <v/>
      </c>
      <c r="DK156" t="str">
        <f>""</f>
        <v/>
      </c>
      <c r="DL156" t="str">
        <f>""</f>
        <v/>
      </c>
      <c r="DM156" t="str">
        <f>""</f>
        <v/>
      </c>
      <c r="DN156" t="str">
        <f>""</f>
        <v/>
      </c>
      <c r="DO156" t="str">
        <f>""</f>
        <v/>
      </c>
      <c r="DP156" t="str">
        <f>""</f>
        <v/>
      </c>
      <c r="DQ156" t="str">
        <f>""</f>
        <v/>
      </c>
      <c r="DR156" t="str">
        <f>""</f>
        <v/>
      </c>
      <c r="DS156" t="str">
        <f>""</f>
        <v/>
      </c>
      <c r="DT156" t="str">
        <f>""</f>
        <v/>
      </c>
      <c r="DU156" t="str">
        <f>""</f>
        <v/>
      </c>
    </row>
    <row r="157" spans="1:125" x14ac:dyDescent="0.25">
      <c r="A157" t="str">
        <f>"End Date"</f>
        <v>End Date</v>
      </c>
      <c r="B157">
        <f ca="1">IF(TODAY()&lt;DATE(2021, 12,31),DATE(2021, 12,31),TODAY())</f>
        <v>44561</v>
      </c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  <c r="BT157" t="str">
        <f>""</f>
        <v/>
      </c>
      <c r="BU157" t="str">
        <f>""</f>
        <v/>
      </c>
      <c r="BV157" t="str">
        <f>""</f>
        <v/>
      </c>
      <c r="BW157" t="str">
        <f>""</f>
        <v/>
      </c>
      <c r="BX157" t="str">
        <f>""</f>
        <v/>
      </c>
      <c r="BY157" t="str">
        <f>""</f>
        <v/>
      </c>
      <c r="BZ157" t="str">
        <f>""</f>
        <v/>
      </c>
      <c r="CA157" t="str">
        <f>""</f>
        <v/>
      </c>
      <c r="CB157" t="str">
        <f>""</f>
        <v/>
      </c>
      <c r="CC157" t="str">
        <f>""</f>
        <v/>
      </c>
      <c r="CD157" t="str">
        <f>""</f>
        <v/>
      </c>
      <c r="CE157" t="str">
        <f>""</f>
        <v/>
      </c>
      <c r="CF157" t="str">
        <f>""</f>
        <v/>
      </c>
      <c r="CG157" t="str">
        <f>""</f>
        <v/>
      </c>
      <c r="CH157" t="str">
        <f>""</f>
        <v/>
      </c>
      <c r="CI157" t="str">
        <f>""</f>
        <v/>
      </c>
      <c r="CJ157" t="str">
        <f>""</f>
        <v/>
      </c>
      <c r="CK157" t="str">
        <f>""</f>
        <v/>
      </c>
      <c r="CL157" t="str">
        <f>""</f>
        <v/>
      </c>
      <c r="CM157" t="str">
        <f>""</f>
        <v/>
      </c>
      <c r="CN157" t="str">
        <f>""</f>
        <v/>
      </c>
      <c r="CO157" t="str">
        <f>""</f>
        <v/>
      </c>
      <c r="CP157" t="str">
        <f>""</f>
        <v/>
      </c>
      <c r="CQ157" t="str">
        <f>""</f>
        <v/>
      </c>
      <c r="CR157" t="str">
        <f>""</f>
        <v/>
      </c>
      <c r="CS157" t="str">
        <f>""</f>
        <v/>
      </c>
      <c r="CT157" t="str">
        <f>""</f>
        <v/>
      </c>
      <c r="CU157" t="str">
        <f>""</f>
        <v/>
      </c>
      <c r="CV157" t="str">
        <f>""</f>
        <v/>
      </c>
      <c r="CW157" t="str">
        <f>""</f>
        <v/>
      </c>
      <c r="CX157" t="str">
        <f>""</f>
        <v/>
      </c>
      <c r="CY157" t="str">
        <f>""</f>
        <v/>
      </c>
      <c r="CZ157" t="str">
        <f>""</f>
        <v/>
      </c>
      <c r="DA157" t="str">
        <f>""</f>
        <v/>
      </c>
      <c r="DB157" t="str">
        <f>""</f>
        <v/>
      </c>
      <c r="DC157" t="str">
        <f>""</f>
        <v/>
      </c>
      <c r="DD157" t="str">
        <f>""</f>
        <v/>
      </c>
      <c r="DE157" t="str">
        <f>""</f>
        <v/>
      </c>
      <c r="DF157" t="str">
        <f>""</f>
        <v/>
      </c>
      <c r="DG157" t="str">
        <f>""</f>
        <v/>
      </c>
      <c r="DH157" t="str">
        <f>""</f>
        <v/>
      </c>
      <c r="DI157" t="str">
        <f>""</f>
        <v/>
      </c>
      <c r="DJ157" t="str">
        <f>""</f>
        <v/>
      </c>
      <c r="DK157" t="str">
        <f>""</f>
        <v/>
      </c>
      <c r="DL157" t="str">
        <f>""</f>
        <v/>
      </c>
      <c r="DM157" t="str">
        <f>""</f>
        <v/>
      </c>
      <c r="DN157" t="str">
        <f>""</f>
        <v/>
      </c>
      <c r="DO157" t="str">
        <f>""</f>
        <v/>
      </c>
      <c r="DP157" t="str">
        <f>""</f>
        <v/>
      </c>
      <c r="DQ157" t="str">
        <f>""</f>
        <v/>
      </c>
      <c r="DR157" t="str">
        <f>""</f>
        <v/>
      </c>
      <c r="DS157" t="str">
        <f>""</f>
        <v/>
      </c>
      <c r="DT157" t="str">
        <f>""</f>
        <v/>
      </c>
      <c r="DU157" t="str">
        <f>""</f>
        <v/>
      </c>
    </row>
    <row r="158" spans="1:125" x14ac:dyDescent="0.25">
      <c r="A158" t="str">
        <f>"HeaderStatus(custom data)"</f>
        <v>HeaderStatus(custom data)</v>
      </c>
      <c r="BN158" t="str">
        <f>""</f>
        <v/>
      </c>
      <c r="BO158" t="str">
        <f>""</f>
        <v/>
      </c>
      <c r="BP158" t="str">
        <f>""</f>
        <v/>
      </c>
      <c r="BQ158" t="str">
        <f>""</f>
        <v/>
      </c>
      <c r="BR158" t="str">
        <f>""</f>
        <v/>
      </c>
      <c r="BS158" t="str">
        <f>""</f>
        <v/>
      </c>
      <c r="BT158" t="str">
        <f>""</f>
        <v/>
      </c>
      <c r="BU158" t="str">
        <f>""</f>
        <v/>
      </c>
      <c r="BV158" t="str">
        <f>""</f>
        <v/>
      </c>
      <c r="BW158" t="str">
        <f>""</f>
        <v/>
      </c>
      <c r="BX158" t="str">
        <f>""</f>
        <v/>
      </c>
      <c r="BY158" t="str">
        <f>""</f>
        <v/>
      </c>
      <c r="BZ158" t="str">
        <f>""</f>
        <v/>
      </c>
      <c r="CA158" t="str">
        <f>""</f>
        <v/>
      </c>
      <c r="CB158" t="str">
        <f>""</f>
        <v/>
      </c>
      <c r="CC158" t="str">
        <f>""</f>
        <v/>
      </c>
      <c r="CD158" t="str">
        <f>""</f>
        <v/>
      </c>
      <c r="CE158" t="str">
        <f>""</f>
        <v/>
      </c>
      <c r="CF158" t="str">
        <f>""</f>
        <v/>
      </c>
      <c r="CG158" t="str">
        <f>""</f>
        <v/>
      </c>
      <c r="CH158" t="str">
        <f>""</f>
        <v/>
      </c>
      <c r="CI158" t="str">
        <f>""</f>
        <v/>
      </c>
      <c r="CJ158" t="str">
        <f>""</f>
        <v/>
      </c>
      <c r="CK158" t="str">
        <f>""</f>
        <v/>
      </c>
      <c r="CL158" t="str">
        <f>""</f>
        <v/>
      </c>
      <c r="CM158" t="str">
        <f>""</f>
        <v/>
      </c>
      <c r="CN158" t="str">
        <f>""</f>
        <v/>
      </c>
      <c r="CO158" t="str">
        <f>""</f>
        <v/>
      </c>
      <c r="CP158" t="str">
        <f>""</f>
        <v/>
      </c>
      <c r="CQ158" t="str">
        <f>""</f>
        <v/>
      </c>
      <c r="CR158" t="str">
        <f>""</f>
        <v/>
      </c>
      <c r="CS158" t="str">
        <f>""</f>
        <v/>
      </c>
      <c r="CT158" t="str">
        <f>""</f>
        <v/>
      </c>
      <c r="CU158" t="str">
        <f>""</f>
        <v/>
      </c>
      <c r="CV158" t="str">
        <f>""</f>
        <v/>
      </c>
      <c r="CW158" t="str">
        <f>""</f>
        <v/>
      </c>
      <c r="CX158" t="str">
        <f>""</f>
        <v/>
      </c>
      <c r="CY158" t="str">
        <f>""</f>
        <v/>
      </c>
      <c r="CZ158" t="str">
        <f>""</f>
        <v/>
      </c>
      <c r="DA158" t="str">
        <f>""</f>
        <v/>
      </c>
      <c r="DB158" t="str">
        <f>""</f>
        <v/>
      </c>
      <c r="DC158" t="str">
        <f>""</f>
        <v/>
      </c>
      <c r="DD158" t="str">
        <f>""</f>
        <v/>
      </c>
      <c r="DE158" t="str">
        <f>""</f>
        <v/>
      </c>
      <c r="DF158" t="str">
        <f>""</f>
        <v/>
      </c>
      <c r="DG158" t="str">
        <f>""</f>
        <v/>
      </c>
      <c r="DH158" t="str">
        <f>""</f>
        <v/>
      </c>
      <c r="DI158" t="str">
        <f>""</f>
        <v/>
      </c>
      <c r="DJ158" t="str">
        <f>""</f>
        <v/>
      </c>
      <c r="DK158" t="str">
        <f>""</f>
        <v/>
      </c>
      <c r="DL158" t="str">
        <f>""</f>
        <v/>
      </c>
      <c r="DM158" t="str">
        <f>""</f>
        <v/>
      </c>
      <c r="DN158" t="str">
        <f>""</f>
        <v/>
      </c>
      <c r="DO158" t="str">
        <f>""</f>
        <v/>
      </c>
      <c r="DP158" t="str">
        <f>""</f>
        <v/>
      </c>
      <c r="DQ158" t="str">
        <f>""</f>
        <v/>
      </c>
      <c r="DR158" t="str">
        <f>""</f>
        <v/>
      </c>
      <c r="DS158" t="str">
        <f>""</f>
        <v/>
      </c>
      <c r="DT158" t="str">
        <f>""</f>
        <v/>
      </c>
      <c r="DU158" t="str">
        <f>""</f>
        <v/>
      </c>
    </row>
    <row r="159" spans="1:125" x14ac:dyDescent="0.25">
      <c r="BN159" t="str">
        <f>""</f>
        <v/>
      </c>
      <c r="BO159" t="str">
        <f>""</f>
        <v/>
      </c>
      <c r="BP159" t="str">
        <f>""</f>
        <v/>
      </c>
      <c r="BQ159" t="str">
        <f>""</f>
        <v/>
      </c>
      <c r="BR159" t="str">
        <f>""</f>
        <v/>
      </c>
      <c r="BS159" t="str">
        <f>""</f>
        <v/>
      </c>
      <c r="BT159" t="str">
        <f>""</f>
        <v/>
      </c>
      <c r="BU159" t="str">
        <f>""</f>
        <v/>
      </c>
      <c r="BV159" t="str">
        <f>""</f>
        <v/>
      </c>
      <c r="BW159" t="str">
        <f>""</f>
        <v/>
      </c>
      <c r="BX159" t="str">
        <f>""</f>
        <v/>
      </c>
      <c r="BY159" t="str">
        <f>""</f>
        <v/>
      </c>
      <c r="BZ159" t="str">
        <f>""</f>
        <v/>
      </c>
      <c r="CA159" t="str">
        <f>""</f>
        <v/>
      </c>
      <c r="CB159" t="str">
        <f>""</f>
        <v/>
      </c>
      <c r="CC159" t="str">
        <f>""</f>
        <v/>
      </c>
      <c r="CD159" t="str">
        <f>""</f>
        <v/>
      </c>
      <c r="CE159" t="str">
        <f>""</f>
        <v/>
      </c>
      <c r="CF159" t="str">
        <f>""</f>
        <v/>
      </c>
      <c r="CG159" t="str">
        <f>""</f>
        <v/>
      </c>
      <c r="CH159" t="str">
        <f>""</f>
        <v/>
      </c>
      <c r="CI159" t="str">
        <f>""</f>
        <v/>
      </c>
      <c r="CJ159" t="str">
        <f>""</f>
        <v/>
      </c>
      <c r="CK159" t="str">
        <f>""</f>
        <v/>
      </c>
      <c r="CL159" t="str">
        <f>""</f>
        <v/>
      </c>
      <c r="CM159" t="str">
        <f>""</f>
        <v/>
      </c>
      <c r="CN159" t="str">
        <f>""</f>
        <v/>
      </c>
      <c r="CO159" t="str">
        <f>""</f>
        <v/>
      </c>
      <c r="CP159" t="str">
        <f>""</f>
        <v/>
      </c>
      <c r="CQ159" t="str">
        <f>""</f>
        <v/>
      </c>
      <c r="CR159" t="str">
        <f>""</f>
        <v/>
      </c>
      <c r="CS159" t="str">
        <f>""</f>
        <v/>
      </c>
      <c r="CT159" t="str">
        <f>""</f>
        <v/>
      </c>
      <c r="CU159" t="str">
        <f>""</f>
        <v/>
      </c>
      <c r="CV159" t="str">
        <f>""</f>
        <v/>
      </c>
      <c r="CW159" t="str">
        <f>""</f>
        <v/>
      </c>
      <c r="CX159" t="str">
        <f>""</f>
        <v/>
      </c>
      <c r="CY159" t="str">
        <f>""</f>
        <v/>
      </c>
      <c r="CZ159" t="str">
        <f>""</f>
        <v/>
      </c>
      <c r="DA159" t="str">
        <f>""</f>
        <v/>
      </c>
      <c r="DB159" t="str">
        <f>""</f>
        <v/>
      </c>
      <c r="DC159" t="str">
        <f>""</f>
        <v/>
      </c>
      <c r="DD159" t="str">
        <f>""</f>
        <v/>
      </c>
      <c r="DE159" t="str">
        <f>""</f>
        <v/>
      </c>
      <c r="DF159" t="str">
        <f>""</f>
        <v/>
      </c>
      <c r="DG159" t="str">
        <f>""</f>
        <v/>
      </c>
      <c r="DH159" t="str">
        <f>""</f>
        <v/>
      </c>
      <c r="DI159" t="str">
        <f>""</f>
        <v/>
      </c>
      <c r="DJ159" t="str">
        <f>""</f>
        <v/>
      </c>
      <c r="DK159" t="str">
        <f>""</f>
        <v/>
      </c>
      <c r="DL159" t="str">
        <f>""</f>
        <v/>
      </c>
      <c r="DM159" t="str">
        <f>""</f>
        <v/>
      </c>
      <c r="DN159" t="str">
        <f>""</f>
        <v/>
      </c>
      <c r="DO159" t="str">
        <f>""</f>
        <v/>
      </c>
      <c r="DP159" t="str">
        <f>""</f>
        <v/>
      </c>
      <c r="DQ159" t="str">
        <f>""</f>
        <v/>
      </c>
      <c r="DR159" t="str">
        <f>""</f>
        <v/>
      </c>
      <c r="DS159" t="str">
        <f>""</f>
        <v/>
      </c>
      <c r="DT159" t="str">
        <f>""</f>
        <v/>
      </c>
      <c r="DU159" t="str">
        <f>""</f>
        <v/>
      </c>
    </row>
    <row r="160" spans="1:125" x14ac:dyDescent="0.25">
      <c r="A160" t="str">
        <f>"Period Start"</f>
        <v>Period Start</v>
      </c>
      <c r="C160" t="str">
        <f>"PX391"</f>
        <v>PX391</v>
      </c>
      <c r="D160" t="str">
        <f>"START_DATE_OVERRIDE"</f>
        <v>START_DATE_OVERRIDE</v>
      </c>
      <c r="E160" t="str">
        <f t="shared" ref="E160:E169" si="78">"Dynamic"</f>
        <v>Dynamic</v>
      </c>
      <c r="F160" t="str">
        <f ca="1">CONCATENATE(YEAR( DATE(YEAR($B$157),FLOOR(MONTH($B$157)-1,3)+1+(-3*0),1) ), IF( MONTH(DATE(YEAR($B$157),FLOOR(MONTH($B$157)-1,3)+1+(-3*0),1)) &lt; 10, "0", "" ), MONTH( DATE(YEAR($B$157),FLOOR(MONTH($B$157)-1,3)+1+(-3*0),1) ), IF( DAY(DATE(YEAR($B$157),FLOOR(MONTH($B$157)-1,3)+1+(-3*0),1)) &lt; 10, "0", "" ), DAY( DATE(YEAR($B$157),FLOOR(MONTH($B$157)-1,3)+1+(-3*0),1) ), )</f>
        <v>20211001</v>
      </c>
      <c r="G160" t="str">
        <f ca="1">CONCATENATE(YEAR( DATE(YEAR($B$157),FLOOR(MONTH($B$157)-1,3)+1+(-3*1),1) ), IF( MONTH(DATE(YEAR($B$157),FLOOR(MONTH($B$157)-1,3)+1+(-3*1),1)) &lt; 10, "0", "" ), MONTH( DATE(YEAR($B$157),FLOOR(MONTH($B$157)-1,3)+1+(-3*1),1) ), IF( DAY(DATE(YEAR($B$157),FLOOR(MONTH($B$157)-1,3)+1+(-3*1),1)) &lt; 10, "0", "" ), DAY( DATE(YEAR($B$157),FLOOR(MONTH($B$157)-1,3)+1+(-3*1),1) ), )</f>
        <v>20210701</v>
      </c>
      <c r="H160" t="str">
        <f ca="1">CONCATENATE(YEAR( DATE(YEAR($B$157),FLOOR(MONTH($B$157)-1,3)+1+(-3*2),1) ), IF( MONTH(DATE(YEAR($B$157),FLOOR(MONTH($B$157)-1,3)+1+(-3*2),1)) &lt; 10, "0", "" ), MONTH( DATE(YEAR($B$157),FLOOR(MONTH($B$157)-1,3)+1+(-3*2),1) ), IF( DAY(DATE(YEAR($B$157),FLOOR(MONTH($B$157)-1,3)+1+(-3*2),1)) &lt; 10, "0", "" ), DAY( DATE(YEAR($B$157),FLOOR(MONTH($B$157)-1,3)+1+(-3*2),1) ), )</f>
        <v>20210401</v>
      </c>
      <c r="I160" t="str">
        <f ca="1">CONCATENATE(YEAR( DATE(YEAR($B$157),FLOOR(MONTH($B$157)-1,3)+1+(-3*3),1) ), IF( MONTH(DATE(YEAR($B$157),FLOOR(MONTH($B$157)-1,3)+1+(-3*3),1)) &lt; 10, "0", "" ), MONTH( DATE(YEAR($B$157),FLOOR(MONTH($B$157)-1,3)+1+(-3*3),1) ), IF( DAY(DATE(YEAR($B$157),FLOOR(MONTH($B$157)-1,3)+1+(-3*3),1)) &lt; 10, "0", "" ), DAY( DATE(YEAR($B$157),FLOOR(MONTH($B$157)-1,3)+1+(-3*3),1) ), )</f>
        <v>20210101</v>
      </c>
      <c r="J160" t="str">
        <f ca="1">CONCATENATE(YEAR( DATE(YEAR($B$157),FLOOR(MONTH($B$157)-1,3)+1+(-3*4),1) ), IF( MONTH(DATE(YEAR($B$157),FLOOR(MONTH($B$157)-1,3)+1+(-3*4),1)) &lt; 10, "0", "" ), MONTH( DATE(YEAR($B$157),FLOOR(MONTH($B$157)-1,3)+1+(-3*4),1) ), IF( DAY(DATE(YEAR($B$157),FLOOR(MONTH($B$157)-1,3)+1+(-3*4),1)) &lt; 10, "0", "" ), DAY( DATE(YEAR($B$157),FLOOR(MONTH($B$157)-1,3)+1+(-3*4),1) ), )</f>
        <v>20201001</v>
      </c>
      <c r="K160" t="str">
        <f ca="1">CONCATENATE(YEAR( DATE(YEAR($B$157),FLOOR(MONTH($B$157)-1,3)+1+(-3*5),1) ), IF( MONTH(DATE(YEAR($B$157),FLOOR(MONTH($B$157)-1,3)+1+(-3*5),1)) &lt; 10, "0", "" ), MONTH( DATE(YEAR($B$157),FLOOR(MONTH($B$157)-1,3)+1+(-3*5),1) ), IF( DAY(DATE(YEAR($B$157),FLOOR(MONTH($B$157)-1,3)+1+(-3*5),1)) &lt; 10, "0", "" ), DAY( DATE(YEAR($B$157),FLOOR(MONTH($B$157)-1,3)+1+(-3*5),1) ), )</f>
        <v>20200701</v>
      </c>
      <c r="L160" t="str">
        <f ca="1">CONCATENATE(YEAR( DATE(YEAR($B$157),FLOOR(MONTH($B$157)-1,3)+1+(-3*6),1) ), IF( MONTH(DATE(YEAR($B$157),FLOOR(MONTH($B$157)-1,3)+1+(-3*6),1)) &lt; 10, "0", "" ), MONTH( DATE(YEAR($B$157),FLOOR(MONTH($B$157)-1,3)+1+(-3*6),1) ), IF( DAY(DATE(YEAR($B$157),FLOOR(MONTH($B$157)-1,3)+1+(-3*6),1)) &lt; 10, "0", "" ), DAY( DATE(YEAR($B$157),FLOOR(MONTH($B$157)-1,3)+1+(-3*6),1) ), )</f>
        <v>20200401</v>
      </c>
      <c r="M160" t="str">
        <f ca="1">CONCATENATE(YEAR( DATE(YEAR($B$157),FLOOR(MONTH($B$157)-1,3)+1+(-3*7),1) ), IF( MONTH(DATE(YEAR($B$157),FLOOR(MONTH($B$157)-1,3)+1+(-3*7),1)) &lt; 10, "0", "" ), MONTH( DATE(YEAR($B$157),FLOOR(MONTH($B$157)-1,3)+1+(-3*7),1) ), IF( DAY(DATE(YEAR($B$157),FLOOR(MONTH($B$157)-1,3)+1+(-3*7),1)) &lt; 10, "0", "" ), DAY( DATE(YEAR($B$157),FLOOR(MONTH($B$157)-1,3)+1+(-3*7),1) ), )</f>
        <v>20200101</v>
      </c>
      <c r="N160" t="str">
        <f ca="1">CONCATENATE(YEAR( DATE(YEAR($B$157),FLOOR(MONTH($B$157)-1,3)+1+(-3*8),1) ), IF( MONTH(DATE(YEAR($B$157),FLOOR(MONTH($B$157)-1,3)+1+(-3*8),1)) &lt; 10, "0", "" ), MONTH( DATE(YEAR($B$157),FLOOR(MONTH($B$157)-1,3)+1+(-3*8),1) ), IF( DAY(DATE(YEAR($B$157),FLOOR(MONTH($B$157)-1,3)+1+(-3*8),1)) &lt; 10, "0", "" ), DAY( DATE(YEAR($B$157),FLOOR(MONTH($B$157)-1,3)+1+(-3*8),1) ), )</f>
        <v>20191001</v>
      </c>
      <c r="O160" t="str">
        <f ca="1">CONCATENATE(YEAR( DATE(YEAR($B$157),FLOOR(MONTH($B$157)-1,3)+1+(-3*9),1) ), IF( MONTH(DATE(YEAR($B$157),FLOOR(MONTH($B$157)-1,3)+1+(-3*9),1)) &lt; 10, "0", "" ), MONTH( DATE(YEAR($B$157),FLOOR(MONTH($B$157)-1,3)+1+(-3*9),1) ), IF( DAY(DATE(YEAR($B$157),FLOOR(MONTH($B$157)-1,3)+1+(-3*9),1)) &lt; 10, "0", "" ), DAY( DATE(YEAR($B$157),FLOOR(MONTH($B$157)-1,3)+1+(-3*9),1) ), )</f>
        <v>20190701</v>
      </c>
      <c r="P160" t="str">
        <f ca="1">CONCATENATE(YEAR( DATE(YEAR($B$157),FLOOR(MONTH($B$157)-1,3)+1+(-3*10),1) ), IF( MONTH(DATE(YEAR($B$157),FLOOR(MONTH($B$157)-1,3)+1+(-3*10),1)) &lt; 10, "0", "" ), MONTH( DATE(YEAR($B$157),FLOOR(MONTH($B$157)-1,3)+1+(-3*10),1) ), IF( DAY(DATE(YEAR($B$157),FLOOR(MONTH($B$157)-1,3)+1+(-3*10),1)) &lt; 10, "0", "" ), DAY( DATE(YEAR($B$157),FLOOR(MONTH($B$157)-1,3)+1+(-3*10),1) ), )</f>
        <v>20190401</v>
      </c>
      <c r="Q160" t="str">
        <f ca="1">CONCATENATE(YEAR( DATE(YEAR($B$157),FLOOR(MONTH($B$157)-1,3)+1+(-3*11),1) ), IF( MONTH(DATE(YEAR($B$157),FLOOR(MONTH($B$157)-1,3)+1+(-3*11),1)) &lt; 10, "0", "" ), MONTH( DATE(YEAR($B$157),FLOOR(MONTH($B$157)-1,3)+1+(-3*11),1) ), IF( DAY(DATE(YEAR($B$157),FLOOR(MONTH($B$157)-1,3)+1+(-3*11),1)) &lt; 10, "0", "" ), DAY( DATE(YEAR($B$157),FLOOR(MONTH($B$157)-1,3)+1+(-3*11),1) ), )</f>
        <v>20190101</v>
      </c>
      <c r="R160" t="str">
        <f ca="1">CONCATENATE(YEAR( DATE(YEAR($B$157),FLOOR(MONTH($B$157)-1,3)+1+(-3*12),1) ), IF( MONTH(DATE(YEAR($B$157),FLOOR(MONTH($B$157)-1,3)+1+(-3*12),1)) &lt; 10, "0", "" ), MONTH( DATE(YEAR($B$157),FLOOR(MONTH($B$157)-1,3)+1+(-3*12),1) ), IF( DAY(DATE(YEAR($B$157),FLOOR(MONTH($B$157)-1,3)+1+(-3*12),1)) &lt; 10, "0", "" ), DAY( DATE(YEAR($B$157),FLOOR(MONTH($B$157)-1,3)+1+(-3*12),1) ), )</f>
        <v>20181001</v>
      </c>
      <c r="S160" t="str">
        <f ca="1">CONCATENATE(YEAR( DATE(YEAR($B$157),FLOOR(MONTH($B$157)-1,3)+1+(-3*13),1) ), IF( MONTH(DATE(YEAR($B$157),FLOOR(MONTH($B$157)-1,3)+1+(-3*13),1)) &lt; 10, "0", "" ), MONTH( DATE(YEAR($B$157),FLOOR(MONTH($B$157)-1,3)+1+(-3*13),1) ), IF( DAY(DATE(YEAR($B$157),FLOOR(MONTH($B$157)-1,3)+1+(-3*13),1)) &lt; 10, "0", "" ), DAY( DATE(YEAR($B$157),FLOOR(MONTH($B$157)-1,3)+1+(-3*13),1) ), )</f>
        <v>20180701</v>
      </c>
      <c r="T160" t="str">
        <f ca="1">CONCATENATE(YEAR( DATE(YEAR($B$157),FLOOR(MONTH($B$157)-1,3)+1+(-3*14),1) ), IF( MONTH(DATE(YEAR($B$157),FLOOR(MONTH($B$157)-1,3)+1+(-3*14),1)) &lt; 10, "0", "" ), MONTH( DATE(YEAR($B$157),FLOOR(MONTH($B$157)-1,3)+1+(-3*14),1) ), IF( DAY(DATE(YEAR($B$157),FLOOR(MONTH($B$157)-1,3)+1+(-3*14),1)) &lt; 10, "0", "" ), DAY( DATE(YEAR($B$157),FLOOR(MONTH($B$157)-1,3)+1+(-3*14),1) ), )</f>
        <v>20180401</v>
      </c>
      <c r="U160" t="str">
        <f ca="1">CONCATENATE(YEAR( DATE(YEAR($B$157),FLOOR(MONTH($B$157)-1,3)+1+(-3*15),1) ), IF( MONTH(DATE(YEAR($B$157),FLOOR(MONTH($B$157)-1,3)+1+(-3*15),1)) &lt; 10, "0", "" ), MONTH( DATE(YEAR($B$157),FLOOR(MONTH($B$157)-1,3)+1+(-3*15),1) ), IF( DAY(DATE(YEAR($B$157),FLOOR(MONTH($B$157)-1,3)+1+(-3*15),1)) &lt; 10, "0", "" ), DAY( DATE(YEAR($B$157),FLOOR(MONTH($B$157)-1,3)+1+(-3*15),1) ), )</f>
        <v>20180101</v>
      </c>
      <c r="V160" t="str">
        <f ca="1">CONCATENATE(YEAR( DATE(YEAR($B$157),FLOOR(MONTH($B$157)-1,3)+1+(-3*16),1) ), IF( MONTH(DATE(YEAR($B$157),FLOOR(MONTH($B$157)-1,3)+1+(-3*16),1)) &lt; 10, "0", "" ), MONTH( DATE(YEAR($B$157),FLOOR(MONTH($B$157)-1,3)+1+(-3*16),1) ), IF( DAY(DATE(YEAR($B$157),FLOOR(MONTH($B$157)-1,3)+1+(-3*16),1)) &lt; 10, "0", "" ), DAY( DATE(YEAR($B$157),FLOOR(MONTH($B$157)-1,3)+1+(-3*16),1) ), )</f>
        <v>20171001</v>
      </c>
      <c r="W160" t="str">
        <f ca="1">CONCATENATE(YEAR( DATE(YEAR($B$157),FLOOR(MONTH($B$157)-1,3)+1+(-3*17),1) ), IF( MONTH(DATE(YEAR($B$157),FLOOR(MONTH($B$157)-1,3)+1+(-3*17),1)) &lt; 10, "0", "" ), MONTH( DATE(YEAR($B$157),FLOOR(MONTH($B$157)-1,3)+1+(-3*17),1) ), IF( DAY(DATE(YEAR($B$157),FLOOR(MONTH($B$157)-1,3)+1+(-3*17),1)) &lt; 10, "0", "" ), DAY( DATE(YEAR($B$157),FLOOR(MONTH($B$157)-1,3)+1+(-3*17),1) ), )</f>
        <v>20170701</v>
      </c>
      <c r="X160" t="str">
        <f ca="1">CONCATENATE(YEAR( DATE(YEAR($B$157),FLOOR(MONTH($B$157)-1,3)+1+(-3*18),1) ), IF( MONTH(DATE(YEAR($B$157),FLOOR(MONTH($B$157)-1,3)+1+(-3*18),1)) &lt; 10, "0", "" ), MONTH( DATE(YEAR($B$157),FLOOR(MONTH($B$157)-1,3)+1+(-3*18),1) ), IF( DAY(DATE(YEAR($B$157),FLOOR(MONTH($B$157)-1,3)+1+(-3*18),1)) &lt; 10, "0", "" ), DAY( DATE(YEAR($B$157),FLOOR(MONTH($B$157)-1,3)+1+(-3*18),1) ), )</f>
        <v>20170401</v>
      </c>
      <c r="Y160" t="str">
        <f ca="1">CONCATENATE(YEAR( DATE(YEAR($B$157),FLOOR(MONTH($B$157)-1,3)+1+(-3*19),1) ), IF( MONTH(DATE(YEAR($B$157),FLOOR(MONTH($B$157)-1,3)+1+(-3*19),1)) &lt; 10, "0", "" ), MONTH( DATE(YEAR($B$157),FLOOR(MONTH($B$157)-1,3)+1+(-3*19),1) ), IF( DAY(DATE(YEAR($B$157),FLOOR(MONTH($B$157)-1,3)+1+(-3*19),1)) &lt; 10, "0", "" ), DAY( DATE(YEAR($B$157),FLOOR(MONTH($B$157)-1,3)+1+(-3*19),1) ), )</f>
        <v>20170101</v>
      </c>
      <c r="Z160" t="str">
        <f ca="1">CONCATENATE(YEAR( DATE(YEAR($B$157),FLOOR(MONTH($B$157)-1,3)+1+(-3*20),1) ), IF( MONTH(DATE(YEAR($B$157),FLOOR(MONTH($B$157)-1,3)+1+(-3*20),1)) &lt; 10, "0", "" ), MONTH( DATE(YEAR($B$157),FLOOR(MONTH($B$157)-1,3)+1+(-3*20),1) ), IF( DAY(DATE(YEAR($B$157),FLOOR(MONTH($B$157)-1,3)+1+(-3*20),1)) &lt; 10, "0", "" ), DAY( DATE(YEAR($B$157),FLOOR(MONTH($B$157)-1,3)+1+(-3*20),1) ), )</f>
        <v>20161001</v>
      </c>
      <c r="AA160" t="str">
        <f ca="1">CONCATENATE(YEAR( DATE(YEAR($B$157),FLOOR(MONTH($B$157)-1,3)+1+(-3*21),1) ), IF( MONTH(DATE(YEAR($B$157),FLOOR(MONTH($B$157)-1,3)+1+(-3*21),1)) &lt; 10, "0", "" ), MONTH( DATE(YEAR($B$157),FLOOR(MONTH($B$157)-1,3)+1+(-3*21),1) ), IF( DAY(DATE(YEAR($B$157),FLOOR(MONTH($B$157)-1,3)+1+(-3*21),1)) &lt; 10, "0", "" ), DAY( DATE(YEAR($B$157),FLOOR(MONTH($B$157)-1,3)+1+(-3*21),1) ), )</f>
        <v>20160701</v>
      </c>
      <c r="AB160" t="str">
        <f ca="1">CONCATENATE(YEAR( DATE(YEAR($B$157),FLOOR(MONTH($B$157)-1,3)+1+(-3*22),1) ), IF( MONTH(DATE(YEAR($B$157),FLOOR(MONTH($B$157)-1,3)+1+(-3*22),1)) &lt; 10, "0", "" ), MONTH( DATE(YEAR($B$157),FLOOR(MONTH($B$157)-1,3)+1+(-3*22),1) ), IF( DAY(DATE(YEAR($B$157),FLOOR(MONTH($B$157)-1,3)+1+(-3*22),1)) &lt; 10, "0", "" ), DAY( DATE(YEAR($B$157),FLOOR(MONTH($B$157)-1,3)+1+(-3*22),1) ), )</f>
        <v>20160401</v>
      </c>
      <c r="AC160" t="str">
        <f ca="1">CONCATENATE(YEAR( DATE(YEAR($B$157),FLOOR(MONTH($B$157)-1,3)+1+(-3*23),1) ), IF( MONTH(DATE(YEAR($B$157),FLOOR(MONTH($B$157)-1,3)+1+(-3*23),1)) &lt; 10, "0", "" ), MONTH( DATE(YEAR($B$157),FLOOR(MONTH($B$157)-1,3)+1+(-3*23),1) ), IF( DAY(DATE(YEAR($B$157),FLOOR(MONTH($B$157)-1,3)+1+(-3*23),1)) &lt; 10, "0", "" ), DAY( DATE(YEAR($B$157),FLOOR(MONTH($B$157)-1,3)+1+(-3*23),1) ), )</f>
        <v>20160101</v>
      </c>
      <c r="AD160" t="str">
        <f ca="1">CONCATENATE(YEAR( DATE(YEAR($B$157),FLOOR(MONTH($B$157)-1,3)+1+(-3*24),1) ), IF( MONTH(DATE(YEAR($B$157),FLOOR(MONTH($B$157)-1,3)+1+(-3*24),1)) &lt; 10, "0", "" ), MONTH( DATE(YEAR($B$157),FLOOR(MONTH($B$157)-1,3)+1+(-3*24),1) ), IF( DAY(DATE(YEAR($B$157),FLOOR(MONTH($B$157)-1,3)+1+(-3*24),1)) &lt; 10, "0", "" ), DAY( DATE(YEAR($B$157),FLOOR(MONTH($B$157)-1,3)+1+(-3*24),1) ), )</f>
        <v>20151001</v>
      </c>
      <c r="AE160" t="str">
        <f ca="1">CONCATENATE(YEAR( DATE(YEAR($B$157),FLOOR(MONTH($B$157)-1,3)+1+(-3*25),1) ), IF( MONTH(DATE(YEAR($B$157),FLOOR(MONTH($B$157)-1,3)+1+(-3*25),1)) &lt; 10, "0", "" ), MONTH( DATE(YEAR($B$157),FLOOR(MONTH($B$157)-1,3)+1+(-3*25),1) ), IF( DAY(DATE(YEAR($B$157),FLOOR(MONTH($B$157)-1,3)+1+(-3*25),1)) &lt; 10, "0", "" ), DAY( DATE(YEAR($B$157),FLOOR(MONTH($B$157)-1,3)+1+(-3*25),1) ), )</f>
        <v>20150701</v>
      </c>
      <c r="AF160" t="str">
        <f ca="1">CONCATENATE(YEAR( DATE(YEAR($B$157),FLOOR(MONTH($B$157)-1,3)+1+(-3*26),1) ), IF( MONTH(DATE(YEAR($B$157),FLOOR(MONTH($B$157)-1,3)+1+(-3*26),1)) &lt; 10, "0", "" ), MONTH( DATE(YEAR($B$157),FLOOR(MONTH($B$157)-1,3)+1+(-3*26),1) ), IF( DAY(DATE(YEAR($B$157),FLOOR(MONTH($B$157)-1,3)+1+(-3*26),1)) &lt; 10, "0", "" ), DAY( DATE(YEAR($B$157),FLOOR(MONTH($B$157)-1,3)+1+(-3*26),1) ), )</f>
        <v>20150401</v>
      </c>
      <c r="AG160" t="str">
        <f ca="1">CONCATENATE(YEAR( DATE(YEAR($B$157),FLOOR(MONTH($B$157)-1,3)+1+(-3*27),1) ), IF( MONTH(DATE(YEAR($B$157),FLOOR(MONTH($B$157)-1,3)+1+(-3*27),1)) &lt; 10, "0", "" ), MONTH( DATE(YEAR($B$157),FLOOR(MONTH($B$157)-1,3)+1+(-3*27),1) ), IF( DAY(DATE(YEAR($B$157),FLOOR(MONTH($B$157)-1,3)+1+(-3*27),1)) &lt; 10, "0", "" ), DAY( DATE(YEAR($B$157),FLOOR(MONTH($B$157)-1,3)+1+(-3*27),1) ), )</f>
        <v>20150101</v>
      </c>
      <c r="AH160" t="str">
        <f ca="1">CONCATENATE(YEAR( DATE(YEAR($B$157),FLOOR(MONTH($B$157)-1,3)+1+(-3*28),1) ), IF( MONTH(DATE(YEAR($B$157),FLOOR(MONTH($B$157)-1,3)+1+(-3*28),1)) &lt; 10, "0", "" ), MONTH( DATE(YEAR($B$157),FLOOR(MONTH($B$157)-1,3)+1+(-3*28),1) ), IF( DAY(DATE(YEAR($B$157),FLOOR(MONTH($B$157)-1,3)+1+(-3*28),1)) &lt; 10, "0", "" ), DAY( DATE(YEAR($B$157),FLOOR(MONTH($B$157)-1,3)+1+(-3*28),1) ), )</f>
        <v>20141001</v>
      </c>
      <c r="AI160" t="str">
        <f ca="1">CONCATENATE(YEAR( DATE(YEAR($B$157),FLOOR(MONTH($B$157)-1,3)+1+(-3*29),1) ), IF( MONTH(DATE(YEAR($B$157),FLOOR(MONTH($B$157)-1,3)+1+(-3*29),1)) &lt; 10, "0", "" ), MONTH( DATE(YEAR($B$157),FLOOR(MONTH($B$157)-1,3)+1+(-3*29),1) ), IF( DAY(DATE(YEAR($B$157),FLOOR(MONTH($B$157)-1,3)+1+(-3*29),1)) &lt; 10, "0", "" ), DAY( DATE(YEAR($B$157),FLOOR(MONTH($B$157)-1,3)+1+(-3*29),1) ), )</f>
        <v>20140701</v>
      </c>
      <c r="AJ160" t="str">
        <f ca="1">CONCATENATE(YEAR( DATE(YEAR($B$157),FLOOR(MONTH($B$157)-1,3)+1+(-3*30),1) ), IF( MONTH(DATE(YEAR($B$157),FLOOR(MONTH($B$157)-1,3)+1+(-3*30),1)) &lt; 10, "0", "" ), MONTH( DATE(YEAR($B$157),FLOOR(MONTH($B$157)-1,3)+1+(-3*30),1) ), IF( DAY(DATE(YEAR($B$157),FLOOR(MONTH($B$157)-1,3)+1+(-3*30),1)) &lt; 10, "0", "" ), DAY( DATE(YEAR($B$157),FLOOR(MONTH($B$157)-1,3)+1+(-3*30),1) ), )</f>
        <v>20140401</v>
      </c>
      <c r="AK160" t="str">
        <f ca="1">CONCATENATE(YEAR( DATE(YEAR($B$157),FLOOR(MONTH($B$157)-1,3)+1+(-3*31),1) ), IF( MONTH(DATE(YEAR($B$157),FLOOR(MONTH($B$157)-1,3)+1+(-3*31),1)) &lt; 10, "0", "" ), MONTH( DATE(YEAR($B$157),FLOOR(MONTH($B$157)-1,3)+1+(-3*31),1) ), IF( DAY(DATE(YEAR($B$157),FLOOR(MONTH($B$157)-1,3)+1+(-3*31),1)) &lt; 10, "0", "" ), DAY( DATE(YEAR($B$157),FLOOR(MONTH($B$157)-1,3)+1+(-3*31),1) ), )</f>
        <v>20140101</v>
      </c>
      <c r="AL160" t="str">
        <f ca="1">CONCATENATE(YEAR( DATE(YEAR($B$157),FLOOR(MONTH($B$157)-1,3)+1+(-3*32),1) ), IF( MONTH(DATE(YEAR($B$157),FLOOR(MONTH($B$157)-1,3)+1+(-3*32),1)) &lt; 10, "0", "" ), MONTH( DATE(YEAR($B$157),FLOOR(MONTH($B$157)-1,3)+1+(-3*32),1) ), IF( DAY(DATE(YEAR($B$157),FLOOR(MONTH($B$157)-1,3)+1+(-3*32),1)) &lt; 10, "0", "" ), DAY( DATE(YEAR($B$157),FLOOR(MONTH($B$157)-1,3)+1+(-3*32),1) ), )</f>
        <v>20131001</v>
      </c>
      <c r="AM160" t="str">
        <f ca="1">CONCATENATE(YEAR( DATE(YEAR($B$157),FLOOR(MONTH($B$157)-1,3)+1+(-3*33),1) ), IF( MONTH(DATE(YEAR($B$157),FLOOR(MONTH($B$157)-1,3)+1+(-3*33),1)) &lt; 10, "0", "" ), MONTH( DATE(YEAR($B$157),FLOOR(MONTH($B$157)-1,3)+1+(-3*33),1) ), IF( DAY(DATE(YEAR($B$157),FLOOR(MONTH($B$157)-1,3)+1+(-3*33),1)) &lt; 10, "0", "" ), DAY( DATE(YEAR($B$157),FLOOR(MONTH($B$157)-1,3)+1+(-3*33),1) ), )</f>
        <v>20130701</v>
      </c>
      <c r="AN160" t="str">
        <f ca="1">CONCATENATE(YEAR( DATE(YEAR($B$157),FLOOR(MONTH($B$157)-1,3)+1+(-3*34),1) ), IF( MONTH(DATE(YEAR($B$157),FLOOR(MONTH($B$157)-1,3)+1+(-3*34),1)) &lt; 10, "0", "" ), MONTH( DATE(YEAR($B$157),FLOOR(MONTH($B$157)-1,3)+1+(-3*34),1) ), IF( DAY(DATE(YEAR($B$157),FLOOR(MONTH($B$157)-1,3)+1+(-3*34),1)) &lt; 10, "0", "" ), DAY( DATE(YEAR($B$157),FLOOR(MONTH($B$157)-1,3)+1+(-3*34),1) ), )</f>
        <v>20130401</v>
      </c>
      <c r="AO160" t="str">
        <f ca="1">CONCATENATE(YEAR( DATE(YEAR($B$157),FLOOR(MONTH($B$157)-1,3)+1+(-3*35),1) ), IF( MONTH(DATE(YEAR($B$157),FLOOR(MONTH($B$157)-1,3)+1+(-3*35),1)) &lt; 10, "0", "" ), MONTH( DATE(YEAR($B$157),FLOOR(MONTH($B$157)-1,3)+1+(-3*35),1) ), IF( DAY(DATE(YEAR($B$157),FLOOR(MONTH($B$157)-1,3)+1+(-3*35),1)) &lt; 10, "0", "" ), DAY( DATE(YEAR($B$157),FLOOR(MONTH($B$157)-1,3)+1+(-3*35),1) ), )</f>
        <v>20130101</v>
      </c>
      <c r="AP160" t="str">
        <f ca="1">CONCATENATE(YEAR( DATE(YEAR($B$157),FLOOR(MONTH($B$157)-1,3)+1+(-3*36),1) ), IF( MONTH(DATE(YEAR($B$157),FLOOR(MONTH($B$157)-1,3)+1+(-3*36),1)) &lt; 10, "0", "" ), MONTH( DATE(YEAR($B$157),FLOOR(MONTH($B$157)-1,3)+1+(-3*36),1) ), IF( DAY(DATE(YEAR($B$157),FLOOR(MONTH($B$157)-1,3)+1+(-3*36),1)) &lt; 10, "0", "" ), DAY( DATE(YEAR($B$157),FLOOR(MONTH($B$157)-1,3)+1+(-3*36),1) ), )</f>
        <v>20121001</v>
      </c>
      <c r="AQ160" t="str">
        <f ca="1">CONCATENATE(YEAR( DATE(YEAR($B$157),FLOOR(MONTH($B$157)-1,3)+1+(-3*37),1) ), IF( MONTH(DATE(YEAR($B$157),FLOOR(MONTH($B$157)-1,3)+1+(-3*37),1)) &lt; 10, "0", "" ), MONTH( DATE(YEAR($B$157),FLOOR(MONTH($B$157)-1,3)+1+(-3*37),1) ), IF( DAY(DATE(YEAR($B$157),FLOOR(MONTH($B$157)-1,3)+1+(-3*37),1)) &lt; 10, "0", "" ), DAY( DATE(YEAR($B$157),FLOOR(MONTH($B$157)-1,3)+1+(-3*37),1) ), )</f>
        <v>20120701</v>
      </c>
      <c r="AR160" t="str">
        <f ca="1">CONCATENATE(YEAR( DATE(YEAR($B$157),FLOOR(MONTH($B$157)-1,3)+1+(-3*38),1) ), IF( MONTH(DATE(YEAR($B$157),FLOOR(MONTH($B$157)-1,3)+1+(-3*38),1)) &lt; 10, "0", "" ), MONTH( DATE(YEAR($B$157),FLOOR(MONTH($B$157)-1,3)+1+(-3*38),1) ), IF( DAY(DATE(YEAR($B$157),FLOOR(MONTH($B$157)-1,3)+1+(-3*38),1)) &lt; 10, "0", "" ), DAY( DATE(YEAR($B$157),FLOOR(MONTH($B$157)-1,3)+1+(-3*38),1) ), )</f>
        <v>20120401</v>
      </c>
      <c r="AS160" t="str">
        <f ca="1">CONCATENATE(YEAR( DATE(YEAR($B$157),FLOOR(MONTH($B$157)-1,3)+1+(-3*39),1) ), IF( MONTH(DATE(YEAR($B$157),FLOOR(MONTH($B$157)-1,3)+1+(-3*39),1)) &lt; 10, "0", "" ), MONTH( DATE(YEAR($B$157),FLOOR(MONTH($B$157)-1,3)+1+(-3*39),1) ), IF( DAY(DATE(YEAR($B$157),FLOOR(MONTH($B$157)-1,3)+1+(-3*39),1)) &lt; 10, "0", "" ), DAY( DATE(YEAR($B$157),FLOOR(MONTH($B$157)-1,3)+1+(-3*39),1) ), )</f>
        <v>20120101</v>
      </c>
      <c r="AT160" t="str">
        <f ca="1">CONCATENATE(YEAR( DATE(YEAR($B$157),FLOOR(MONTH($B$157)-1,3)+1+(-3*40),1) ), IF( MONTH(DATE(YEAR($B$157),FLOOR(MONTH($B$157)-1,3)+1+(-3*40),1)) &lt; 10, "0", "" ), MONTH( DATE(YEAR($B$157),FLOOR(MONTH($B$157)-1,3)+1+(-3*40),1) ), IF( DAY(DATE(YEAR($B$157),FLOOR(MONTH($B$157)-1,3)+1+(-3*40),1)) &lt; 10, "0", "" ), DAY( DATE(YEAR($B$157),FLOOR(MONTH($B$157)-1,3)+1+(-3*40),1) ), )</f>
        <v>20111001</v>
      </c>
      <c r="AU160" t="str">
        <f ca="1">CONCATENATE(YEAR( DATE(YEAR($B$157),FLOOR(MONTH($B$157)-1,3)+1+(-3*41),1) ), IF( MONTH(DATE(YEAR($B$157),FLOOR(MONTH($B$157)-1,3)+1+(-3*41),1)) &lt; 10, "0", "" ), MONTH( DATE(YEAR($B$157),FLOOR(MONTH($B$157)-1,3)+1+(-3*41),1) ), IF( DAY(DATE(YEAR($B$157),FLOOR(MONTH($B$157)-1,3)+1+(-3*41),1)) &lt; 10, "0", "" ), DAY( DATE(YEAR($B$157),FLOOR(MONTH($B$157)-1,3)+1+(-3*41),1) ), )</f>
        <v>20110701</v>
      </c>
      <c r="AV160" t="str">
        <f ca="1">CONCATENATE(YEAR( DATE(YEAR($B$157),FLOOR(MONTH($B$157)-1,3)+1+(-3*42),1) ), IF( MONTH(DATE(YEAR($B$157),FLOOR(MONTH($B$157)-1,3)+1+(-3*42),1)) &lt; 10, "0", "" ), MONTH( DATE(YEAR($B$157),FLOOR(MONTH($B$157)-1,3)+1+(-3*42),1) ), IF( DAY(DATE(YEAR($B$157),FLOOR(MONTH($B$157)-1,3)+1+(-3*42),1)) &lt; 10, "0", "" ), DAY( DATE(YEAR($B$157),FLOOR(MONTH($B$157)-1,3)+1+(-3*42),1) ), )</f>
        <v>20110401</v>
      </c>
      <c r="AW160" t="str">
        <f ca="1">CONCATENATE(YEAR( DATE(YEAR($B$157),FLOOR(MONTH($B$157)-1,3)+1+(-3*43),1) ), IF( MONTH(DATE(YEAR($B$157),FLOOR(MONTH($B$157)-1,3)+1+(-3*43),1)) &lt; 10, "0", "" ), MONTH( DATE(YEAR($B$157),FLOOR(MONTH($B$157)-1,3)+1+(-3*43),1) ), IF( DAY(DATE(YEAR($B$157),FLOOR(MONTH($B$157)-1,3)+1+(-3*43),1)) &lt; 10, "0", "" ), DAY( DATE(YEAR($B$157),FLOOR(MONTH($B$157)-1,3)+1+(-3*43),1) ), )</f>
        <v>20110101</v>
      </c>
      <c r="AX160" t="str">
        <f ca="1">CONCATENATE(YEAR( DATE(YEAR($B$157),FLOOR(MONTH($B$157)-1,3)+1+(-3*44),1) ), IF( MONTH(DATE(YEAR($B$157),FLOOR(MONTH($B$157)-1,3)+1+(-3*44),1)) &lt; 10, "0", "" ), MONTH( DATE(YEAR($B$157),FLOOR(MONTH($B$157)-1,3)+1+(-3*44),1) ), IF( DAY(DATE(YEAR($B$157),FLOOR(MONTH($B$157)-1,3)+1+(-3*44),1)) &lt; 10, "0", "" ), DAY( DATE(YEAR($B$157),FLOOR(MONTH($B$157)-1,3)+1+(-3*44),1) ), )</f>
        <v>20101001</v>
      </c>
      <c r="AY160" t="str">
        <f ca="1">CONCATENATE(YEAR( DATE(YEAR($B$157),FLOOR(MONTH($B$157)-1,3)+1+(-3*45),1) ), IF( MONTH(DATE(YEAR($B$157),FLOOR(MONTH($B$157)-1,3)+1+(-3*45),1)) &lt; 10, "0", "" ), MONTH( DATE(YEAR($B$157),FLOOR(MONTH($B$157)-1,3)+1+(-3*45),1) ), IF( DAY(DATE(YEAR($B$157),FLOOR(MONTH($B$157)-1,3)+1+(-3*45),1)) &lt; 10, "0", "" ), DAY( DATE(YEAR($B$157),FLOOR(MONTH($B$157)-1,3)+1+(-3*45),1) ), )</f>
        <v>20100701</v>
      </c>
      <c r="AZ160" t="str">
        <f ca="1">CONCATENATE(YEAR( DATE(YEAR($B$157),FLOOR(MONTH($B$157)-1,3)+1+(-3*46),1) ), IF( MONTH(DATE(YEAR($B$157),FLOOR(MONTH($B$157)-1,3)+1+(-3*46),1)) &lt; 10, "0", "" ), MONTH( DATE(YEAR($B$157),FLOOR(MONTH($B$157)-1,3)+1+(-3*46),1) ), IF( DAY(DATE(YEAR($B$157),FLOOR(MONTH($B$157)-1,3)+1+(-3*46),1)) &lt; 10, "0", "" ), DAY( DATE(YEAR($B$157),FLOOR(MONTH($B$157)-1,3)+1+(-3*46),1) ), )</f>
        <v>20100401</v>
      </c>
      <c r="BA160" t="str">
        <f ca="1">CONCATENATE(YEAR( DATE(YEAR($B$157),FLOOR(MONTH($B$157)-1,3)+1+(-3*47),1) ), IF( MONTH(DATE(YEAR($B$157),FLOOR(MONTH($B$157)-1,3)+1+(-3*47),1)) &lt; 10, "0", "" ), MONTH( DATE(YEAR($B$157),FLOOR(MONTH($B$157)-1,3)+1+(-3*47),1) ), IF( DAY(DATE(YEAR($B$157),FLOOR(MONTH($B$157)-1,3)+1+(-3*47),1)) &lt; 10, "0", "" ), DAY( DATE(YEAR($B$157),FLOOR(MONTH($B$157)-1,3)+1+(-3*47),1) ), )</f>
        <v>20100101</v>
      </c>
      <c r="BB160" t="str">
        <f ca="1">CONCATENATE(YEAR( DATE(YEAR($B$157),FLOOR(MONTH($B$157)-1,3)+1+(-3*48),1) ), IF( MONTH(DATE(YEAR($B$157),FLOOR(MONTH($B$157)-1,3)+1+(-3*48),1)) &lt; 10, "0", "" ), MONTH( DATE(YEAR($B$157),FLOOR(MONTH($B$157)-1,3)+1+(-3*48),1) ), IF( DAY(DATE(YEAR($B$157),FLOOR(MONTH($B$157)-1,3)+1+(-3*48),1)) &lt; 10, "0", "" ), DAY( DATE(YEAR($B$157),FLOOR(MONTH($B$157)-1,3)+1+(-3*48),1) ), )</f>
        <v>20091001</v>
      </c>
      <c r="BC160" t="str">
        <f ca="1">CONCATENATE(YEAR( DATE(YEAR($B$157),FLOOR(MONTH($B$157)-1,3)+1+(-3*49),1) ), IF( MONTH(DATE(YEAR($B$157),FLOOR(MONTH($B$157)-1,3)+1+(-3*49),1)) &lt; 10, "0", "" ), MONTH( DATE(YEAR($B$157),FLOOR(MONTH($B$157)-1,3)+1+(-3*49),1) ), IF( DAY(DATE(YEAR($B$157),FLOOR(MONTH($B$157)-1,3)+1+(-3*49),1)) &lt; 10, "0", "" ), DAY( DATE(YEAR($B$157),FLOOR(MONTH($B$157)-1,3)+1+(-3*49),1) ), )</f>
        <v>20090701</v>
      </c>
      <c r="BD160" t="str">
        <f ca="1">CONCATENATE(YEAR( DATE(YEAR($B$157),FLOOR(MONTH($B$157)-1,3)+1+(-3*50),1) ), IF( MONTH(DATE(YEAR($B$157),FLOOR(MONTH($B$157)-1,3)+1+(-3*50),1)) &lt; 10, "0", "" ), MONTH( DATE(YEAR($B$157),FLOOR(MONTH($B$157)-1,3)+1+(-3*50),1) ), IF( DAY(DATE(YEAR($B$157),FLOOR(MONTH($B$157)-1,3)+1+(-3*50),1)) &lt; 10, "0", "" ), DAY( DATE(YEAR($B$157),FLOOR(MONTH($B$157)-1,3)+1+(-3*50),1) ), )</f>
        <v>20090401</v>
      </c>
      <c r="BE160" t="str">
        <f ca="1">CONCATENATE(YEAR( DATE(YEAR($B$157),FLOOR(MONTH($B$157)-1,3)+1+(-3*51),1) ), IF( MONTH(DATE(YEAR($B$157),FLOOR(MONTH($B$157)-1,3)+1+(-3*51),1)) &lt; 10, "0", "" ), MONTH( DATE(YEAR($B$157),FLOOR(MONTH($B$157)-1,3)+1+(-3*51),1) ), IF( DAY(DATE(YEAR($B$157),FLOOR(MONTH($B$157)-1,3)+1+(-3*51),1)) &lt; 10, "0", "" ), DAY( DATE(YEAR($B$157),FLOOR(MONTH($B$157)-1,3)+1+(-3*51),1) ), )</f>
        <v>20090101</v>
      </c>
      <c r="BF160" t="str">
        <f ca="1">CONCATENATE(YEAR( DATE(YEAR($B$157),FLOOR(MONTH($B$157)-1,3)+1+(-3*52),1) ), IF( MONTH(DATE(YEAR($B$157),FLOOR(MONTH($B$157)-1,3)+1+(-3*52),1)) &lt; 10, "0", "" ), MONTH( DATE(YEAR($B$157),FLOOR(MONTH($B$157)-1,3)+1+(-3*52),1) ), IF( DAY(DATE(YEAR($B$157),FLOOR(MONTH($B$157)-1,3)+1+(-3*52),1)) &lt; 10, "0", "" ), DAY( DATE(YEAR($B$157),FLOOR(MONTH($B$157)-1,3)+1+(-3*52),1) ), )</f>
        <v>20081001</v>
      </c>
      <c r="BG160" t="str">
        <f ca="1">CONCATENATE(YEAR( DATE(YEAR($B$157),FLOOR(MONTH($B$157)-1,3)+1+(-3*53),1) ), IF( MONTH(DATE(YEAR($B$157),FLOOR(MONTH($B$157)-1,3)+1+(-3*53),1)) &lt; 10, "0", "" ), MONTH( DATE(YEAR($B$157),FLOOR(MONTH($B$157)-1,3)+1+(-3*53),1) ), IF( DAY(DATE(YEAR($B$157),FLOOR(MONTH($B$157)-1,3)+1+(-3*53),1)) &lt; 10, "0", "" ), DAY( DATE(YEAR($B$157),FLOOR(MONTH($B$157)-1,3)+1+(-3*53),1) ), )</f>
        <v>20080701</v>
      </c>
      <c r="BH160" t="str">
        <f ca="1">CONCATENATE(YEAR( DATE(YEAR($B$157),FLOOR(MONTH($B$157)-1,3)+1+(-3*54),1) ), IF( MONTH(DATE(YEAR($B$157),FLOOR(MONTH($B$157)-1,3)+1+(-3*54),1)) &lt; 10, "0", "" ), MONTH( DATE(YEAR($B$157),FLOOR(MONTH($B$157)-1,3)+1+(-3*54),1) ), IF( DAY(DATE(YEAR($B$157),FLOOR(MONTH($B$157)-1,3)+1+(-3*54),1)) &lt; 10, "0", "" ), DAY( DATE(YEAR($B$157),FLOOR(MONTH($B$157)-1,3)+1+(-3*54),1) ), )</f>
        <v>20080401</v>
      </c>
      <c r="BI160" t="str">
        <f ca="1">CONCATENATE(YEAR( DATE(YEAR($B$157),FLOOR(MONTH($B$157)-1,3)+1+(-3*55),1) ), IF( MONTH(DATE(YEAR($B$157),FLOOR(MONTH($B$157)-1,3)+1+(-3*55),1)) &lt; 10, "0", "" ), MONTH( DATE(YEAR($B$157),FLOOR(MONTH($B$157)-1,3)+1+(-3*55),1) ), IF( DAY(DATE(YEAR($B$157),FLOOR(MONTH($B$157)-1,3)+1+(-3*55),1)) &lt; 10, "0", "" ), DAY( DATE(YEAR($B$157),FLOOR(MONTH($B$157)-1,3)+1+(-3*55),1) ), )</f>
        <v>20080101</v>
      </c>
      <c r="BJ160" t="str">
        <f ca="1">CONCATENATE(YEAR( DATE(YEAR($B$157),FLOOR(MONTH($B$157)-1,3)+1+(-3*56),1) ), IF( MONTH(DATE(YEAR($B$157),FLOOR(MONTH($B$157)-1,3)+1+(-3*56),1)) &lt; 10, "0", "" ), MONTH( DATE(YEAR($B$157),FLOOR(MONTH($B$157)-1,3)+1+(-3*56),1) ), IF( DAY(DATE(YEAR($B$157),FLOOR(MONTH($B$157)-1,3)+1+(-3*56),1)) &lt; 10, "0", "" ), DAY( DATE(YEAR($B$157),FLOOR(MONTH($B$157)-1,3)+1+(-3*56),1) ), )</f>
        <v>20071001</v>
      </c>
      <c r="BK160" t="str">
        <f ca="1">CONCATENATE(YEAR( DATE(YEAR($B$157),FLOOR(MONTH($B$157)-1,3)+1+(-3*57),1) ), IF( MONTH(DATE(YEAR($B$157),FLOOR(MONTH($B$157)-1,3)+1+(-3*57),1)) &lt; 10, "0", "" ), MONTH( DATE(YEAR($B$157),FLOOR(MONTH($B$157)-1,3)+1+(-3*57),1) ), IF( DAY(DATE(YEAR($B$157),FLOOR(MONTH($B$157)-1,3)+1+(-3*57),1)) &lt; 10, "0", "" ), DAY( DATE(YEAR($B$157),FLOOR(MONTH($B$157)-1,3)+1+(-3*57),1) ), )</f>
        <v>20070701</v>
      </c>
      <c r="BL160" t="str">
        <f ca="1">CONCATENATE(YEAR( DATE(YEAR($B$157),FLOOR(MONTH($B$157)-1,3)+1+(-3*58),1) ), IF( MONTH(DATE(YEAR($B$157),FLOOR(MONTH($B$157)-1,3)+1+(-3*58),1)) &lt; 10, "0", "" ), MONTH( DATE(YEAR($B$157),FLOOR(MONTH($B$157)-1,3)+1+(-3*58),1) ), IF( DAY(DATE(YEAR($B$157),FLOOR(MONTH($B$157)-1,3)+1+(-3*58),1)) &lt; 10, "0", "" ), DAY( DATE(YEAR($B$157),FLOOR(MONTH($B$157)-1,3)+1+(-3*58),1) ), )</f>
        <v>20070401</v>
      </c>
      <c r="BM160" t="str">
        <f ca="1">CONCATENATE(YEAR( DATE(YEAR($B$157),FLOOR(MONTH($B$157)-1,3)+1+(-3*59),1) ), IF( MONTH(DATE(YEAR($B$157),FLOOR(MONTH($B$157)-1,3)+1+(-3*59),1)) &lt; 10, "0", "" ), MONTH( DATE(YEAR($B$157),FLOOR(MONTH($B$157)-1,3)+1+(-3*59),1) ), IF( DAY(DATE(YEAR($B$157),FLOOR(MONTH($B$157)-1,3)+1+(-3*59),1)) &lt; 10, "0", "" ), DAY( DATE(YEAR($B$157),FLOOR(MONTH($B$157)-1,3)+1+(-3*59),1) ), )</f>
        <v>20070101</v>
      </c>
      <c r="BN160" t="str">
        <f>""</f>
        <v/>
      </c>
      <c r="BO160" t="str">
        <f>""</f>
        <v/>
      </c>
      <c r="BP160" t="str">
        <f>""</f>
        <v/>
      </c>
      <c r="BQ160" t="str">
        <f>""</f>
        <v/>
      </c>
      <c r="BR160" t="str">
        <f>""</f>
        <v/>
      </c>
      <c r="BS160" t="str">
        <f>""</f>
        <v/>
      </c>
      <c r="BT160" t="str">
        <f>""</f>
        <v/>
      </c>
      <c r="BU160" t="str">
        <f>""</f>
        <v/>
      </c>
      <c r="BV160" t="str">
        <f>""</f>
        <v/>
      </c>
      <c r="BW160" t="str">
        <f>""</f>
        <v/>
      </c>
      <c r="BX160" t="str">
        <f>""</f>
        <v/>
      </c>
      <c r="BY160" t="str">
        <f>""</f>
        <v/>
      </c>
      <c r="BZ160" t="str">
        <f>""</f>
        <v/>
      </c>
      <c r="CA160" t="str">
        <f>""</f>
        <v/>
      </c>
      <c r="CB160" t="str">
        <f>""</f>
        <v/>
      </c>
      <c r="CC160" t="str">
        <f>""</f>
        <v/>
      </c>
      <c r="CD160" t="str">
        <f>""</f>
        <v/>
      </c>
      <c r="CE160" t="str">
        <f>""</f>
        <v/>
      </c>
      <c r="CF160" t="str">
        <f>""</f>
        <v/>
      </c>
      <c r="CG160" t="str">
        <f>""</f>
        <v/>
      </c>
      <c r="CH160" t="str">
        <f>""</f>
        <v/>
      </c>
      <c r="CI160" t="str">
        <f>""</f>
        <v/>
      </c>
      <c r="CJ160" t="str">
        <f>""</f>
        <v/>
      </c>
      <c r="CK160" t="str">
        <f>""</f>
        <v/>
      </c>
      <c r="CL160" t="str">
        <f>""</f>
        <v/>
      </c>
      <c r="CM160" t="str">
        <f>""</f>
        <v/>
      </c>
      <c r="CN160" t="str">
        <f>""</f>
        <v/>
      </c>
      <c r="CO160" t="str">
        <f>""</f>
        <v/>
      </c>
      <c r="CP160" t="str">
        <f>""</f>
        <v/>
      </c>
      <c r="CQ160" t="str">
        <f>""</f>
        <v/>
      </c>
      <c r="CR160" t="str">
        <f>""</f>
        <v/>
      </c>
      <c r="CS160" t="str">
        <f>""</f>
        <v/>
      </c>
      <c r="CT160" t="str">
        <f>""</f>
        <v/>
      </c>
      <c r="CU160" t="str">
        <f>""</f>
        <v/>
      </c>
      <c r="CV160" t="str">
        <f>""</f>
        <v/>
      </c>
      <c r="CW160" t="str">
        <f>""</f>
        <v/>
      </c>
      <c r="CX160" t="str">
        <f>""</f>
        <v/>
      </c>
      <c r="CY160" t="str">
        <f>""</f>
        <v/>
      </c>
      <c r="CZ160" t="str">
        <f>""</f>
        <v/>
      </c>
      <c r="DA160" t="str">
        <f>""</f>
        <v/>
      </c>
      <c r="DB160" t="str">
        <f>""</f>
        <v/>
      </c>
      <c r="DC160" t="str">
        <f>""</f>
        <v/>
      </c>
      <c r="DD160" t="str">
        <f>""</f>
        <v/>
      </c>
      <c r="DE160" t="str">
        <f>""</f>
        <v/>
      </c>
      <c r="DF160" t="str">
        <f>""</f>
        <v/>
      </c>
      <c r="DG160" t="str">
        <f>""</f>
        <v/>
      </c>
      <c r="DH160" t="str">
        <f>""</f>
        <v/>
      </c>
      <c r="DI160" t="str">
        <f>""</f>
        <v/>
      </c>
      <c r="DJ160" t="str">
        <f>""</f>
        <v/>
      </c>
      <c r="DK160" t="str">
        <f>""</f>
        <v/>
      </c>
      <c r="DL160" t="str">
        <f>""</f>
        <v/>
      </c>
      <c r="DM160" t="str">
        <f>""</f>
        <v/>
      </c>
      <c r="DN160" t="str">
        <f>""</f>
        <v/>
      </c>
      <c r="DO160" t="str">
        <f>""</f>
        <v/>
      </c>
      <c r="DP160" t="str">
        <f>""</f>
        <v/>
      </c>
      <c r="DQ160" t="str">
        <f>""</f>
        <v/>
      </c>
      <c r="DR160" t="str">
        <f>""</f>
        <v/>
      </c>
      <c r="DS160" t="str">
        <f>""</f>
        <v/>
      </c>
      <c r="DT160" t="str">
        <f>""</f>
        <v/>
      </c>
      <c r="DU160" t="str">
        <f>""</f>
        <v/>
      </c>
    </row>
    <row r="161" spans="1:125" x14ac:dyDescent="0.25">
      <c r="A161" t="str">
        <f>"Period End"</f>
        <v>Period End</v>
      </c>
      <c r="C161" t="str">
        <f>"PX392"</f>
        <v>PX392</v>
      </c>
      <c r="D161" t="str">
        <f>"END_DATE_OVERRIDE"</f>
        <v>END_DATE_OVERRIDE</v>
      </c>
      <c r="E161" t="str">
        <f t="shared" si="78"/>
        <v>Dynamic</v>
      </c>
      <c r="F161" t="str">
        <f ca="1">CONCATENATE(YEAR( DATE(YEAR($B$157),CEILING(MONTH($B$157),3)+1+(-3*0),0) ), IF( MONTH(DATE(YEAR($B$157),CEILING(MONTH($B$157),3)+1+(-3*0),0)) &lt; 10, "0", "" ), MONTH( DATE(YEAR($B$157),CEILING(MONTH($B$157),3)+1+(-3*0),0) ), IF( DAY(DATE(YEAR($B$157),CEILING(MONTH($B$157),3)+1+(-3*0),0)) &lt; 10, "0", "" ), DAY( DATE(YEAR($B$157),CEILING(MONTH($B$157),3)+1+(-3*0),0) ), )</f>
        <v>20211231</v>
      </c>
      <c r="G161" t="str">
        <f ca="1">CONCATENATE(YEAR( DATE(YEAR($B$157),CEILING(MONTH($B$157),3)+1+(-3*1),0) ), IF( MONTH(DATE(YEAR($B$157),CEILING(MONTH($B$157),3)+1+(-3*1),0)) &lt; 10, "0", "" ), MONTH( DATE(YEAR($B$157),CEILING(MONTH($B$157),3)+1+(-3*1),0) ), IF( DAY(DATE(YEAR($B$157),CEILING(MONTH($B$157),3)+1+(-3*1),0)) &lt; 10, "0", "" ), DAY( DATE(YEAR($B$157),CEILING(MONTH($B$157),3)+1+(-3*1),0) ), )</f>
        <v>20210930</v>
      </c>
      <c r="H161" t="str">
        <f ca="1">CONCATENATE(YEAR( DATE(YEAR($B$157),CEILING(MONTH($B$157),3)+1+(-3*2),0) ), IF( MONTH(DATE(YEAR($B$157),CEILING(MONTH($B$157),3)+1+(-3*2),0)) &lt; 10, "0", "" ), MONTH( DATE(YEAR($B$157),CEILING(MONTH($B$157),3)+1+(-3*2),0) ), IF( DAY(DATE(YEAR($B$157),CEILING(MONTH($B$157),3)+1+(-3*2),0)) &lt; 10, "0", "" ), DAY( DATE(YEAR($B$157),CEILING(MONTH($B$157),3)+1+(-3*2),0) ), )</f>
        <v>20210630</v>
      </c>
      <c r="I161" t="str">
        <f ca="1">CONCATENATE(YEAR( DATE(YEAR($B$157),CEILING(MONTH($B$157),3)+1+(-3*3),0) ), IF( MONTH(DATE(YEAR($B$157),CEILING(MONTH($B$157),3)+1+(-3*3),0)) &lt; 10, "0", "" ), MONTH( DATE(YEAR($B$157),CEILING(MONTH($B$157),3)+1+(-3*3),0) ), IF( DAY(DATE(YEAR($B$157),CEILING(MONTH($B$157),3)+1+(-3*3),0)) &lt; 10, "0", "" ), DAY( DATE(YEAR($B$157),CEILING(MONTH($B$157),3)+1+(-3*3),0) ), )</f>
        <v>20210331</v>
      </c>
      <c r="J161" t="str">
        <f ca="1">CONCATENATE(YEAR( DATE(YEAR($B$157),CEILING(MONTH($B$157),3)+1+(-3*4),0) ), IF( MONTH(DATE(YEAR($B$157),CEILING(MONTH($B$157),3)+1+(-3*4),0)) &lt; 10, "0", "" ), MONTH( DATE(YEAR($B$157),CEILING(MONTH($B$157),3)+1+(-3*4),0) ), IF( DAY(DATE(YEAR($B$157),CEILING(MONTH($B$157),3)+1+(-3*4),0)) &lt; 10, "0", "" ), DAY( DATE(YEAR($B$157),CEILING(MONTH($B$157),3)+1+(-3*4),0) ), )</f>
        <v>20201231</v>
      </c>
      <c r="K161" t="str">
        <f ca="1">CONCATENATE(YEAR( DATE(YEAR($B$157),CEILING(MONTH($B$157),3)+1+(-3*5),0) ), IF( MONTH(DATE(YEAR($B$157),CEILING(MONTH($B$157),3)+1+(-3*5),0)) &lt; 10, "0", "" ), MONTH( DATE(YEAR($B$157),CEILING(MONTH($B$157),3)+1+(-3*5),0) ), IF( DAY(DATE(YEAR($B$157),CEILING(MONTH($B$157),3)+1+(-3*5),0)) &lt; 10, "0", "" ), DAY( DATE(YEAR($B$157),CEILING(MONTH($B$157),3)+1+(-3*5),0) ), )</f>
        <v>20200930</v>
      </c>
      <c r="L161" t="str">
        <f ca="1">CONCATENATE(YEAR( DATE(YEAR($B$157),CEILING(MONTH($B$157),3)+1+(-3*6),0) ), IF( MONTH(DATE(YEAR($B$157),CEILING(MONTH($B$157),3)+1+(-3*6),0)) &lt; 10, "0", "" ), MONTH( DATE(YEAR($B$157),CEILING(MONTH($B$157),3)+1+(-3*6),0) ), IF( DAY(DATE(YEAR($B$157),CEILING(MONTH($B$157),3)+1+(-3*6),0)) &lt; 10, "0", "" ), DAY( DATE(YEAR($B$157),CEILING(MONTH($B$157),3)+1+(-3*6),0) ), )</f>
        <v>20200630</v>
      </c>
      <c r="M161" t="str">
        <f ca="1">CONCATENATE(YEAR( DATE(YEAR($B$157),CEILING(MONTH($B$157),3)+1+(-3*7),0) ), IF( MONTH(DATE(YEAR($B$157),CEILING(MONTH($B$157),3)+1+(-3*7),0)) &lt; 10, "0", "" ), MONTH( DATE(YEAR($B$157),CEILING(MONTH($B$157),3)+1+(-3*7),0) ), IF( DAY(DATE(YEAR($B$157),CEILING(MONTH($B$157),3)+1+(-3*7),0)) &lt; 10, "0", "" ), DAY( DATE(YEAR($B$157),CEILING(MONTH($B$157),3)+1+(-3*7),0) ), )</f>
        <v>20200331</v>
      </c>
      <c r="N161" t="str">
        <f ca="1">CONCATENATE(YEAR( DATE(YEAR($B$157),CEILING(MONTH($B$157),3)+1+(-3*8),0) ), IF( MONTH(DATE(YEAR($B$157),CEILING(MONTH($B$157),3)+1+(-3*8),0)) &lt; 10, "0", "" ), MONTH( DATE(YEAR($B$157),CEILING(MONTH($B$157),3)+1+(-3*8),0) ), IF( DAY(DATE(YEAR($B$157),CEILING(MONTH($B$157),3)+1+(-3*8),0)) &lt; 10, "0", "" ), DAY( DATE(YEAR($B$157),CEILING(MONTH($B$157),3)+1+(-3*8),0) ), )</f>
        <v>20191231</v>
      </c>
      <c r="O161" t="str">
        <f ca="1">CONCATENATE(YEAR( DATE(YEAR($B$157),CEILING(MONTH($B$157),3)+1+(-3*9),0) ), IF( MONTH(DATE(YEAR($B$157),CEILING(MONTH($B$157),3)+1+(-3*9),0)) &lt; 10, "0", "" ), MONTH( DATE(YEAR($B$157),CEILING(MONTH($B$157),3)+1+(-3*9),0) ), IF( DAY(DATE(YEAR($B$157),CEILING(MONTH($B$157),3)+1+(-3*9),0)) &lt; 10, "0", "" ), DAY( DATE(YEAR($B$157),CEILING(MONTH($B$157),3)+1+(-3*9),0) ), )</f>
        <v>20190930</v>
      </c>
      <c r="P161" t="str">
        <f ca="1">CONCATENATE(YEAR( DATE(YEAR($B$157),CEILING(MONTH($B$157),3)+1+(-3*10),0) ), IF( MONTH(DATE(YEAR($B$157),CEILING(MONTH($B$157),3)+1+(-3*10),0)) &lt; 10, "0", "" ), MONTH( DATE(YEAR($B$157),CEILING(MONTH($B$157),3)+1+(-3*10),0) ), IF( DAY(DATE(YEAR($B$157),CEILING(MONTH($B$157),3)+1+(-3*10),0)) &lt; 10, "0", "" ), DAY( DATE(YEAR($B$157),CEILING(MONTH($B$157),3)+1+(-3*10),0) ), )</f>
        <v>20190630</v>
      </c>
      <c r="Q161" t="str">
        <f ca="1">CONCATENATE(YEAR( DATE(YEAR($B$157),CEILING(MONTH($B$157),3)+1+(-3*11),0) ), IF( MONTH(DATE(YEAR($B$157),CEILING(MONTH($B$157),3)+1+(-3*11),0)) &lt; 10, "0", "" ), MONTH( DATE(YEAR($B$157),CEILING(MONTH($B$157),3)+1+(-3*11),0) ), IF( DAY(DATE(YEAR($B$157),CEILING(MONTH($B$157),3)+1+(-3*11),0)) &lt; 10, "0", "" ), DAY( DATE(YEAR($B$157),CEILING(MONTH($B$157),3)+1+(-3*11),0) ), )</f>
        <v>20190331</v>
      </c>
      <c r="R161" t="str">
        <f ca="1">CONCATENATE(YEAR( DATE(YEAR($B$157),CEILING(MONTH($B$157),3)+1+(-3*12),0) ), IF( MONTH(DATE(YEAR($B$157),CEILING(MONTH($B$157),3)+1+(-3*12),0)) &lt; 10, "0", "" ), MONTH( DATE(YEAR($B$157),CEILING(MONTH($B$157),3)+1+(-3*12),0) ), IF( DAY(DATE(YEAR($B$157),CEILING(MONTH($B$157),3)+1+(-3*12),0)) &lt; 10, "0", "" ), DAY( DATE(YEAR($B$157),CEILING(MONTH($B$157),3)+1+(-3*12),0) ), )</f>
        <v>20181231</v>
      </c>
      <c r="S161" t="str">
        <f ca="1">CONCATENATE(YEAR( DATE(YEAR($B$157),CEILING(MONTH($B$157),3)+1+(-3*13),0) ), IF( MONTH(DATE(YEAR($B$157),CEILING(MONTH($B$157),3)+1+(-3*13),0)) &lt; 10, "0", "" ), MONTH( DATE(YEAR($B$157),CEILING(MONTH($B$157),3)+1+(-3*13),0) ), IF( DAY(DATE(YEAR($B$157),CEILING(MONTH($B$157),3)+1+(-3*13),0)) &lt; 10, "0", "" ), DAY( DATE(YEAR($B$157),CEILING(MONTH($B$157),3)+1+(-3*13),0) ), )</f>
        <v>20180930</v>
      </c>
      <c r="T161" t="str">
        <f ca="1">CONCATENATE(YEAR( DATE(YEAR($B$157),CEILING(MONTH($B$157),3)+1+(-3*14),0) ), IF( MONTH(DATE(YEAR($B$157),CEILING(MONTH($B$157),3)+1+(-3*14),0)) &lt; 10, "0", "" ), MONTH( DATE(YEAR($B$157),CEILING(MONTH($B$157),3)+1+(-3*14),0) ), IF( DAY(DATE(YEAR($B$157),CEILING(MONTH($B$157),3)+1+(-3*14),0)) &lt; 10, "0", "" ), DAY( DATE(YEAR($B$157),CEILING(MONTH($B$157),3)+1+(-3*14),0) ), )</f>
        <v>20180630</v>
      </c>
      <c r="U161" t="str">
        <f ca="1">CONCATENATE(YEAR( DATE(YEAR($B$157),CEILING(MONTH($B$157),3)+1+(-3*15),0) ), IF( MONTH(DATE(YEAR($B$157),CEILING(MONTH($B$157),3)+1+(-3*15),0)) &lt; 10, "0", "" ), MONTH( DATE(YEAR($B$157),CEILING(MONTH($B$157),3)+1+(-3*15),0) ), IF( DAY(DATE(YEAR($B$157),CEILING(MONTH($B$157),3)+1+(-3*15),0)) &lt; 10, "0", "" ), DAY( DATE(YEAR($B$157),CEILING(MONTH($B$157),3)+1+(-3*15),0) ), )</f>
        <v>20180331</v>
      </c>
      <c r="V161" t="str">
        <f ca="1">CONCATENATE(YEAR( DATE(YEAR($B$157),CEILING(MONTH($B$157),3)+1+(-3*16),0) ), IF( MONTH(DATE(YEAR($B$157),CEILING(MONTH($B$157),3)+1+(-3*16),0)) &lt; 10, "0", "" ), MONTH( DATE(YEAR($B$157),CEILING(MONTH($B$157),3)+1+(-3*16),0) ), IF( DAY(DATE(YEAR($B$157),CEILING(MONTH($B$157),3)+1+(-3*16),0)) &lt; 10, "0", "" ), DAY( DATE(YEAR($B$157),CEILING(MONTH($B$157),3)+1+(-3*16),0) ), )</f>
        <v>20171231</v>
      </c>
      <c r="W161" t="str">
        <f ca="1">CONCATENATE(YEAR( DATE(YEAR($B$157),CEILING(MONTH($B$157),3)+1+(-3*17),0) ), IF( MONTH(DATE(YEAR($B$157),CEILING(MONTH($B$157),3)+1+(-3*17),0)) &lt; 10, "0", "" ), MONTH( DATE(YEAR($B$157),CEILING(MONTH($B$157),3)+1+(-3*17),0) ), IF( DAY(DATE(YEAR($B$157),CEILING(MONTH($B$157),3)+1+(-3*17),0)) &lt; 10, "0", "" ), DAY( DATE(YEAR($B$157),CEILING(MONTH($B$157),3)+1+(-3*17),0) ), )</f>
        <v>20170930</v>
      </c>
      <c r="X161" t="str">
        <f ca="1">CONCATENATE(YEAR( DATE(YEAR($B$157),CEILING(MONTH($B$157),3)+1+(-3*18),0) ), IF( MONTH(DATE(YEAR($B$157),CEILING(MONTH($B$157),3)+1+(-3*18),0)) &lt; 10, "0", "" ), MONTH( DATE(YEAR($B$157),CEILING(MONTH($B$157),3)+1+(-3*18),0) ), IF( DAY(DATE(YEAR($B$157),CEILING(MONTH($B$157),3)+1+(-3*18),0)) &lt; 10, "0", "" ), DAY( DATE(YEAR($B$157),CEILING(MONTH($B$157),3)+1+(-3*18),0) ), )</f>
        <v>20170630</v>
      </c>
      <c r="Y161" t="str">
        <f ca="1">CONCATENATE(YEAR( DATE(YEAR($B$157),CEILING(MONTH($B$157),3)+1+(-3*19),0) ), IF( MONTH(DATE(YEAR($B$157),CEILING(MONTH($B$157),3)+1+(-3*19),0)) &lt; 10, "0", "" ), MONTH( DATE(YEAR($B$157),CEILING(MONTH($B$157),3)+1+(-3*19),0) ), IF( DAY(DATE(YEAR($B$157),CEILING(MONTH($B$157),3)+1+(-3*19),0)) &lt; 10, "0", "" ), DAY( DATE(YEAR($B$157),CEILING(MONTH($B$157),3)+1+(-3*19),0) ), )</f>
        <v>20170331</v>
      </c>
      <c r="Z161" t="str">
        <f ca="1">CONCATENATE(YEAR( DATE(YEAR($B$157),CEILING(MONTH($B$157),3)+1+(-3*20),0) ), IF( MONTH(DATE(YEAR($B$157),CEILING(MONTH($B$157),3)+1+(-3*20),0)) &lt; 10, "0", "" ), MONTH( DATE(YEAR($B$157),CEILING(MONTH($B$157),3)+1+(-3*20),0) ), IF( DAY(DATE(YEAR($B$157),CEILING(MONTH($B$157),3)+1+(-3*20),0)) &lt; 10, "0", "" ), DAY( DATE(YEAR($B$157),CEILING(MONTH($B$157),3)+1+(-3*20),0) ), )</f>
        <v>20161231</v>
      </c>
      <c r="AA161" t="str">
        <f ca="1">CONCATENATE(YEAR( DATE(YEAR($B$157),CEILING(MONTH($B$157),3)+1+(-3*21),0) ), IF( MONTH(DATE(YEAR($B$157),CEILING(MONTH($B$157),3)+1+(-3*21),0)) &lt; 10, "0", "" ), MONTH( DATE(YEAR($B$157),CEILING(MONTH($B$157),3)+1+(-3*21),0) ), IF( DAY(DATE(YEAR($B$157),CEILING(MONTH($B$157),3)+1+(-3*21),0)) &lt; 10, "0", "" ), DAY( DATE(YEAR($B$157),CEILING(MONTH($B$157),3)+1+(-3*21),0) ), )</f>
        <v>20160930</v>
      </c>
      <c r="AB161" t="str">
        <f ca="1">CONCATENATE(YEAR( DATE(YEAR($B$157),CEILING(MONTH($B$157),3)+1+(-3*22),0) ), IF( MONTH(DATE(YEAR($B$157),CEILING(MONTH($B$157),3)+1+(-3*22),0)) &lt; 10, "0", "" ), MONTH( DATE(YEAR($B$157),CEILING(MONTH($B$157),3)+1+(-3*22),0) ), IF( DAY(DATE(YEAR($B$157),CEILING(MONTH($B$157),3)+1+(-3*22),0)) &lt; 10, "0", "" ), DAY( DATE(YEAR($B$157),CEILING(MONTH($B$157),3)+1+(-3*22),0) ), )</f>
        <v>20160630</v>
      </c>
      <c r="AC161" t="str">
        <f ca="1">CONCATENATE(YEAR( DATE(YEAR($B$157),CEILING(MONTH($B$157),3)+1+(-3*23),0) ), IF( MONTH(DATE(YEAR($B$157),CEILING(MONTH($B$157),3)+1+(-3*23),0)) &lt; 10, "0", "" ), MONTH( DATE(YEAR($B$157),CEILING(MONTH($B$157),3)+1+(-3*23),0) ), IF( DAY(DATE(YEAR($B$157),CEILING(MONTH($B$157),3)+1+(-3*23),0)) &lt; 10, "0", "" ), DAY( DATE(YEAR($B$157),CEILING(MONTH($B$157),3)+1+(-3*23),0) ), )</f>
        <v>20160331</v>
      </c>
      <c r="AD161" t="str">
        <f ca="1">CONCATENATE(YEAR( DATE(YEAR($B$157),CEILING(MONTH($B$157),3)+1+(-3*24),0) ), IF( MONTH(DATE(YEAR($B$157),CEILING(MONTH($B$157),3)+1+(-3*24),0)) &lt; 10, "0", "" ), MONTH( DATE(YEAR($B$157),CEILING(MONTH($B$157),3)+1+(-3*24),0) ), IF( DAY(DATE(YEAR($B$157),CEILING(MONTH($B$157),3)+1+(-3*24),0)) &lt; 10, "0", "" ), DAY( DATE(YEAR($B$157),CEILING(MONTH($B$157),3)+1+(-3*24),0) ), )</f>
        <v>20151231</v>
      </c>
      <c r="AE161" t="str">
        <f ca="1">CONCATENATE(YEAR( DATE(YEAR($B$157),CEILING(MONTH($B$157),3)+1+(-3*25),0) ), IF( MONTH(DATE(YEAR($B$157),CEILING(MONTH($B$157),3)+1+(-3*25),0)) &lt; 10, "0", "" ), MONTH( DATE(YEAR($B$157),CEILING(MONTH($B$157),3)+1+(-3*25),0) ), IF( DAY(DATE(YEAR($B$157),CEILING(MONTH($B$157),3)+1+(-3*25),0)) &lt; 10, "0", "" ), DAY( DATE(YEAR($B$157),CEILING(MONTH($B$157),3)+1+(-3*25),0) ), )</f>
        <v>20150930</v>
      </c>
      <c r="AF161" t="str">
        <f ca="1">CONCATENATE(YEAR( DATE(YEAR($B$157),CEILING(MONTH($B$157),3)+1+(-3*26),0) ), IF( MONTH(DATE(YEAR($B$157),CEILING(MONTH($B$157),3)+1+(-3*26),0)) &lt; 10, "0", "" ), MONTH( DATE(YEAR($B$157),CEILING(MONTH($B$157),3)+1+(-3*26),0) ), IF( DAY(DATE(YEAR($B$157),CEILING(MONTH($B$157),3)+1+(-3*26),0)) &lt; 10, "0", "" ), DAY( DATE(YEAR($B$157),CEILING(MONTH($B$157),3)+1+(-3*26),0) ), )</f>
        <v>20150630</v>
      </c>
      <c r="AG161" t="str">
        <f ca="1">CONCATENATE(YEAR( DATE(YEAR($B$157),CEILING(MONTH($B$157),3)+1+(-3*27),0) ), IF( MONTH(DATE(YEAR($B$157),CEILING(MONTH($B$157),3)+1+(-3*27),0)) &lt; 10, "0", "" ), MONTH( DATE(YEAR($B$157),CEILING(MONTH($B$157),3)+1+(-3*27),0) ), IF( DAY(DATE(YEAR($B$157),CEILING(MONTH($B$157),3)+1+(-3*27),0)) &lt; 10, "0", "" ), DAY( DATE(YEAR($B$157),CEILING(MONTH($B$157),3)+1+(-3*27),0) ), )</f>
        <v>20150331</v>
      </c>
      <c r="AH161" t="str">
        <f ca="1">CONCATENATE(YEAR( DATE(YEAR($B$157),CEILING(MONTH($B$157),3)+1+(-3*28),0) ), IF( MONTH(DATE(YEAR($B$157),CEILING(MONTH($B$157),3)+1+(-3*28),0)) &lt; 10, "0", "" ), MONTH( DATE(YEAR($B$157),CEILING(MONTH($B$157),3)+1+(-3*28),0) ), IF( DAY(DATE(YEAR($B$157),CEILING(MONTH($B$157),3)+1+(-3*28),0)) &lt; 10, "0", "" ), DAY( DATE(YEAR($B$157),CEILING(MONTH($B$157),3)+1+(-3*28),0) ), )</f>
        <v>20141231</v>
      </c>
      <c r="AI161" t="str">
        <f ca="1">CONCATENATE(YEAR( DATE(YEAR($B$157),CEILING(MONTH($B$157),3)+1+(-3*29),0) ), IF( MONTH(DATE(YEAR($B$157),CEILING(MONTH($B$157),3)+1+(-3*29),0)) &lt; 10, "0", "" ), MONTH( DATE(YEAR($B$157),CEILING(MONTH($B$157),3)+1+(-3*29),0) ), IF( DAY(DATE(YEAR($B$157),CEILING(MONTH($B$157),3)+1+(-3*29),0)) &lt; 10, "0", "" ), DAY( DATE(YEAR($B$157),CEILING(MONTH($B$157),3)+1+(-3*29),0) ), )</f>
        <v>20140930</v>
      </c>
      <c r="AJ161" t="str">
        <f ca="1">CONCATENATE(YEAR( DATE(YEAR($B$157),CEILING(MONTH($B$157),3)+1+(-3*30),0) ), IF( MONTH(DATE(YEAR($B$157),CEILING(MONTH($B$157),3)+1+(-3*30),0)) &lt; 10, "0", "" ), MONTH( DATE(YEAR($B$157),CEILING(MONTH($B$157),3)+1+(-3*30),0) ), IF( DAY(DATE(YEAR($B$157),CEILING(MONTH($B$157),3)+1+(-3*30),0)) &lt; 10, "0", "" ), DAY( DATE(YEAR($B$157),CEILING(MONTH($B$157),3)+1+(-3*30),0) ), )</f>
        <v>20140630</v>
      </c>
      <c r="AK161" t="str">
        <f ca="1">CONCATENATE(YEAR( DATE(YEAR($B$157),CEILING(MONTH($B$157),3)+1+(-3*31),0) ), IF( MONTH(DATE(YEAR($B$157),CEILING(MONTH($B$157),3)+1+(-3*31),0)) &lt; 10, "0", "" ), MONTH( DATE(YEAR($B$157),CEILING(MONTH($B$157),3)+1+(-3*31),0) ), IF( DAY(DATE(YEAR($B$157),CEILING(MONTH($B$157),3)+1+(-3*31),0)) &lt; 10, "0", "" ), DAY( DATE(YEAR($B$157),CEILING(MONTH($B$157),3)+1+(-3*31),0) ), )</f>
        <v>20140331</v>
      </c>
      <c r="AL161" t="str">
        <f ca="1">CONCATENATE(YEAR( DATE(YEAR($B$157),CEILING(MONTH($B$157),3)+1+(-3*32),0) ), IF( MONTH(DATE(YEAR($B$157),CEILING(MONTH($B$157),3)+1+(-3*32),0)) &lt; 10, "0", "" ), MONTH( DATE(YEAR($B$157),CEILING(MONTH($B$157),3)+1+(-3*32),0) ), IF( DAY(DATE(YEAR($B$157),CEILING(MONTH($B$157),3)+1+(-3*32),0)) &lt; 10, "0", "" ), DAY( DATE(YEAR($B$157),CEILING(MONTH($B$157),3)+1+(-3*32),0) ), )</f>
        <v>20131231</v>
      </c>
      <c r="AM161" t="str">
        <f ca="1">CONCATENATE(YEAR( DATE(YEAR($B$157),CEILING(MONTH($B$157),3)+1+(-3*33),0) ), IF( MONTH(DATE(YEAR($B$157),CEILING(MONTH($B$157),3)+1+(-3*33),0)) &lt; 10, "0", "" ), MONTH( DATE(YEAR($B$157),CEILING(MONTH($B$157),3)+1+(-3*33),0) ), IF( DAY(DATE(YEAR($B$157),CEILING(MONTH($B$157),3)+1+(-3*33),0)) &lt; 10, "0", "" ), DAY( DATE(YEAR($B$157),CEILING(MONTH($B$157),3)+1+(-3*33),0) ), )</f>
        <v>20130930</v>
      </c>
      <c r="AN161" t="str">
        <f ca="1">CONCATENATE(YEAR( DATE(YEAR($B$157),CEILING(MONTH($B$157),3)+1+(-3*34),0) ), IF( MONTH(DATE(YEAR($B$157),CEILING(MONTH($B$157),3)+1+(-3*34),0)) &lt; 10, "0", "" ), MONTH( DATE(YEAR($B$157),CEILING(MONTH($B$157),3)+1+(-3*34),0) ), IF( DAY(DATE(YEAR($B$157),CEILING(MONTH($B$157),3)+1+(-3*34),0)) &lt; 10, "0", "" ), DAY( DATE(YEAR($B$157),CEILING(MONTH($B$157),3)+1+(-3*34),0) ), )</f>
        <v>20130630</v>
      </c>
      <c r="AO161" t="str">
        <f ca="1">CONCATENATE(YEAR( DATE(YEAR($B$157),CEILING(MONTH($B$157),3)+1+(-3*35),0) ), IF( MONTH(DATE(YEAR($B$157),CEILING(MONTH($B$157),3)+1+(-3*35),0)) &lt; 10, "0", "" ), MONTH( DATE(YEAR($B$157),CEILING(MONTH($B$157),3)+1+(-3*35),0) ), IF( DAY(DATE(YEAR($B$157),CEILING(MONTH($B$157),3)+1+(-3*35),0)) &lt; 10, "0", "" ), DAY( DATE(YEAR($B$157),CEILING(MONTH($B$157),3)+1+(-3*35),0) ), )</f>
        <v>20130331</v>
      </c>
      <c r="AP161" t="str">
        <f ca="1">CONCATENATE(YEAR( DATE(YEAR($B$157),CEILING(MONTH($B$157),3)+1+(-3*36),0) ), IF( MONTH(DATE(YEAR($B$157),CEILING(MONTH($B$157),3)+1+(-3*36),0)) &lt; 10, "0", "" ), MONTH( DATE(YEAR($B$157),CEILING(MONTH($B$157),3)+1+(-3*36),0) ), IF( DAY(DATE(YEAR($B$157),CEILING(MONTH($B$157),3)+1+(-3*36),0)) &lt; 10, "0", "" ), DAY( DATE(YEAR($B$157),CEILING(MONTH($B$157),3)+1+(-3*36),0) ), )</f>
        <v>20121231</v>
      </c>
      <c r="AQ161" t="str">
        <f ca="1">CONCATENATE(YEAR( DATE(YEAR($B$157),CEILING(MONTH($B$157),3)+1+(-3*37),0) ), IF( MONTH(DATE(YEAR($B$157),CEILING(MONTH($B$157),3)+1+(-3*37),0)) &lt; 10, "0", "" ), MONTH( DATE(YEAR($B$157),CEILING(MONTH($B$157),3)+1+(-3*37),0) ), IF( DAY(DATE(YEAR($B$157),CEILING(MONTH($B$157),3)+1+(-3*37),0)) &lt; 10, "0", "" ), DAY( DATE(YEAR($B$157),CEILING(MONTH($B$157),3)+1+(-3*37),0) ), )</f>
        <v>20120930</v>
      </c>
      <c r="AR161" t="str">
        <f ca="1">CONCATENATE(YEAR( DATE(YEAR($B$157),CEILING(MONTH($B$157),3)+1+(-3*38),0) ), IF( MONTH(DATE(YEAR($B$157),CEILING(MONTH($B$157),3)+1+(-3*38),0)) &lt; 10, "0", "" ), MONTH( DATE(YEAR($B$157),CEILING(MONTH($B$157),3)+1+(-3*38),0) ), IF( DAY(DATE(YEAR($B$157),CEILING(MONTH($B$157),3)+1+(-3*38),0)) &lt; 10, "0", "" ), DAY( DATE(YEAR($B$157),CEILING(MONTH($B$157),3)+1+(-3*38),0) ), )</f>
        <v>20120630</v>
      </c>
      <c r="AS161" t="str">
        <f ca="1">CONCATENATE(YEAR( DATE(YEAR($B$157),CEILING(MONTH($B$157),3)+1+(-3*39),0) ), IF( MONTH(DATE(YEAR($B$157),CEILING(MONTH($B$157),3)+1+(-3*39),0)) &lt; 10, "0", "" ), MONTH( DATE(YEAR($B$157),CEILING(MONTH($B$157),3)+1+(-3*39),0) ), IF( DAY(DATE(YEAR($B$157),CEILING(MONTH($B$157),3)+1+(-3*39),0)) &lt; 10, "0", "" ), DAY( DATE(YEAR($B$157),CEILING(MONTH($B$157),3)+1+(-3*39),0) ), )</f>
        <v>20120331</v>
      </c>
      <c r="AT161" t="str">
        <f ca="1">CONCATENATE(YEAR( DATE(YEAR($B$157),CEILING(MONTH($B$157),3)+1+(-3*40),0) ), IF( MONTH(DATE(YEAR($B$157),CEILING(MONTH($B$157),3)+1+(-3*40),0)) &lt; 10, "0", "" ), MONTH( DATE(YEAR($B$157),CEILING(MONTH($B$157),3)+1+(-3*40),0) ), IF( DAY(DATE(YEAR($B$157),CEILING(MONTH($B$157),3)+1+(-3*40),0)) &lt; 10, "0", "" ), DAY( DATE(YEAR($B$157),CEILING(MONTH($B$157),3)+1+(-3*40),0) ), )</f>
        <v>20111231</v>
      </c>
      <c r="AU161" t="str">
        <f ca="1">CONCATENATE(YEAR( DATE(YEAR($B$157),CEILING(MONTH($B$157),3)+1+(-3*41),0) ), IF( MONTH(DATE(YEAR($B$157),CEILING(MONTH($B$157),3)+1+(-3*41),0)) &lt; 10, "0", "" ), MONTH( DATE(YEAR($B$157),CEILING(MONTH($B$157),3)+1+(-3*41),0) ), IF( DAY(DATE(YEAR($B$157),CEILING(MONTH($B$157),3)+1+(-3*41),0)) &lt; 10, "0", "" ), DAY( DATE(YEAR($B$157),CEILING(MONTH($B$157),3)+1+(-3*41),0) ), )</f>
        <v>20110930</v>
      </c>
      <c r="AV161" t="str">
        <f ca="1">CONCATENATE(YEAR( DATE(YEAR($B$157),CEILING(MONTH($B$157),3)+1+(-3*42),0) ), IF( MONTH(DATE(YEAR($B$157),CEILING(MONTH($B$157),3)+1+(-3*42),0)) &lt; 10, "0", "" ), MONTH( DATE(YEAR($B$157),CEILING(MONTH($B$157),3)+1+(-3*42),0) ), IF( DAY(DATE(YEAR($B$157),CEILING(MONTH($B$157),3)+1+(-3*42),0)) &lt; 10, "0", "" ), DAY( DATE(YEAR($B$157),CEILING(MONTH($B$157),3)+1+(-3*42),0) ), )</f>
        <v>20110630</v>
      </c>
      <c r="AW161" t="str">
        <f ca="1">CONCATENATE(YEAR( DATE(YEAR($B$157),CEILING(MONTH($B$157),3)+1+(-3*43),0) ), IF( MONTH(DATE(YEAR($B$157),CEILING(MONTH($B$157),3)+1+(-3*43),0)) &lt; 10, "0", "" ), MONTH( DATE(YEAR($B$157),CEILING(MONTH($B$157),3)+1+(-3*43),0) ), IF( DAY(DATE(YEAR($B$157),CEILING(MONTH($B$157),3)+1+(-3*43),0)) &lt; 10, "0", "" ), DAY( DATE(YEAR($B$157),CEILING(MONTH($B$157),3)+1+(-3*43),0) ), )</f>
        <v>20110331</v>
      </c>
      <c r="AX161" t="str">
        <f ca="1">CONCATENATE(YEAR( DATE(YEAR($B$157),CEILING(MONTH($B$157),3)+1+(-3*44),0) ), IF( MONTH(DATE(YEAR($B$157),CEILING(MONTH($B$157),3)+1+(-3*44),0)) &lt; 10, "0", "" ), MONTH( DATE(YEAR($B$157),CEILING(MONTH($B$157),3)+1+(-3*44),0) ), IF( DAY(DATE(YEAR($B$157),CEILING(MONTH($B$157),3)+1+(-3*44),0)) &lt; 10, "0", "" ), DAY( DATE(YEAR($B$157),CEILING(MONTH($B$157),3)+1+(-3*44),0) ), )</f>
        <v>20101231</v>
      </c>
      <c r="AY161" t="str">
        <f ca="1">CONCATENATE(YEAR( DATE(YEAR($B$157),CEILING(MONTH($B$157),3)+1+(-3*45),0) ), IF( MONTH(DATE(YEAR($B$157),CEILING(MONTH($B$157),3)+1+(-3*45),0)) &lt; 10, "0", "" ), MONTH( DATE(YEAR($B$157),CEILING(MONTH($B$157),3)+1+(-3*45),0) ), IF( DAY(DATE(YEAR($B$157),CEILING(MONTH($B$157),3)+1+(-3*45),0)) &lt; 10, "0", "" ), DAY( DATE(YEAR($B$157),CEILING(MONTH($B$157),3)+1+(-3*45),0) ), )</f>
        <v>20100930</v>
      </c>
      <c r="AZ161" t="str">
        <f ca="1">CONCATENATE(YEAR( DATE(YEAR($B$157),CEILING(MONTH($B$157),3)+1+(-3*46),0) ), IF( MONTH(DATE(YEAR($B$157),CEILING(MONTH($B$157),3)+1+(-3*46),0)) &lt; 10, "0", "" ), MONTH( DATE(YEAR($B$157),CEILING(MONTH($B$157),3)+1+(-3*46),0) ), IF( DAY(DATE(YEAR($B$157),CEILING(MONTH($B$157),3)+1+(-3*46),0)) &lt; 10, "0", "" ), DAY( DATE(YEAR($B$157),CEILING(MONTH($B$157),3)+1+(-3*46),0) ), )</f>
        <v>20100630</v>
      </c>
      <c r="BA161" t="str">
        <f ca="1">CONCATENATE(YEAR( DATE(YEAR($B$157),CEILING(MONTH($B$157),3)+1+(-3*47),0) ), IF( MONTH(DATE(YEAR($B$157),CEILING(MONTH($B$157),3)+1+(-3*47),0)) &lt; 10, "0", "" ), MONTH( DATE(YEAR($B$157),CEILING(MONTH($B$157),3)+1+(-3*47),0) ), IF( DAY(DATE(YEAR($B$157),CEILING(MONTH($B$157),3)+1+(-3*47),0)) &lt; 10, "0", "" ), DAY( DATE(YEAR($B$157),CEILING(MONTH($B$157),3)+1+(-3*47),0) ), )</f>
        <v>20100331</v>
      </c>
      <c r="BB161" t="str">
        <f ca="1">CONCATENATE(YEAR( DATE(YEAR($B$157),CEILING(MONTH($B$157),3)+1+(-3*48),0) ), IF( MONTH(DATE(YEAR($B$157),CEILING(MONTH($B$157),3)+1+(-3*48),0)) &lt; 10, "0", "" ), MONTH( DATE(YEAR($B$157),CEILING(MONTH($B$157),3)+1+(-3*48),0) ), IF( DAY(DATE(YEAR($B$157),CEILING(MONTH($B$157),3)+1+(-3*48),0)) &lt; 10, "0", "" ), DAY( DATE(YEAR($B$157),CEILING(MONTH($B$157),3)+1+(-3*48),0) ), )</f>
        <v>20091231</v>
      </c>
      <c r="BC161" t="str">
        <f ca="1">CONCATENATE(YEAR( DATE(YEAR($B$157),CEILING(MONTH($B$157),3)+1+(-3*49),0) ), IF( MONTH(DATE(YEAR($B$157),CEILING(MONTH($B$157),3)+1+(-3*49),0)) &lt; 10, "0", "" ), MONTH( DATE(YEAR($B$157),CEILING(MONTH($B$157),3)+1+(-3*49),0) ), IF( DAY(DATE(YEAR($B$157),CEILING(MONTH($B$157),3)+1+(-3*49),0)) &lt; 10, "0", "" ), DAY( DATE(YEAR($B$157),CEILING(MONTH($B$157),3)+1+(-3*49),0) ), )</f>
        <v>20090930</v>
      </c>
      <c r="BD161" t="str">
        <f ca="1">CONCATENATE(YEAR( DATE(YEAR($B$157),CEILING(MONTH($B$157),3)+1+(-3*50),0) ), IF( MONTH(DATE(YEAR($B$157),CEILING(MONTH($B$157),3)+1+(-3*50),0)) &lt; 10, "0", "" ), MONTH( DATE(YEAR($B$157),CEILING(MONTH($B$157),3)+1+(-3*50),0) ), IF( DAY(DATE(YEAR($B$157),CEILING(MONTH($B$157),3)+1+(-3*50),0)) &lt; 10, "0", "" ), DAY( DATE(YEAR($B$157),CEILING(MONTH($B$157),3)+1+(-3*50),0) ), )</f>
        <v>20090630</v>
      </c>
      <c r="BE161" t="str">
        <f ca="1">CONCATENATE(YEAR( DATE(YEAR($B$157),CEILING(MONTH($B$157),3)+1+(-3*51),0) ), IF( MONTH(DATE(YEAR($B$157),CEILING(MONTH($B$157),3)+1+(-3*51),0)) &lt; 10, "0", "" ), MONTH( DATE(YEAR($B$157),CEILING(MONTH($B$157),3)+1+(-3*51),0) ), IF( DAY(DATE(YEAR($B$157),CEILING(MONTH($B$157),3)+1+(-3*51),0)) &lt; 10, "0", "" ), DAY( DATE(YEAR($B$157),CEILING(MONTH($B$157),3)+1+(-3*51),0) ), )</f>
        <v>20090331</v>
      </c>
      <c r="BF161" t="str">
        <f ca="1">CONCATENATE(YEAR( DATE(YEAR($B$157),CEILING(MONTH($B$157),3)+1+(-3*52),0) ), IF( MONTH(DATE(YEAR($B$157),CEILING(MONTH($B$157),3)+1+(-3*52),0)) &lt; 10, "0", "" ), MONTH( DATE(YEAR($B$157),CEILING(MONTH($B$157),3)+1+(-3*52),0) ), IF( DAY(DATE(YEAR($B$157),CEILING(MONTH($B$157),3)+1+(-3*52),0)) &lt; 10, "0", "" ), DAY( DATE(YEAR($B$157),CEILING(MONTH($B$157),3)+1+(-3*52),0) ), )</f>
        <v>20081231</v>
      </c>
      <c r="BG161" t="str">
        <f ca="1">CONCATENATE(YEAR( DATE(YEAR($B$157),CEILING(MONTH($B$157),3)+1+(-3*53),0) ), IF( MONTH(DATE(YEAR($B$157),CEILING(MONTH($B$157),3)+1+(-3*53),0)) &lt; 10, "0", "" ), MONTH( DATE(YEAR($B$157),CEILING(MONTH($B$157),3)+1+(-3*53),0) ), IF( DAY(DATE(YEAR($B$157),CEILING(MONTH($B$157),3)+1+(-3*53),0)) &lt; 10, "0", "" ), DAY( DATE(YEAR($B$157),CEILING(MONTH($B$157),3)+1+(-3*53),0) ), )</f>
        <v>20080930</v>
      </c>
      <c r="BH161" t="str">
        <f ca="1">CONCATENATE(YEAR( DATE(YEAR($B$157),CEILING(MONTH($B$157),3)+1+(-3*54),0) ), IF( MONTH(DATE(YEAR($B$157),CEILING(MONTH($B$157),3)+1+(-3*54),0)) &lt; 10, "0", "" ), MONTH( DATE(YEAR($B$157),CEILING(MONTH($B$157),3)+1+(-3*54),0) ), IF( DAY(DATE(YEAR($B$157),CEILING(MONTH($B$157),3)+1+(-3*54),0)) &lt; 10, "0", "" ), DAY( DATE(YEAR($B$157),CEILING(MONTH($B$157),3)+1+(-3*54),0) ), )</f>
        <v>20080630</v>
      </c>
      <c r="BI161" t="str">
        <f ca="1">CONCATENATE(YEAR( DATE(YEAR($B$157),CEILING(MONTH($B$157),3)+1+(-3*55),0) ), IF( MONTH(DATE(YEAR($B$157),CEILING(MONTH($B$157),3)+1+(-3*55),0)) &lt; 10, "0", "" ), MONTH( DATE(YEAR($B$157),CEILING(MONTH($B$157),3)+1+(-3*55),0) ), IF( DAY(DATE(YEAR($B$157),CEILING(MONTH($B$157),3)+1+(-3*55),0)) &lt; 10, "0", "" ), DAY( DATE(YEAR($B$157),CEILING(MONTH($B$157),3)+1+(-3*55),0) ), )</f>
        <v>20080331</v>
      </c>
      <c r="BJ161" t="str">
        <f ca="1">CONCATENATE(YEAR( DATE(YEAR($B$157),CEILING(MONTH($B$157),3)+1+(-3*56),0) ), IF( MONTH(DATE(YEAR($B$157),CEILING(MONTH($B$157),3)+1+(-3*56),0)) &lt; 10, "0", "" ), MONTH( DATE(YEAR($B$157),CEILING(MONTH($B$157),3)+1+(-3*56),0) ), IF( DAY(DATE(YEAR($B$157),CEILING(MONTH($B$157),3)+1+(-3*56),0)) &lt; 10, "0", "" ), DAY( DATE(YEAR($B$157),CEILING(MONTH($B$157),3)+1+(-3*56),0) ), )</f>
        <v>20071231</v>
      </c>
      <c r="BK161" t="str">
        <f ca="1">CONCATENATE(YEAR( DATE(YEAR($B$157),CEILING(MONTH($B$157),3)+1+(-3*57),0) ), IF( MONTH(DATE(YEAR($B$157),CEILING(MONTH($B$157),3)+1+(-3*57),0)) &lt; 10, "0", "" ), MONTH( DATE(YEAR($B$157),CEILING(MONTH($B$157),3)+1+(-3*57),0) ), IF( DAY(DATE(YEAR($B$157),CEILING(MONTH($B$157),3)+1+(-3*57),0)) &lt; 10, "0", "" ), DAY( DATE(YEAR($B$157),CEILING(MONTH($B$157),3)+1+(-3*57),0) ), )</f>
        <v>20070930</v>
      </c>
      <c r="BL161" t="str">
        <f ca="1">CONCATENATE(YEAR( DATE(YEAR($B$157),CEILING(MONTH($B$157),3)+1+(-3*58),0) ), IF( MONTH(DATE(YEAR($B$157),CEILING(MONTH($B$157),3)+1+(-3*58),0)) &lt; 10, "0", "" ), MONTH( DATE(YEAR($B$157),CEILING(MONTH($B$157),3)+1+(-3*58),0) ), IF( DAY(DATE(YEAR($B$157),CEILING(MONTH($B$157),3)+1+(-3*58),0)) &lt; 10, "0", "" ), DAY( DATE(YEAR($B$157),CEILING(MONTH($B$157),3)+1+(-3*58),0) ), )</f>
        <v>20070630</v>
      </c>
      <c r="BM161" t="str">
        <f ca="1">CONCATENATE(YEAR( DATE(YEAR($B$157),CEILING(MONTH($B$157),3)+1+(-3*59),0) ), IF( MONTH(DATE(YEAR($B$157),CEILING(MONTH($B$157),3)+1+(-3*59),0)) &lt; 10, "0", "" ), MONTH( DATE(YEAR($B$157),CEILING(MONTH($B$157),3)+1+(-3*59),0) ), IF( DAY(DATE(YEAR($B$157),CEILING(MONTH($B$157),3)+1+(-3*59),0)) &lt; 10, "0", "" ), DAY( DATE(YEAR($B$157),CEILING(MONTH($B$157),3)+1+(-3*59),0) ), )</f>
        <v>20070331</v>
      </c>
      <c r="BN161" t="str">
        <f>""</f>
        <v/>
      </c>
      <c r="BO161" t="str">
        <f>""</f>
        <v/>
      </c>
      <c r="BP161" t="str">
        <f>""</f>
        <v/>
      </c>
      <c r="BQ161" t="str">
        <f>""</f>
        <v/>
      </c>
      <c r="BR161" t="str">
        <f>""</f>
        <v/>
      </c>
      <c r="BS161" t="str">
        <f>""</f>
        <v/>
      </c>
      <c r="BT161" t="str">
        <f>""</f>
        <v/>
      </c>
      <c r="BU161" t="str">
        <f>""</f>
        <v/>
      </c>
      <c r="BV161" t="str">
        <f>""</f>
        <v/>
      </c>
      <c r="BW161" t="str">
        <f>""</f>
        <v/>
      </c>
      <c r="BX161" t="str">
        <f>""</f>
        <v/>
      </c>
      <c r="BY161" t="str">
        <f>""</f>
        <v/>
      </c>
      <c r="BZ161" t="str">
        <f>""</f>
        <v/>
      </c>
      <c r="CA161" t="str">
        <f>""</f>
        <v/>
      </c>
      <c r="CB161" t="str">
        <f>""</f>
        <v/>
      </c>
      <c r="CC161" t="str">
        <f>""</f>
        <v/>
      </c>
      <c r="CD161" t="str">
        <f>""</f>
        <v/>
      </c>
      <c r="CE161" t="str">
        <f>""</f>
        <v/>
      </c>
      <c r="CF161" t="str">
        <f>""</f>
        <v/>
      </c>
      <c r="CG161" t="str">
        <f>""</f>
        <v/>
      </c>
      <c r="CH161" t="str">
        <f>""</f>
        <v/>
      </c>
      <c r="CI161" t="str">
        <f>""</f>
        <v/>
      </c>
      <c r="CJ161" t="str">
        <f>""</f>
        <v/>
      </c>
      <c r="CK161" t="str">
        <f>""</f>
        <v/>
      </c>
      <c r="CL161" t="str">
        <f>""</f>
        <v/>
      </c>
      <c r="CM161" t="str">
        <f>""</f>
        <v/>
      </c>
      <c r="CN161" t="str">
        <f>""</f>
        <v/>
      </c>
      <c r="CO161" t="str">
        <f>""</f>
        <v/>
      </c>
      <c r="CP161" t="str">
        <f>""</f>
        <v/>
      </c>
      <c r="CQ161" t="str">
        <f>""</f>
        <v/>
      </c>
      <c r="CR161" t="str">
        <f>""</f>
        <v/>
      </c>
      <c r="CS161" t="str">
        <f>""</f>
        <v/>
      </c>
      <c r="CT161" t="str">
        <f>""</f>
        <v/>
      </c>
      <c r="CU161" t="str">
        <f>""</f>
        <v/>
      </c>
      <c r="CV161" t="str">
        <f>""</f>
        <v/>
      </c>
      <c r="CW161" t="str">
        <f>""</f>
        <v/>
      </c>
      <c r="CX161" t="str">
        <f>""</f>
        <v/>
      </c>
      <c r="CY161" t="str">
        <f>""</f>
        <v/>
      </c>
      <c r="CZ161" t="str">
        <f>""</f>
        <v/>
      </c>
      <c r="DA161" t="str">
        <f>""</f>
        <v/>
      </c>
      <c r="DB161" t="str">
        <f>""</f>
        <v/>
      </c>
      <c r="DC161" t="str">
        <f>""</f>
        <v/>
      </c>
      <c r="DD161" t="str">
        <f>""</f>
        <v/>
      </c>
      <c r="DE161" t="str">
        <f>""</f>
        <v/>
      </c>
      <c r="DF161" t="str">
        <f>""</f>
        <v/>
      </c>
      <c r="DG161" t="str">
        <f>""</f>
        <v/>
      </c>
      <c r="DH161" t="str">
        <f>""</f>
        <v/>
      </c>
      <c r="DI161" t="str">
        <f>""</f>
        <v/>
      </c>
      <c r="DJ161" t="str">
        <f>""</f>
        <v/>
      </c>
      <c r="DK161" t="str">
        <f>""</f>
        <v/>
      </c>
      <c r="DL161" t="str">
        <f>""</f>
        <v/>
      </c>
      <c r="DM161" t="str">
        <f>""</f>
        <v/>
      </c>
      <c r="DN161" t="str">
        <f>""</f>
        <v/>
      </c>
      <c r="DO161" t="str">
        <f>""</f>
        <v/>
      </c>
      <c r="DP161" t="str">
        <f>""</f>
        <v/>
      </c>
      <c r="DQ161" t="str">
        <f>""</f>
        <v/>
      </c>
      <c r="DR161" t="str">
        <f>""</f>
        <v/>
      </c>
      <c r="DS161" t="str">
        <f>""</f>
        <v/>
      </c>
      <c r="DT161" t="str">
        <f>""</f>
        <v/>
      </c>
      <c r="DU161" t="str">
        <f>""</f>
        <v/>
      </c>
    </row>
    <row r="162" spans="1:125" x14ac:dyDescent="0.25">
      <c r="B162" t="str">
        <f t="shared" ref="B162:B169" si="79">"KER FP Equity"</f>
        <v>KER FP Equity</v>
      </c>
      <c r="C162" t="str">
        <f t="shared" ref="C162:C169" si="80">"IS010"</f>
        <v>IS010</v>
      </c>
      <c r="D162" t="str">
        <f t="shared" ref="D162:D169" si="81">"SALES_REV_TURN"</f>
        <v>SALES_REV_TURN</v>
      </c>
      <c r="E162" t="str">
        <f t="shared" si="78"/>
        <v>Dynamic</v>
      </c>
      <c r="F162" t="str">
        <f ca="1">_xll.BDH($B$162,$C$162,$B$156,$B$157,CONCATENATE("Per=",$B$154),"Dts=H","Dir=H",CONCATENATE("Points=",$B$155),"Sort=R","Days=A","Fill=B",CONCATENATE("FX=", $B$153) )</f>
        <v/>
      </c>
      <c r="BN162" t="str">
        <f>""</f>
        <v/>
      </c>
      <c r="BO162" t="str">
        <f>""</f>
        <v/>
      </c>
      <c r="BP162" t="str">
        <f>""</f>
        <v/>
      </c>
      <c r="BQ162" t="str">
        <f>""</f>
        <v/>
      </c>
      <c r="BR162" t="str">
        <f>""</f>
        <v/>
      </c>
      <c r="BS162" t="str">
        <f>""</f>
        <v/>
      </c>
      <c r="BT162" t="str">
        <f>""</f>
        <v/>
      </c>
      <c r="BU162" t="str">
        <f>""</f>
        <v/>
      </c>
      <c r="BV162" t="str">
        <f>""</f>
        <v/>
      </c>
      <c r="BW162" t="str">
        <f>""</f>
        <v/>
      </c>
      <c r="BX162" t="str">
        <f>""</f>
        <v/>
      </c>
      <c r="BY162" t="str">
        <f>""</f>
        <v/>
      </c>
      <c r="BZ162" t="str">
        <f>""</f>
        <v/>
      </c>
      <c r="CA162" t="str">
        <f>""</f>
        <v/>
      </c>
      <c r="CB162" t="str">
        <f>""</f>
        <v/>
      </c>
      <c r="CC162" t="str">
        <f>""</f>
        <v/>
      </c>
      <c r="CD162" t="str">
        <f>""</f>
        <v/>
      </c>
      <c r="CE162" t="str">
        <f>""</f>
        <v/>
      </c>
      <c r="CF162" t="str">
        <f>""</f>
        <v/>
      </c>
      <c r="CG162" t="str">
        <f>""</f>
        <v/>
      </c>
      <c r="CH162" t="str">
        <f>""</f>
        <v/>
      </c>
      <c r="CI162" t="str">
        <f>""</f>
        <v/>
      </c>
      <c r="CJ162" t="str">
        <f>""</f>
        <v/>
      </c>
      <c r="CK162" t="str">
        <f>""</f>
        <v/>
      </c>
      <c r="CL162" t="str">
        <f>""</f>
        <v/>
      </c>
      <c r="CM162" t="str">
        <f>""</f>
        <v/>
      </c>
      <c r="CN162" t="str">
        <f>""</f>
        <v/>
      </c>
      <c r="CO162" t="str">
        <f>""</f>
        <v/>
      </c>
      <c r="CP162" t="str">
        <f>""</f>
        <v/>
      </c>
      <c r="CQ162" t="str">
        <f>""</f>
        <v/>
      </c>
      <c r="CR162" t="str">
        <f>""</f>
        <v/>
      </c>
      <c r="CS162" t="str">
        <f>""</f>
        <v/>
      </c>
      <c r="CT162" t="str">
        <f>""</f>
        <v/>
      </c>
      <c r="CU162" t="str">
        <f>""</f>
        <v/>
      </c>
      <c r="CV162" t="str">
        <f>""</f>
        <v/>
      </c>
      <c r="CW162" t="str">
        <f>""</f>
        <v/>
      </c>
      <c r="CX162" t="str">
        <f>""</f>
        <v/>
      </c>
      <c r="CY162" t="str">
        <f>""</f>
        <v/>
      </c>
      <c r="CZ162" t="str">
        <f>""</f>
        <v/>
      </c>
      <c r="DA162" t="str">
        <f>""</f>
        <v/>
      </c>
      <c r="DB162" t="str">
        <f>""</f>
        <v/>
      </c>
      <c r="DC162" t="str">
        <f>""</f>
        <v/>
      </c>
      <c r="DD162" t="str">
        <f>""</f>
        <v/>
      </c>
      <c r="DE162" t="str">
        <f>""</f>
        <v/>
      </c>
      <c r="DF162" t="str">
        <f>""</f>
        <v/>
      </c>
      <c r="DG162" t="str">
        <f>""</f>
        <v/>
      </c>
      <c r="DH162" t="str">
        <f>""</f>
        <v/>
      </c>
      <c r="DI162" t="str">
        <f>""</f>
        <v/>
      </c>
      <c r="DJ162" t="str">
        <f>""</f>
        <v/>
      </c>
      <c r="DK162" t="str">
        <f>""</f>
        <v/>
      </c>
      <c r="DL162" t="str">
        <f>""</f>
        <v/>
      </c>
      <c r="DM162" t="str">
        <f>""</f>
        <v/>
      </c>
      <c r="DN162" t="str">
        <f>""</f>
        <v/>
      </c>
      <c r="DO162" t="str">
        <f>""</f>
        <v/>
      </c>
      <c r="DP162" t="str">
        <f>""</f>
        <v/>
      </c>
      <c r="DQ162" t="str">
        <f>""</f>
        <v/>
      </c>
      <c r="DR162" t="str">
        <f>""</f>
        <v/>
      </c>
      <c r="DS162" t="str">
        <f>""</f>
        <v/>
      </c>
      <c r="DT162" t="str">
        <f>""</f>
        <v/>
      </c>
      <c r="DU162" t="str">
        <f>""</f>
        <v/>
      </c>
    </row>
    <row r="163" spans="1:125" x14ac:dyDescent="0.25">
      <c r="B163" t="str">
        <f t="shared" si="79"/>
        <v>KER FP Equity</v>
      </c>
      <c r="C163" t="str">
        <f t="shared" si="80"/>
        <v>IS010</v>
      </c>
      <c r="D163" t="str">
        <f t="shared" si="81"/>
        <v>SALES_REV_TURN</v>
      </c>
      <c r="E163" t="str">
        <f t="shared" si="78"/>
        <v>Dynamic</v>
      </c>
      <c r="F163" t="str">
        <f ca="1">_xll.BDH($B$163,$C$163,$B$156,$B$157,CONCATENATE("Per=",$B$154),"Dts=H","Dir=H",CONCATENATE("Points=",$B$155),"Sort=R","Days=A","Fill=B",CONCATENATE("FX=", $B$153) )</f>
        <v/>
      </c>
      <c r="BN163" t="str">
        <f>""</f>
        <v/>
      </c>
      <c r="BO163" t="str">
        <f>""</f>
        <v/>
      </c>
      <c r="BP163" t="str">
        <f>""</f>
        <v/>
      </c>
      <c r="BQ163" t="str">
        <f>""</f>
        <v/>
      </c>
      <c r="BR163" t="str">
        <f>""</f>
        <v/>
      </c>
      <c r="BS163" t="str">
        <f>""</f>
        <v/>
      </c>
      <c r="BT163" t="str">
        <f>""</f>
        <v/>
      </c>
      <c r="BU163" t="str">
        <f>""</f>
        <v/>
      </c>
      <c r="BV163" t="str">
        <f>""</f>
        <v/>
      </c>
      <c r="BW163" t="str">
        <f>""</f>
        <v/>
      </c>
      <c r="BX163" t="str">
        <f>""</f>
        <v/>
      </c>
      <c r="BY163" t="str">
        <f>""</f>
        <v/>
      </c>
      <c r="BZ163" t="str">
        <f>""</f>
        <v/>
      </c>
      <c r="CA163" t="str">
        <f>""</f>
        <v/>
      </c>
      <c r="CB163" t="str">
        <f>""</f>
        <v/>
      </c>
      <c r="CC163" t="str">
        <f>""</f>
        <v/>
      </c>
      <c r="CD163" t="str">
        <f>""</f>
        <v/>
      </c>
      <c r="CE163" t="str">
        <f>""</f>
        <v/>
      </c>
      <c r="CF163" t="str">
        <f>""</f>
        <v/>
      </c>
      <c r="CG163" t="str">
        <f>""</f>
        <v/>
      </c>
      <c r="CH163" t="str">
        <f>""</f>
        <v/>
      </c>
      <c r="CI163" t="str">
        <f>""</f>
        <v/>
      </c>
      <c r="CJ163" t="str">
        <f>""</f>
        <v/>
      </c>
      <c r="CK163" t="str">
        <f>""</f>
        <v/>
      </c>
      <c r="CL163" t="str">
        <f>""</f>
        <v/>
      </c>
      <c r="CM163" t="str">
        <f>""</f>
        <v/>
      </c>
      <c r="CN163" t="str">
        <f>""</f>
        <v/>
      </c>
      <c r="CO163" t="str">
        <f>""</f>
        <v/>
      </c>
      <c r="CP163" t="str">
        <f>""</f>
        <v/>
      </c>
      <c r="CQ163" t="str">
        <f>""</f>
        <v/>
      </c>
      <c r="CR163" t="str">
        <f>""</f>
        <v/>
      </c>
      <c r="CS163" t="str">
        <f>""</f>
        <v/>
      </c>
      <c r="CT163" t="str">
        <f>""</f>
        <v/>
      </c>
      <c r="CU163" t="str">
        <f>""</f>
        <v/>
      </c>
      <c r="CV163" t="str">
        <f>""</f>
        <v/>
      </c>
      <c r="CW163" t="str">
        <f>""</f>
        <v/>
      </c>
      <c r="CX163" t="str">
        <f>""</f>
        <v/>
      </c>
      <c r="CY163" t="str">
        <f>""</f>
        <v/>
      </c>
      <c r="CZ163" t="str">
        <f>""</f>
        <v/>
      </c>
      <c r="DA163" t="str">
        <f>""</f>
        <v/>
      </c>
      <c r="DB163" t="str">
        <f>""</f>
        <v/>
      </c>
      <c r="DC163" t="str">
        <f>""</f>
        <v/>
      </c>
      <c r="DD163" t="str">
        <f>""</f>
        <v/>
      </c>
      <c r="DE163" t="str">
        <f>""</f>
        <v/>
      </c>
      <c r="DF163" t="str">
        <f>""</f>
        <v/>
      </c>
      <c r="DG163" t="str">
        <f>""</f>
        <v/>
      </c>
      <c r="DH163" t="str">
        <f>""</f>
        <v/>
      </c>
      <c r="DI163" t="str">
        <f>""</f>
        <v/>
      </c>
      <c r="DJ163" t="str">
        <f>""</f>
        <v/>
      </c>
      <c r="DK163" t="str">
        <f>""</f>
        <v/>
      </c>
      <c r="DL163" t="str">
        <f>""</f>
        <v/>
      </c>
      <c r="DM163" t="str">
        <f>""</f>
        <v/>
      </c>
      <c r="DN163" t="str">
        <f>""</f>
        <v/>
      </c>
      <c r="DO163" t="str">
        <f>""</f>
        <v/>
      </c>
      <c r="DP163" t="str">
        <f>""</f>
        <v/>
      </c>
      <c r="DQ163" t="str">
        <f>""</f>
        <v/>
      </c>
      <c r="DR163" t="str">
        <f>""</f>
        <v/>
      </c>
      <c r="DS163" t="str">
        <f>""</f>
        <v/>
      </c>
      <c r="DT163" t="str">
        <f>""</f>
        <v/>
      </c>
      <c r="DU163" t="str">
        <f>""</f>
        <v/>
      </c>
    </row>
    <row r="164" spans="1:125" x14ac:dyDescent="0.25">
      <c r="B164" t="str">
        <f t="shared" si="79"/>
        <v>KER FP Equity</v>
      </c>
      <c r="C164" t="str">
        <f t="shared" si="80"/>
        <v>IS010</v>
      </c>
      <c r="D164" t="str">
        <f t="shared" si="81"/>
        <v>SALES_REV_TURN</v>
      </c>
      <c r="E164" t="str">
        <f t="shared" si="78"/>
        <v>Dynamic</v>
      </c>
      <c r="F164" t="str">
        <f ca="1">_xll.BDH($B$164,$C$164,$B$156,$B$157,CONCATENATE("Per=",$B$154),"Dts=H","Dir=H",CONCATENATE("Points=",$B$155),"Sort=R","Days=A","Fill=B",CONCATENATE("FX=", $B$153) )</f>
        <v/>
      </c>
      <c r="BN164" t="str">
        <f>""</f>
        <v/>
      </c>
      <c r="BO164" t="str">
        <f>""</f>
        <v/>
      </c>
      <c r="BP164" t="str">
        <f>""</f>
        <v/>
      </c>
      <c r="BQ164" t="str">
        <f>""</f>
        <v/>
      </c>
      <c r="BR164" t="str">
        <f>""</f>
        <v/>
      </c>
      <c r="BS164" t="str">
        <f>""</f>
        <v/>
      </c>
      <c r="BT164" t="str">
        <f>""</f>
        <v/>
      </c>
      <c r="BU164" t="str">
        <f>""</f>
        <v/>
      </c>
      <c r="BV164" t="str">
        <f>""</f>
        <v/>
      </c>
      <c r="BW164" t="str">
        <f>""</f>
        <v/>
      </c>
      <c r="BX164" t="str">
        <f>""</f>
        <v/>
      </c>
      <c r="BY164" t="str">
        <f>""</f>
        <v/>
      </c>
      <c r="BZ164" t="str">
        <f>""</f>
        <v/>
      </c>
      <c r="CA164" t="str">
        <f>""</f>
        <v/>
      </c>
      <c r="CB164" t="str">
        <f>""</f>
        <v/>
      </c>
      <c r="CC164" t="str">
        <f>""</f>
        <v/>
      </c>
      <c r="CD164" t="str">
        <f>""</f>
        <v/>
      </c>
      <c r="CE164" t="str">
        <f>""</f>
        <v/>
      </c>
      <c r="CF164" t="str">
        <f>""</f>
        <v/>
      </c>
      <c r="CG164" t="str">
        <f>""</f>
        <v/>
      </c>
      <c r="CH164" t="str">
        <f>""</f>
        <v/>
      </c>
      <c r="CI164" t="str">
        <f>""</f>
        <v/>
      </c>
      <c r="CJ164" t="str">
        <f>""</f>
        <v/>
      </c>
      <c r="CK164" t="str">
        <f>""</f>
        <v/>
      </c>
      <c r="CL164" t="str">
        <f>""</f>
        <v/>
      </c>
      <c r="CM164" t="str">
        <f>""</f>
        <v/>
      </c>
      <c r="CN164" t="str">
        <f>""</f>
        <v/>
      </c>
      <c r="CO164" t="str">
        <f>""</f>
        <v/>
      </c>
      <c r="CP164" t="str">
        <f>""</f>
        <v/>
      </c>
      <c r="CQ164" t="str">
        <f>""</f>
        <v/>
      </c>
      <c r="CR164" t="str">
        <f>""</f>
        <v/>
      </c>
      <c r="CS164" t="str">
        <f>""</f>
        <v/>
      </c>
      <c r="CT164" t="str">
        <f>""</f>
        <v/>
      </c>
      <c r="CU164" t="str">
        <f>""</f>
        <v/>
      </c>
      <c r="CV164" t="str">
        <f>""</f>
        <v/>
      </c>
      <c r="CW164" t="str">
        <f>""</f>
        <v/>
      </c>
      <c r="CX164" t="str">
        <f>""</f>
        <v/>
      </c>
      <c r="CY164" t="str">
        <f>""</f>
        <v/>
      </c>
      <c r="CZ164" t="str">
        <f>""</f>
        <v/>
      </c>
      <c r="DA164" t="str">
        <f>""</f>
        <v/>
      </c>
      <c r="DB164" t="str">
        <f>""</f>
        <v/>
      </c>
      <c r="DC164" t="str">
        <f>""</f>
        <v/>
      </c>
      <c r="DD164" t="str">
        <f>""</f>
        <v/>
      </c>
      <c r="DE164" t="str">
        <f>""</f>
        <v/>
      </c>
      <c r="DF164" t="str">
        <f>""</f>
        <v/>
      </c>
      <c r="DG164" t="str">
        <f>""</f>
        <v/>
      </c>
      <c r="DH164" t="str">
        <f>""</f>
        <v/>
      </c>
      <c r="DI164" t="str">
        <f>""</f>
        <v/>
      </c>
      <c r="DJ164" t="str">
        <f>""</f>
        <v/>
      </c>
      <c r="DK164" t="str">
        <f>""</f>
        <v/>
      </c>
      <c r="DL164" t="str">
        <f>""</f>
        <v/>
      </c>
      <c r="DM164" t="str">
        <f>""</f>
        <v/>
      </c>
      <c r="DN164" t="str">
        <f>""</f>
        <v/>
      </c>
      <c r="DO164" t="str">
        <f>""</f>
        <v/>
      </c>
      <c r="DP164" t="str">
        <f>""</f>
        <v/>
      </c>
      <c r="DQ164" t="str">
        <f>""</f>
        <v/>
      </c>
      <c r="DR164" t="str">
        <f>""</f>
        <v/>
      </c>
      <c r="DS164" t="str">
        <f>""</f>
        <v/>
      </c>
      <c r="DT164" t="str">
        <f>""</f>
        <v/>
      </c>
      <c r="DU164" t="str">
        <f>""</f>
        <v/>
      </c>
    </row>
    <row r="165" spans="1:125" x14ac:dyDescent="0.25">
      <c r="B165" t="str">
        <f t="shared" si="79"/>
        <v>KER FP Equity</v>
      </c>
      <c r="C165" t="str">
        <f t="shared" si="80"/>
        <v>IS010</v>
      </c>
      <c r="D165" t="str">
        <f t="shared" si="81"/>
        <v>SALES_REV_TURN</v>
      </c>
      <c r="E165" t="str">
        <f t="shared" si="78"/>
        <v>Dynamic</v>
      </c>
      <c r="F165" t="str">
        <f ca="1">_xll.BDH($B$165,$C$165,$B$156,$B$157,CONCATENATE("Per=",$B$154),"Dts=H","Dir=H",CONCATENATE("Points=",$B$155),"Sort=R","Days=A","Fill=B",CONCATENATE("FX=", $B$153) )</f>
        <v/>
      </c>
      <c r="BN165" t="str">
        <f>""</f>
        <v/>
      </c>
      <c r="BO165" t="str">
        <f>""</f>
        <v/>
      </c>
      <c r="BP165" t="str">
        <f>""</f>
        <v/>
      </c>
      <c r="BQ165" t="str">
        <f>""</f>
        <v/>
      </c>
      <c r="BR165" t="str">
        <f>""</f>
        <v/>
      </c>
      <c r="BS165" t="str">
        <f>""</f>
        <v/>
      </c>
      <c r="BT165" t="str">
        <f>""</f>
        <v/>
      </c>
      <c r="BU165" t="str">
        <f>""</f>
        <v/>
      </c>
      <c r="BV165" t="str">
        <f>""</f>
        <v/>
      </c>
      <c r="BW165" t="str">
        <f>""</f>
        <v/>
      </c>
      <c r="BX165" t="str">
        <f>""</f>
        <v/>
      </c>
      <c r="BY165" t="str">
        <f>""</f>
        <v/>
      </c>
      <c r="BZ165" t="str">
        <f>""</f>
        <v/>
      </c>
      <c r="CA165" t="str">
        <f>""</f>
        <v/>
      </c>
      <c r="CB165" t="str">
        <f>""</f>
        <v/>
      </c>
      <c r="CC165" t="str">
        <f>""</f>
        <v/>
      </c>
      <c r="CD165" t="str">
        <f>""</f>
        <v/>
      </c>
      <c r="CE165" t="str">
        <f>""</f>
        <v/>
      </c>
      <c r="CF165" t="str">
        <f>""</f>
        <v/>
      </c>
      <c r="CG165" t="str">
        <f>""</f>
        <v/>
      </c>
      <c r="CH165" t="str">
        <f>""</f>
        <v/>
      </c>
      <c r="CI165" t="str">
        <f>""</f>
        <v/>
      </c>
      <c r="CJ165" t="str">
        <f>""</f>
        <v/>
      </c>
      <c r="CK165" t="str">
        <f>""</f>
        <v/>
      </c>
      <c r="CL165" t="str">
        <f>""</f>
        <v/>
      </c>
      <c r="CM165" t="str">
        <f>""</f>
        <v/>
      </c>
      <c r="CN165" t="str">
        <f>""</f>
        <v/>
      </c>
      <c r="CO165" t="str">
        <f>""</f>
        <v/>
      </c>
      <c r="CP165" t="str">
        <f>""</f>
        <v/>
      </c>
      <c r="CQ165" t="str">
        <f>""</f>
        <v/>
      </c>
      <c r="CR165" t="str">
        <f>""</f>
        <v/>
      </c>
      <c r="CS165" t="str">
        <f>""</f>
        <v/>
      </c>
      <c r="CT165" t="str">
        <f>""</f>
        <v/>
      </c>
      <c r="CU165" t="str">
        <f>""</f>
        <v/>
      </c>
      <c r="CV165" t="str">
        <f>""</f>
        <v/>
      </c>
      <c r="CW165" t="str">
        <f>""</f>
        <v/>
      </c>
      <c r="CX165" t="str">
        <f>""</f>
        <v/>
      </c>
      <c r="CY165" t="str">
        <f>""</f>
        <v/>
      </c>
      <c r="CZ165" t="str">
        <f>""</f>
        <v/>
      </c>
      <c r="DA165" t="str">
        <f>""</f>
        <v/>
      </c>
      <c r="DB165" t="str">
        <f>""</f>
        <v/>
      </c>
      <c r="DC165" t="str">
        <f>""</f>
        <v/>
      </c>
      <c r="DD165" t="str">
        <f>""</f>
        <v/>
      </c>
      <c r="DE165" t="str">
        <f>""</f>
        <v/>
      </c>
      <c r="DF165" t="str">
        <f>""</f>
        <v/>
      </c>
      <c r="DG165" t="str">
        <f>""</f>
        <v/>
      </c>
      <c r="DH165" t="str">
        <f>""</f>
        <v/>
      </c>
      <c r="DI165" t="str">
        <f>""</f>
        <v/>
      </c>
      <c r="DJ165" t="str">
        <f>""</f>
        <v/>
      </c>
      <c r="DK165" t="str">
        <f>""</f>
        <v/>
      </c>
      <c r="DL165" t="str">
        <f>""</f>
        <v/>
      </c>
      <c r="DM165" t="str">
        <f>""</f>
        <v/>
      </c>
      <c r="DN165" t="str">
        <f>""</f>
        <v/>
      </c>
      <c r="DO165" t="str">
        <f>""</f>
        <v/>
      </c>
      <c r="DP165" t="str">
        <f>""</f>
        <v/>
      </c>
      <c r="DQ165" t="str">
        <f>""</f>
        <v/>
      </c>
      <c r="DR165" t="str">
        <f>""</f>
        <v/>
      </c>
      <c r="DS165" t="str">
        <f>""</f>
        <v/>
      </c>
      <c r="DT165" t="str">
        <f>""</f>
        <v/>
      </c>
      <c r="DU165" t="str">
        <f>""</f>
        <v/>
      </c>
    </row>
    <row r="166" spans="1:125" x14ac:dyDescent="0.25">
      <c r="B166" t="str">
        <f t="shared" si="79"/>
        <v>KER FP Equity</v>
      </c>
      <c r="C166" t="str">
        <f t="shared" si="80"/>
        <v>IS010</v>
      </c>
      <c r="D166" t="str">
        <f t="shared" si="81"/>
        <v>SALES_REV_TURN</v>
      </c>
      <c r="E166" t="str">
        <f t="shared" si="78"/>
        <v>Dynamic</v>
      </c>
      <c r="F166" t="str">
        <f ca="1">_xll.BDH($B$166,$C$166,$B$156,$B$157,CONCATENATE("Per=",$B$154),"Dts=H","Dir=H",CONCATENATE("Points=",$B$155),"Sort=R","Days=A","Fill=B",CONCATENATE("FX=", $B$153) )</f>
        <v/>
      </c>
      <c r="BN166" t="str">
        <f>""</f>
        <v/>
      </c>
      <c r="BO166" t="str">
        <f>""</f>
        <v/>
      </c>
      <c r="BP166" t="str">
        <f>""</f>
        <v/>
      </c>
      <c r="BQ166" t="str">
        <f>""</f>
        <v/>
      </c>
      <c r="BR166" t="str">
        <f>""</f>
        <v/>
      </c>
      <c r="BS166" t="str">
        <f>""</f>
        <v/>
      </c>
      <c r="BT166" t="str">
        <f>""</f>
        <v/>
      </c>
      <c r="BU166" t="str">
        <f>""</f>
        <v/>
      </c>
      <c r="BV166" t="str">
        <f>""</f>
        <v/>
      </c>
      <c r="BW166" t="str">
        <f>""</f>
        <v/>
      </c>
      <c r="BX166" t="str">
        <f>""</f>
        <v/>
      </c>
      <c r="BY166" t="str">
        <f>""</f>
        <v/>
      </c>
      <c r="BZ166" t="str">
        <f>""</f>
        <v/>
      </c>
      <c r="CA166" t="str">
        <f>""</f>
        <v/>
      </c>
      <c r="CB166" t="str">
        <f>""</f>
        <v/>
      </c>
      <c r="CC166" t="str">
        <f>""</f>
        <v/>
      </c>
      <c r="CD166" t="str">
        <f>""</f>
        <v/>
      </c>
      <c r="CE166" t="str">
        <f>""</f>
        <v/>
      </c>
      <c r="CF166" t="str">
        <f>""</f>
        <v/>
      </c>
      <c r="CG166" t="str">
        <f>""</f>
        <v/>
      </c>
      <c r="CH166" t="str">
        <f>""</f>
        <v/>
      </c>
      <c r="CI166" t="str">
        <f>""</f>
        <v/>
      </c>
      <c r="CJ166" t="str">
        <f>""</f>
        <v/>
      </c>
      <c r="CK166" t="str">
        <f>""</f>
        <v/>
      </c>
      <c r="CL166" t="str">
        <f>""</f>
        <v/>
      </c>
      <c r="CM166" t="str">
        <f>""</f>
        <v/>
      </c>
      <c r="CN166" t="str">
        <f>""</f>
        <v/>
      </c>
      <c r="CO166" t="str">
        <f>""</f>
        <v/>
      </c>
      <c r="CP166" t="str">
        <f>""</f>
        <v/>
      </c>
      <c r="CQ166" t="str">
        <f>""</f>
        <v/>
      </c>
      <c r="CR166" t="str">
        <f>""</f>
        <v/>
      </c>
      <c r="CS166" t="str">
        <f>""</f>
        <v/>
      </c>
      <c r="CT166" t="str">
        <f>""</f>
        <v/>
      </c>
      <c r="CU166" t="str">
        <f>""</f>
        <v/>
      </c>
      <c r="CV166" t="str">
        <f>""</f>
        <v/>
      </c>
      <c r="CW166" t="str">
        <f>""</f>
        <v/>
      </c>
      <c r="CX166" t="str">
        <f>""</f>
        <v/>
      </c>
      <c r="CY166" t="str">
        <f>""</f>
        <v/>
      </c>
      <c r="CZ166" t="str">
        <f>""</f>
        <v/>
      </c>
      <c r="DA166" t="str">
        <f>""</f>
        <v/>
      </c>
      <c r="DB166" t="str">
        <f>""</f>
        <v/>
      </c>
      <c r="DC166" t="str">
        <f>""</f>
        <v/>
      </c>
      <c r="DD166" t="str">
        <f>""</f>
        <v/>
      </c>
      <c r="DE166" t="str">
        <f>""</f>
        <v/>
      </c>
      <c r="DF166" t="str">
        <f>""</f>
        <v/>
      </c>
      <c r="DG166" t="str">
        <f>""</f>
        <v/>
      </c>
      <c r="DH166" t="str">
        <f>""</f>
        <v/>
      </c>
      <c r="DI166" t="str">
        <f>""</f>
        <v/>
      </c>
      <c r="DJ166" t="str">
        <f>""</f>
        <v/>
      </c>
      <c r="DK166" t="str">
        <f>""</f>
        <v/>
      </c>
      <c r="DL166" t="str">
        <f>""</f>
        <v/>
      </c>
      <c r="DM166" t="str">
        <f>""</f>
        <v/>
      </c>
      <c r="DN166" t="str">
        <f>""</f>
        <v/>
      </c>
      <c r="DO166" t="str">
        <f>""</f>
        <v/>
      </c>
      <c r="DP166" t="str">
        <f>""</f>
        <v/>
      </c>
      <c r="DQ166" t="str">
        <f>""</f>
        <v/>
      </c>
      <c r="DR166" t="str">
        <f>""</f>
        <v/>
      </c>
      <c r="DS166" t="str">
        <f>""</f>
        <v/>
      </c>
      <c r="DT166" t="str">
        <f>""</f>
        <v/>
      </c>
      <c r="DU166" t="str">
        <f>""</f>
        <v/>
      </c>
    </row>
    <row r="167" spans="1:125" x14ac:dyDescent="0.25">
      <c r="B167" t="str">
        <f t="shared" si="79"/>
        <v>KER FP Equity</v>
      </c>
      <c r="C167" t="str">
        <f t="shared" si="80"/>
        <v>IS010</v>
      </c>
      <c r="D167" t="str">
        <f t="shared" si="81"/>
        <v>SALES_REV_TURN</v>
      </c>
      <c r="E167" t="str">
        <f t="shared" si="78"/>
        <v>Dynamic</v>
      </c>
      <c r="F167" t="str">
        <f ca="1">_xll.BDH($B$167,$C$167,$B$156,$B$157,CONCATENATE("Per=",$B$154),"Dts=H","Dir=H",CONCATENATE("Points=",$B$155),"Sort=R","Days=A","Fill=B",CONCATENATE("FX=", $B$153) )</f>
        <v/>
      </c>
      <c r="BN167" t="str">
        <f>""</f>
        <v/>
      </c>
      <c r="BO167" t="str">
        <f>""</f>
        <v/>
      </c>
      <c r="BP167" t="str">
        <f>""</f>
        <v/>
      </c>
      <c r="BQ167" t="str">
        <f>""</f>
        <v/>
      </c>
      <c r="BR167" t="str">
        <f>""</f>
        <v/>
      </c>
      <c r="BS167" t="str">
        <f>""</f>
        <v/>
      </c>
      <c r="BT167" t="str">
        <f>""</f>
        <v/>
      </c>
      <c r="BU167" t="str">
        <f>""</f>
        <v/>
      </c>
      <c r="BV167" t="str">
        <f>""</f>
        <v/>
      </c>
      <c r="BW167" t="str">
        <f>""</f>
        <v/>
      </c>
      <c r="BX167" t="str">
        <f>""</f>
        <v/>
      </c>
      <c r="BY167" t="str">
        <f>""</f>
        <v/>
      </c>
      <c r="BZ167" t="str">
        <f>""</f>
        <v/>
      </c>
      <c r="CA167" t="str">
        <f>""</f>
        <v/>
      </c>
      <c r="CB167" t="str">
        <f>""</f>
        <v/>
      </c>
      <c r="CC167" t="str">
        <f>""</f>
        <v/>
      </c>
      <c r="CD167" t="str">
        <f>""</f>
        <v/>
      </c>
      <c r="CE167" t="str">
        <f>""</f>
        <v/>
      </c>
      <c r="CF167" t="str">
        <f>""</f>
        <v/>
      </c>
      <c r="CG167" t="str">
        <f>""</f>
        <v/>
      </c>
      <c r="CH167" t="str">
        <f>""</f>
        <v/>
      </c>
      <c r="CI167" t="str">
        <f>""</f>
        <v/>
      </c>
      <c r="CJ167" t="str">
        <f>""</f>
        <v/>
      </c>
      <c r="CK167" t="str">
        <f>""</f>
        <v/>
      </c>
      <c r="CL167" t="str">
        <f>""</f>
        <v/>
      </c>
      <c r="CM167" t="str">
        <f>""</f>
        <v/>
      </c>
      <c r="CN167" t="str">
        <f>""</f>
        <v/>
      </c>
      <c r="CO167" t="str">
        <f>""</f>
        <v/>
      </c>
      <c r="CP167" t="str">
        <f>""</f>
        <v/>
      </c>
      <c r="CQ167" t="str">
        <f>""</f>
        <v/>
      </c>
      <c r="CR167" t="str">
        <f>""</f>
        <v/>
      </c>
      <c r="CS167" t="str">
        <f>""</f>
        <v/>
      </c>
      <c r="CT167" t="str">
        <f>""</f>
        <v/>
      </c>
      <c r="CU167" t="str">
        <f>""</f>
        <v/>
      </c>
      <c r="CV167" t="str">
        <f>""</f>
        <v/>
      </c>
      <c r="CW167" t="str">
        <f>""</f>
        <v/>
      </c>
      <c r="CX167" t="str">
        <f>""</f>
        <v/>
      </c>
      <c r="CY167" t="str">
        <f>""</f>
        <v/>
      </c>
      <c r="CZ167" t="str">
        <f>""</f>
        <v/>
      </c>
      <c r="DA167" t="str">
        <f>""</f>
        <v/>
      </c>
      <c r="DB167" t="str">
        <f>""</f>
        <v/>
      </c>
      <c r="DC167" t="str">
        <f>""</f>
        <v/>
      </c>
      <c r="DD167" t="str">
        <f>""</f>
        <v/>
      </c>
      <c r="DE167" t="str">
        <f>""</f>
        <v/>
      </c>
      <c r="DF167" t="str">
        <f>""</f>
        <v/>
      </c>
      <c r="DG167" t="str">
        <f>""</f>
        <v/>
      </c>
      <c r="DH167" t="str">
        <f>""</f>
        <v/>
      </c>
      <c r="DI167" t="str">
        <f>""</f>
        <v/>
      </c>
      <c r="DJ167" t="str">
        <f>""</f>
        <v/>
      </c>
      <c r="DK167" t="str">
        <f>""</f>
        <v/>
      </c>
      <c r="DL167" t="str">
        <f>""</f>
        <v/>
      </c>
      <c r="DM167" t="str">
        <f>""</f>
        <v/>
      </c>
      <c r="DN167" t="str">
        <f>""</f>
        <v/>
      </c>
      <c r="DO167" t="str">
        <f>""</f>
        <v/>
      </c>
      <c r="DP167" t="str">
        <f>""</f>
        <v/>
      </c>
      <c r="DQ167" t="str">
        <f>""</f>
        <v/>
      </c>
      <c r="DR167" t="str">
        <f>""</f>
        <v/>
      </c>
      <c r="DS167" t="str">
        <f>""</f>
        <v/>
      </c>
      <c r="DT167" t="str">
        <f>""</f>
        <v/>
      </c>
      <c r="DU167" t="str">
        <f>""</f>
        <v/>
      </c>
    </row>
    <row r="168" spans="1:125" x14ac:dyDescent="0.25">
      <c r="B168" t="str">
        <f t="shared" si="79"/>
        <v>KER FP Equity</v>
      </c>
      <c r="C168" t="str">
        <f t="shared" si="80"/>
        <v>IS010</v>
      </c>
      <c r="D168" t="str">
        <f t="shared" si="81"/>
        <v>SALES_REV_TURN</v>
      </c>
      <c r="E168" t="str">
        <f t="shared" si="78"/>
        <v>Dynamic</v>
      </c>
      <c r="F168" t="str">
        <f ca="1">_xll.BDH($B$168,$C$168,$B$156,$B$157,CONCATENATE("Per=",$B$154),"Dts=H","Dir=H",CONCATENATE("Points=",$B$155),"Sort=R","Days=A","Fill=B",CONCATENATE("FX=", $B$153) )</f>
        <v/>
      </c>
      <c r="BN168" t="str">
        <f>""</f>
        <v/>
      </c>
      <c r="BO168" t="str">
        <f>""</f>
        <v/>
      </c>
      <c r="BP168" t="str">
        <f>""</f>
        <v/>
      </c>
      <c r="BQ168" t="str">
        <f>""</f>
        <v/>
      </c>
      <c r="BR168" t="str">
        <f>""</f>
        <v/>
      </c>
      <c r="BS168" t="str">
        <f>""</f>
        <v/>
      </c>
      <c r="BT168" t="str">
        <f>""</f>
        <v/>
      </c>
      <c r="BU168" t="str">
        <f>""</f>
        <v/>
      </c>
      <c r="BV168" t="str">
        <f>""</f>
        <v/>
      </c>
      <c r="BW168" t="str">
        <f>""</f>
        <v/>
      </c>
      <c r="BX168" t="str">
        <f>""</f>
        <v/>
      </c>
      <c r="BY168" t="str">
        <f>""</f>
        <v/>
      </c>
      <c r="BZ168" t="str">
        <f>""</f>
        <v/>
      </c>
      <c r="CA168" t="str">
        <f>""</f>
        <v/>
      </c>
      <c r="CB168" t="str">
        <f>""</f>
        <v/>
      </c>
      <c r="CC168" t="str">
        <f>""</f>
        <v/>
      </c>
      <c r="CD168" t="str">
        <f>""</f>
        <v/>
      </c>
      <c r="CE168" t="str">
        <f>""</f>
        <v/>
      </c>
      <c r="CF168" t="str">
        <f>""</f>
        <v/>
      </c>
      <c r="CG168" t="str">
        <f>""</f>
        <v/>
      </c>
      <c r="CH168" t="str">
        <f>""</f>
        <v/>
      </c>
      <c r="CI168" t="str">
        <f>""</f>
        <v/>
      </c>
      <c r="CJ168" t="str">
        <f>""</f>
        <v/>
      </c>
      <c r="CK168" t="str">
        <f>""</f>
        <v/>
      </c>
      <c r="CL168" t="str">
        <f>""</f>
        <v/>
      </c>
      <c r="CM168" t="str">
        <f>""</f>
        <v/>
      </c>
      <c r="CN168" t="str">
        <f>""</f>
        <v/>
      </c>
      <c r="CO168" t="str">
        <f>""</f>
        <v/>
      </c>
      <c r="CP168" t="str">
        <f>""</f>
        <v/>
      </c>
      <c r="CQ168" t="str">
        <f>""</f>
        <v/>
      </c>
      <c r="CR168" t="str">
        <f>""</f>
        <v/>
      </c>
      <c r="CS168" t="str">
        <f>""</f>
        <v/>
      </c>
      <c r="CT168" t="str">
        <f>""</f>
        <v/>
      </c>
      <c r="CU168" t="str">
        <f>""</f>
        <v/>
      </c>
      <c r="CV168" t="str">
        <f>""</f>
        <v/>
      </c>
      <c r="CW168" t="str">
        <f>""</f>
        <v/>
      </c>
      <c r="CX168" t="str">
        <f>""</f>
        <v/>
      </c>
      <c r="CY168" t="str">
        <f>""</f>
        <v/>
      </c>
      <c r="CZ168" t="str">
        <f>""</f>
        <v/>
      </c>
      <c r="DA168" t="str">
        <f>""</f>
        <v/>
      </c>
      <c r="DB168" t="str">
        <f>""</f>
        <v/>
      </c>
      <c r="DC168" t="str">
        <f>""</f>
        <v/>
      </c>
      <c r="DD168" t="str">
        <f>""</f>
        <v/>
      </c>
      <c r="DE168" t="str">
        <f>""</f>
        <v/>
      </c>
      <c r="DF168" t="str">
        <f>""</f>
        <v/>
      </c>
      <c r="DG168" t="str">
        <f>""</f>
        <v/>
      </c>
      <c r="DH168" t="str">
        <f>""</f>
        <v/>
      </c>
      <c r="DI168" t="str">
        <f>""</f>
        <v/>
      </c>
      <c r="DJ168" t="str">
        <f>""</f>
        <v/>
      </c>
      <c r="DK168" t="str">
        <f>""</f>
        <v/>
      </c>
      <c r="DL168" t="str">
        <f>""</f>
        <v/>
      </c>
      <c r="DM168" t="str">
        <f>""</f>
        <v/>
      </c>
      <c r="DN168" t="str">
        <f>""</f>
        <v/>
      </c>
      <c r="DO168" t="str">
        <f>""</f>
        <v/>
      </c>
      <c r="DP168" t="str">
        <f>""</f>
        <v/>
      </c>
      <c r="DQ168" t="str">
        <f>""</f>
        <v/>
      </c>
      <c r="DR168" t="str">
        <f>""</f>
        <v/>
      </c>
      <c r="DS168" t="str">
        <f>""</f>
        <v/>
      </c>
      <c r="DT168" t="str">
        <f>""</f>
        <v/>
      </c>
      <c r="DU168" t="str">
        <f>""</f>
        <v/>
      </c>
    </row>
    <row r="169" spans="1:125" x14ac:dyDescent="0.25">
      <c r="B169" t="str">
        <f t="shared" si="79"/>
        <v>KER FP Equity</v>
      </c>
      <c r="C169" t="str">
        <f t="shared" si="80"/>
        <v>IS010</v>
      </c>
      <c r="D169" t="str">
        <f t="shared" si="81"/>
        <v>SALES_REV_TURN</v>
      </c>
      <c r="E169" t="str">
        <f t="shared" si="78"/>
        <v>Dynamic</v>
      </c>
      <c r="F169" t="str">
        <f ca="1">_xll.BDH($B$169,$C$169,$B$156,$B$157,CONCATENATE("Per=",$B$154),"Dts=H","Dir=H",CONCATENATE("Points=",$B$155),"Sort=R","Days=A","Fill=B",CONCATENATE("FX=", $B$153) )</f>
        <v/>
      </c>
      <c r="BN169" t="str">
        <f>""</f>
        <v/>
      </c>
      <c r="BO169" t="str">
        <f>""</f>
        <v/>
      </c>
      <c r="BP169" t="str">
        <f>""</f>
        <v/>
      </c>
      <c r="BQ169" t="str">
        <f>""</f>
        <v/>
      </c>
      <c r="BR169" t="str">
        <f>""</f>
        <v/>
      </c>
      <c r="BS169" t="str">
        <f>""</f>
        <v/>
      </c>
      <c r="BT169" t="str">
        <f>""</f>
        <v/>
      </c>
      <c r="BU169" t="str">
        <f>""</f>
        <v/>
      </c>
      <c r="BV169" t="str">
        <f>""</f>
        <v/>
      </c>
      <c r="BW169" t="str">
        <f>""</f>
        <v/>
      </c>
      <c r="BX169" t="str">
        <f>""</f>
        <v/>
      </c>
      <c r="BY169" t="str">
        <f>""</f>
        <v/>
      </c>
      <c r="BZ169" t="str">
        <f>""</f>
        <v/>
      </c>
      <c r="CA169" t="str">
        <f>""</f>
        <v/>
      </c>
      <c r="CB169" t="str">
        <f>""</f>
        <v/>
      </c>
      <c r="CC169" t="str">
        <f>""</f>
        <v/>
      </c>
      <c r="CD169" t="str">
        <f>""</f>
        <v/>
      </c>
      <c r="CE169" t="str">
        <f>""</f>
        <v/>
      </c>
      <c r="CF169" t="str">
        <f>""</f>
        <v/>
      </c>
      <c r="CG169" t="str">
        <f>""</f>
        <v/>
      </c>
      <c r="CH169" t="str">
        <f>""</f>
        <v/>
      </c>
      <c r="CI169" t="str">
        <f>""</f>
        <v/>
      </c>
      <c r="CJ169" t="str">
        <f>""</f>
        <v/>
      </c>
      <c r="CK169" t="str">
        <f>""</f>
        <v/>
      </c>
      <c r="CL169" t="str">
        <f>""</f>
        <v/>
      </c>
      <c r="CM169" t="str">
        <f>""</f>
        <v/>
      </c>
      <c r="CN169" t="str">
        <f>""</f>
        <v/>
      </c>
      <c r="CO169" t="str">
        <f>""</f>
        <v/>
      </c>
      <c r="CP169" t="str">
        <f>""</f>
        <v/>
      </c>
      <c r="CQ169" t="str">
        <f>""</f>
        <v/>
      </c>
      <c r="CR169" t="str">
        <f>""</f>
        <v/>
      </c>
      <c r="CS169" t="str">
        <f>""</f>
        <v/>
      </c>
      <c r="CT169" t="str">
        <f>""</f>
        <v/>
      </c>
      <c r="CU169" t="str">
        <f>""</f>
        <v/>
      </c>
      <c r="CV169" t="str">
        <f>""</f>
        <v/>
      </c>
      <c r="CW169" t="str">
        <f>""</f>
        <v/>
      </c>
      <c r="CX169" t="str">
        <f>""</f>
        <v/>
      </c>
      <c r="CY169" t="str">
        <f>""</f>
        <v/>
      </c>
      <c r="CZ169" t="str">
        <f>""</f>
        <v/>
      </c>
      <c r="DA169" t="str">
        <f>""</f>
        <v/>
      </c>
      <c r="DB169" t="str">
        <f>""</f>
        <v/>
      </c>
      <c r="DC169" t="str">
        <f>""</f>
        <v/>
      </c>
      <c r="DD169" t="str">
        <f>""</f>
        <v/>
      </c>
      <c r="DE169" t="str">
        <f>""</f>
        <v/>
      </c>
      <c r="DF169" t="str">
        <f>""</f>
        <v/>
      </c>
      <c r="DG169" t="str">
        <f>""</f>
        <v/>
      </c>
      <c r="DH169" t="str">
        <f>""</f>
        <v/>
      </c>
      <c r="DI169" t="str">
        <f>""</f>
        <v/>
      </c>
      <c r="DJ169" t="str">
        <f>""</f>
        <v/>
      </c>
      <c r="DK169" t="str">
        <f>""</f>
        <v/>
      </c>
      <c r="DL169" t="str">
        <f>""</f>
        <v/>
      </c>
      <c r="DM169" t="str">
        <f>""</f>
        <v/>
      </c>
      <c r="DN169" t="str">
        <f>""</f>
        <v/>
      </c>
      <c r="DO169" t="str">
        <f>""</f>
        <v/>
      </c>
      <c r="DP169" t="str">
        <f>""</f>
        <v/>
      </c>
      <c r="DQ169" t="str">
        <f>""</f>
        <v/>
      </c>
      <c r="DR169" t="str">
        <f>""</f>
        <v/>
      </c>
      <c r="DS169" t="str">
        <f>""</f>
        <v/>
      </c>
      <c r="DT169" t="str">
        <f>""</f>
        <v/>
      </c>
      <c r="DU169" t="str">
        <f>""</f>
        <v/>
      </c>
    </row>
    <row r="170" spans="1:125" x14ac:dyDescent="0.25">
      <c r="A170" t="str">
        <f>$A$9</f>
        <v xml:space="preserve">            China</v>
      </c>
      <c r="B170" t="str">
        <f>$B$9</f>
        <v>CHCSCONF Index</v>
      </c>
      <c r="C170" t="str">
        <f>$C$9</f>
        <v>PR005</v>
      </c>
      <c r="D170" t="str">
        <f>$D$9</f>
        <v>PX_LAST</v>
      </c>
      <c r="E170" t="str">
        <f>$E$9</f>
        <v>Dynamic</v>
      </c>
      <c r="F170" t="str">
        <f ca="1">_xll.BDH($B$9,$C$9,$B$156,$B$157,CONCATENATE("Per=",$B$154),"Dts=H","Dir=H",CONCATENATE("Points=",$B$155),"Sort=R","Days=A","Fill=B",CONCATENATE("FX=", $B$153) )</f>
        <v/>
      </c>
      <c r="BN170" t="str">
        <f>""</f>
        <v/>
      </c>
      <c r="BO170" t="str">
        <f>""</f>
        <v/>
      </c>
      <c r="BP170" t="str">
        <f>""</f>
        <v/>
      </c>
      <c r="BQ170" t="str">
        <f>""</f>
        <v/>
      </c>
      <c r="BR170" t="str">
        <f>""</f>
        <v/>
      </c>
      <c r="BS170" t="str">
        <f>""</f>
        <v/>
      </c>
      <c r="BT170" t="str">
        <f>""</f>
        <v/>
      </c>
      <c r="BU170" t="str">
        <f>""</f>
        <v/>
      </c>
      <c r="BV170" t="str">
        <f>""</f>
        <v/>
      </c>
      <c r="BW170" t="str">
        <f>""</f>
        <v/>
      </c>
      <c r="BX170" t="str">
        <f>""</f>
        <v/>
      </c>
      <c r="BY170" t="str">
        <f>""</f>
        <v/>
      </c>
      <c r="BZ170" t="str">
        <f>""</f>
        <v/>
      </c>
      <c r="CA170" t="str">
        <f>""</f>
        <v/>
      </c>
      <c r="CB170" t="str">
        <f>""</f>
        <v/>
      </c>
      <c r="CC170" t="str">
        <f>""</f>
        <v/>
      </c>
      <c r="CD170" t="str">
        <f>""</f>
        <v/>
      </c>
      <c r="CE170" t="str">
        <f>""</f>
        <v/>
      </c>
      <c r="CF170" t="str">
        <f>""</f>
        <v/>
      </c>
      <c r="CG170" t="str">
        <f>""</f>
        <v/>
      </c>
      <c r="CH170" t="str">
        <f>""</f>
        <v/>
      </c>
      <c r="CI170" t="str">
        <f>""</f>
        <v/>
      </c>
      <c r="CJ170" t="str">
        <f>""</f>
        <v/>
      </c>
      <c r="CK170" t="str">
        <f>""</f>
        <v/>
      </c>
      <c r="CL170" t="str">
        <f>""</f>
        <v/>
      </c>
      <c r="CM170" t="str">
        <f>""</f>
        <v/>
      </c>
      <c r="CN170" t="str">
        <f>""</f>
        <v/>
      </c>
      <c r="CO170" t="str">
        <f>""</f>
        <v/>
      </c>
      <c r="CP170" t="str">
        <f>""</f>
        <v/>
      </c>
      <c r="CQ170" t="str">
        <f>""</f>
        <v/>
      </c>
      <c r="CR170" t="str">
        <f>""</f>
        <v/>
      </c>
      <c r="CS170" t="str">
        <f>""</f>
        <v/>
      </c>
      <c r="CT170" t="str">
        <f>""</f>
        <v/>
      </c>
      <c r="CU170" t="str">
        <f>""</f>
        <v/>
      </c>
      <c r="CV170" t="str">
        <f>""</f>
        <v/>
      </c>
      <c r="CW170" t="str">
        <f>""</f>
        <v/>
      </c>
      <c r="CX170" t="str">
        <f>""</f>
        <v/>
      </c>
      <c r="CY170" t="str">
        <f>""</f>
        <v/>
      </c>
      <c r="CZ170" t="str">
        <f>""</f>
        <v/>
      </c>
      <c r="DA170" t="str">
        <f>""</f>
        <v/>
      </c>
      <c r="DB170" t="str">
        <f>""</f>
        <v/>
      </c>
      <c r="DC170" t="str">
        <f>""</f>
        <v/>
      </c>
      <c r="DD170" t="str">
        <f>""</f>
        <v/>
      </c>
      <c r="DE170" t="str">
        <f>""</f>
        <v/>
      </c>
      <c r="DF170" t="str">
        <f>""</f>
        <v/>
      </c>
      <c r="DG170" t="str">
        <f>""</f>
        <v/>
      </c>
      <c r="DH170" t="str">
        <f>""</f>
        <v/>
      </c>
      <c r="DI170" t="str">
        <f>""</f>
        <v/>
      </c>
      <c r="DJ170" t="str">
        <f>""</f>
        <v/>
      </c>
      <c r="DK170" t="str">
        <f>""</f>
        <v/>
      </c>
      <c r="DL170" t="str">
        <f>""</f>
        <v/>
      </c>
      <c r="DM170" t="str">
        <f>""</f>
        <v/>
      </c>
      <c r="DN170" t="str">
        <f>""</f>
        <v/>
      </c>
      <c r="DO170" t="str">
        <f>""</f>
        <v/>
      </c>
      <c r="DP170" t="str">
        <f>""</f>
        <v/>
      </c>
      <c r="DQ170" t="str">
        <f>""</f>
        <v/>
      </c>
      <c r="DR170" t="str">
        <f>""</f>
        <v/>
      </c>
      <c r="DS170" t="str">
        <f>""</f>
        <v/>
      </c>
      <c r="DT170" t="str">
        <f>""</f>
        <v/>
      </c>
      <c r="DU170" t="str">
        <f>""</f>
        <v/>
      </c>
    </row>
    <row r="171" spans="1:125" x14ac:dyDescent="0.25">
      <c r="A171" t="str">
        <f>$A$10</f>
        <v xml:space="preserve">            U.S. (Uni. of Michigan)</v>
      </c>
      <c r="B171" t="str">
        <f>$B$10</f>
        <v>CONSSENT Index</v>
      </c>
      <c r="C171" t="str">
        <f>$C$10</f>
        <v>PR291</v>
      </c>
      <c r="D171" t="str">
        <f>$D$10</f>
        <v>BN_SURVEY_MEDIAN</v>
      </c>
      <c r="E171" t="str">
        <f>$E$10</f>
        <v>Dynamic</v>
      </c>
      <c r="F171">
        <f ca="1">_xll.BDH($B$10,$C$10,$B$156,$B$157,CONCATENATE("Per=",$B$154),"Dts=H","Dir=H",CONCATENATE("Points=",$B$155),"Sort=R","Days=A","Fill=B",CONCATENATE("FX=", $B$153) )</f>
        <v>72.400000000000006</v>
      </c>
      <c r="BN171" t="str">
        <f>""</f>
        <v/>
      </c>
      <c r="BO171" t="str">
        <f>""</f>
        <v/>
      </c>
      <c r="BP171" t="str">
        <f>""</f>
        <v/>
      </c>
      <c r="BQ171" t="str">
        <f>""</f>
        <v/>
      </c>
      <c r="BR171" t="str">
        <f>""</f>
        <v/>
      </c>
      <c r="BS171" t="str">
        <f>""</f>
        <v/>
      </c>
      <c r="BT171" t="str">
        <f>""</f>
        <v/>
      </c>
      <c r="BU171" t="str">
        <f>""</f>
        <v/>
      </c>
      <c r="BV171" t="str">
        <f>""</f>
        <v/>
      </c>
      <c r="BW171" t="str">
        <f>""</f>
        <v/>
      </c>
      <c r="BX171" t="str">
        <f>""</f>
        <v/>
      </c>
      <c r="BY171" t="str">
        <f>""</f>
        <v/>
      </c>
      <c r="BZ171" t="str">
        <f>""</f>
        <v/>
      </c>
      <c r="CA171" t="str">
        <f>""</f>
        <v/>
      </c>
      <c r="CB171" t="str">
        <f>""</f>
        <v/>
      </c>
      <c r="CC171" t="str">
        <f>""</f>
        <v/>
      </c>
      <c r="CD171" t="str">
        <f>""</f>
        <v/>
      </c>
      <c r="CE171" t="str">
        <f>""</f>
        <v/>
      </c>
      <c r="CF171" t="str">
        <f>""</f>
        <v/>
      </c>
      <c r="CG171" t="str">
        <f>""</f>
        <v/>
      </c>
      <c r="CH171" t="str">
        <f>""</f>
        <v/>
      </c>
      <c r="CI171" t="str">
        <f>""</f>
        <v/>
      </c>
      <c r="CJ171" t="str">
        <f>""</f>
        <v/>
      </c>
      <c r="CK171" t="str">
        <f>""</f>
        <v/>
      </c>
      <c r="CL171" t="str">
        <f>""</f>
        <v/>
      </c>
      <c r="CM171" t="str">
        <f>""</f>
        <v/>
      </c>
      <c r="CN171" t="str">
        <f>""</f>
        <v/>
      </c>
      <c r="CO171" t="str">
        <f>""</f>
        <v/>
      </c>
      <c r="CP171" t="str">
        <f>""</f>
        <v/>
      </c>
      <c r="CQ171" t="str">
        <f>""</f>
        <v/>
      </c>
      <c r="CR171" t="str">
        <f>""</f>
        <v/>
      </c>
      <c r="CS171" t="str">
        <f>""</f>
        <v/>
      </c>
      <c r="CT171" t="str">
        <f>""</f>
        <v/>
      </c>
      <c r="CU171" t="str">
        <f>""</f>
        <v/>
      </c>
      <c r="CV171" t="str">
        <f>""</f>
        <v/>
      </c>
      <c r="CW171" t="str">
        <f>""</f>
        <v/>
      </c>
      <c r="CX171" t="str">
        <f>""</f>
        <v/>
      </c>
      <c r="CY171" t="str">
        <f>""</f>
        <v/>
      </c>
      <c r="CZ171" t="str">
        <f>""</f>
        <v/>
      </c>
      <c r="DA171" t="str">
        <f>""</f>
        <v/>
      </c>
      <c r="DB171" t="str">
        <f>""</f>
        <v/>
      </c>
      <c r="DC171" t="str">
        <f>""</f>
        <v/>
      </c>
      <c r="DD171" t="str">
        <f>""</f>
        <v/>
      </c>
      <c r="DE171" t="str">
        <f>""</f>
        <v/>
      </c>
      <c r="DF171" t="str">
        <f>""</f>
        <v/>
      </c>
      <c r="DG171" t="str">
        <f>""</f>
        <v/>
      </c>
      <c r="DH171" t="str">
        <f>""</f>
        <v/>
      </c>
      <c r="DI171" t="str">
        <f>""</f>
        <v/>
      </c>
      <c r="DJ171" t="str">
        <f>""</f>
        <v/>
      </c>
      <c r="DK171" t="str">
        <f>""</f>
        <v/>
      </c>
      <c r="DL171" t="str">
        <f>""</f>
        <v/>
      </c>
      <c r="DM171" t="str">
        <f>""</f>
        <v/>
      </c>
      <c r="DN171" t="str">
        <f>""</f>
        <v/>
      </c>
      <c r="DO171" t="str">
        <f>""</f>
        <v/>
      </c>
      <c r="DP171" t="str">
        <f>""</f>
        <v/>
      </c>
      <c r="DQ171" t="str">
        <f>""</f>
        <v/>
      </c>
      <c r="DR171" t="str">
        <f>""</f>
        <v/>
      </c>
      <c r="DS171" t="str">
        <f>""</f>
        <v/>
      </c>
      <c r="DT171" t="str">
        <f>""</f>
        <v/>
      </c>
      <c r="DU171" t="str">
        <f>""</f>
        <v/>
      </c>
    </row>
    <row r="172" spans="1:125" x14ac:dyDescent="0.25">
      <c r="A172" t="str">
        <f>$A$11</f>
        <v xml:space="preserve">            EUR</v>
      </c>
      <c r="B172" t="str">
        <f>$B$11</f>
        <v>EUCCEMU Index</v>
      </c>
      <c r="C172" t="str">
        <f>$C$11</f>
        <v>PR291</v>
      </c>
      <c r="D172" t="str">
        <f>$D$11</f>
        <v>BN_SURVEY_MEDIAN</v>
      </c>
      <c r="E172" t="str">
        <f>$E$11</f>
        <v>Dynamic</v>
      </c>
      <c r="F172">
        <f ca="1">_xll.BDH($B$11,$C$11,$B$156,$B$157,CONCATENATE("Per=",$B$154),"Dts=H","Dir=H",CONCATENATE("Points=",$B$155),"Sort=R","Days=A","Fill=B",CONCATENATE("FX=", $B$153) )</f>
        <v>-5</v>
      </c>
      <c r="BN172" t="str">
        <f>""</f>
        <v/>
      </c>
      <c r="BO172" t="str">
        <f>""</f>
        <v/>
      </c>
      <c r="BP172" t="str">
        <f>""</f>
        <v/>
      </c>
      <c r="BQ172" t="str">
        <f>""</f>
        <v/>
      </c>
      <c r="BR172" t="str">
        <f>""</f>
        <v/>
      </c>
      <c r="BS172" t="str">
        <f>""</f>
        <v/>
      </c>
      <c r="BT172" t="str">
        <f>""</f>
        <v/>
      </c>
      <c r="BU172" t="str">
        <f>""</f>
        <v/>
      </c>
      <c r="BV172" t="str">
        <f>""</f>
        <v/>
      </c>
      <c r="BW172" t="str">
        <f>""</f>
        <v/>
      </c>
      <c r="BX172" t="str">
        <f>""</f>
        <v/>
      </c>
      <c r="BY172" t="str">
        <f>""</f>
        <v/>
      </c>
      <c r="BZ172" t="str">
        <f>""</f>
        <v/>
      </c>
      <c r="CA172" t="str">
        <f>""</f>
        <v/>
      </c>
      <c r="CB172" t="str">
        <f>""</f>
        <v/>
      </c>
      <c r="CC172" t="str">
        <f>""</f>
        <v/>
      </c>
      <c r="CD172" t="str">
        <f>""</f>
        <v/>
      </c>
      <c r="CE172" t="str">
        <f>""</f>
        <v/>
      </c>
      <c r="CF172" t="str">
        <f>""</f>
        <v/>
      </c>
      <c r="CG172" t="str">
        <f>""</f>
        <v/>
      </c>
      <c r="CH172" t="str">
        <f>""</f>
        <v/>
      </c>
      <c r="CI172" t="str">
        <f>""</f>
        <v/>
      </c>
      <c r="CJ172" t="str">
        <f>""</f>
        <v/>
      </c>
      <c r="CK172" t="str">
        <f>""</f>
        <v/>
      </c>
      <c r="CL172" t="str">
        <f>""</f>
        <v/>
      </c>
      <c r="CM172" t="str">
        <f>""</f>
        <v/>
      </c>
      <c r="CN172" t="str">
        <f>""</f>
        <v/>
      </c>
      <c r="CO172" t="str">
        <f>""</f>
        <v/>
      </c>
      <c r="CP172" t="str">
        <f>""</f>
        <v/>
      </c>
      <c r="CQ172" t="str">
        <f>""</f>
        <v/>
      </c>
      <c r="CR172" t="str">
        <f>""</f>
        <v/>
      </c>
      <c r="CS172" t="str">
        <f>""</f>
        <v/>
      </c>
      <c r="CT172" t="str">
        <f>""</f>
        <v/>
      </c>
      <c r="CU172" t="str">
        <f>""</f>
        <v/>
      </c>
      <c r="CV172" t="str">
        <f>""</f>
        <v/>
      </c>
      <c r="CW172" t="str">
        <f>""</f>
        <v/>
      </c>
      <c r="CX172" t="str">
        <f>""</f>
        <v/>
      </c>
      <c r="CY172" t="str">
        <f>""</f>
        <v/>
      </c>
      <c r="CZ172" t="str">
        <f>""</f>
        <v/>
      </c>
      <c r="DA172" t="str">
        <f>""</f>
        <v/>
      </c>
      <c r="DB172" t="str">
        <f>""</f>
        <v/>
      </c>
      <c r="DC172" t="str">
        <f>""</f>
        <v/>
      </c>
      <c r="DD172" t="str">
        <f>""</f>
        <v/>
      </c>
      <c r="DE172" t="str">
        <f>""</f>
        <v/>
      </c>
      <c r="DF172" t="str">
        <f>""</f>
        <v/>
      </c>
      <c r="DG172" t="str">
        <f>""</f>
        <v/>
      </c>
      <c r="DH172" t="str">
        <f>""</f>
        <v/>
      </c>
      <c r="DI172" t="str">
        <f>""</f>
        <v/>
      </c>
      <c r="DJ172" t="str">
        <f>""</f>
        <v/>
      </c>
      <c r="DK172" t="str">
        <f>""</f>
        <v/>
      </c>
      <c r="DL172" t="str">
        <f>""</f>
        <v/>
      </c>
      <c r="DM172" t="str">
        <f>""</f>
        <v/>
      </c>
      <c r="DN172" t="str">
        <f>""</f>
        <v/>
      </c>
      <c r="DO172" t="str">
        <f>""</f>
        <v/>
      </c>
      <c r="DP172" t="str">
        <f>""</f>
        <v/>
      </c>
      <c r="DQ172" t="str">
        <f>""</f>
        <v/>
      </c>
      <c r="DR172" t="str">
        <f>""</f>
        <v/>
      </c>
      <c r="DS172" t="str">
        <f>""</f>
        <v/>
      </c>
      <c r="DT172" t="str">
        <f>""</f>
        <v/>
      </c>
      <c r="DU172" t="str">
        <f>""</f>
        <v/>
      </c>
    </row>
    <row r="173" spans="1:125" x14ac:dyDescent="0.25">
      <c r="A173" t="str">
        <f>$A$12</f>
        <v xml:space="preserve">            Russia</v>
      </c>
      <c r="B173" t="str">
        <f>$B$12</f>
        <v>RUCNCNCF Index</v>
      </c>
      <c r="C173" t="str">
        <f>$C$12</f>
        <v>PR005</v>
      </c>
      <c r="D173" t="str">
        <f>$D$12</f>
        <v>PX_LAST</v>
      </c>
      <c r="E173" t="str">
        <f>$E$12</f>
        <v>Dynamic</v>
      </c>
      <c r="F173" t="str">
        <f ca="1">_xll.BDH($B$12,$C$12,$B$156,$B$157,CONCATENATE("Per=",$B$154),"Dts=H","Dir=H",CONCATENATE("Points=",$B$155),"Sort=R","Days=A","Fill=B",CONCATENATE("FX=", $B$153) )</f>
        <v/>
      </c>
      <c r="BN173" t="str">
        <f>""</f>
        <v/>
      </c>
      <c r="BO173" t="str">
        <f>""</f>
        <v/>
      </c>
      <c r="BP173" t="str">
        <f>""</f>
        <v/>
      </c>
      <c r="BQ173" t="str">
        <f>""</f>
        <v/>
      </c>
      <c r="BR173" t="str">
        <f>""</f>
        <v/>
      </c>
      <c r="BS173" t="str">
        <f>""</f>
        <v/>
      </c>
      <c r="BT173" t="str">
        <f>""</f>
        <v/>
      </c>
      <c r="BU173" t="str">
        <f>""</f>
        <v/>
      </c>
      <c r="BV173" t="str">
        <f>""</f>
        <v/>
      </c>
      <c r="BW173" t="str">
        <f>""</f>
        <v/>
      </c>
      <c r="BX173" t="str">
        <f>""</f>
        <v/>
      </c>
      <c r="BY173" t="str">
        <f>""</f>
        <v/>
      </c>
      <c r="BZ173" t="str">
        <f>""</f>
        <v/>
      </c>
      <c r="CA173" t="str">
        <f>""</f>
        <v/>
      </c>
      <c r="CB173" t="str">
        <f>""</f>
        <v/>
      </c>
      <c r="CC173" t="str">
        <f>""</f>
        <v/>
      </c>
      <c r="CD173" t="str">
        <f>""</f>
        <v/>
      </c>
      <c r="CE173" t="str">
        <f>""</f>
        <v/>
      </c>
      <c r="CF173" t="str">
        <f>""</f>
        <v/>
      </c>
      <c r="CG173" t="str">
        <f>""</f>
        <v/>
      </c>
      <c r="CH173" t="str">
        <f>""</f>
        <v/>
      </c>
      <c r="CI173" t="str">
        <f>""</f>
        <v/>
      </c>
      <c r="CJ173" t="str">
        <f>""</f>
        <v/>
      </c>
      <c r="CK173" t="str">
        <f>""</f>
        <v/>
      </c>
      <c r="CL173" t="str">
        <f>""</f>
        <v/>
      </c>
      <c r="CM173" t="str">
        <f>""</f>
        <v/>
      </c>
      <c r="CN173" t="str">
        <f>""</f>
        <v/>
      </c>
      <c r="CO173" t="str">
        <f>""</f>
        <v/>
      </c>
      <c r="CP173" t="str">
        <f>""</f>
        <v/>
      </c>
      <c r="CQ173" t="str">
        <f>""</f>
        <v/>
      </c>
      <c r="CR173" t="str">
        <f>""</f>
        <v/>
      </c>
      <c r="CS173" t="str">
        <f>""</f>
        <v/>
      </c>
      <c r="CT173" t="str">
        <f>""</f>
        <v/>
      </c>
      <c r="CU173" t="str">
        <f>""</f>
        <v/>
      </c>
      <c r="CV173" t="str">
        <f>""</f>
        <v/>
      </c>
      <c r="CW173" t="str">
        <f>""</f>
        <v/>
      </c>
      <c r="CX173" t="str">
        <f>""</f>
        <v/>
      </c>
      <c r="CY173" t="str">
        <f>""</f>
        <v/>
      </c>
      <c r="CZ173" t="str">
        <f>""</f>
        <v/>
      </c>
      <c r="DA173" t="str">
        <f>""</f>
        <v/>
      </c>
      <c r="DB173" t="str">
        <f>""</f>
        <v/>
      </c>
      <c r="DC173" t="str">
        <f>""</f>
        <v/>
      </c>
      <c r="DD173" t="str">
        <f>""</f>
        <v/>
      </c>
      <c r="DE173" t="str">
        <f>""</f>
        <v/>
      </c>
      <c r="DF173" t="str">
        <f>""</f>
        <v/>
      </c>
      <c r="DG173" t="str">
        <f>""</f>
        <v/>
      </c>
      <c r="DH173" t="str">
        <f>""</f>
        <v/>
      </c>
      <c r="DI173" t="str">
        <f>""</f>
        <v/>
      </c>
      <c r="DJ173" t="str">
        <f>""</f>
        <v/>
      </c>
      <c r="DK173" t="str">
        <f>""</f>
        <v/>
      </c>
      <c r="DL173" t="str">
        <f>""</f>
        <v/>
      </c>
      <c r="DM173" t="str">
        <f>""</f>
        <v/>
      </c>
      <c r="DN173" t="str">
        <f>""</f>
        <v/>
      </c>
      <c r="DO173" t="str">
        <f>""</f>
        <v/>
      </c>
      <c r="DP173" t="str">
        <f>""</f>
        <v/>
      </c>
      <c r="DQ173" t="str">
        <f>""</f>
        <v/>
      </c>
      <c r="DR173" t="str">
        <f>""</f>
        <v/>
      </c>
      <c r="DS173" t="str">
        <f>""</f>
        <v/>
      </c>
      <c r="DT173" t="str">
        <f>""</f>
        <v/>
      </c>
      <c r="DU173" t="str">
        <f>""</f>
        <v/>
      </c>
    </row>
    <row r="174" spans="1:125" x14ac:dyDescent="0.25">
      <c r="A174" t="str">
        <f>$A$14</f>
        <v xml:space="preserve">            CNH/USD</v>
      </c>
      <c r="B174" t="str">
        <f>$B$14</f>
        <v>CNHUSD Curncy</v>
      </c>
      <c r="C174" t="str">
        <f>$C$14</f>
        <v>PX388</v>
      </c>
      <c r="D174" t="str">
        <f>$D$14</f>
        <v>INTERVAL_AVG</v>
      </c>
      <c r="E174" t="str">
        <f>$E$14</f>
        <v>Dynamic</v>
      </c>
      <c r="F174">
        <f ca="1">_xll.BDP($B$14,$C$14,CONCATENATE("PX391=", $F$160), CONCATENATE("PX392=",$F$161), CONCATENATE("DS004=",$B$153), "Fill=B")</f>
        <v>0.15590000000000001</v>
      </c>
      <c r="G174">
        <f ca="1">_xll.BDP($B$14,$C$14,CONCATENATE("PX391=", $G$160), CONCATENATE("PX392=",$G$161), CONCATENATE("DS004=",$B$153), "Fill=B")</f>
        <v>0.15459999999999999</v>
      </c>
      <c r="H174">
        <f ca="1">_xll.BDP($B$14,$C$14,CONCATENATE("PX391=", $H$160), CONCATENATE("PX392=",$H$161), CONCATENATE("DS004=",$B$153), "Fill=B")</f>
        <v>0.15479999999999999</v>
      </c>
      <c r="I174">
        <f ca="1">_xll.BDP($B$14,$C$14,CONCATENATE("PX391=", $I$160), CONCATENATE("PX392=",$I$161), CONCATENATE("DS004=",$B$153), "Fill=B")</f>
        <v>0.15429999999999999</v>
      </c>
      <c r="J174">
        <f ca="1">_xll.BDP($B$14,$C$14,CONCATENATE("PX391=", $J$160), CONCATENATE("PX392=",$J$161), CONCATENATE("DS004=",$B$153), "Fill=B")</f>
        <v>0.15129999999999999</v>
      </c>
      <c r="K174">
        <f ca="1">_xll.BDP($B$14,$C$14,CONCATENATE("PX391=", $K$160), CONCATENATE("PX392=",$K$161), CONCATENATE("DS004=",$B$153), "Fill=B")</f>
        <v>0.14460000000000001</v>
      </c>
      <c r="L174">
        <f ca="1">_xll.BDP($B$14,$C$14,CONCATENATE("PX391=", $L$160), CONCATENATE("PX392=",$L$161), CONCATENATE("DS004=",$B$153), "Fill=B")</f>
        <v>0.1409</v>
      </c>
      <c r="M174">
        <f ca="1">_xll.BDP($B$14,$C$14,CONCATENATE("PX391=", $M$160), CONCATENATE("PX392=",$M$161), CONCATENATE("DS004=",$B$153), "Fill=B")</f>
        <v>0.1431</v>
      </c>
      <c r="N174">
        <f ca="1">_xll.BDP($B$14,$C$14,CONCATENATE("PX391=", $N$160), CONCATENATE("PX392=",$N$161), CONCATENATE("DS004=",$B$153), "Fill=B")</f>
        <v>0.14199999999999999</v>
      </c>
      <c r="O174">
        <f ca="1">_xll.BDP($B$14,$C$14,CONCATENATE("PX391=", $O$160), CONCATENATE("PX392=",$O$161), CONCATENATE("DS004=",$B$153), "Fill=B")</f>
        <v>0.1424</v>
      </c>
      <c r="P174">
        <f ca="1">_xll.BDP($B$14,$C$14,CONCATENATE("PX391=", $P$160), CONCATENATE("PX392=",$P$161), CONCATENATE("DS004=",$B$153), "Fill=B")</f>
        <v>0.1464</v>
      </c>
      <c r="Q174">
        <f ca="1">_xll.BDP($B$14,$C$14,CONCATENATE("PX391=", $Q$160), CONCATENATE("PX392=",$Q$161), CONCATENATE("DS004=",$B$153), "Fill=B")</f>
        <v>0.14799999999999999</v>
      </c>
      <c r="R174">
        <f ca="1">_xll.BDP($B$14,$C$14,CONCATENATE("PX391=", $R$160), CONCATENATE("PX392=",$R$161), CONCATENATE("DS004=",$B$153), "Fill=B")</f>
        <v>0.14460000000000001</v>
      </c>
      <c r="S174">
        <f ca="1">_xll.BDP($B$14,$C$14,CONCATENATE("PX391=", $S$160), CONCATENATE("PX392=",$S$161), CONCATENATE("DS004=",$B$153), "Fill=B")</f>
        <v>0.14680000000000001</v>
      </c>
      <c r="T174">
        <f ca="1">_xll.BDP($B$14,$C$14,CONCATENATE("PX391=", $T$160), CONCATENATE("PX392=",$T$161), CONCATENATE("DS004=",$B$153), "Fill=B")</f>
        <v>0.15690000000000001</v>
      </c>
      <c r="U174">
        <f ca="1">_xll.BDP($B$14,$C$14,CONCATENATE("PX391=", $U$160), CONCATENATE("PX392=",$U$161), CONCATENATE("DS004=",$B$153), "Fill=B")</f>
        <v>0.15740000000000001</v>
      </c>
      <c r="V174">
        <f ca="1">_xll.BDP($B$14,$C$14,CONCATENATE("PX391=", $V$160), CONCATENATE("PX392=",$V$161), CONCATENATE("DS004=",$B$153), "Fill=B")</f>
        <v>0.1512</v>
      </c>
      <c r="W174">
        <f ca="1">_xll.BDP($B$14,$C$14,CONCATENATE("PX391=", $W$160), CONCATENATE("PX392=",$W$161), CONCATENATE("DS004=",$B$153), "Fill=B")</f>
        <v>0.14990000000000001</v>
      </c>
      <c r="X174">
        <f ca="1">_xll.BDP($B$14,$C$14,CONCATENATE("PX391=", $X$160), CONCATENATE("PX392=",$X$161), CONCATENATE("DS004=",$B$153), "Fill=B")</f>
        <v>0.1459</v>
      </c>
      <c r="Y174">
        <f ca="1">_xll.BDP($B$14,$C$14,CONCATENATE("PX391=", $Y$160), CONCATENATE("PX392=",$Y$161), CONCATENATE("DS004=",$B$153), "Fill=B")</f>
        <v>0.1457</v>
      </c>
      <c r="Z174">
        <f ca="1">_xll.BDP($B$14,$C$14,CONCATENATE("PX391=", $Z$160), CONCATENATE("PX392=",$Z$161), CONCATENATE("DS004=",$B$153), "Fill=B")</f>
        <v>0.14610000000000001</v>
      </c>
      <c r="AA174">
        <f ca="1">_xll.BDP($B$14,$C$14,CONCATENATE("PX391=", $AA$160), CONCATENATE("PX392=",$AA$161), CONCATENATE("DS004=",$B$153), "Fill=B")</f>
        <v>0.14979999999999999</v>
      </c>
      <c r="AB174">
        <f ca="1">_xll.BDP($B$14,$C$14,CONCATENATE("PX391=", $AB$160), CONCATENATE("PX392=",$AB$161), CONCATENATE("DS004=",$B$153), "Fill=B")</f>
        <v>0.15279999999999999</v>
      </c>
      <c r="AC174">
        <f ca="1">_xll.BDP($B$14,$C$14,CONCATENATE("PX391=", $AC$160), CONCATENATE("PX392=",$AC$161), CONCATENATE("DS004=",$B$153), "Fill=B")</f>
        <v>0.15260000000000001</v>
      </c>
      <c r="AD174">
        <f ca="1">_xll.BDP($B$14,$C$14,CONCATENATE("PX391=", $AD$160), CONCATENATE("PX392=",$AD$161), CONCATENATE("DS004=",$B$153), "Fill=B")</f>
        <v>0.15559999999999999</v>
      </c>
      <c r="AE174">
        <f ca="1">_xll.BDP($B$14,$C$14,CONCATENATE("PX391=", $AE$160), CONCATENATE("PX392=",$AE$161), CONCATENATE("DS004=",$B$153), "Fill=B")</f>
        <v>0.15790000000000001</v>
      </c>
      <c r="AF174">
        <f ca="1">_xll.BDP($B$14,$C$14,CONCATENATE("PX391=", $AF$160), CONCATENATE("PX392=",$AF$161), CONCATENATE("DS004=",$B$153), "Fill=B")</f>
        <v>0.16120000000000001</v>
      </c>
      <c r="AG174">
        <f ca="1">_xll.BDP($B$14,$C$14,CONCATENATE("PX391=", $AG$160), CONCATENATE("PX392=",$AG$161), CONCATENATE("DS004=",$B$153), "Fill=B")</f>
        <v>0.16009999999999999</v>
      </c>
      <c r="AH174">
        <f ca="1">_xll.BDP($B$14,$C$14,CONCATENATE("PX391=", $AH$160), CONCATENATE("PX392=",$AH$161), CONCATENATE("DS004=",$B$153), "Fill=B")</f>
        <v>0.16239999999999999</v>
      </c>
      <c r="AI174">
        <f ca="1">_xll.BDP($B$14,$C$14,CONCATENATE("PX391=", $AI$160), CONCATENATE("PX392=",$AI$161), CONCATENATE("DS004=",$B$153), "Fill=B")</f>
        <v>0.16209999999999999</v>
      </c>
      <c r="AJ174">
        <f ca="1">_xll.BDP($B$14,$C$14,CONCATENATE("PX391=", $AJ$160), CONCATENATE("PX392=",$AJ$161), CONCATENATE("DS004=",$B$153), "Fill=B")</f>
        <v>0.1605</v>
      </c>
      <c r="AK174">
        <f ca="1">_xll.BDP($B$14,$C$14,CONCATENATE("PX391=", $AK$160), CONCATENATE("PX392=",$AK$161), CONCATENATE("DS004=",$B$153), "Fill=B")</f>
        <v>0.16439999999999999</v>
      </c>
      <c r="AL174">
        <f ca="1">_xll.BDP($B$14,$C$14,CONCATENATE("PX391=", $AL$160), CONCATENATE("PX392=",$AL$161), CONCATENATE("DS004=",$B$153), "Fill=B")</f>
        <v>0.16439999999999999</v>
      </c>
      <c r="AM174">
        <f ca="1">_xll.BDP($B$14,$C$14,CONCATENATE("PX391=", $AM$160), CONCATENATE("PX392=",$AM$161), CONCATENATE("DS004=",$B$153), "Fill=B")</f>
        <v>0.1633</v>
      </c>
      <c r="AN174">
        <f ca="1">_xll.BDP($B$14,$C$14,CONCATENATE("PX391=", $AN$160), CONCATENATE("PX392=",$AN$161), CONCATENATE("DS004=",$B$153), "Fill=B")</f>
        <v>0.16250000000000001</v>
      </c>
      <c r="AO174">
        <f ca="1">_xll.BDP($B$14,$C$14,CONCATENATE("PX391=", $AO$160), CONCATENATE("PX392=",$AO$161), CONCATENATE("DS004=",$B$153), "Fill=B")</f>
        <v>0.161</v>
      </c>
      <c r="AP174">
        <f ca="1">_xll.BDP($B$14,$C$14,CONCATENATE("PX391=", $AP$160), CONCATENATE("PX392=",$AP$161), CONCATENATE("DS004=",$B$153), "Fill=B")</f>
        <v>0.1603</v>
      </c>
      <c r="AQ174">
        <f ca="1">_xll.BDP($B$14,$C$14,CONCATENATE("PX391=", $AQ$160), CONCATENATE("PX392=",$AQ$161), CONCATENATE("DS004=",$B$153), "Fill=B")</f>
        <v>0.1573</v>
      </c>
      <c r="AR174">
        <f ca="1">_xll.BDP($B$14,$C$14,CONCATENATE("PX391=", $AR$160), CONCATENATE("PX392=",$AR$161), CONCATENATE("DS004=",$B$153), "Fill=B")</f>
        <v>0.15790000000000001</v>
      </c>
      <c r="AS174">
        <f ca="1">_xll.BDP($B$14,$C$14,CONCATENATE("PX391=", $AS$160), CONCATENATE("PX392=",$AS$161), CONCATENATE("DS004=",$B$153), "Fill=B")</f>
        <v>0.15859999999999999</v>
      </c>
      <c r="AT174">
        <f ca="1">_xll.BDP($B$14,$C$14,CONCATENATE("PX391=", $AT$160), CONCATENATE("PX392=",$AT$161), CONCATENATE("DS004=",$B$153), "Fill=B")</f>
        <v>0.1565</v>
      </c>
      <c r="AU174">
        <f ca="1">_xll.BDP($B$14,$C$14,CONCATENATE("PX391=", $AU$160), CONCATENATE("PX392=",$AU$161), CONCATENATE("DS004=",$B$153), "Fill=B")</f>
        <v>0.15579999999999999</v>
      </c>
      <c r="AV174">
        <f ca="1">_xll.BDP($B$14,$C$14,CONCATENATE("PX391=", $AV$160), CONCATENATE("PX392=",$AV$161), CONCATENATE("DS004=",$B$153), "Fill=B")</f>
        <v>0.154</v>
      </c>
      <c r="AW174">
        <f ca="1">_xll.BDP($B$14,$C$14,CONCATENATE("PX391=", $AW$160), CONCATENATE("PX392=",$AW$161), CONCATENATE("DS004=",$B$153), "Fill=B")</f>
        <v>0.1522</v>
      </c>
      <c r="AX174">
        <f ca="1">_xll.BDP($B$14,$C$14,CONCATENATE("PX391=", $AX$160), CONCATENATE("PX392=",$AX$161), CONCATENATE("DS004=",$B$153), "Fill=B")</f>
        <v>0.15140000000000001</v>
      </c>
      <c r="AY174">
        <f ca="1">_xll.BDP($B$14,$C$14,CONCATENATE("PX391=", $AY$160), CONCATENATE("PX392=",$AY$161), CONCATENATE("DS004=",$B$153), "Fill=B")</f>
        <v>0.1489</v>
      </c>
      <c r="AZ174" t="str">
        <f ca="1">_xll.BDP($B$14,$C$14,CONCATENATE("PX391=", $AZ$160), CONCATENATE("PX392=",$AZ$161), CONCATENATE("DS004=",$B$153), "Fill=B")</f>
        <v/>
      </c>
      <c r="BA174" t="str">
        <f ca="1">_xll.BDP($B$14,$C$14,CONCATENATE("PX391=", $BA$160), CONCATENATE("PX392=",$BA$161), CONCATENATE("DS004=",$B$153), "Fill=B")</f>
        <v/>
      </c>
      <c r="BB174" t="str">
        <f ca="1">_xll.BDP($B$14,$C$14,CONCATENATE("PX391=", $BB$160), CONCATENATE("PX392=",$BB$161), CONCATENATE("DS004=",$B$153), "Fill=B")</f>
        <v/>
      </c>
      <c r="BC174" t="str">
        <f ca="1">_xll.BDP($B$14,$C$14,CONCATENATE("PX391=", $BC$160), CONCATENATE("PX392=",$BC$161), CONCATENATE("DS004=",$B$153), "Fill=B")</f>
        <v/>
      </c>
      <c r="BD174" t="str">
        <f ca="1">_xll.BDP($B$14,$C$14,CONCATENATE("PX391=", $BD$160), CONCATENATE("PX392=",$BD$161), CONCATENATE("DS004=",$B$153), "Fill=B")</f>
        <v/>
      </c>
      <c r="BE174" t="str">
        <f ca="1">_xll.BDP($B$14,$C$14,CONCATENATE("PX391=", $BE$160), CONCATENATE("PX392=",$BE$161), CONCATENATE("DS004=",$B$153), "Fill=B")</f>
        <v/>
      </c>
      <c r="BF174" t="str">
        <f ca="1">_xll.BDP($B$14,$C$14,CONCATENATE("PX391=", $BF$160), CONCATENATE("PX392=",$BF$161), CONCATENATE("DS004=",$B$153), "Fill=B")</f>
        <v/>
      </c>
      <c r="BG174" t="str">
        <f ca="1">_xll.BDP($B$14,$C$14,CONCATENATE("PX391=", $BG$160), CONCATENATE("PX392=",$BG$161), CONCATENATE("DS004=",$B$153), "Fill=B")</f>
        <v/>
      </c>
      <c r="BH174" t="str">
        <f ca="1">_xll.BDP($B$14,$C$14,CONCATENATE("PX391=", $BH$160), CONCATENATE("PX392=",$BH$161), CONCATENATE("DS004=",$B$153), "Fill=B")</f>
        <v/>
      </c>
      <c r="BI174" t="str">
        <f ca="1">_xll.BDP($B$14,$C$14,CONCATENATE("PX391=", $BI$160), CONCATENATE("PX392=",$BI$161), CONCATENATE("DS004=",$B$153), "Fill=B")</f>
        <v/>
      </c>
      <c r="BJ174" t="str">
        <f ca="1">_xll.BDP($B$14,$C$14,CONCATENATE("PX391=", $BJ$160), CONCATENATE("PX392=",$BJ$161), CONCATENATE("DS004=",$B$153), "Fill=B")</f>
        <v/>
      </c>
      <c r="BK174" t="str">
        <f ca="1">_xll.BDP($B$14,$C$14,CONCATENATE("PX391=", $BK$160), CONCATENATE("PX392=",$BK$161), CONCATENATE("DS004=",$B$153), "Fill=B")</f>
        <v/>
      </c>
      <c r="BL174" t="str">
        <f ca="1">_xll.BDP($B$14,$C$14,CONCATENATE("PX391=", $BL$160), CONCATENATE("PX392=",$BL$161), CONCATENATE("DS004=",$B$153), "Fill=B")</f>
        <v/>
      </c>
      <c r="BM174" t="str">
        <f ca="1">_xll.BDP($B$14,$C$14,CONCATENATE("PX391=", $BM$160), CONCATENATE("PX392=",$BM$161), CONCATENATE("DS004=",$B$153), "Fill=B")</f>
        <v/>
      </c>
      <c r="BN174" t="str">
        <f>""</f>
        <v/>
      </c>
      <c r="BO174" t="str">
        <f>""</f>
        <v/>
      </c>
      <c r="BP174" t="str">
        <f>""</f>
        <v/>
      </c>
      <c r="BQ174" t="str">
        <f>""</f>
        <v/>
      </c>
      <c r="BR174" t="str">
        <f>""</f>
        <v/>
      </c>
      <c r="BS174" t="str">
        <f>""</f>
        <v/>
      </c>
      <c r="BT174" t="str">
        <f>""</f>
        <v/>
      </c>
      <c r="BU174" t="str">
        <f>""</f>
        <v/>
      </c>
      <c r="BV174" t="str">
        <f>""</f>
        <v/>
      </c>
      <c r="BW174" t="str">
        <f>""</f>
        <v/>
      </c>
      <c r="BX174" t="str">
        <f>""</f>
        <v/>
      </c>
      <c r="BY174" t="str">
        <f>""</f>
        <v/>
      </c>
      <c r="BZ174" t="str">
        <f>""</f>
        <v/>
      </c>
      <c r="CA174" t="str">
        <f>""</f>
        <v/>
      </c>
      <c r="CB174" t="str">
        <f>""</f>
        <v/>
      </c>
      <c r="CC174" t="str">
        <f>""</f>
        <v/>
      </c>
      <c r="CD174" t="str">
        <f>""</f>
        <v/>
      </c>
      <c r="CE174" t="str">
        <f>""</f>
        <v/>
      </c>
      <c r="CF174" t="str">
        <f>""</f>
        <v/>
      </c>
      <c r="CG174" t="str">
        <f>""</f>
        <v/>
      </c>
      <c r="CH174" t="str">
        <f>""</f>
        <v/>
      </c>
      <c r="CI174" t="str">
        <f>""</f>
        <v/>
      </c>
      <c r="CJ174" t="str">
        <f>""</f>
        <v/>
      </c>
      <c r="CK174" t="str">
        <f>""</f>
        <v/>
      </c>
      <c r="CL174" t="str">
        <f>""</f>
        <v/>
      </c>
      <c r="CM174" t="str">
        <f>""</f>
        <v/>
      </c>
      <c r="CN174" t="str">
        <f>""</f>
        <v/>
      </c>
      <c r="CO174" t="str">
        <f>""</f>
        <v/>
      </c>
      <c r="CP174" t="str">
        <f>""</f>
        <v/>
      </c>
      <c r="CQ174" t="str">
        <f>""</f>
        <v/>
      </c>
      <c r="CR174" t="str">
        <f>""</f>
        <v/>
      </c>
      <c r="CS174" t="str">
        <f>""</f>
        <v/>
      </c>
      <c r="CT174" t="str">
        <f>""</f>
        <v/>
      </c>
      <c r="CU174" t="str">
        <f>""</f>
        <v/>
      </c>
      <c r="CV174" t="str">
        <f>""</f>
        <v/>
      </c>
      <c r="CW174" t="str">
        <f>""</f>
        <v/>
      </c>
      <c r="CX174" t="str">
        <f>""</f>
        <v/>
      </c>
      <c r="CY174" t="str">
        <f>""</f>
        <v/>
      </c>
      <c r="CZ174" t="str">
        <f>""</f>
        <v/>
      </c>
      <c r="DA174" t="str">
        <f>""</f>
        <v/>
      </c>
      <c r="DB174" t="str">
        <f>""</f>
        <v/>
      </c>
      <c r="DC174" t="str">
        <f>""</f>
        <v/>
      </c>
      <c r="DD174" t="str">
        <f>""</f>
        <v/>
      </c>
      <c r="DE174" t="str">
        <f>""</f>
        <v/>
      </c>
      <c r="DF174" t="str">
        <f>""</f>
        <v/>
      </c>
      <c r="DG174" t="str">
        <f>""</f>
        <v/>
      </c>
      <c r="DH174" t="str">
        <f>""</f>
        <v/>
      </c>
      <c r="DI174" t="str">
        <f>""</f>
        <v/>
      </c>
      <c r="DJ174" t="str">
        <f>""</f>
        <v/>
      </c>
      <c r="DK174" t="str">
        <f>""</f>
        <v/>
      </c>
      <c r="DL174" t="str">
        <f>""</f>
        <v/>
      </c>
      <c r="DM174" t="str">
        <f>""</f>
        <v/>
      </c>
      <c r="DN174" t="str">
        <f>""</f>
        <v/>
      </c>
      <c r="DO174" t="str">
        <f>""</f>
        <v/>
      </c>
      <c r="DP174" t="str">
        <f>""</f>
        <v/>
      </c>
      <c r="DQ174" t="str">
        <f>""</f>
        <v/>
      </c>
      <c r="DR174" t="str">
        <f>""</f>
        <v/>
      </c>
      <c r="DS174" t="str">
        <f>""</f>
        <v/>
      </c>
      <c r="DT174" t="str">
        <f>""</f>
        <v/>
      </c>
      <c r="DU174" t="str">
        <f>""</f>
        <v/>
      </c>
    </row>
    <row r="175" spans="1:125" x14ac:dyDescent="0.25">
      <c r="A175" t="str">
        <f>$A$15</f>
        <v xml:space="preserve">            CNH/EUR</v>
      </c>
      <c r="B175" t="str">
        <f>$B$15</f>
        <v>CNHEUR Curncy</v>
      </c>
      <c r="C175" t="str">
        <f>$C$15</f>
        <v>PX388</v>
      </c>
      <c r="D175" t="str">
        <f>$D$15</f>
        <v>INTERVAL_AVG</v>
      </c>
      <c r="E175" t="str">
        <f>$E$15</f>
        <v>Dynamic</v>
      </c>
      <c r="F175">
        <f ca="1">_xll.BDP($B$15,$C$15,CONCATENATE("PX391=", $F$160), CONCATENATE("PX392=",$F$161), CONCATENATE("DS004=",$B$153), "Fill=B")</f>
        <v>0.13439999999999999</v>
      </c>
      <c r="G175">
        <f ca="1">_xll.BDP($B$15,$C$15,CONCATENATE("PX391=", $G$160), CONCATENATE("PX392=",$G$161), CONCATENATE("DS004=",$B$153), "Fill=B")</f>
        <v>0.13120000000000001</v>
      </c>
      <c r="H175">
        <f ca="1">_xll.BDP($B$15,$C$15,CONCATENATE("PX391=", $H$160), CONCATENATE("PX392=",$H$161), CONCATENATE("DS004=",$B$153), "Fill=B")</f>
        <v>0.1285</v>
      </c>
      <c r="I175">
        <f ca="1">_xll.BDP($B$15,$C$15,CONCATENATE("PX391=", $I$160), CONCATENATE("PX392=",$I$161), CONCATENATE("DS004=",$B$153), "Fill=B")</f>
        <v>0.12809999999999999</v>
      </c>
      <c r="J175">
        <f ca="1">_xll.BDP($B$15,$C$15,CONCATENATE("PX391=", $J$160), CONCATENATE("PX392=",$J$161), CONCATENATE("DS004=",$B$153), "Fill=B")</f>
        <v>0.12690000000000001</v>
      </c>
      <c r="K175">
        <f ca="1">_xll.BDP($B$15,$C$15,CONCATENATE("PX391=", $K$160), CONCATENATE("PX392=",$K$161), CONCATENATE("DS004=",$B$153), "Fill=B")</f>
        <v>0.1237</v>
      </c>
      <c r="L175">
        <f ca="1">_xll.BDP($B$15,$C$15,CONCATENATE("PX391=", $L$160), CONCATENATE("PX392=",$L$161), CONCATENATE("DS004=",$B$153), "Fill=B")</f>
        <v>0.128</v>
      </c>
      <c r="M175">
        <f ca="1">_xll.BDP($B$15,$C$15,CONCATENATE("PX391=", $M$160), CONCATENATE("PX392=",$M$161), CONCATENATE("DS004=",$B$153), "Fill=B")</f>
        <v>0.1298</v>
      </c>
      <c r="N175">
        <f ca="1">_xll.BDP($B$15,$C$15,CONCATENATE("PX391=", $N$160), CONCATENATE("PX392=",$N$161), CONCATENATE("DS004=",$B$153), "Fill=B")</f>
        <v>0.1283</v>
      </c>
      <c r="O175">
        <f ca="1">_xll.BDP($B$15,$C$15,CONCATENATE("PX391=", $O$160), CONCATENATE("PX392=",$O$161), CONCATENATE("DS004=",$B$153), "Fill=B")</f>
        <v>0.12809999999999999</v>
      </c>
      <c r="P175">
        <f ca="1">_xll.BDP($B$15,$C$15,CONCATENATE("PX391=", $P$160), CONCATENATE("PX392=",$P$161), CONCATENATE("DS004=",$B$153), "Fill=B")</f>
        <v>0.1303</v>
      </c>
      <c r="Q175">
        <f ca="1">_xll.BDP($B$15,$C$15,CONCATENATE("PX391=", $Q$160), CONCATENATE("PX392=",$Q$161), CONCATENATE("DS004=",$B$153), "Fill=B")</f>
        <v>0.1303</v>
      </c>
      <c r="R175">
        <f ca="1">_xll.BDP($B$15,$C$15,CONCATENATE("PX391=", $R$160), CONCATENATE("PX392=",$R$161), CONCATENATE("DS004=",$B$153), "Fill=B")</f>
        <v>0.12670000000000001</v>
      </c>
      <c r="S175">
        <f ca="1">_xll.BDP($B$15,$C$15,CONCATENATE("PX391=", $S$160), CONCATENATE("PX392=",$S$161), CONCATENATE("DS004=",$B$153), "Fill=B")</f>
        <v>0.12620000000000001</v>
      </c>
      <c r="T175">
        <f ca="1">_xll.BDP($B$15,$C$15,CONCATENATE("PX391=", $T$160), CONCATENATE("PX392=",$T$161), CONCATENATE("DS004=",$B$153), "Fill=B")</f>
        <v>0.13170000000000001</v>
      </c>
      <c r="U175">
        <f ca="1">_xll.BDP($B$15,$C$15,CONCATENATE("PX391=", $U$160), CONCATENATE("PX392=",$U$161), CONCATENATE("DS004=",$B$153), "Fill=B")</f>
        <v>0.12809999999999999</v>
      </c>
      <c r="V175">
        <f ca="1">_xll.BDP($B$15,$C$15,CONCATENATE("PX391=", $V$160), CONCATENATE("PX392=",$V$161), CONCATENATE("DS004=",$B$153), "Fill=B")</f>
        <v>0.12839999999999999</v>
      </c>
      <c r="W175">
        <f ca="1">_xll.BDP($B$15,$C$15,CONCATENATE("PX391=", $W$160), CONCATENATE("PX392=",$W$161), CONCATENATE("DS004=",$B$153), "Fill=B")</f>
        <v>0.1275</v>
      </c>
      <c r="X175">
        <f ca="1">_xll.BDP($B$15,$C$15,CONCATENATE("PX391=", $X$160), CONCATENATE("PX392=",$X$161), CONCATENATE("DS004=",$B$153), "Fill=B")</f>
        <v>0.13250000000000001</v>
      </c>
      <c r="Y175">
        <f ca="1">_xll.BDP($B$15,$C$15,CONCATENATE("PX391=", $Y$160), CONCATENATE("PX392=",$Y$161), CONCATENATE("DS004=",$B$153), "Fill=B")</f>
        <v>0.1368</v>
      </c>
      <c r="Z175">
        <f ca="1">_xll.BDP($B$15,$C$15,CONCATENATE("PX391=", $Z$160), CONCATENATE("PX392=",$Z$161), CONCATENATE("DS004=",$B$153), "Fill=B")</f>
        <v>0.1356</v>
      </c>
      <c r="AA175">
        <f ca="1">_xll.BDP($B$15,$C$15,CONCATENATE("PX391=", $AA$160), CONCATENATE("PX392=",$AA$161), CONCATENATE("DS004=",$B$153), "Fill=B")</f>
        <v>0.13420000000000001</v>
      </c>
      <c r="AB175">
        <f ca="1">_xll.BDP($B$15,$C$15,CONCATENATE("PX391=", $AB$160), CONCATENATE("PX392=",$AB$161), CONCATENATE("DS004=",$B$153), "Fill=B")</f>
        <v>0.1353</v>
      </c>
      <c r="AC175">
        <f ca="1">_xll.BDP($B$15,$C$15,CONCATENATE("PX391=", $AC$160), CONCATENATE("PX392=",$AC$161), CONCATENATE("DS004=",$B$153), "Fill=B")</f>
        <v>0.13819999999999999</v>
      </c>
      <c r="AD175">
        <f ca="1">_xll.BDP($B$15,$C$15,CONCATENATE("PX391=", $AD$160), CONCATENATE("PX392=",$AD$161), CONCATENATE("DS004=",$B$153), "Fill=B")</f>
        <v>0.1421</v>
      </c>
      <c r="AE175">
        <f ca="1">_xll.BDP($B$15,$C$15,CONCATENATE("PX391=", $AE$160), CONCATENATE("PX392=",$AE$161), CONCATENATE("DS004=",$B$153), "Fill=B")</f>
        <v>0.14199999999999999</v>
      </c>
      <c r="AF175">
        <f ca="1">_xll.BDP($B$15,$C$15,CONCATENATE("PX391=", $AF$160), CONCATENATE("PX392=",$AF$161), CONCATENATE("DS004=",$B$153), "Fill=B")</f>
        <v>0.14560000000000001</v>
      </c>
      <c r="AG175">
        <f ca="1">_xll.BDP($B$15,$C$15,CONCATENATE("PX391=", $AG$160), CONCATENATE("PX392=",$AG$161), CONCATENATE("DS004=",$B$153), "Fill=B")</f>
        <v>0.14230000000000001</v>
      </c>
      <c r="AH175">
        <f ca="1">_xll.BDP($B$15,$C$15,CONCATENATE("PX391=", $AH$160), CONCATENATE("PX392=",$AH$161), CONCATENATE("DS004=",$B$153), "Fill=B")</f>
        <v>0.13009999999999999</v>
      </c>
      <c r="AI175">
        <f ca="1">_xll.BDP($B$15,$C$15,CONCATENATE("PX391=", $AI$160), CONCATENATE("PX392=",$AI$161), CONCATENATE("DS004=",$B$153), "Fill=B")</f>
        <v>0.12239999999999999</v>
      </c>
      <c r="AJ175">
        <f ca="1">_xll.BDP($B$15,$C$15,CONCATENATE("PX391=", $AJ$160), CONCATENATE("PX392=",$AJ$161), CONCATENATE("DS004=",$B$153), "Fill=B")</f>
        <v>0.11700000000000001</v>
      </c>
      <c r="AK175">
        <f ca="1">_xll.BDP($B$15,$C$15,CONCATENATE("PX391=", $AK$160), CONCATENATE("PX392=",$AK$161), CONCATENATE("DS004=",$B$153), "Fill=B")</f>
        <v>0.12</v>
      </c>
      <c r="AL175">
        <f ca="1">_xll.BDP($B$15,$C$15,CONCATENATE("PX391=", $AL$160), CONCATENATE("PX392=",$AL$161), CONCATENATE("DS004=",$B$153), "Fill=B")</f>
        <v>0.1208</v>
      </c>
      <c r="AM175">
        <f ca="1">_xll.BDP($B$15,$C$15,CONCATENATE("PX391=", $AM$160), CONCATENATE("PX392=",$AM$161), CONCATENATE("DS004=",$B$153), "Fill=B")</f>
        <v>0.12330000000000001</v>
      </c>
      <c r="AN175">
        <f ca="1">_xll.BDP($B$15,$C$15,CONCATENATE("PX391=", $AN$160), CONCATENATE("PX392=",$AN$161), CONCATENATE("DS004=",$B$153), "Fill=B")</f>
        <v>0.1244</v>
      </c>
      <c r="AO175">
        <f ca="1">_xll.BDP($B$15,$C$15,CONCATENATE("PX391=", $AO$160), CONCATENATE("PX392=",$AO$161), CONCATENATE("DS004=",$B$153), "Fill=B")</f>
        <v>0.122</v>
      </c>
      <c r="AP175">
        <f ca="1">_xll.BDP($B$15,$C$15,CONCATENATE("PX391=", $AP$160), CONCATENATE("PX392=",$AP$161), CONCATENATE("DS004=",$B$153), "Fill=B")</f>
        <v>0.1235</v>
      </c>
      <c r="AQ175">
        <f ca="1">_xll.BDP($B$15,$C$15,CONCATENATE("PX391=", $AQ$160), CONCATENATE("PX392=",$AQ$161), CONCATENATE("DS004=",$B$153), "Fill=B")</f>
        <v>0.1258</v>
      </c>
      <c r="AR175">
        <f ca="1">_xll.BDP($B$15,$C$15,CONCATENATE("PX391=", $AR$160), CONCATENATE("PX392=",$AR$161), CONCATENATE("DS004=",$B$153), "Fill=B")</f>
        <v>0.1231</v>
      </c>
      <c r="AS175">
        <f ca="1">_xll.BDP($B$15,$C$15,CONCATENATE("PX391=", $AS$160), CONCATENATE("PX392=",$AS$161), CONCATENATE("DS004=",$B$153), "Fill=B")</f>
        <v>0.12089999999999999</v>
      </c>
      <c r="AT175">
        <f ca="1">_xll.BDP($B$15,$C$15,CONCATENATE("PX391=", $AT$160), CONCATENATE("PX392=",$AT$161), CONCATENATE("DS004=",$B$153), "Fill=B")</f>
        <v>0.1162</v>
      </c>
      <c r="AU175">
        <f ca="1">_xll.BDP($B$15,$C$15,CONCATENATE("PX391=", $AU$160), CONCATENATE("PX392=",$AU$161), CONCATENATE("DS004=",$B$153), "Fill=B")</f>
        <v>0.1104</v>
      </c>
      <c r="AV175">
        <f ca="1">_xll.BDP($B$15,$C$15,CONCATENATE("PX391=", $AV$160), CONCATENATE("PX392=",$AV$161), CONCATENATE("DS004=",$B$153), "Fill=B")</f>
        <v>0.107</v>
      </c>
      <c r="AW175">
        <f ca="1">_xll.BDP($B$15,$C$15,CONCATENATE("PX391=", $AW$160), CONCATENATE("PX392=",$AW$161), CONCATENATE("DS004=",$B$153), "Fill=B")</f>
        <v>0.11119999999999999</v>
      </c>
      <c r="AX175">
        <f ca="1">_xll.BDP($B$15,$C$15,CONCATENATE("PX391=", $AX$160), CONCATENATE("PX392=",$AX$161), CONCATENATE("DS004=",$B$153), "Fill=B")</f>
        <v>0.1116</v>
      </c>
      <c r="AY175">
        <f ca="1">_xll.BDP($B$15,$C$15,CONCATENATE("PX391=", $AY$160), CONCATENATE("PX392=",$AY$161), CONCATENATE("DS004=",$B$153), "Fill=B")</f>
        <v>0.11459999999999999</v>
      </c>
      <c r="AZ175" t="str">
        <f ca="1">_xll.BDP($B$15,$C$15,CONCATENATE("PX391=", $AZ$160), CONCATENATE("PX392=",$AZ$161), CONCATENATE("DS004=",$B$153), "Fill=B")</f>
        <v/>
      </c>
      <c r="BA175" t="str">
        <f ca="1">_xll.BDP($B$15,$C$15,CONCATENATE("PX391=", $BA$160), CONCATENATE("PX392=",$BA$161), CONCATENATE("DS004=",$B$153), "Fill=B")</f>
        <v/>
      </c>
      <c r="BB175" t="str">
        <f ca="1">_xll.BDP($B$15,$C$15,CONCATENATE("PX391=", $BB$160), CONCATENATE("PX392=",$BB$161), CONCATENATE("DS004=",$B$153), "Fill=B")</f>
        <v/>
      </c>
      <c r="BC175" t="str">
        <f ca="1">_xll.BDP($B$15,$C$15,CONCATENATE("PX391=", $BC$160), CONCATENATE("PX392=",$BC$161), CONCATENATE("DS004=",$B$153), "Fill=B")</f>
        <v/>
      </c>
      <c r="BD175" t="str">
        <f ca="1">_xll.BDP($B$15,$C$15,CONCATENATE("PX391=", $BD$160), CONCATENATE("PX392=",$BD$161), CONCATENATE("DS004=",$B$153), "Fill=B")</f>
        <v/>
      </c>
      <c r="BE175" t="str">
        <f ca="1">_xll.BDP($B$15,$C$15,CONCATENATE("PX391=", $BE$160), CONCATENATE("PX392=",$BE$161), CONCATENATE("DS004=",$B$153), "Fill=B")</f>
        <v/>
      </c>
      <c r="BF175" t="str">
        <f ca="1">_xll.BDP($B$15,$C$15,CONCATENATE("PX391=", $BF$160), CONCATENATE("PX392=",$BF$161), CONCATENATE("DS004=",$B$153), "Fill=B")</f>
        <v/>
      </c>
      <c r="BG175" t="str">
        <f ca="1">_xll.BDP($B$15,$C$15,CONCATENATE("PX391=", $BG$160), CONCATENATE("PX392=",$BG$161), CONCATENATE("DS004=",$B$153), "Fill=B")</f>
        <v/>
      </c>
      <c r="BH175" t="str">
        <f ca="1">_xll.BDP($B$15,$C$15,CONCATENATE("PX391=", $BH$160), CONCATENATE("PX392=",$BH$161), CONCATENATE("DS004=",$B$153), "Fill=B")</f>
        <v/>
      </c>
      <c r="BI175" t="str">
        <f ca="1">_xll.BDP($B$15,$C$15,CONCATENATE("PX391=", $BI$160), CONCATENATE("PX392=",$BI$161), CONCATENATE("DS004=",$B$153), "Fill=B")</f>
        <v/>
      </c>
      <c r="BJ175" t="str">
        <f ca="1">_xll.BDP($B$15,$C$15,CONCATENATE("PX391=", $BJ$160), CONCATENATE("PX392=",$BJ$161), CONCATENATE("DS004=",$B$153), "Fill=B")</f>
        <v/>
      </c>
      <c r="BK175" t="str">
        <f ca="1">_xll.BDP($B$15,$C$15,CONCATENATE("PX391=", $BK$160), CONCATENATE("PX392=",$BK$161), CONCATENATE("DS004=",$B$153), "Fill=B")</f>
        <v/>
      </c>
      <c r="BL175" t="str">
        <f ca="1">_xll.BDP($B$15,$C$15,CONCATENATE("PX391=", $BL$160), CONCATENATE("PX392=",$BL$161), CONCATENATE("DS004=",$B$153), "Fill=B")</f>
        <v/>
      </c>
      <c r="BM175" t="str">
        <f ca="1">_xll.BDP($B$15,$C$15,CONCATENATE("PX391=", $BM$160), CONCATENATE("PX392=",$BM$161), CONCATENATE("DS004=",$B$153), "Fill=B")</f>
        <v/>
      </c>
      <c r="BN175" t="str">
        <f>""</f>
        <v/>
      </c>
      <c r="BO175" t="str">
        <f>""</f>
        <v/>
      </c>
      <c r="BP175" t="str">
        <f>""</f>
        <v/>
      </c>
      <c r="BQ175" t="str">
        <f>""</f>
        <v/>
      </c>
      <c r="BR175" t="str">
        <f>""</f>
        <v/>
      </c>
      <c r="BS175" t="str">
        <f>""</f>
        <v/>
      </c>
      <c r="BT175" t="str">
        <f>""</f>
        <v/>
      </c>
      <c r="BU175" t="str">
        <f>""</f>
        <v/>
      </c>
      <c r="BV175" t="str">
        <f>""</f>
        <v/>
      </c>
      <c r="BW175" t="str">
        <f>""</f>
        <v/>
      </c>
      <c r="BX175" t="str">
        <f>""</f>
        <v/>
      </c>
      <c r="BY175" t="str">
        <f>""</f>
        <v/>
      </c>
      <c r="BZ175" t="str">
        <f>""</f>
        <v/>
      </c>
      <c r="CA175" t="str">
        <f>""</f>
        <v/>
      </c>
      <c r="CB175" t="str">
        <f>""</f>
        <v/>
      </c>
      <c r="CC175" t="str">
        <f>""</f>
        <v/>
      </c>
      <c r="CD175" t="str">
        <f>""</f>
        <v/>
      </c>
      <c r="CE175" t="str">
        <f>""</f>
        <v/>
      </c>
      <c r="CF175" t="str">
        <f>""</f>
        <v/>
      </c>
      <c r="CG175" t="str">
        <f>""</f>
        <v/>
      </c>
      <c r="CH175" t="str">
        <f>""</f>
        <v/>
      </c>
      <c r="CI175" t="str">
        <f>""</f>
        <v/>
      </c>
      <c r="CJ175" t="str">
        <f>""</f>
        <v/>
      </c>
      <c r="CK175" t="str">
        <f>""</f>
        <v/>
      </c>
      <c r="CL175" t="str">
        <f>""</f>
        <v/>
      </c>
      <c r="CM175" t="str">
        <f>""</f>
        <v/>
      </c>
      <c r="CN175" t="str">
        <f>""</f>
        <v/>
      </c>
      <c r="CO175" t="str">
        <f>""</f>
        <v/>
      </c>
      <c r="CP175" t="str">
        <f>""</f>
        <v/>
      </c>
      <c r="CQ175" t="str">
        <f>""</f>
        <v/>
      </c>
      <c r="CR175" t="str">
        <f>""</f>
        <v/>
      </c>
      <c r="CS175" t="str">
        <f>""</f>
        <v/>
      </c>
      <c r="CT175" t="str">
        <f>""</f>
        <v/>
      </c>
      <c r="CU175" t="str">
        <f>""</f>
        <v/>
      </c>
      <c r="CV175" t="str">
        <f>""</f>
        <v/>
      </c>
      <c r="CW175" t="str">
        <f>""</f>
        <v/>
      </c>
      <c r="CX175" t="str">
        <f>""</f>
        <v/>
      </c>
      <c r="CY175" t="str">
        <f>""</f>
        <v/>
      </c>
      <c r="CZ175" t="str">
        <f>""</f>
        <v/>
      </c>
      <c r="DA175" t="str">
        <f>""</f>
        <v/>
      </c>
      <c r="DB175" t="str">
        <f>""</f>
        <v/>
      </c>
      <c r="DC175" t="str">
        <f>""</f>
        <v/>
      </c>
      <c r="DD175" t="str">
        <f>""</f>
        <v/>
      </c>
      <c r="DE175" t="str">
        <f>""</f>
        <v/>
      </c>
      <c r="DF175" t="str">
        <f>""</f>
        <v/>
      </c>
      <c r="DG175" t="str">
        <f>""</f>
        <v/>
      </c>
      <c r="DH175" t="str">
        <f>""</f>
        <v/>
      </c>
      <c r="DI175" t="str">
        <f>""</f>
        <v/>
      </c>
      <c r="DJ175" t="str">
        <f>""</f>
        <v/>
      </c>
      <c r="DK175" t="str">
        <f>""</f>
        <v/>
      </c>
      <c r="DL175" t="str">
        <f>""</f>
        <v/>
      </c>
      <c r="DM175" t="str">
        <f>""</f>
        <v/>
      </c>
      <c r="DN175" t="str">
        <f>""</f>
        <v/>
      </c>
      <c r="DO175" t="str">
        <f>""</f>
        <v/>
      </c>
      <c r="DP175" t="str">
        <f>""</f>
        <v/>
      </c>
      <c r="DQ175" t="str">
        <f>""</f>
        <v/>
      </c>
      <c r="DR175" t="str">
        <f>""</f>
        <v/>
      </c>
      <c r="DS175" t="str">
        <f>""</f>
        <v/>
      </c>
      <c r="DT175" t="str">
        <f>""</f>
        <v/>
      </c>
      <c r="DU175" t="str">
        <f>""</f>
        <v/>
      </c>
    </row>
    <row r="176" spans="1:125" x14ac:dyDescent="0.25">
      <c r="A176" t="str">
        <f>$A$16</f>
        <v xml:space="preserve">            EUR/USD</v>
      </c>
      <c r="B176" t="str">
        <f>$B$16</f>
        <v>EURUSD Curncy</v>
      </c>
      <c r="C176" t="str">
        <f>$C$16</f>
        <v>PX388</v>
      </c>
      <c r="D176" t="str">
        <f>$D$16</f>
        <v>INTERVAL_AVG</v>
      </c>
      <c r="E176" t="str">
        <f>$E$16</f>
        <v>Dynamic</v>
      </c>
      <c r="F176">
        <f ca="1">_xll.BDP($B$16,$C$16,CONCATENATE("PX391=", $F$160), CONCATENATE("PX392=",$F$161), CONCATENATE("DS004=",$B$153), "Fill=B")</f>
        <v>1.1594</v>
      </c>
      <c r="G176">
        <f ca="1">_xll.BDP($B$16,$C$16,CONCATENATE("PX391=", $G$160), CONCATENATE("PX392=",$G$161), CONCATENATE("DS004=",$B$153), "Fill=B")</f>
        <v>1.1786000000000001</v>
      </c>
      <c r="H176">
        <f ca="1">_xll.BDP($B$16,$C$16,CONCATENATE("PX391=", $H$160), CONCATENATE("PX392=",$H$161), CONCATENATE("DS004=",$B$153), "Fill=B")</f>
        <v>1.2052</v>
      </c>
      <c r="I176">
        <f ca="1">_xll.BDP($B$16,$C$16,CONCATENATE("PX391=", $I$160), CONCATENATE("PX392=",$I$161), CONCATENATE("DS004=",$B$153), "Fill=B")</f>
        <v>1.2051000000000001</v>
      </c>
      <c r="J176">
        <f ca="1">_xll.BDP($B$16,$C$16,CONCATENATE("PX391=", $J$160), CONCATENATE("PX392=",$J$161), CONCATENATE("DS004=",$B$153), "Fill=B")</f>
        <v>1.1930000000000001</v>
      </c>
      <c r="K176">
        <f ca="1">_xll.BDP($B$16,$C$16,CONCATENATE("PX391=", $K$160), CONCATENATE("PX392=",$K$161), CONCATENATE("DS004=",$B$153), "Fill=B")</f>
        <v>1.1691</v>
      </c>
      <c r="L176">
        <f ca="1">_xll.BDP($B$16,$C$16,CONCATENATE("PX391=", $L$160), CONCATENATE("PX392=",$L$161), CONCATENATE("DS004=",$B$153), "Fill=B")</f>
        <v>1.1012999999999999</v>
      </c>
      <c r="M176">
        <f ca="1">_xll.BDP($B$16,$C$16,CONCATENATE("PX391=", $M$160), CONCATENATE("PX392=",$M$161), CONCATENATE("DS004=",$B$153), "Fill=B")</f>
        <v>1.1029</v>
      </c>
      <c r="N176">
        <f ca="1">_xll.BDP($B$16,$C$16,CONCATENATE("PX391=", $N$160), CONCATENATE("PX392=",$N$161), CONCATENATE("DS004=",$B$153), "Fill=B")</f>
        <v>1.1073</v>
      </c>
      <c r="O176">
        <f ca="1">_xll.BDP($B$16,$C$16,CONCATENATE("PX391=", $O$160), CONCATENATE("PX392=",$O$161), CONCATENATE("DS004=",$B$153), "Fill=B")</f>
        <v>1.1116999999999999</v>
      </c>
      <c r="P176">
        <f ca="1">_xll.BDP($B$16,$C$16,CONCATENATE("PX391=", $P$160), CONCATENATE("PX392=",$P$161), CONCATENATE("DS004=",$B$153), "Fill=B")</f>
        <v>1.1234</v>
      </c>
      <c r="Q176">
        <f ca="1">_xll.BDP($B$16,$C$16,CONCATENATE("PX391=", $Q$160), CONCATENATE("PX392=",$Q$161), CONCATENATE("DS004=",$B$153), "Fill=B")</f>
        <v>1.1356999999999999</v>
      </c>
      <c r="R176">
        <f ca="1">_xll.BDP($B$16,$C$16,CONCATENATE("PX391=", $R$160), CONCATENATE("PX392=",$R$161), CONCATENATE("DS004=",$B$153), "Fill=B")</f>
        <v>1.1408</v>
      </c>
      <c r="S176">
        <f ca="1">_xll.BDP($B$16,$C$16,CONCATENATE("PX391=", $S$160), CONCATENATE("PX392=",$S$161), CONCATENATE("DS004=",$B$153), "Fill=B")</f>
        <v>1.1629</v>
      </c>
      <c r="T176">
        <f ca="1">_xll.BDP($B$16,$C$16,CONCATENATE("PX391=", $T$160), CONCATENATE("PX392=",$T$161), CONCATENATE("DS004=",$B$153), "Fill=B")</f>
        <v>1.1916</v>
      </c>
      <c r="U176">
        <f ca="1">_xll.BDP($B$16,$C$16,CONCATENATE("PX391=", $U$160), CONCATENATE("PX392=",$U$161), CONCATENATE("DS004=",$B$153), "Fill=B")</f>
        <v>1.2287999999999999</v>
      </c>
      <c r="V176">
        <f ca="1">_xll.BDP($B$16,$C$16,CONCATENATE("PX391=", $V$160), CONCATENATE("PX392=",$V$161), CONCATENATE("DS004=",$B$153), "Fill=B")</f>
        <v>1.1778</v>
      </c>
      <c r="W176">
        <f ca="1">_xll.BDP($B$16,$C$16,CONCATENATE("PX391=", $W$160), CONCATENATE("PX392=",$W$161), CONCATENATE("DS004=",$B$153), "Fill=B")</f>
        <v>1.1754</v>
      </c>
      <c r="X176">
        <f ca="1">_xll.BDP($B$16,$C$16,CONCATENATE("PX391=", $X$160), CONCATENATE("PX392=",$X$161), CONCATENATE("DS004=",$B$153), "Fill=B")</f>
        <v>1.1012999999999999</v>
      </c>
      <c r="Y176">
        <f ca="1">_xll.BDP($B$16,$C$16,CONCATENATE("PX391=", $Y$160), CONCATENATE("PX392=",$Y$161), CONCATENATE("DS004=",$B$153), "Fill=B")</f>
        <v>1.0653999999999999</v>
      </c>
      <c r="Z176">
        <f ca="1">_xll.BDP($B$16,$C$16,CONCATENATE("PX391=", $Z$160), CONCATENATE("PX392=",$Z$161), CONCATENATE("DS004=",$B$153), "Fill=B")</f>
        <v>1.0779000000000001</v>
      </c>
      <c r="AA176">
        <f ca="1">_xll.BDP($B$16,$C$16,CONCATENATE("PX391=", $AA$160), CONCATENATE("PX392=",$AA$161), CONCATENATE("DS004=",$B$153), "Fill=B")</f>
        <v>1.1163000000000001</v>
      </c>
      <c r="AB176">
        <f ca="1">_xll.BDP($B$16,$C$16,CONCATENATE("PX391=", $AB$160), CONCATENATE("PX392=",$AB$161), CONCATENATE("DS004=",$B$153), "Fill=B")</f>
        <v>1.1292</v>
      </c>
      <c r="AC176">
        <f ca="1">_xll.BDP($B$16,$C$16,CONCATENATE("PX391=", $AC$160), CONCATENATE("PX392=",$AC$161), CONCATENATE("DS004=",$B$153), "Fill=B")</f>
        <v>1.1041000000000001</v>
      </c>
      <c r="AD176">
        <f ca="1">_xll.BDP($B$16,$C$16,CONCATENATE("PX391=", $AD$160), CONCATENATE("PX392=",$AD$161), CONCATENATE("DS004=",$B$153), "Fill=B")</f>
        <v>1.0952</v>
      </c>
      <c r="AE176">
        <f ca="1">_xll.BDP($B$16,$C$16,CONCATENATE("PX391=", $AE$160), CONCATENATE("PX392=",$AE$161), CONCATENATE("DS004=",$B$153), "Fill=B")</f>
        <v>1.1125</v>
      </c>
      <c r="AF176">
        <f ca="1">_xll.BDP($B$16,$C$16,CONCATENATE("PX391=", $AF$160), CONCATENATE("PX392=",$AF$161), CONCATENATE("DS004=",$B$153), "Fill=B")</f>
        <v>1.1069</v>
      </c>
      <c r="AG176">
        <f ca="1">_xll.BDP($B$16,$C$16,CONCATENATE("PX391=", $AG$160), CONCATENATE("PX392=",$AG$161), CONCATENATE("DS004=",$B$153), "Fill=B")</f>
        <v>1.1268</v>
      </c>
      <c r="AH176">
        <f ca="1">_xll.BDP($B$16,$C$16,CONCATENATE("PX391=", $AH$160), CONCATENATE("PX392=",$AH$161), CONCATENATE("DS004=",$B$153), "Fill=B")</f>
        <v>1.2487999999999999</v>
      </c>
      <c r="AI176">
        <f ca="1">_xll.BDP($B$16,$C$16,CONCATENATE("PX391=", $AI$160), CONCATENATE("PX392=",$AI$161), CONCATENATE("DS004=",$B$153), "Fill=B")</f>
        <v>1.3251999999999999</v>
      </c>
      <c r="AJ176">
        <f ca="1">_xll.BDP($B$16,$C$16,CONCATENATE("PX391=", $AJ$160), CONCATENATE("PX392=",$AJ$161), CONCATENATE("DS004=",$B$153), "Fill=B")</f>
        <v>1.3715999999999999</v>
      </c>
      <c r="AK176">
        <f ca="1">_xll.BDP($B$16,$C$16,CONCATENATE("PX391=", $AK$160), CONCATENATE("PX392=",$AK$161), CONCATENATE("DS004=",$B$153), "Fill=B")</f>
        <v>1.3704000000000001</v>
      </c>
      <c r="AL176">
        <f ca="1">_xll.BDP($B$16,$C$16,CONCATENATE("PX391=", $AL$160), CONCATENATE("PX392=",$AL$161), CONCATENATE("DS004=",$B$153), "Fill=B")</f>
        <v>1.3614999999999999</v>
      </c>
      <c r="AM176">
        <f ca="1">_xll.BDP($B$16,$C$16,CONCATENATE("PX391=", $AM$160), CONCATENATE("PX392=",$AM$161), CONCATENATE("DS004=",$B$153), "Fill=B")</f>
        <v>1.3253999999999999</v>
      </c>
      <c r="AN176">
        <f ca="1">_xll.BDP($B$16,$C$16,CONCATENATE("PX391=", $AN$160), CONCATENATE("PX392=",$AN$161), CONCATENATE("DS004=",$B$153), "Fill=B")</f>
        <v>1.3062</v>
      </c>
      <c r="AO176">
        <f ca="1">_xll.BDP($B$16,$C$16,CONCATENATE("PX391=", $AO$160), CONCATENATE("PX392=",$AO$161), CONCATENATE("DS004=",$B$153), "Fill=B")</f>
        <v>1.32</v>
      </c>
      <c r="AP176">
        <f ca="1">_xll.BDP($B$16,$C$16,CONCATENATE("PX391=", $AP$160), CONCATENATE("PX392=",$AP$161), CONCATENATE("DS004=",$B$153), "Fill=B")</f>
        <v>1.2976000000000001</v>
      </c>
      <c r="AQ176">
        <f ca="1">_xll.BDP($B$16,$C$16,CONCATENATE("PX391=", $AQ$160), CONCATENATE("PX392=",$AQ$161), CONCATENATE("DS004=",$B$153), "Fill=B")</f>
        <v>1.2511000000000001</v>
      </c>
      <c r="AR176">
        <f ca="1">_xll.BDP($B$16,$C$16,CONCATENATE("PX391=", $AR$160), CONCATENATE("PX392=",$AR$161), CONCATENATE("DS004=",$B$153), "Fill=B")</f>
        <v>1.2831999999999999</v>
      </c>
      <c r="AS176">
        <f ca="1">_xll.BDP($B$16,$C$16,CONCATENATE("PX391=", $AS$160), CONCATENATE("PX392=",$AS$161), CONCATENATE("DS004=",$B$153), "Fill=B")</f>
        <v>1.3119000000000001</v>
      </c>
      <c r="AT176">
        <f ca="1">_xll.BDP($B$16,$C$16,CONCATENATE("PX391=", $AT$160), CONCATENATE("PX392=",$AT$161), CONCATENATE("DS004=",$B$153), "Fill=B")</f>
        <v>1.3472999999999999</v>
      </c>
      <c r="AU176">
        <f ca="1">_xll.BDP($B$16,$C$16,CONCATENATE("PX391=", $AU$160), CONCATENATE("PX392=",$AU$161), CONCATENATE("DS004=",$B$153), "Fill=B")</f>
        <v>1.4129</v>
      </c>
      <c r="AV176">
        <f ca="1">_xll.BDP($B$16,$C$16,CONCATENATE("PX391=", $AV$160), CONCATENATE("PX392=",$AV$161), CONCATENATE("DS004=",$B$153), "Fill=B")</f>
        <v>1.4398</v>
      </c>
      <c r="AW176">
        <f ca="1">_xll.BDP($B$16,$C$16,CONCATENATE("PX391=", $AW$160), CONCATENATE("PX392=",$AW$161), CONCATENATE("DS004=",$B$153), "Fill=B")</f>
        <v>1.3695999999999999</v>
      </c>
      <c r="AX176">
        <f ca="1">_xll.BDP($B$16,$C$16,CONCATENATE("PX391=", $AX$160), CONCATENATE("PX392=",$AX$161), CONCATENATE("DS004=",$B$153), "Fill=B")</f>
        <v>1.3579000000000001</v>
      </c>
      <c r="AY176">
        <f ca="1">_xll.BDP($B$16,$C$16,CONCATENATE("PX391=", $AY$160), CONCATENATE("PX392=",$AY$161), CONCATENATE("DS004=",$B$153), "Fill=B")</f>
        <v>1.2930999999999999</v>
      </c>
      <c r="AZ176">
        <f ca="1">_xll.BDP($B$16,$C$16,CONCATENATE("PX391=", $AZ$160), CONCATENATE("PX392=",$AZ$161), CONCATENATE("DS004=",$B$153), "Fill=B")</f>
        <v>1.2727999999999999</v>
      </c>
      <c r="BA176">
        <f ca="1">_xll.BDP($B$16,$C$16,CONCATENATE("PX391=", $BA$160), CONCATENATE("PX392=",$BA$161), CONCATENATE("DS004=",$B$153), "Fill=B")</f>
        <v>1.3836999999999999</v>
      </c>
      <c r="BB176">
        <f ca="1">_xll.BDP($B$16,$C$16,CONCATENATE("PX391=", $BB$160), CONCATENATE("PX392=",$BB$161), CONCATENATE("DS004=",$B$153), "Fill=B")</f>
        <v>1.4765999999999999</v>
      </c>
      <c r="BC176">
        <f ca="1">_xll.BDP($B$16,$C$16,CONCATENATE("PX391=", $BC$160), CONCATENATE("PX392=",$BC$161), CONCATENATE("DS004=",$B$153), "Fill=B")</f>
        <v>1.4301999999999999</v>
      </c>
      <c r="BD176">
        <f ca="1">_xll.BDP($B$16,$C$16,CONCATENATE("PX391=", $BD$160), CONCATENATE("PX392=",$BD$161), CONCATENATE("DS004=",$B$153), "Fill=B")</f>
        <v>1.363</v>
      </c>
      <c r="BE176">
        <f ca="1">_xll.BDP($B$16,$C$16,CONCATENATE("PX391=", $BE$160), CONCATENATE("PX392=",$BE$161), CONCATENATE("DS004=",$B$153), "Fill=B")</f>
        <v>1.3063</v>
      </c>
      <c r="BF176">
        <f ca="1">_xll.BDP($B$16,$C$16,CONCATENATE("PX391=", $BF$160), CONCATENATE("PX392=",$BF$161), CONCATENATE("DS004=",$B$153), "Fill=B")</f>
        <v>1.3201000000000001</v>
      </c>
      <c r="BG176">
        <f ca="1">_xll.BDP($B$16,$C$16,CONCATENATE("PX391=", $BG$160), CONCATENATE("PX392=",$BG$161), CONCATENATE("DS004=",$B$153), "Fill=B")</f>
        <v>1.504</v>
      </c>
      <c r="BH176">
        <f ca="1">_xll.BDP($B$16,$C$16,CONCATENATE("PX391=", $BH$160), CONCATENATE("PX392=",$BH$161), CONCATENATE("DS004=",$B$153), "Fill=B")</f>
        <v>1.5631999999999999</v>
      </c>
      <c r="BI176">
        <f ca="1">_xll.BDP($B$16,$C$16,CONCATENATE("PX391=", $BI$160), CONCATENATE("PX392=",$BI$161), CONCATENATE("DS004=",$B$153), "Fill=B")</f>
        <v>1.4992000000000001</v>
      </c>
      <c r="BJ176">
        <f ca="1">_xll.BDP($B$16,$C$16,CONCATENATE("PX391=", $BJ$160), CONCATENATE("PX392=",$BJ$161), CONCATENATE("DS004=",$B$153), "Fill=B")</f>
        <v>1.4483999999999999</v>
      </c>
      <c r="BK176">
        <f ca="1">_xll.BDP($B$16,$C$16,CONCATENATE("PX391=", $BK$160), CONCATENATE("PX392=",$BK$161), CONCATENATE("DS004=",$B$153), "Fill=B")</f>
        <v>1.3746</v>
      </c>
      <c r="BL176">
        <f ca="1">_xll.BDP($B$16,$C$16,CONCATENATE("PX391=", $BL$160), CONCATENATE("PX392=",$BL$161), CONCATENATE("DS004=",$B$153), "Fill=B")</f>
        <v>1.3483000000000001</v>
      </c>
      <c r="BM176">
        <f ca="1">_xll.BDP($B$16,$C$16,CONCATENATE("PX391=", $BM$160), CONCATENATE("PX392=",$BM$161), CONCATENATE("DS004=",$B$153), "Fill=B")</f>
        <v>1.3110999999999999</v>
      </c>
      <c r="BN176" t="str">
        <f>""</f>
        <v/>
      </c>
      <c r="BO176" t="str">
        <f>""</f>
        <v/>
      </c>
      <c r="BP176" t="str">
        <f>""</f>
        <v/>
      </c>
      <c r="BQ176" t="str">
        <f>""</f>
        <v/>
      </c>
      <c r="BR176" t="str">
        <f>""</f>
        <v/>
      </c>
      <c r="BS176" t="str">
        <f>""</f>
        <v/>
      </c>
      <c r="BT176" t="str">
        <f>""</f>
        <v/>
      </c>
      <c r="BU176" t="str">
        <f>""</f>
        <v/>
      </c>
      <c r="BV176" t="str">
        <f>""</f>
        <v/>
      </c>
      <c r="BW176" t="str">
        <f>""</f>
        <v/>
      </c>
      <c r="BX176" t="str">
        <f>""</f>
        <v/>
      </c>
      <c r="BY176" t="str">
        <f>""</f>
        <v/>
      </c>
      <c r="BZ176" t="str">
        <f>""</f>
        <v/>
      </c>
      <c r="CA176" t="str">
        <f>""</f>
        <v/>
      </c>
      <c r="CB176" t="str">
        <f>""</f>
        <v/>
      </c>
      <c r="CC176" t="str">
        <f>""</f>
        <v/>
      </c>
      <c r="CD176" t="str">
        <f>""</f>
        <v/>
      </c>
      <c r="CE176" t="str">
        <f>""</f>
        <v/>
      </c>
      <c r="CF176" t="str">
        <f>""</f>
        <v/>
      </c>
      <c r="CG176" t="str">
        <f>""</f>
        <v/>
      </c>
      <c r="CH176" t="str">
        <f>""</f>
        <v/>
      </c>
      <c r="CI176" t="str">
        <f>""</f>
        <v/>
      </c>
      <c r="CJ176" t="str">
        <f>""</f>
        <v/>
      </c>
      <c r="CK176" t="str">
        <f>""</f>
        <v/>
      </c>
      <c r="CL176" t="str">
        <f>""</f>
        <v/>
      </c>
      <c r="CM176" t="str">
        <f>""</f>
        <v/>
      </c>
      <c r="CN176" t="str">
        <f>""</f>
        <v/>
      </c>
      <c r="CO176" t="str">
        <f>""</f>
        <v/>
      </c>
      <c r="CP176" t="str">
        <f>""</f>
        <v/>
      </c>
      <c r="CQ176" t="str">
        <f>""</f>
        <v/>
      </c>
      <c r="CR176" t="str">
        <f>""</f>
        <v/>
      </c>
      <c r="CS176" t="str">
        <f>""</f>
        <v/>
      </c>
      <c r="CT176" t="str">
        <f>""</f>
        <v/>
      </c>
      <c r="CU176" t="str">
        <f>""</f>
        <v/>
      </c>
      <c r="CV176" t="str">
        <f>""</f>
        <v/>
      </c>
      <c r="CW176" t="str">
        <f>""</f>
        <v/>
      </c>
      <c r="CX176" t="str">
        <f>""</f>
        <v/>
      </c>
      <c r="CY176" t="str">
        <f>""</f>
        <v/>
      </c>
      <c r="CZ176" t="str">
        <f>""</f>
        <v/>
      </c>
      <c r="DA176" t="str">
        <f>""</f>
        <v/>
      </c>
      <c r="DB176" t="str">
        <f>""</f>
        <v/>
      </c>
      <c r="DC176" t="str">
        <f>""</f>
        <v/>
      </c>
      <c r="DD176" t="str">
        <f>""</f>
        <v/>
      </c>
      <c r="DE176" t="str">
        <f>""</f>
        <v/>
      </c>
      <c r="DF176" t="str">
        <f>""</f>
        <v/>
      </c>
      <c r="DG176" t="str">
        <f>""</f>
        <v/>
      </c>
      <c r="DH176" t="str">
        <f>""</f>
        <v/>
      </c>
      <c r="DI176" t="str">
        <f>""</f>
        <v/>
      </c>
      <c r="DJ176" t="str">
        <f>""</f>
        <v/>
      </c>
      <c r="DK176" t="str">
        <f>""</f>
        <v/>
      </c>
      <c r="DL176" t="str">
        <f>""</f>
        <v/>
      </c>
      <c r="DM176" t="str">
        <f>""</f>
        <v/>
      </c>
      <c r="DN176" t="str">
        <f>""</f>
        <v/>
      </c>
      <c r="DO176" t="str">
        <f>""</f>
        <v/>
      </c>
      <c r="DP176" t="str">
        <f>""</f>
        <v/>
      </c>
      <c r="DQ176" t="str">
        <f>""</f>
        <v/>
      </c>
      <c r="DR176" t="str">
        <f>""</f>
        <v/>
      </c>
      <c r="DS176" t="str">
        <f>""</f>
        <v/>
      </c>
      <c r="DT176" t="str">
        <f>""</f>
        <v/>
      </c>
      <c r="DU176" t="str">
        <f>""</f>
        <v/>
      </c>
    </row>
    <row r="177" spans="1:125" x14ac:dyDescent="0.25">
      <c r="A177" t="str">
        <f>$A$17</f>
        <v xml:space="preserve">            CNH/JPY</v>
      </c>
      <c r="B177" t="str">
        <f>$B$17</f>
        <v>CNHJPY Curncy</v>
      </c>
      <c r="C177" t="str">
        <f>$C$17</f>
        <v>PX388</v>
      </c>
      <c r="D177" t="str">
        <f>$D$17</f>
        <v>INTERVAL_AVG</v>
      </c>
      <c r="E177" t="str">
        <f>$E$17</f>
        <v>Dynamic</v>
      </c>
      <c r="F177">
        <f ca="1">_xll.BDP($B$17,$C$17,CONCATENATE("PX391=", $F$160), CONCATENATE("PX392=",$F$161), CONCATENATE("DS004=",$B$153), "Fill=B")</f>
        <v>17.66</v>
      </c>
      <c r="G177">
        <f ca="1">_xll.BDP($B$17,$C$17,CONCATENATE("PX391=", $G$160), CONCATENATE("PX392=",$G$161), CONCATENATE("DS004=",$B$153), "Fill=B")</f>
        <v>17.012499999999999</v>
      </c>
      <c r="H177">
        <f ca="1">_xll.BDP($B$17,$C$17,CONCATENATE("PX391=", $H$160), CONCATENATE("PX392=",$H$161), CONCATENATE("DS004=",$B$153), "Fill=B")</f>
        <v>16.945399999999999</v>
      </c>
      <c r="I177">
        <f ca="1">_xll.BDP($B$17,$C$17,CONCATENATE("PX391=", $I$160), CONCATENATE("PX392=",$I$161), CONCATENATE("DS004=",$B$153), "Fill=B")</f>
        <v>16.362200000000001</v>
      </c>
      <c r="J177">
        <f ca="1">_xll.BDP($B$17,$C$17,CONCATENATE("PX391=", $J$160), CONCATENATE("PX392=",$J$161), CONCATENATE("DS004=",$B$153), "Fill=B")</f>
        <v>15.805899999999999</v>
      </c>
      <c r="K177">
        <f ca="1">_xll.BDP($B$17,$C$17,CONCATENATE("PX391=", $K$160), CONCATENATE("PX392=",$K$161), CONCATENATE("DS004=",$B$153), "Fill=B")</f>
        <v>15.3452</v>
      </c>
      <c r="L177">
        <f ca="1">_xll.BDP($B$17,$C$17,CONCATENATE("PX391=", $L$160), CONCATENATE("PX392=",$L$161), CONCATENATE("DS004=",$B$153), "Fill=B")</f>
        <v>15.1555</v>
      </c>
      <c r="M177">
        <f ca="1">_xll.BDP($B$17,$C$17,CONCATENATE("PX391=", $M$160), CONCATENATE("PX392=",$M$161), CONCATENATE("DS004=",$B$153), "Fill=B")</f>
        <v>15.595000000000001</v>
      </c>
      <c r="N177">
        <f ca="1">_xll.BDP($B$17,$C$17,CONCATENATE("PX391=", $N$160), CONCATENATE("PX392=",$N$161), CONCATENATE("DS004=",$B$153), "Fill=B")</f>
        <v>15.4383</v>
      </c>
      <c r="O177">
        <f ca="1">_xll.BDP($B$17,$C$17,CONCATENATE("PX391=", $O$160), CONCATENATE("PX392=",$O$161), CONCATENATE("DS004=",$B$153), "Fill=B")</f>
        <v>15.289099999999999</v>
      </c>
      <c r="P177">
        <f ca="1">_xll.BDP($B$17,$C$17,CONCATENATE("PX391=", $P$160), CONCATENATE("PX392=",$P$161), CONCATENATE("DS004=",$B$153), "Fill=B")</f>
        <v>16.100000000000001</v>
      </c>
      <c r="Q177">
        <f ca="1">_xll.BDP($B$17,$C$17,CONCATENATE("PX391=", $Q$160), CONCATENATE("PX392=",$Q$161), CONCATENATE("DS004=",$B$153), "Fill=B")</f>
        <v>16.305700000000002</v>
      </c>
      <c r="R177">
        <f ca="1">_xll.BDP($B$17,$C$17,CONCATENATE("PX391=", $R$160), CONCATENATE("PX392=",$R$161), CONCATENATE("DS004=",$B$153), "Fill=B")</f>
        <v>16.303699999999999</v>
      </c>
      <c r="S177">
        <f ca="1">_xll.BDP($B$17,$C$17,CONCATENATE("PX391=", $S$160), CONCATENATE("PX392=",$S$161), CONCATENATE("DS004=",$B$153), "Fill=B")</f>
        <v>16.366199999999999</v>
      </c>
      <c r="T177">
        <f ca="1">_xll.BDP($B$17,$C$17,CONCATENATE("PX391=", $T$160), CONCATENATE("PX392=",$T$161), CONCATENATE("DS004=",$B$153), "Fill=B")</f>
        <v>17.125599999999999</v>
      </c>
      <c r="U177">
        <f ca="1">_xll.BDP($B$17,$C$17,CONCATENATE("PX391=", $U$160), CONCATENATE("PX392=",$U$161), CONCATENATE("DS004=",$B$153), "Fill=B")</f>
        <v>17.048300000000001</v>
      </c>
      <c r="V177">
        <f ca="1">_xll.BDP($B$17,$C$17,CONCATENATE("PX391=", $V$160), CONCATENATE("PX392=",$V$161), CONCATENATE("DS004=",$B$153), "Fill=B")</f>
        <v>17.072500000000002</v>
      </c>
      <c r="W177">
        <f ca="1">_xll.BDP($B$17,$C$17,CONCATENATE("PX391=", $W$160), CONCATENATE("PX392=",$W$161), CONCATENATE("DS004=",$B$153), "Fill=B")</f>
        <v>16.632000000000001</v>
      </c>
      <c r="X177">
        <f ca="1">_xll.BDP($B$17,$C$17,CONCATENATE("PX391=", $X$160), CONCATENATE("PX392=",$X$161), CONCATENATE("DS004=",$B$153), "Fill=B")</f>
        <v>16.215599999999998</v>
      </c>
      <c r="Y177">
        <f ca="1">_xll.BDP($B$17,$C$17,CONCATENATE("PX391=", $Y$160), CONCATENATE("PX392=",$Y$161), CONCATENATE("DS004=",$B$153), "Fill=B")</f>
        <v>16.554600000000001</v>
      </c>
      <c r="Z177">
        <f ca="1">_xll.BDP($B$17,$C$17,CONCATENATE("PX391=", $Z$160), CONCATENATE("PX392=",$Z$161), CONCATENATE("DS004=",$B$153), "Fill=B")</f>
        <v>16.002700000000001</v>
      </c>
      <c r="AA177">
        <f ca="1">_xll.BDP($B$17,$C$17,CONCATENATE("PX391=", $AA$160), CONCATENATE("PX392=",$AA$161), CONCATENATE("DS004=",$B$153), "Fill=B")</f>
        <v>15.337999999999999</v>
      </c>
      <c r="AB177">
        <f ca="1">_xll.BDP($B$17,$C$17,CONCATENATE("PX391=", $AB$160), CONCATENATE("PX392=",$AB$161), CONCATENATE("DS004=",$B$153), "Fill=B")</f>
        <v>16.497199999999999</v>
      </c>
      <c r="AC177">
        <f ca="1">_xll.BDP($B$17,$C$17,CONCATENATE("PX391=", $AC$160), CONCATENATE("PX392=",$AC$161), CONCATENATE("DS004=",$B$153), "Fill=B")</f>
        <v>17.5687</v>
      </c>
      <c r="AD177">
        <f ca="1">_xll.BDP($B$17,$C$17,CONCATENATE("PX391=", $AD$160), CONCATENATE("PX392=",$AD$161), CONCATENATE("DS004=",$B$153), "Fill=B")</f>
        <v>18.8903</v>
      </c>
      <c r="AE177">
        <f ca="1">_xll.BDP($B$17,$C$17,CONCATENATE("PX391=", $AE$160), CONCATENATE("PX392=",$AE$161), CONCATENATE("DS004=",$B$153), "Fill=B")</f>
        <v>19.2865</v>
      </c>
      <c r="AF177">
        <f ca="1">_xll.BDP($B$17,$C$17,CONCATENATE("PX391=", $AF$160), CONCATENATE("PX392=",$AF$161), CONCATENATE("DS004=",$B$153), "Fill=B")</f>
        <v>19.556699999999999</v>
      </c>
      <c r="AG177">
        <f ca="1">_xll.BDP($B$17,$C$17,CONCATENATE("PX391=", $AG$160), CONCATENATE("PX392=",$AG$161), CONCATENATE("DS004=",$B$153), "Fill=B")</f>
        <v>19.081</v>
      </c>
      <c r="AH177">
        <f ca="1">_xll.BDP($B$17,$C$17,CONCATENATE("PX391=", $AH$160), CONCATENATE("PX392=",$AH$161), CONCATENATE("DS004=",$B$153), "Fill=B")</f>
        <v>18.6022</v>
      </c>
      <c r="AI177">
        <f ca="1">_xll.BDP($B$17,$C$17,CONCATENATE("PX391=", $AI$160), CONCATENATE("PX392=",$AI$161), CONCATENATE("DS004=",$B$153), "Fill=B")</f>
        <v>16.864000000000001</v>
      </c>
      <c r="AJ177">
        <f ca="1">_xll.BDP($B$17,$C$17,CONCATENATE("PX391=", $AJ$160), CONCATENATE("PX392=",$AJ$161), CONCATENATE("DS004=",$B$153), "Fill=B")</f>
        <v>16.3916</v>
      </c>
      <c r="AK177">
        <f ca="1">_xll.BDP($B$17,$C$17,CONCATENATE("PX391=", $AK$160), CONCATENATE("PX392=",$AK$161), CONCATENATE("DS004=",$B$153), "Fill=B")</f>
        <v>16.902100000000001</v>
      </c>
      <c r="AL177">
        <f ca="1">_xll.BDP($B$17,$C$17,CONCATENATE("PX391=", $AL$160), CONCATENATE("PX392=",$AL$161), CONCATENATE("DS004=",$B$153), "Fill=B")</f>
        <v>16.518000000000001</v>
      </c>
      <c r="AM177">
        <f ca="1">_xll.BDP($B$17,$C$17,CONCATENATE("PX391=", $AM$160), CONCATENATE("PX392=",$AM$161), CONCATENATE("DS004=",$B$153), "Fill=B")</f>
        <v>16.150700000000001</v>
      </c>
      <c r="AN177">
        <f ca="1">_xll.BDP($B$17,$C$17,CONCATENATE("PX391=", $AN$160), CONCATENATE("PX392=",$AN$161), CONCATENATE("DS004=",$B$153), "Fill=B")</f>
        <v>16.045999999999999</v>
      </c>
      <c r="AO177">
        <f ca="1">_xll.BDP($B$17,$C$17,CONCATENATE("PX391=", $AO$160), CONCATENATE("PX392=",$AO$161), CONCATENATE("DS004=",$B$153), "Fill=B")</f>
        <v>14.8507</v>
      </c>
      <c r="AP177">
        <f ca="1">_xll.BDP($B$17,$C$17,CONCATENATE("PX391=", $AP$160), CONCATENATE("PX392=",$AP$161), CONCATENATE("DS004=",$B$153), "Fill=B")</f>
        <v>13.022399999999999</v>
      </c>
      <c r="AQ177">
        <f ca="1">_xll.BDP($B$17,$C$17,CONCATENATE("PX391=", $AQ$160), CONCATENATE("PX392=",$AQ$161), CONCATENATE("DS004=",$B$153), "Fill=B")</f>
        <v>12.3697</v>
      </c>
      <c r="AR177">
        <f ca="1">_xll.BDP($B$17,$C$17,CONCATENATE("PX391=", $AR$160), CONCATENATE("PX392=",$AR$161), CONCATENATE("DS004=",$B$153), "Fill=B")</f>
        <v>12.648</v>
      </c>
      <c r="AS177">
        <f ca="1">_xll.BDP($B$17,$C$17,CONCATENATE("PX391=", $AS$160), CONCATENATE("PX392=",$AS$161), CONCATENATE("DS004=",$B$153), "Fill=B")</f>
        <v>12.586600000000001</v>
      </c>
      <c r="AT177">
        <f ca="1">_xll.BDP($B$17,$C$17,CONCATENATE("PX391=", $AT$160), CONCATENATE("PX392=",$AT$161), CONCATENATE("DS004=",$B$153), "Fill=B")</f>
        <v>12.1149</v>
      </c>
      <c r="AU177">
        <f ca="1">_xll.BDP($B$17,$C$17,CONCATENATE("PX391=", $AU$160), CONCATENATE("PX392=",$AU$161), CONCATENATE("DS004=",$B$153), "Fill=B")</f>
        <v>12.1113</v>
      </c>
      <c r="AV177">
        <f ca="1">_xll.BDP($B$17,$C$17,CONCATENATE("PX391=", $AV$160), CONCATENATE("PX392=",$AV$161), CONCATENATE("DS004=",$B$153), "Fill=B")</f>
        <v>12.570600000000001</v>
      </c>
      <c r="AW177">
        <f ca="1">_xll.BDP($B$17,$C$17,CONCATENATE("PX391=", $AW$160), CONCATENATE("PX392=",$AW$161), CONCATENATE("DS004=",$B$153), "Fill=B")</f>
        <v>12.5215</v>
      </c>
      <c r="AX177">
        <f ca="1">_xll.BDP($B$17,$C$17,CONCATENATE("PX391=", $AX$160), CONCATENATE("PX392=",$AX$161), CONCATENATE("DS004=",$B$153), "Fill=B")</f>
        <v>12.4977</v>
      </c>
      <c r="AY177">
        <f ca="1">_xll.BDP($B$17,$C$17,CONCATENATE("PX391=", $AY$160), CONCATENATE("PX392=",$AY$161), CONCATENATE("DS004=",$B$153), "Fill=B")</f>
        <v>12.5709</v>
      </c>
      <c r="AZ177" t="str">
        <f ca="1">_xll.BDP($B$17,$C$17,CONCATENATE("PX391=", $AZ$160), CONCATENATE("PX392=",$AZ$161), CONCATENATE("DS004=",$B$153), "Fill=B")</f>
        <v/>
      </c>
      <c r="BA177" t="str">
        <f ca="1">_xll.BDP($B$17,$C$17,CONCATENATE("PX391=", $BA$160), CONCATENATE("PX392=",$BA$161), CONCATENATE("DS004=",$B$153), "Fill=B")</f>
        <v/>
      </c>
      <c r="BB177" t="str">
        <f ca="1">_xll.BDP($B$17,$C$17,CONCATENATE("PX391=", $BB$160), CONCATENATE("PX392=",$BB$161), CONCATENATE("DS004=",$B$153), "Fill=B")</f>
        <v/>
      </c>
      <c r="BC177" t="str">
        <f ca="1">_xll.BDP($B$17,$C$17,CONCATENATE("PX391=", $BC$160), CONCATENATE("PX392=",$BC$161), CONCATENATE("DS004=",$B$153), "Fill=B")</f>
        <v/>
      </c>
      <c r="BD177" t="str">
        <f ca="1">_xll.BDP($B$17,$C$17,CONCATENATE("PX391=", $BD$160), CONCATENATE("PX392=",$BD$161), CONCATENATE("DS004=",$B$153), "Fill=B")</f>
        <v/>
      </c>
      <c r="BE177" t="str">
        <f ca="1">_xll.BDP($B$17,$C$17,CONCATENATE("PX391=", $BE$160), CONCATENATE("PX392=",$BE$161), CONCATENATE("DS004=",$B$153), "Fill=B")</f>
        <v/>
      </c>
      <c r="BF177" t="str">
        <f ca="1">_xll.BDP($B$17,$C$17,CONCATENATE("PX391=", $BF$160), CONCATENATE("PX392=",$BF$161), CONCATENATE("DS004=",$B$153), "Fill=B")</f>
        <v/>
      </c>
      <c r="BG177" t="str">
        <f ca="1">_xll.BDP($B$17,$C$17,CONCATENATE("PX391=", $BG$160), CONCATENATE("PX392=",$BG$161), CONCATENATE("DS004=",$B$153), "Fill=B")</f>
        <v/>
      </c>
      <c r="BH177" t="str">
        <f ca="1">_xll.BDP($B$17,$C$17,CONCATENATE("PX391=", $BH$160), CONCATENATE("PX392=",$BH$161), CONCATENATE("DS004=",$B$153), "Fill=B")</f>
        <v/>
      </c>
      <c r="BI177" t="str">
        <f ca="1">_xll.BDP($B$17,$C$17,CONCATENATE("PX391=", $BI$160), CONCATENATE("PX392=",$BI$161), CONCATENATE("DS004=",$B$153), "Fill=B")</f>
        <v/>
      </c>
      <c r="BJ177" t="str">
        <f ca="1">_xll.BDP($B$17,$C$17,CONCATENATE("PX391=", $BJ$160), CONCATENATE("PX392=",$BJ$161), CONCATENATE("DS004=",$B$153), "Fill=B")</f>
        <v/>
      </c>
      <c r="BK177" t="str">
        <f ca="1">_xll.BDP($B$17,$C$17,CONCATENATE("PX391=", $BK$160), CONCATENATE("PX392=",$BK$161), CONCATENATE("DS004=",$B$153), "Fill=B")</f>
        <v/>
      </c>
      <c r="BL177" t="str">
        <f ca="1">_xll.BDP($B$17,$C$17,CONCATENATE("PX391=", $BL$160), CONCATENATE("PX392=",$BL$161), CONCATENATE("DS004=",$B$153), "Fill=B")</f>
        <v/>
      </c>
      <c r="BM177" t="str">
        <f ca="1">_xll.BDP($B$17,$C$17,CONCATENATE("PX391=", $BM$160), CONCATENATE("PX392=",$BM$161), CONCATENATE("DS004=",$B$153), "Fill=B")</f>
        <v/>
      </c>
      <c r="BN177" t="str">
        <f>""</f>
        <v/>
      </c>
      <c r="BO177" t="str">
        <f>""</f>
        <v/>
      </c>
      <c r="BP177" t="str">
        <f>""</f>
        <v/>
      </c>
      <c r="BQ177" t="str">
        <f>""</f>
        <v/>
      </c>
      <c r="BR177" t="str">
        <f>""</f>
        <v/>
      </c>
      <c r="BS177" t="str">
        <f>""</f>
        <v/>
      </c>
      <c r="BT177" t="str">
        <f>""</f>
        <v/>
      </c>
      <c r="BU177" t="str">
        <f>""</f>
        <v/>
      </c>
      <c r="BV177" t="str">
        <f>""</f>
        <v/>
      </c>
      <c r="BW177" t="str">
        <f>""</f>
        <v/>
      </c>
      <c r="BX177" t="str">
        <f>""</f>
        <v/>
      </c>
      <c r="BY177" t="str">
        <f>""</f>
        <v/>
      </c>
      <c r="BZ177" t="str">
        <f>""</f>
        <v/>
      </c>
      <c r="CA177" t="str">
        <f>""</f>
        <v/>
      </c>
      <c r="CB177" t="str">
        <f>""</f>
        <v/>
      </c>
      <c r="CC177" t="str">
        <f>""</f>
        <v/>
      </c>
      <c r="CD177" t="str">
        <f>""</f>
        <v/>
      </c>
      <c r="CE177" t="str">
        <f>""</f>
        <v/>
      </c>
      <c r="CF177" t="str">
        <f>""</f>
        <v/>
      </c>
      <c r="CG177" t="str">
        <f>""</f>
        <v/>
      </c>
      <c r="CH177" t="str">
        <f>""</f>
        <v/>
      </c>
      <c r="CI177" t="str">
        <f>""</f>
        <v/>
      </c>
      <c r="CJ177" t="str">
        <f>""</f>
        <v/>
      </c>
      <c r="CK177" t="str">
        <f>""</f>
        <v/>
      </c>
      <c r="CL177" t="str">
        <f>""</f>
        <v/>
      </c>
      <c r="CM177" t="str">
        <f>""</f>
        <v/>
      </c>
      <c r="CN177" t="str">
        <f>""</f>
        <v/>
      </c>
      <c r="CO177" t="str">
        <f>""</f>
        <v/>
      </c>
      <c r="CP177" t="str">
        <f>""</f>
        <v/>
      </c>
      <c r="CQ177" t="str">
        <f>""</f>
        <v/>
      </c>
      <c r="CR177" t="str">
        <f>""</f>
        <v/>
      </c>
      <c r="CS177" t="str">
        <f>""</f>
        <v/>
      </c>
      <c r="CT177" t="str">
        <f>""</f>
        <v/>
      </c>
      <c r="CU177" t="str">
        <f>""</f>
        <v/>
      </c>
      <c r="CV177" t="str">
        <f>""</f>
        <v/>
      </c>
      <c r="CW177" t="str">
        <f>""</f>
        <v/>
      </c>
      <c r="CX177" t="str">
        <f>""</f>
        <v/>
      </c>
      <c r="CY177" t="str">
        <f>""</f>
        <v/>
      </c>
      <c r="CZ177" t="str">
        <f>""</f>
        <v/>
      </c>
      <c r="DA177" t="str">
        <f>""</f>
        <v/>
      </c>
      <c r="DB177" t="str">
        <f>""</f>
        <v/>
      </c>
      <c r="DC177" t="str">
        <f>""</f>
        <v/>
      </c>
      <c r="DD177" t="str">
        <f>""</f>
        <v/>
      </c>
      <c r="DE177" t="str">
        <f>""</f>
        <v/>
      </c>
      <c r="DF177" t="str">
        <f>""</f>
        <v/>
      </c>
      <c r="DG177" t="str">
        <f>""</f>
        <v/>
      </c>
      <c r="DH177" t="str">
        <f>""</f>
        <v/>
      </c>
      <c r="DI177" t="str">
        <f>""</f>
        <v/>
      </c>
      <c r="DJ177" t="str">
        <f>""</f>
        <v/>
      </c>
      <c r="DK177" t="str">
        <f>""</f>
        <v/>
      </c>
      <c r="DL177" t="str">
        <f>""</f>
        <v/>
      </c>
      <c r="DM177" t="str">
        <f>""</f>
        <v/>
      </c>
      <c r="DN177" t="str">
        <f>""</f>
        <v/>
      </c>
      <c r="DO177" t="str">
        <f>""</f>
        <v/>
      </c>
      <c r="DP177" t="str">
        <f>""</f>
        <v/>
      </c>
      <c r="DQ177" t="str">
        <f>""</f>
        <v/>
      </c>
      <c r="DR177" t="str">
        <f>""</f>
        <v/>
      </c>
      <c r="DS177" t="str">
        <f>""</f>
        <v/>
      </c>
      <c r="DT177" t="str">
        <f>""</f>
        <v/>
      </c>
      <c r="DU177" t="str">
        <f>""</f>
        <v/>
      </c>
    </row>
    <row r="178" spans="1:125" x14ac:dyDescent="0.25">
      <c r="A178" t="str">
        <f>$A$21</f>
        <v xml:space="preserve">        Total Sales Growth (%)</v>
      </c>
      <c r="B178" t="str">
        <f>$B$21</f>
        <v>KER FP Equity</v>
      </c>
      <c r="C178" t="str">
        <f>$C$21</f>
        <v>RR033</v>
      </c>
      <c r="D178" t="str">
        <f>$D$21</f>
        <v>SALES_GROWTH</v>
      </c>
      <c r="E178" t="str">
        <f>$E$21</f>
        <v>Dynamic</v>
      </c>
      <c r="F178" t="str">
        <f ca="1">_xll.BDH($B$21,$C$21,$B$156,$B$157,CONCATENATE("Per=",$B$154),"Dts=H","Dir=H",CONCATENATE("Points=",$B$155),"Sort=R","Days=A","Fill=B",CONCATENATE("FX=", $B$153) )</f>
        <v/>
      </c>
      <c r="BN178" t="str">
        <f>""</f>
        <v/>
      </c>
      <c r="BO178" t="str">
        <f>""</f>
        <v/>
      </c>
      <c r="BP178" t="str">
        <f>""</f>
        <v/>
      </c>
      <c r="BQ178" t="str">
        <f>""</f>
        <v/>
      </c>
      <c r="BR178" t="str">
        <f>""</f>
        <v/>
      </c>
      <c r="BS178" t="str">
        <f>""</f>
        <v/>
      </c>
      <c r="BT178" t="str">
        <f>""</f>
        <v/>
      </c>
      <c r="BU178" t="str">
        <f>""</f>
        <v/>
      </c>
      <c r="BV178" t="str">
        <f>""</f>
        <v/>
      </c>
      <c r="BW178" t="str">
        <f>""</f>
        <v/>
      </c>
      <c r="BX178" t="str">
        <f>""</f>
        <v/>
      </c>
      <c r="BY178" t="str">
        <f>""</f>
        <v/>
      </c>
      <c r="BZ178" t="str">
        <f>""</f>
        <v/>
      </c>
      <c r="CA178" t="str">
        <f>""</f>
        <v/>
      </c>
      <c r="CB178" t="str">
        <f>""</f>
        <v/>
      </c>
      <c r="CC178" t="str">
        <f>""</f>
        <v/>
      </c>
      <c r="CD178" t="str">
        <f>""</f>
        <v/>
      </c>
      <c r="CE178" t="str">
        <f>""</f>
        <v/>
      </c>
      <c r="CF178" t="str">
        <f>""</f>
        <v/>
      </c>
      <c r="CG178" t="str">
        <f>""</f>
        <v/>
      </c>
      <c r="CH178" t="str">
        <f>""</f>
        <v/>
      </c>
      <c r="CI178" t="str">
        <f>""</f>
        <v/>
      </c>
      <c r="CJ178" t="str">
        <f>""</f>
        <v/>
      </c>
      <c r="CK178" t="str">
        <f>""</f>
        <v/>
      </c>
      <c r="CL178" t="str">
        <f>""</f>
        <v/>
      </c>
      <c r="CM178" t="str">
        <f>""</f>
        <v/>
      </c>
      <c r="CN178" t="str">
        <f>""</f>
        <v/>
      </c>
      <c r="CO178" t="str">
        <f>""</f>
        <v/>
      </c>
      <c r="CP178" t="str">
        <f>""</f>
        <v/>
      </c>
      <c r="CQ178" t="str">
        <f>""</f>
        <v/>
      </c>
      <c r="CR178" t="str">
        <f>""</f>
        <v/>
      </c>
      <c r="CS178" t="str">
        <f>""</f>
        <v/>
      </c>
      <c r="CT178" t="str">
        <f>""</f>
        <v/>
      </c>
      <c r="CU178" t="str">
        <f>""</f>
        <v/>
      </c>
      <c r="CV178" t="str">
        <f>""</f>
        <v/>
      </c>
      <c r="CW178" t="str">
        <f>""</f>
        <v/>
      </c>
      <c r="CX178" t="str">
        <f>""</f>
        <v/>
      </c>
      <c r="CY178" t="str">
        <f>""</f>
        <v/>
      </c>
      <c r="CZ178" t="str">
        <f>""</f>
        <v/>
      </c>
      <c r="DA178" t="str">
        <f>""</f>
        <v/>
      </c>
      <c r="DB178" t="str">
        <f>""</f>
        <v/>
      </c>
      <c r="DC178" t="str">
        <f>""</f>
        <v/>
      </c>
      <c r="DD178" t="str">
        <f>""</f>
        <v/>
      </c>
      <c r="DE178" t="str">
        <f>""</f>
        <v/>
      </c>
      <c r="DF178" t="str">
        <f>""</f>
        <v/>
      </c>
      <c r="DG178" t="str">
        <f>""</f>
        <v/>
      </c>
      <c r="DH178" t="str">
        <f>""</f>
        <v/>
      </c>
      <c r="DI178" t="str">
        <f>""</f>
        <v/>
      </c>
      <c r="DJ178" t="str">
        <f>""</f>
        <v/>
      </c>
      <c r="DK178" t="str">
        <f>""</f>
        <v/>
      </c>
      <c r="DL178" t="str">
        <f>""</f>
        <v/>
      </c>
      <c r="DM178" t="str">
        <f>""</f>
        <v/>
      </c>
      <c r="DN178" t="str">
        <f>""</f>
        <v/>
      </c>
      <c r="DO178" t="str">
        <f>""</f>
        <v/>
      </c>
      <c r="DP178" t="str">
        <f>""</f>
        <v/>
      </c>
      <c r="DQ178" t="str">
        <f>""</f>
        <v/>
      </c>
      <c r="DR178" t="str">
        <f>""</f>
        <v/>
      </c>
      <c r="DS178" t="str">
        <f>""</f>
        <v/>
      </c>
      <c r="DT178" t="str">
        <f>""</f>
        <v/>
      </c>
      <c r="DU178" t="str">
        <f>""</f>
        <v/>
      </c>
    </row>
    <row r="179" spans="1:125" x14ac:dyDescent="0.25">
      <c r="A179" t="str">
        <f>$A$22</f>
        <v xml:space="preserve">            Luxury Division</v>
      </c>
      <c r="B179" t="str">
        <f>$B$22</f>
        <v>KER FP Equity</v>
      </c>
      <c r="C179" t="str">
        <f>$C$22</f>
        <v>BI047</v>
      </c>
      <c r="D179" t="str">
        <f>$D$22</f>
        <v>BICS_SEGMENT_DATA</v>
      </c>
      <c r="E179" t="str">
        <f>$E$22</f>
        <v>Dynamic</v>
      </c>
      <c r="F179" t="str">
        <f ca="1">_xll.BDH($B$22,$C$22,$B$156,$B$157,CONCATENATE("Per=",$B$154),"Dts=H","Dir=H",CONCATENATE("Points=",$B$155),"Sort=R","Days=A","Fill=B","DZ666=129","DZ381=1110101012","DZ667=1","DS276=Y",CONCATENATE("FX=", $B$153) )</f>
        <v/>
      </c>
      <c r="BN179" t="str">
        <f>""</f>
        <v/>
      </c>
      <c r="BO179" t="str">
        <f>""</f>
        <v/>
      </c>
      <c r="BP179" t="str">
        <f>""</f>
        <v/>
      </c>
      <c r="BQ179" t="str">
        <f>""</f>
        <v/>
      </c>
      <c r="BR179" t="str">
        <f>""</f>
        <v/>
      </c>
      <c r="BS179" t="str">
        <f>""</f>
        <v/>
      </c>
      <c r="BT179" t="str">
        <f>""</f>
        <v/>
      </c>
      <c r="BU179" t="str">
        <f>""</f>
        <v/>
      </c>
      <c r="BV179" t="str">
        <f>""</f>
        <v/>
      </c>
      <c r="BW179" t="str">
        <f>""</f>
        <v/>
      </c>
      <c r="BX179" t="str">
        <f>""</f>
        <v/>
      </c>
      <c r="BY179" t="str">
        <f>""</f>
        <v/>
      </c>
      <c r="BZ179" t="str">
        <f>""</f>
        <v/>
      </c>
      <c r="CA179" t="str">
        <f>""</f>
        <v/>
      </c>
      <c r="CB179" t="str">
        <f>""</f>
        <v/>
      </c>
      <c r="CC179" t="str">
        <f>""</f>
        <v/>
      </c>
      <c r="CD179" t="str">
        <f>""</f>
        <v/>
      </c>
      <c r="CE179" t="str">
        <f>""</f>
        <v/>
      </c>
      <c r="CF179" t="str">
        <f>""</f>
        <v/>
      </c>
      <c r="CG179" t="str">
        <f>""</f>
        <v/>
      </c>
      <c r="CH179" t="str">
        <f>""</f>
        <v/>
      </c>
      <c r="CI179" t="str">
        <f>""</f>
        <v/>
      </c>
      <c r="CJ179" t="str">
        <f>""</f>
        <v/>
      </c>
      <c r="CK179" t="str">
        <f>""</f>
        <v/>
      </c>
      <c r="CL179" t="str">
        <f>""</f>
        <v/>
      </c>
      <c r="CM179" t="str">
        <f>""</f>
        <v/>
      </c>
      <c r="CN179" t="str">
        <f>""</f>
        <v/>
      </c>
      <c r="CO179" t="str">
        <f>""</f>
        <v/>
      </c>
      <c r="CP179" t="str">
        <f>""</f>
        <v/>
      </c>
      <c r="CQ179" t="str">
        <f>""</f>
        <v/>
      </c>
      <c r="CR179" t="str">
        <f>""</f>
        <v/>
      </c>
      <c r="CS179" t="str">
        <f>""</f>
        <v/>
      </c>
      <c r="CT179" t="str">
        <f>""</f>
        <v/>
      </c>
      <c r="CU179" t="str">
        <f>""</f>
        <v/>
      </c>
      <c r="CV179" t="str">
        <f>""</f>
        <v/>
      </c>
      <c r="CW179" t="str">
        <f>""</f>
        <v/>
      </c>
      <c r="CX179" t="str">
        <f>""</f>
        <v/>
      </c>
      <c r="CY179" t="str">
        <f>""</f>
        <v/>
      </c>
      <c r="CZ179" t="str">
        <f>""</f>
        <v/>
      </c>
      <c r="DA179" t="str">
        <f>""</f>
        <v/>
      </c>
      <c r="DB179" t="str">
        <f>""</f>
        <v/>
      </c>
      <c r="DC179" t="str">
        <f>""</f>
        <v/>
      </c>
      <c r="DD179" t="str">
        <f>""</f>
        <v/>
      </c>
      <c r="DE179" t="str">
        <f>""</f>
        <v/>
      </c>
      <c r="DF179" t="str">
        <f>""</f>
        <v/>
      </c>
      <c r="DG179" t="str">
        <f>""</f>
        <v/>
      </c>
      <c r="DH179" t="str">
        <f>""</f>
        <v/>
      </c>
      <c r="DI179" t="str">
        <f>""</f>
        <v/>
      </c>
      <c r="DJ179" t="str">
        <f>""</f>
        <v/>
      </c>
      <c r="DK179" t="str">
        <f>""</f>
        <v/>
      </c>
      <c r="DL179" t="str">
        <f>""</f>
        <v/>
      </c>
      <c r="DM179" t="str">
        <f>""</f>
        <v/>
      </c>
      <c r="DN179" t="str">
        <f>""</f>
        <v/>
      </c>
      <c r="DO179" t="str">
        <f>""</f>
        <v/>
      </c>
      <c r="DP179" t="str">
        <f>""</f>
        <v/>
      </c>
      <c r="DQ179" t="str">
        <f>""</f>
        <v/>
      </c>
      <c r="DR179" t="str">
        <f>""</f>
        <v/>
      </c>
      <c r="DS179" t="str">
        <f>""</f>
        <v/>
      </c>
      <c r="DT179" t="str">
        <f>""</f>
        <v/>
      </c>
      <c r="DU179" t="str">
        <f>""</f>
        <v/>
      </c>
    </row>
    <row r="180" spans="1:125" x14ac:dyDescent="0.25">
      <c r="A180" t="str">
        <f>$A$23</f>
        <v xml:space="preserve">                Retail</v>
      </c>
      <c r="B180" t="str">
        <f>$B$23</f>
        <v>KER FP Equity</v>
      </c>
      <c r="C180" t="str">
        <f>$C$23</f>
        <v>BI047</v>
      </c>
      <c r="D180" t="str">
        <f>$D$23</f>
        <v>BICS_SEGMENT_DATA</v>
      </c>
      <c r="E180" t="str">
        <f>$E$23</f>
        <v>Dynamic</v>
      </c>
      <c r="F180" t="str">
        <f ca="1">_xll.BDH($B$23,$C$23,$B$156,$B$157,CONCATENATE("Per=",$B$154),"Dts=H","Dir=H",CONCATENATE("Points=",$B$155),"Sort=R","Days=A","Fill=B","DZ666=700","DZ381=11121116","DZ667=115","DS276=Y",CONCATENATE("FX=", $B$153) )</f>
        <v/>
      </c>
      <c r="BN180" t="str">
        <f>""</f>
        <v/>
      </c>
      <c r="BO180" t="str">
        <f>""</f>
        <v/>
      </c>
      <c r="BP180" t="str">
        <f>""</f>
        <v/>
      </c>
      <c r="BQ180" t="str">
        <f>""</f>
        <v/>
      </c>
      <c r="BR180" t="str">
        <f>""</f>
        <v/>
      </c>
      <c r="BS180" t="str">
        <f>""</f>
        <v/>
      </c>
      <c r="BT180" t="str">
        <f>""</f>
        <v/>
      </c>
      <c r="BU180" t="str">
        <f>""</f>
        <v/>
      </c>
      <c r="BV180" t="str">
        <f>""</f>
        <v/>
      </c>
      <c r="BW180" t="str">
        <f>""</f>
        <v/>
      </c>
      <c r="BX180" t="str">
        <f>""</f>
        <v/>
      </c>
      <c r="BY180" t="str">
        <f>""</f>
        <v/>
      </c>
      <c r="BZ180" t="str">
        <f>""</f>
        <v/>
      </c>
      <c r="CA180" t="str">
        <f>""</f>
        <v/>
      </c>
      <c r="CB180" t="str">
        <f>""</f>
        <v/>
      </c>
      <c r="CC180" t="str">
        <f>""</f>
        <v/>
      </c>
      <c r="CD180" t="str">
        <f>""</f>
        <v/>
      </c>
      <c r="CE180" t="str">
        <f>""</f>
        <v/>
      </c>
      <c r="CF180" t="str">
        <f>""</f>
        <v/>
      </c>
      <c r="CG180" t="str">
        <f>""</f>
        <v/>
      </c>
      <c r="CH180" t="str">
        <f>""</f>
        <v/>
      </c>
      <c r="CI180" t="str">
        <f>""</f>
        <v/>
      </c>
      <c r="CJ180" t="str">
        <f>""</f>
        <v/>
      </c>
      <c r="CK180" t="str">
        <f>""</f>
        <v/>
      </c>
      <c r="CL180" t="str">
        <f>""</f>
        <v/>
      </c>
      <c r="CM180" t="str">
        <f>""</f>
        <v/>
      </c>
      <c r="CN180" t="str">
        <f>""</f>
        <v/>
      </c>
      <c r="CO180" t="str">
        <f>""</f>
        <v/>
      </c>
      <c r="CP180" t="str">
        <f>""</f>
        <v/>
      </c>
      <c r="CQ180" t="str">
        <f>""</f>
        <v/>
      </c>
      <c r="CR180" t="str">
        <f>""</f>
        <v/>
      </c>
      <c r="CS180" t="str">
        <f>""</f>
        <v/>
      </c>
      <c r="CT180" t="str">
        <f>""</f>
        <v/>
      </c>
      <c r="CU180" t="str">
        <f>""</f>
        <v/>
      </c>
      <c r="CV180" t="str">
        <f>""</f>
        <v/>
      </c>
      <c r="CW180" t="str">
        <f>""</f>
        <v/>
      </c>
      <c r="CX180" t="str">
        <f>""</f>
        <v/>
      </c>
      <c r="CY180" t="str">
        <f>""</f>
        <v/>
      </c>
      <c r="CZ180" t="str">
        <f>""</f>
        <v/>
      </c>
      <c r="DA180" t="str">
        <f>""</f>
        <v/>
      </c>
      <c r="DB180" t="str">
        <f>""</f>
        <v/>
      </c>
      <c r="DC180" t="str">
        <f>""</f>
        <v/>
      </c>
      <c r="DD180" t="str">
        <f>""</f>
        <v/>
      </c>
      <c r="DE180" t="str">
        <f>""</f>
        <v/>
      </c>
      <c r="DF180" t="str">
        <f>""</f>
        <v/>
      </c>
      <c r="DG180" t="str">
        <f>""</f>
        <v/>
      </c>
      <c r="DH180" t="str">
        <f>""</f>
        <v/>
      </c>
      <c r="DI180" t="str">
        <f>""</f>
        <v/>
      </c>
      <c r="DJ180" t="str">
        <f>""</f>
        <v/>
      </c>
      <c r="DK180" t="str">
        <f>""</f>
        <v/>
      </c>
      <c r="DL180" t="str">
        <f>""</f>
        <v/>
      </c>
      <c r="DM180" t="str">
        <f>""</f>
        <v/>
      </c>
      <c r="DN180" t="str">
        <f>""</f>
        <v/>
      </c>
      <c r="DO180" t="str">
        <f>""</f>
        <v/>
      </c>
      <c r="DP180" t="str">
        <f>""</f>
        <v/>
      </c>
      <c r="DQ180" t="str">
        <f>""</f>
        <v/>
      </c>
      <c r="DR180" t="str">
        <f>""</f>
        <v/>
      </c>
      <c r="DS180" t="str">
        <f>""</f>
        <v/>
      </c>
      <c r="DT180" t="str">
        <f>""</f>
        <v/>
      </c>
      <c r="DU180" t="str">
        <f>""</f>
        <v/>
      </c>
    </row>
    <row r="181" spans="1:125" x14ac:dyDescent="0.25">
      <c r="A181" t="str">
        <f>$A$24</f>
        <v xml:space="preserve">                Wholesale</v>
      </c>
      <c r="B181" t="str">
        <f>$B$24</f>
        <v>KER FP Equity</v>
      </c>
      <c r="C181" t="str">
        <f>$C$24</f>
        <v>BI047</v>
      </c>
      <c r="D181" t="str">
        <f>$D$24</f>
        <v>BICS_SEGMENT_DATA</v>
      </c>
      <c r="E181" t="str">
        <f>$E$24</f>
        <v>Dynamic</v>
      </c>
      <c r="F181" t="str">
        <f ca="1">_xll.BDH($B$24,$C$24,$B$156,$B$157,CONCATENATE("Per=",$B$154),"Dts=H","Dir=H",CONCATENATE("Points=",$B$155),"Sort=R","Days=A","Fill=B","DZ666=700","DZ381=1110101012","DZ667=3","DS276=Y",CONCATENATE("FX=", $B$153) )</f>
        <v/>
      </c>
      <c r="BN181" t="str">
        <f>""</f>
        <v/>
      </c>
      <c r="BO181" t="str">
        <f>""</f>
        <v/>
      </c>
      <c r="BP181" t="str">
        <f>""</f>
        <v/>
      </c>
      <c r="BQ181" t="str">
        <f>""</f>
        <v/>
      </c>
      <c r="BR181" t="str">
        <f>""</f>
        <v/>
      </c>
      <c r="BS181" t="str">
        <f>""</f>
        <v/>
      </c>
      <c r="BT181" t="str">
        <f>""</f>
        <v/>
      </c>
      <c r="BU181" t="str">
        <f>""</f>
        <v/>
      </c>
      <c r="BV181" t="str">
        <f>""</f>
        <v/>
      </c>
      <c r="BW181" t="str">
        <f>""</f>
        <v/>
      </c>
      <c r="BX181" t="str">
        <f>""</f>
        <v/>
      </c>
      <c r="BY181" t="str">
        <f>""</f>
        <v/>
      </c>
      <c r="BZ181" t="str">
        <f>""</f>
        <v/>
      </c>
      <c r="CA181" t="str">
        <f>""</f>
        <v/>
      </c>
      <c r="CB181" t="str">
        <f>""</f>
        <v/>
      </c>
      <c r="CC181" t="str">
        <f>""</f>
        <v/>
      </c>
      <c r="CD181" t="str">
        <f>""</f>
        <v/>
      </c>
      <c r="CE181" t="str">
        <f>""</f>
        <v/>
      </c>
      <c r="CF181" t="str">
        <f>""</f>
        <v/>
      </c>
      <c r="CG181" t="str">
        <f>""</f>
        <v/>
      </c>
      <c r="CH181" t="str">
        <f>""</f>
        <v/>
      </c>
      <c r="CI181" t="str">
        <f>""</f>
        <v/>
      </c>
      <c r="CJ181" t="str">
        <f>""</f>
        <v/>
      </c>
      <c r="CK181" t="str">
        <f>""</f>
        <v/>
      </c>
      <c r="CL181" t="str">
        <f>""</f>
        <v/>
      </c>
      <c r="CM181" t="str">
        <f>""</f>
        <v/>
      </c>
      <c r="CN181" t="str">
        <f>""</f>
        <v/>
      </c>
      <c r="CO181" t="str">
        <f>""</f>
        <v/>
      </c>
      <c r="CP181" t="str">
        <f>""</f>
        <v/>
      </c>
      <c r="CQ181" t="str">
        <f>""</f>
        <v/>
      </c>
      <c r="CR181" t="str">
        <f>""</f>
        <v/>
      </c>
      <c r="CS181" t="str">
        <f>""</f>
        <v/>
      </c>
      <c r="CT181" t="str">
        <f>""</f>
        <v/>
      </c>
      <c r="CU181" t="str">
        <f>""</f>
        <v/>
      </c>
      <c r="CV181" t="str">
        <f>""</f>
        <v/>
      </c>
      <c r="CW181" t="str">
        <f>""</f>
        <v/>
      </c>
      <c r="CX181" t="str">
        <f>""</f>
        <v/>
      </c>
      <c r="CY181" t="str">
        <f>""</f>
        <v/>
      </c>
      <c r="CZ181" t="str">
        <f>""</f>
        <v/>
      </c>
      <c r="DA181" t="str">
        <f>""</f>
        <v/>
      </c>
      <c r="DB181" t="str">
        <f>""</f>
        <v/>
      </c>
      <c r="DC181" t="str">
        <f>""</f>
        <v/>
      </c>
      <c r="DD181" t="str">
        <f>""</f>
        <v/>
      </c>
      <c r="DE181" t="str">
        <f>""</f>
        <v/>
      </c>
      <c r="DF181" t="str">
        <f>""</f>
        <v/>
      </c>
      <c r="DG181" t="str">
        <f>""</f>
        <v/>
      </c>
      <c r="DH181" t="str">
        <f>""</f>
        <v/>
      </c>
      <c r="DI181" t="str">
        <f>""</f>
        <v/>
      </c>
      <c r="DJ181" t="str">
        <f>""</f>
        <v/>
      </c>
      <c r="DK181" t="str">
        <f>""</f>
        <v/>
      </c>
      <c r="DL181" t="str">
        <f>""</f>
        <v/>
      </c>
      <c r="DM181" t="str">
        <f>""</f>
        <v/>
      </c>
      <c r="DN181" t="str">
        <f>""</f>
        <v/>
      </c>
      <c r="DO181" t="str">
        <f>""</f>
        <v/>
      </c>
      <c r="DP181" t="str">
        <f>""</f>
        <v/>
      </c>
      <c r="DQ181" t="str">
        <f>""</f>
        <v/>
      </c>
      <c r="DR181" t="str">
        <f>""</f>
        <v/>
      </c>
      <c r="DS181" t="str">
        <f>""</f>
        <v/>
      </c>
      <c r="DT181" t="str">
        <f>""</f>
        <v/>
      </c>
      <c r="DU181" t="str">
        <f>""</f>
        <v/>
      </c>
    </row>
    <row r="182" spans="1:125" x14ac:dyDescent="0.25">
      <c r="A182" t="str">
        <f>$A$25</f>
        <v xml:space="preserve">                Royalties and Others</v>
      </c>
      <c r="B182" t="str">
        <f>$B$25</f>
        <v>KER FP Equity</v>
      </c>
      <c r="C182" t="str">
        <f>$C$25</f>
        <v>BI047</v>
      </c>
      <c r="D182" t="str">
        <f>$D$25</f>
        <v>BICS_SEGMENT_DATA</v>
      </c>
      <c r="E182" t="str">
        <f>$E$25</f>
        <v>Dynamic</v>
      </c>
      <c r="F182" t="str">
        <f ca="1">_xll.BDH($B$25,$C$25,$B$156,$B$157,CONCATENATE("Per=",$B$154),"Dts=H","Dir=H",CONCATENATE("Points=",$B$155),"Sort=R","Days=A","Fill=B","DZ666=700","DZ381=1110101012","DZ667=4","DS276=Y",CONCATENATE("FX=", $B$153) )</f>
        <v/>
      </c>
      <c r="BN182" t="str">
        <f>""</f>
        <v/>
      </c>
      <c r="BO182" t="str">
        <f>""</f>
        <v/>
      </c>
      <c r="BP182" t="str">
        <f>""</f>
        <v/>
      </c>
      <c r="BQ182" t="str">
        <f>""</f>
        <v/>
      </c>
      <c r="BR182" t="str">
        <f>""</f>
        <v/>
      </c>
      <c r="BS182" t="str">
        <f>""</f>
        <v/>
      </c>
      <c r="BT182" t="str">
        <f>""</f>
        <v/>
      </c>
      <c r="BU182" t="str">
        <f>""</f>
        <v/>
      </c>
      <c r="BV182" t="str">
        <f>""</f>
        <v/>
      </c>
      <c r="BW182" t="str">
        <f>""</f>
        <v/>
      </c>
      <c r="BX182" t="str">
        <f>""</f>
        <v/>
      </c>
      <c r="BY182" t="str">
        <f>""</f>
        <v/>
      </c>
      <c r="BZ182" t="str">
        <f>""</f>
        <v/>
      </c>
      <c r="CA182" t="str">
        <f>""</f>
        <v/>
      </c>
      <c r="CB182" t="str">
        <f>""</f>
        <v/>
      </c>
      <c r="CC182" t="str">
        <f>""</f>
        <v/>
      </c>
      <c r="CD182" t="str">
        <f>""</f>
        <v/>
      </c>
      <c r="CE182" t="str">
        <f>""</f>
        <v/>
      </c>
      <c r="CF182" t="str">
        <f>""</f>
        <v/>
      </c>
      <c r="CG182" t="str">
        <f>""</f>
        <v/>
      </c>
      <c r="CH182" t="str">
        <f>""</f>
        <v/>
      </c>
      <c r="CI182" t="str">
        <f>""</f>
        <v/>
      </c>
      <c r="CJ182" t="str">
        <f>""</f>
        <v/>
      </c>
      <c r="CK182" t="str">
        <f>""</f>
        <v/>
      </c>
      <c r="CL182" t="str">
        <f>""</f>
        <v/>
      </c>
      <c r="CM182" t="str">
        <f>""</f>
        <v/>
      </c>
      <c r="CN182" t="str">
        <f>""</f>
        <v/>
      </c>
      <c r="CO182" t="str">
        <f>""</f>
        <v/>
      </c>
      <c r="CP182" t="str">
        <f>""</f>
        <v/>
      </c>
      <c r="CQ182" t="str">
        <f>""</f>
        <v/>
      </c>
      <c r="CR182" t="str">
        <f>""</f>
        <v/>
      </c>
      <c r="CS182" t="str">
        <f>""</f>
        <v/>
      </c>
      <c r="CT182" t="str">
        <f>""</f>
        <v/>
      </c>
      <c r="CU182" t="str">
        <f>""</f>
        <v/>
      </c>
      <c r="CV182" t="str">
        <f>""</f>
        <v/>
      </c>
      <c r="CW182" t="str">
        <f>""</f>
        <v/>
      </c>
      <c r="CX182" t="str">
        <f>""</f>
        <v/>
      </c>
      <c r="CY182" t="str">
        <f>""</f>
        <v/>
      </c>
      <c r="CZ182" t="str">
        <f>""</f>
        <v/>
      </c>
      <c r="DA182" t="str">
        <f>""</f>
        <v/>
      </c>
      <c r="DB182" t="str">
        <f>""</f>
        <v/>
      </c>
      <c r="DC182" t="str">
        <f>""</f>
        <v/>
      </c>
      <c r="DD182" t="str">
        <f>""</f>
        <v/>
      </c>
      <c r="DE182" t="str">
        <f>""</f>
        <v/>
      </c>
      <c r="DF182" t="str">
        <f>""</f>
        <v/>
      </c>
      <c r="DG182" t="str">
        <f>""</f>
        <v/>
      </c>
      <c r="DH182" t="str">
        <f>""</f>
        <v/>
      </c>
      <c r="DI182" t="str">
        <f>""</f>
        <v/>
      </c>
      <c r="DJ182" t="str">
        <f>""</f>
        <v/>
      </c>
      <c r="DK182" t="str">
        <f>""</f>
        <v/>
      </c>
      <c r="DL182" t="str">
        <f>""</f>
        <v/>
      </c>
      <c r="DM182" t="str">
        <f>""</f>
        <v/>
      </c>
      <c r="DN182" t="str">
        <f>""</f>
        <v/>
      </c>
      <c r="DO182" t="str">
        <f>""</f>
        <v/>
      </c>
      <c r="DP182" t="str">
        <f>""</f>
        <v/>
      </c>
      <c r="DQ182" t="str">
        <f>""</f>
        <v/>
      </c>
      <c r="DR182" t="str">
        <f>""</f>
        <v/>
      </c>
      <c r="DS182" t="str">
        <f>""</f>
        <v/>
      </c>
      <c r="DT182" t="str">
        <f>""</f>
        <v/>
      </c>
      <c r="DU182" t="str">
        <f>""</f>
        <v/>
      </c>
    </row>
    <row r="183" spans="1:125" x14ac:dyDescent="0.25">
      <c r="A183" t="str">
        <f>$A$26</f>
        <v xml:space="preserve">                FX</v>
      </c>
      <c r="B183" t="str">
        <f>$B$26</f>
        <v>KER FP Equity</v>
      </c>
      <c r="C183" t="str">
        <f>$C$26</f>
        <v>BI047</v>
      </c>
      <c r="D183" t="str">
        <f>$D$26</f>
        <v>BICS_SEGMENT_DATA</v>
      </c>
      <c r="E183" t="str">
        <f>$E$26</f>
        <v>Dynamic</v>
      </c>
      <c r="F183" t="str">
        <f ca="1">_xll.BDH($B$26,$C$26,$B$156,$B$157,CONCATENATE("Per=",$B$154),"Dts=H","Dir=H",CONCATENATE("Points=",$B$155),"Sort=R","Days=A","Fill=B","DZ666=700","DZ381=1110101012","DZ667=5","DS276=Y",CONCATENATE("FX=", $B$153) )</f>
        <v/>
      </c>
      <c r="BN183" t="str">
        <f>""</f>
        <v/>
      </c>
      <c r="BO183" t="str">
        <f>""</f>
        <v/>
      </c>
      <c r="BP183" t="str">
        <f>""</f>
        <v/>
      </c>
      <c r="BQ183" t="str">
        <f>""</f>
        <v/>
      </c>
      <c r="BR183" t="str">
        <f>""</f>
        <v/>
      </c>
      <c r="BS183" t="str">
        <f>""</f>
        <v/>
      </c>
      <c r="BT183" t="str">
        <f>""</f>
        <v/>
      </c>
      <c r="BU183" t="str">
        <f>""</f>
        <v/>
      </c>
      <c r="BV183" t="str">
        <f>""</f>
        <v/>
      </c>
      <c r="BW183" t="str">
        <f>""</f>
        <v/>
      </c>
      <c r="BX183" t="str">
        <f>""</f>
        <v/>
      </c>
      <c r="BY183" t="str">
        <f>""</f>
        <v/>
      </c>
      <c r="BZ183" t="str">
        <f>""</f>
        <v/>
      </c>
      <c r="CA183" t="str">
        <f>""</f>
        <v/>
      </c>
      <c r="CB183" t="str">
        <f>""</f>
        <v/>
      </c>
      <c r="CC183" t="str">
        <f>""</f>
        <v/>
      </c>
      <c r="CD183" t="str">
        <f>""</f>
        <v/>
      </c>
      <c r="CE183" t="str">
        <f>""</f>
        <v/>
      </c>
      <c r="CF183" t="str">
        <f>""</f>
        <v/>
      </c>
      <c r="CG183" t="str">
        <f>""</f>
        <v/>
      </c>
      <c r="CH183" t="str">
        <f>""</f>
        <v/>
      </c>
      <c r="CI183" t="str">
        <f>""</f>
        <v/>
      </c>
      <c r="CJ183" t="str">
        <f>""</f>
        <v/>
      </c>
      <c r="CK183" t="str">
        <f>""</f>
        <v/>
      </c>
      <c r="CL183" t="str">
        <f>""</f>
        <v/>
      </c>
      <c r="CM183" t="str">
        <f>""</f>
        <v/>
      </c>
      <c r="CN183" t="str">
        <f>""</f>
        <v/>
      </c>
      <c r="CO183" t="str">
        <f>""</f>
        <v/>
      </c>
      <c r="CP183" t="str">
        <f>""</f>
        <v/>
      </c>
      <c r="CQ183" t="str">
        <f>""</f>
        <v/>
      </c>
      <c r="CR183" t="str">
        <f>""</f>
        <v/>
      </c>
      <c r="CS183" t="str">
        <f>""</f>
        <v/>
      </c>
      <c r="CT183" t="str">
        <f>""</f>
        <v/>
      </c>
      <c r="CU183" t="str">
        <f>""</f>
        <v/>
      </c>
      <c r="CV183" t="str">
        <f>""</f>
        <v/>
      </c>
      <c r="CW183" t="str">
        <f>""</f>
        <v/>
      </c>
      <c r="CX183" t="str">
        <f>""</f>
        <v/>
      </c>
      <c r="CY183" t="str">
        <f>""</f>
        <v/>
      </c>
      <c r="CZ183" t="str">
        <f>""</f>
        <v/>
      </c>
      <c r="DA183" t="str">
        <f>""</f>
        <v/>
      </c>
      <c r="DB183" t="str">
        <f>""</f>
        <v/>
      </c>
      <c r="DC183" t="str">
        <f>""</f>
        <v/>
      </c>
      <c r="DD183" t="str">
        <f>""</f>
        <v/>
      </c>
      <c r="DE183" t="str">
        <f>""</f>
        <v/>
      </c>
      <c r="DF183" t="str">
        <f>""</f>
        <v/>
      </c>
      <c r="DG183" t="str">
        <f>""</f>
        <v/>
      </c>
      <c r="DH183" t="str">
        <f>""</f>
        <v/>
      </c>
      <c r="DI183" t="str">
        <f>""</f>
        <v/>
      </c>
      <c r="DJ183" t="str">
        <f>""</f>
        <v/>
      </c>
      <c r="DK183" t="str">
        <f>""</f>
        <v/>
      </c>
      <c r="DL183" t="str">
        <f>""</f>
        <v/>
      </c>
      <c r="DM183" t="str">
        <f>""</f>
        <v/>
      </c>
      <c r="DN183" t="str">
        <f>""</f>
        <v/>
      </c>
      <c r="DO183" t="str">
        <f>""</f>
        <v/>
      </c>
      <c r="DP183" t="str">
        <f>""</f>
        <v/>
      </c>
      <c r="DQ183" t="str">
        <f>""</f>
        <v/>
      </c>
      <c r="DR183" t="str">
        <f>""</f>
        <v/>
      </c>
      <c r="DS183" t="str">
        <f>""</f>
        <v/>
      </c>
      <c r="DT183" t="str">
        <f>""</f>
        <v/>
      </c>
      <c r="DU183" t="str">
        <f>""</f>
        <v/>
      </c>
    </row>
    <row r="184" spans="1:125" x14ac:dyDescent="0.25">
      <c r="A184" t="str">
        <f>$A$28</f>
        <v xml:space="preserve">                Gucci</v>
      </c>
      <c r="B184" t="str">
        <f>$B$28</f>
        <v>KER FP Equity</v>
      </c>
      <c r="C184" t="str">
        <f>$C$28</f>
        <v>BI047</v>
      </c>
      <c r="D184" t="str">
        <f>$D$28</f>
        <v>BICS_SEGMENT_DATA</v>
      </c>
      <c r="E184" t="str">
        <f>$E$28</f>
        <v>Dynamic</v>
      </c>
      <c r="F184" t="str">
        <f ca="1">_xll.BDH($B$28,$C$28,$B$156,$B$157,CONCATENATE("Per=",$B$154),"Dts=H","Dir=H",CONCATENATE("Points=",$B$155),"Sort=R","Days=A","Fill=B","DZ666=129","DZ381=1110101012","DZ665=18297059","DZ667=8","DS276=Y",CONCATENATE("FX=", $B$153) )</f>
        <v/>
      </c>
      <c r="BN184" t="str">
        <f>""</f>
        <v/>
      </c>
      <c r="BO184" t="str">
        <f>""</f>
        <v/>
      </c>
      <c r="BP184" t="str">
        <f>""</f>
        <v/>
      </c>
      <c r="BQ184" t="str">
        <f>""</f>
        <v/>
      </c>
      <c r="BR184" t="str">
        <f>""</f>
        <v/>
      </c>
      <c r="BS184" t="str">
        <f>""</f>
        <v/>
      </c>
      <c r="BT184" t="str">
        <f>""</f>
        <v/>
      </c>
      <c r="BU184" t="str">
        <f>""</f>
        <v/>
      </c>
      <c r="BV184" t="str">
        <f>""</f>
        <v/>
      </c>
      <c r="BW184" t="str">
        <f>""</f>
        <v/>
      </c>
      <c r="BX184" t="str">
        <f>""</f>
        <v/>
      </c>
      <c r="BY184" t="str">
        <f>""</f>
        <v/>
      </c>
      <c r="BZ184" t="str">
        <f>""</f>
        <v/>
      </c>
      <c r="CA184" t="str">
        <f>""</f>
        <v/>
      </c>
      <c r="CB184" t="str">
        <f>""</f>
        <v/>
      </c>
      <c r="CC184" t="str">
        <f>""</f>
        <v/>
      </c>
      <c r="CD184" t="str">
        <f>""</f>
        <v/>
      </c>
      <c r="CE184" t="str">
        <f>""</f>
        <v/>
      </c>
      <c r="CF184" t="str">
        <f>""</f>
        <v/>
      </c>
      <c r="CG184" t="str">
        <f>""</f>
        <v/>
      </c>
      <c r="CH184" t="str">
        <f>""</f>
        <v/>
      </c>
      <c r="CI184" t="str">
        <f>""</f>
        <v/>
      </c>
      <c r="CJ184" t="str">
        <f>""</f>
        <v/>
      </c>
      <c r="CK184" t="str">
        <f>""</f>
        <v/>
      </c>
      <c r="CL184" t="str">
        <f>""</f>
        <v/>
      </c>
      <c r="CM184" t="str">
        <f>""</f>
        <v/>
      </c>
      <c r="CN184" t="str">
        <f>""</f>
        <v/>
      </c>
      <c r="CO184" t="str">
        <f>""</f>
        <v/>
      </c>
      <c r="CP184" t="str">
        <f>""</f>
        <v/>
      </c>
      <c r="CQ184" t="str">
        <f>""</f>
        <v/>
      </c>
      <c r="CR184" t="str">
        <f>""</f>
        <v/>
      </c>
      <c r="CS184" t="str">
        <f>""</f>
        <v/>
      </c>
      <c r="CT184" t="str">
        <f>""</f>
        <v/>
      </c>
      <c r="CU184" t="str">
        <f>""</f>
        <v/>
      </c>
      <c r="CV184" t="str">
        <f>""</f>
        <v/>
      </c>
      <c r="CW184" t="str">
        <f>""</f>
        <v/>
      </c>
      <c r="CX184" t="str">
        <f>""</f>
        <v/>
      </c>
      <c r="CY184" t="str">
        <f>""</f>
        <v/>
      </c>
      <c r="CZ184" t="str">
        <f>""</f>
        <v/>
      </c>
      <c r="DA184" t="str">
        <f>""</f>
        <v/>
      </c>
      <c r="DB184" t="str">
        <f>""</f>
        <v/>
      </c>
      <c r="DC184" t="str">
        <f>""</f>
        <v/>
      </c>
      <c r="DD184" t="str">
        <f>""</f>
        <v/>
      </c>
      <c r="DE184" t="str">
        <f>""</f>
        <v/>
      </c>
      <c r="DF184" t="str">
        <f>""</f>
        <v/>
      </c>
      <c r="DG184" t="str">
        <f>""</f>
        <v/>
      </c>
      <c r="DH184" t="str">
        <f>""</f>
        <v/>
      </c>
      <c r="DI184" t="str">
        <f>""</f>
        <v/>
      </c>
      <c r="DJ184" t="str">
        <f>""</f>
        <v/>
      </c>
      <c r="DK184" t="str">
        <f>""</f>
        <v/>
      </c>
      <c r="DL184" t="str">
        <f>""</f>
        <v/>
      </c>
      <c r="DM184" t="str">
        <f>""</f>
        <v/>
      </c>
      <c r="DN184" t="str">
        <f>""</f>
        <v/>
      </c>
      <c r="DO184" t="str">
        <f>""</f>
        <v/>
      </c>
      <c r="DP184" t="str">
        <f>""</f>
        <v/>
      </c>
      <c r="DQ184" t="str">
        <f>""</f>
        <v/>
      </c>
      <c r="DR184" t="str">
        <f>""</f>
        <v/>
      </c>
      <c r="DS184" t="str">
        <f>""</f>
        <v/>
      </c>
      <c r="DT184" t="str">
        <f>""</f>
        <v/>
      </c>
      <c r="DU184" t="str">
        <f>""</f>
        <v/>
      </c>
    </row>
    <row r="185" spans="1:125" x14ac:dyDescent="0.25">
      <c r="A185" t="str">
        <f>$A$29</f>
        <v xml:space="preserve">                    Retail</v>
      </c>
      <c r="B185" t="str">
        <f>$B$29</f>
        <v>KER FP Equity</v>
      </c>
      <c r="C185" t="str">
        <f>$C$29</f>
        <v>BI047</v>
      </c>
      <c r="D185" t="str">
        <f>$D$29</f>
        <v>BICS_SEGMENT_DATA</v>
      </c>
      <c r="E185" t="str">
        <f>$E$29</f>
        <v>Dynamic</v>
      </c>
      <c r="F185" t="str">
        <f ca="1">_xll.BDH($B$29,$C$29,$B$156,$B$157,CONCATENATE("Per=",$B$154),"Dts=H","Dir=H",CONCATENATE("Points=",$B$155),"Sort=R","Days=A","Fill=B","DZ666=700","DZ381=1110101012","DZ667=115",CONCATENATE("FX=", $B$153) )</f>
        <v/>
      </c>
      <c r="BN185" t="str">
        <f>""</f>
        <v/>
      </c>
      <c r="BO185" t="str">
        <f>""</f>
        <v/>
      </c>
      <c r="BP185" t="str">
        <f>""</f>
        <v/>
      </c>
      <c r="BQ185" t="str">
        <f>""</f>
        <v/>
      </c>
      <c r="BR185" t="str">
        <f>""</f>
        <v/>
      </c>
      <c r="BS185" t="str">
        <f>""</f>
        <v/>
      </c>
      <c r="BT185" t="str">
        <f>""</f>
        <v/>
      </c>
      <c r="BU185" t="str">
        <f>""</f>
        <v/>
      </c>
      <c r="BV185" t="str">
        <f>""</f>
        <v/>
      </c>
      <c r="BW185" t="str">
        <f>""</f>
        <v/>
      </c>
      <c r="BX185" t="str">
        <f>""</f>
        <v/>
      </c>
      <c r="BY185" t="str">
        <f>""</f>
        <v/>
      </c>
      <c r="BZ185" t="str">
        <f>""</f>
        <v/>
      </c>
      <c r="CA185" t="str">
        <f>""</f>
        <v/>
      </c>
      <c r="CB185" t="str">
        <f>""</f>
        <v/>
      </c>
      <c r="CC185" t="str">
        <f>""</f>
        <v/>
      </c>
      <c r="CD185" t="str">
        <f>""</f>
        <v/>
      </c>
      <c r="CE185" t="str">
        <f>""</f>
        <v/>
      </c>
      <c r="CF185" t="str">
        <f>""</f>
        <v/>
      </c>
      <c r="CG185" t="str">
        <f>""</f>
        <v/>
      </c>
      <c r="CH185" t="str">
        <f>""</f>
        <v/>
      </c>
      <c r="CI185" t="str">
        <f>""</f>
        <v/>
      </c>
      <c r="CJ185" t="str">
        <f>""</f>
        <v/>
      </c>
      <c r="CK185" t="str">
        <f>""</f>
        <v/>
      </c>
      <c r="CL185" t="str">
        <f>""</f>
        <v/>
      </c>
      <c r="CM185" t="str">
        <f>""</f>
        <v/>
      </c>
      <c r="CN185" t="str">
        <f>""</f>
        <v/>
      </c>
      <c r="CO185" t="str">
        <f>""</f>
        <v/>
      </c>
      <c r="CP185" t="str">
        <f>""</f>
        <v/>
      </c>
      <c r="CQ185" t="str">
        <f>""</f>
        <v/>
      </c>
      <c r="CR185" t="str">
        <f>""</f>
        <v/>
      </c>
      <c r="CS185" t="str">
        <f>""</f>
        <v/>
      </c>
      <c r="CT185" t="str">
        <f>""</f>
        <v/>
      </c>
      <c r="CU185" t="str">
        <f>""</f>
        <v/>
      </c>
      <c r="CV185" t="str">
        <f>""</f>
        <v/>
      </c>
      <c r="CW185" t="str">
        <f>""</f>
        <v/>
      </c>
      <c r="CX185" t="str">
        <f>""</f>
        <v/>
      </c>
      <c r="CY185" t="str">
        <f>""</f>
        <v/>
      </c>
      <c r="CZ185" t="str">
        <f>""</f>
        <v/>
      </c>
      <c r="DA185" t="str">
        <f>""</f>
        <v/>
      </c>
      <c r="DB185" t="str">
        <f>""</f>
        <v/>
      </c>
      <c r="DC185" t="str">
        <f>""</f>
        <v/>
      </c>
      <c r="DD185" t="str">
        <f>""</f>
        <v/>
      </c>
      <c r="DE185" t="str">
        <f>""</f>
        <v/>
      </c>
      <c r="DF185" t="str">
        <f>""</f>
        <v/>
      </c>
      <c r="DG185" t="str">
        <f>""</f>
        <v/>
      </c>
      <c r="DH185" t="str">
        <f>""</f>
        <v/>
      </c>
      <c r="DI185" t="str">
        <f>""</f>
        <v/>
      </c>
      <c r="DJ185" t="str">
        <f>""</f>
        <v/>
      </c>
      <c r="DK185" t="str">
        <f>""</f>
        <v/>
      </c>
      <c r="DL185" t="str">
        <f>""</f>
        <v/>
      </c>
      <c r="DM185" t="str">
        <f>""</f>
        <v/>
      </c>
      <c r="DN185" t="str">
        <f>""</f>
        <v/>
      </c>
      <c r="DO185" t="str">
        <f>""</f>
        <v/>
      </c>
      <c r="DP185" t="str">
        <f>""</f>
        <v/>
      </c>
      <c r="DQ185" t="str">
        <f>""</f>
        <v/>
      </c>
      <c r="DR185" t="str">
        <f>""</f>
        <v/>
      </c>
      <c r="DS185" t="str">
        <f>""</f>
        <v/>
      </c>
      <c r="DT185" t="str">
        <f>""</f>
        <v/>
      </c>
      <c r="DU185" t="str">
        <f>""</f>
        <v/>
      </c>
    </row>
    <row r="186" spans="1:125" x14ac:dyDescent="0.25">
      <c r="A186" t="str">
        <f>$A$30</f>
        <v xml:space="preserve">                        Western Europe</v>
      </c>
      <c r="B186" t="str">
        <f>$B$30</f>
        <v>KER FP Equity</v>
      </c>
      <c r="C186" t="str">
        <f>$C$30</f>
        <v>BI047</v>
      </c>
      <c r="D186" t="str">
        <f>$D$30</f>
        <v>BICS_SEGMENT_DATA</v>
      </c>
      <c r="E186" t="str">
        <f>$E$30</f>
        <v>Dynamic</v>
      </c>
      <c r="F186" t="str">
        <f ca="1">_xll.BDH($B$30,$C$30,$B$156,$B$157,CONCATENATE("Per=",$B$154),"Dts=H","Dir=H",CONCATENATE("Points=",$B$155),"Sort=R","Days=A","Fill=B","DZ666=700","DZ381=1110101012","DZ667=58","DS276=Y",CONCATENATE("FX=", $B$153) )</f>
        <v/>
      </c>
      <c r="BN186" t="str">
        <f>""</f>
        <v/>
      </c>
      <c r="BO186" t="str">
        <f>""</f>
        <v/>
      </c>
      <c r="BP186" t="str">
        <f>""</f>
        <v/>
      </c>
      <c r="BQ186" t="str">
        <f>""</f>
        <v/>
      </c>
      <c r="BR186" t="str">
        <f>""</f>
        <v/>
      </c>
      <c r="BS186" t="str">
        <f>""</f>
        <v/>
      </c>
      <c r="BT186" t="str">
        <f>""</f>
        <v/>
      </c>
      <c r="BU186" t="str">
        <f>""</f>
        <v/>
      </c>
      <c r="BV186" t="str">
        <f>""</f>
        <v/>
      </c>
      <c r="BW186" t="str">
        <f>""</f>
        <v/>
      </c>
      <c r="BX186" t="str">
        <f>""</f>
        <v/>
      </c>
      <c r="BY186" t="str">
        <f>""</f>
        <v/>
      </c>
      <c r="BZ186" t="str">
        <f>""</f>
        <v/>
      </c>
      <c r="CA186" t="str">
        <f>""</f>
        <v/>
      </c>
      <c r="CB186" t="str">
        <f>""</f>
        <v/>
      </c>
      <c r="CC186" t="str">
        <f>""</f>
        <v/>
      </c>
      <c r="CD186" t="str">
        <f>""</f>
        <v/>
      </c>
      <c r="CE186" t="str">
        <f>""</f>
        <v/>
      </c>
      <c r="CF186" t="str">
        <f>""</f>
        <v/>
      </c>
      <c r="CG186" t="str">
        <f>""</f>
        <v/>
      </c>
      <c r="CH186" t="str">
        <f>""</f>
        <v/>
      </c>
      <c r="CI186" t="str">
        <f>""</f>
        <v/>
      </c>
      <c r="CJ186" t="str">
        <f>""</f>
        <v/>
      </c>
      <c r="CK186" t="str">
        <f>""</f>
        <v/>
      </c>
      <c r="CL186" t="str">
        <f>""</f>
        <v/>
      </c>
      <c r="CM186" t="str">
        <f>""</f>
        <v/>
      </c>
      <c r="CN186" t="str">
        <f>""</f>
        <v/>
      </c>
      <c r="CO186" t="str">
        <f>""</f>
        <v/>
      </c>
      <c r="CP186" t="str">
        <f>""</f>
        <v/>
      </c>
      <c r="CQ186" t="str">
        <f>""</f>
        <v/>
      </c>
      <c r="CR186" t="str">
        <f>""</f>
        <v/>
      </c>
      <c r="CS186" t="str">
        <f>""</f>
        <v/>
      </c>
      <c r="CT186" t="str">
        <f>""</f>
        <v/>
      </c>
      <c r="CU186" t="str">
        <f>""</f>
        <v/>
      </c>
      <c r="CV186" t="str">
        <f>""</f>
        <v/>
      </c>
      <c r="CW186" t="str">
        <f>""</f>
        <v/>
      </c>
      <c r="CX186" t="str">
        <f>""</f>
        <v/>
      </c>
      <c r="CY186" t="str">
        <f>""</f>
        <v/>
      </c>
      <c r="CZ186" t="str">
        <f>""</f>
        <v/>
      </c>
      <c r="DA186" t="str">
        <f>""</f>
        <v/>
      </c>
      <c r="DB186" t="str">
        <f>""</f>
        <v/>
      </c>
      <c r="DC186" t="str">
        <f>""</f>
        <v/>
      </c>
      <c r="DD186" t="str">
        <f>""</f>
        <v/>
      </c>
      <c r="DE186" t="str">
        <f>""</f>
        <v/>
      </c>
      <c r="DF186" t="str">
        <f>""</f>
        <v/>
      </c>
      <c r="DG186" t="str">
        <f>""</f>
        <v/>
      </c>
      <c r="DH186" t="str">
        <f>""</f>
        <v/>
      </c>
      <c r="DI186" t="str">
        <f>""</f>
        <v/>
      </c>
      <c r="DJ186" t="str">
        <f>""</f>
        <v/>
      </c>
      <c r="DK186" t="str">
        <f>""</f>
        <v/>
      </c>
      <c r="DL186" t="str">
        <f>""</f>
        <v/>
      </c>
      <c r="DM186" t="str">
        <f>""</f>
        <v/>
      </c>
      <c r="DN186" t="str">
        <f>""</f>
        <v/>
      </c>
      <c r="DO186" t="str">
        <f>""</f>
        <v/>
      </c>
      <c r="DP186" t="str">
        <f>""</f>
        <v/>
      </c>
      <c r="DQ186" t="str">
        <f>""</f>
        <v/>
      </c>
      <c r="DR186" t="str">
        <f>""</f>
        <v/>
      </c>
      <c r="DS186" t="str">
        <f>""</f>
        <v/>
      </c>
      <c r="DT186" t="str">
        <f>""</f>
        <v/>
      </c>
      <c r="DU186" t="str">
        <f>""</f>
        <v/>
      </c>
    </row>
    <row r="187" spans="1:125" x14ac:dyDescent="0.25">
      <c r="A187" t="str">
        <f>$A$31</f>
        <v xml:space="preserve">                        North America</v>
      </c>
      <c r="B187" t="str">
        <f>$B$31</f>
        <v>KER FP Equity</v>
      </c>
      <c r="C187" t="str">
        <f>$C$31</f>
        <v>BI047</v>
      </c>
      <c r="D187" t="str">
        <f>$D$31</f>
        <v>BICS_SEGMENT_DATA</v>
      </c>
      <c r="E187" t="str">
        <f>$E$31</f>
        <v>Dynamic</v>
      </c>
      <c r="F187" t="str">
        <f ca="1">_xll.BDH($B$31,$C$31,$B$156,$B$157,CONCATENATE("Per=",$B$154),"Dts=H","Dir=H",CONCATENATE("Points=",$B$155),"Sort=R","Days=A","Fill=B","DZ666=700","DZ381=1110101012","DZ667=10","DS276=Y",CONCATENATE("FX=", $B$153) )</f>
        <v/>
      </c>
      <c r="BN187" t="str">
        <f>""</f>
        <v/>
      </c>
      <c r="BO187" t="str">
        <f>""</f>
        <v/>
      </c>
      <c r="BP187" t="str">
        <f>""</f>
        <v/>
      </c>
      <c r="BQ187" t="str">
        <f>""</f>
        <v/>
      </c>
      <c r="BR187" t="str">
        <f>""</f>
        <v/>
      </c>
      <c r="BS187" t="str">
        <f>""</f>
        <v/>
      </c>
      <c r="BT187" t="str">
        <f>""</f>
        <v/>
      </c>
      <c r="BU187" t="str">
        <f>""</f>
        <v/>
      </c>
      <c r="BV187" t="str">
        <f>""</f>
        <v/>
      </c>
      <c r="BW187" t="str">
        <f>""</f>
        <v/>
      </c>
      <c r="BX187" t="str">
        <f>""</f>
        <v/>
      </c>
      <c r="BY187" t="str">
        <f>""</f>
        <v/>
      </c>
      <c r="BZ187" t="str">
        <f>""</f>
        <v/>
      </c>
      <c r="CA187" t="str">
        <f>""</f>
        <v/>
      </c>
      <c r="CB187" t="str">
        <f>""</f>
        <v/>
      </c>
      <c r="CC187" t="str">
        <f>""</f>
        <v/>
      </c>
      <c r="CD187" t="str">
        <f>""</f>
        <v/>
      </c>
      <c r="CE187" t="str">
        <f>""</f>
        <v/>
      </c>
      <c r="CF187" t="str">
        <f>""</f>
        <v/>
      </c>
      <c r="CG187" t="str">
        <f>""</f>
        <v/>
      </c>
      <c r="CH187" t="str">
        <f>""</f>
        <v/>
      </c>
      <c r="CI187" t="str">
        <f>""</f>
        <v/>
      </c>
      <c r="CJ187" t="str">
        <f>""</f>
        <v/>
      </c>
      <c r="CK187" t="str">
        <f>""</f>
        <v/>
      </c>
      <c r="CL187" t="str">
        <f>""</f>
        <v/>
      </c>
      <c r="CM187" t="str">
        <f>""</f>
        <v/>
      </c>
      <c r="CN187" t="str">
        <f>""</f>
        <v/>
      </c>
      <c r="CO187" t="str">
        <f>""</f>
        <v/>
      </c>
      <c r="CP187" t="str">
        <f>""</f>
        <v/>
      </c>
      <c r="CQ187" t="str">
        <f>""</f>
        <v/>
      </c>
      <c r="CR187" t="str">
        <f>""</f>
        <v/>
      </c>
      <c r="CS187" t="str">
        <f>""</f>
        <v/>
      </c>
      <c r="CT187" t="str">
        <f>""</f>
        <v/>
      </c>
      <c r="CU187" t="str">
        <f>""</f>
        <v/>
      </c>
      <c r="CV187" t="str">
        <f>""</f>
        <v/>
      </c>
      <c r="CW187" t="str">
        <f>""</f>
        <v/>
      </c>
      <c r="CX187" t="str">
        <f>""</f>
        <v/>
      </c>
      <c r="CY187" t="str">
        <f>""</f>
        <v/>
      </c>
      <c r="CZ187" t="str">
        <f>""</f>
        <v/>
      </c>
      <c r="DA187" t="str">
        <f>""</f>
        <v/>
      </c>
      <c r="DB187" t="str">
        <f>""</f>
        <v/>
      </c>
      <c r="DC187" t="str">
        <f>""</f>
        <v/>
      </c>
      <c r="DD187" t="str">
        <f>""</f>
        <v/>
      </c>
      <c r="DE187" t="str">
        <f>""</f>
        <v/>
      </c>
      <c r="DF187" t="str">
        <f>""</f>
        <v/>
      </c>
      <c r="DG187" t="str">
        <f>""</f>
        <v/>
      </c>
      <c r="DH187" t="str">
        <f>""</f>
        <v/>
      </c>
      <c r="DI187" t="str">
        <f>""</f>
        <v/>
      </c>
      <c r="DJ187" t="str">
        <f>""</f>
        <v/>
      </c>
      <c r="DK187" t="str">
        <f>""</f>
        <v/>
      </c>
      <c r="DL187" t="str">
        <f>""</f>
        <v/>
      </c>
      <c r="DM187" t="str">
        <f>""</f>
        <v/>
      </c>
      <c r="DN187" t="str">
        <f>""</f>
        <v/>
      </c>
      <c r="DO187" t="str">
        <f>""</f>
        <v/>
      </c>
      <c r="DP187" t="str">
        <f>""</f>
        <v/>
      </c>
      <c r="DQ187" t="str">
        <f>""</f>
        <v/>
      </c>
      <c r="DR187" t="str">
        <f>""</f>
        <v/>
      </c>
      <c r="DS187" t="str">
        <f>""</f>
        <v/>
      </c>
      <c r="DT187" t="str">
        <f>""</f>
        <v/>
      </c>
      <c r="DU187" t="str">
        <f>""</f>
        <v/>
      </c>
    </row>
    <row r="188" spans="1:125" x14ac:dyDescent="0.25">
      <c r="A188" t="str">
        <f>$A$32</f>
        <v xml:space="preserve">                        Japan</v>
      </c>
      <c r="B188" t="str">
        <f>$B$32</f>
        <v>KER FP Equity</v>
      </c>
      <c r="C188" t="str">
        <f>$C$32</f>
        <v>BI047</v>
      </c>
      <c r="D188" t="str">
        <f>$D$32</f>
        <v>BICS_SEGMENT_DATA</v>
      </c>
      <c r="E188" t="str">
        <f>$E$32</f>
        <v>Dynamic</v>
      </c>
      <c r="F188" t="str">
        <f ca="1">_xll.BDH($B$32,$C$32,$B$156,$B$157,CONCATENATE("Per=",$B$154),"Dts=H","Dir=H",CONCATENATE("Points=",$B$155),"Sort=R","Days=A","Fill=B","DZ666=700","DZ381=1110101012","DZ667=71","DS276=Y",CONCATENATE("FX=", $B$153) )</f>
        <v/>
      </c>
      <c r="BN188" t="str">
        <f>""</f>
        <v/>
      </c>
      <c r="BO188" t="str">
        <f>""</f>
        <v/>
      </c>
      <c r="BP188" t="str">
        <f>""</f>
        <v/>
      </c>
      <c r="BQ188" t="str">
        <f>""</f>
        <v/>
      </c>
      <c r="BR188" t="str">
        <f>""</f>
        <v/>
      </c>
      <c r="BS188" t="str">
        <f>""</f>
        <v/>
      </c>
      <c r="BT188" t="str">
        <f>""</f>
        <v/>
      </c>
      <c r="BU188" t="str">
        <f>""</f>
        <v/>
      </c>
      <c r="BV188" t="str">
        <f>""</f>
        <v/>
      </c>
      <c r="BW188" t="str">
        <f>""</f>
        <v/>
      </c>
      <c r="BX188" t="str">
        <f>""</f>
        <v/>
      </c>
      <c r="BY188" t="str">
        <f>""</f>
        <v/>
      </c>
      <c r="BZ188" t="str">
        <f>""</f>
        <v/>
      </c>
      <c r="CA188" t="str">
        <f>""</f>
        <v/>
      </c>
      <c r="CB188" t="str">
        <f>""</f>
        <v/>
      </c>
      <c r="CC188" t="str">
        <f>""</f>
        <v/>
      </c>
      <c r="CD188" t="str">
        <f>""</f>
        <v/>
      </c>
      <c r="CE188" t="str">
        <f>""</f>
        <v/>
      </c>
      <c r="CF188" t="str">
        <f>""</f>
        <v/>
      </c>
      <c r="CG188" t="str">
        <f>""</f>
        <v/>
      </c>
      <c r="CH188" t="str">
        <f>""</f>
        <v/>
      </c>
      <c r="CI188" t="str">
        <f>""</f>
        <v/>
      </c>
      <c r="CJ188" t="str">
        <f>""</f>
        <v/>
      </c>
      <c r="CK188" t="str">
        <f>""</f>
        <v/>
      </c>
      <c r="CL188" t="str">
        <f>""</f>
        <v/>
      </c>
      <c r="CM188" t="str">
        <f>""</f>
        <v/>
      </c>
      <c r="CN188" t="str">
        <f>""</f>
        <v/>
      </c>
      <c r="CO188" t="str">
        <f>""</f>
        <v/>
      </c>
      <c r="CP188" t="str">
        <f>""</f>
        <v/>
      </c>
      <c r="CQ188" t="str">
        <f>""</f>
        <v/>
      </c>
      <c r="CR188" t="str">
        <f>""</f>
        <v/>
      </c>
      <c r="CS188" t="str">
        <f>""</f>
        <v/>
      </c>
      <c r="CT188" t="str">
        <f>""</f>
        <v/>
      </c>
      <c r="CU188" t="str">
        <f>""</f>
        <v/>
      </c>
      <c r="CV188" t="str">
        <f>""</f>
        <v/>
      </c>
      <c r="CW188" t="str">
        <f>""</f>
        <v/>
      </c>
      <c r="CX188" t="str">
        <f>""</f>
        <v/>
      </c>
      <c r="CY188" t="str">
        <f>""</f>
        <v/>
      </c>
      <c r="CZ188" t="str">
        <f>""</f>
        <v/>
      </c>
      <c r="DA188" t="str">
        <f>""</f>
        <v/>
      </c>
      <c r="DB188" t="str">
        <f>""</f>
        <v/>
      </c>
      <c r="DC188" t="str">
        <f>""</f>
        <v/>
      </c>
      <c r="DD188" t="str">
        <f>""</f>
        <v/>
      </c>
      <c r="DE188" t="str">
        <f>""</f>
        <v/>
      </c>
      <c r="DF188" t="str">
        <f>""</f>
        <v/>
      </c>
      <c r="DG188" t="str">
        <f>""</f>
        <v/>
      </c>
      <c r="DH188" t="str">
        <f>""</f>
        <v/>
      </c>
      <c r="DI188" t="str">
        <f>""</f>
        <v/>
      </c>
      <c r="DJ188" t="str">
        <f>""</f>
        <v/>
      </c>
      <c r="DK188" t="str">
        <f>""</f>
        <v/>
      </c>
      <c r="DL188" t="str">
        <f>""</f>
        <v/>
      </c>
      <c r="DM188" t="str">
        <f>""</f>
        <v/>
      </c>
      <c r="DN188" t="str">
        <f>""</f>
        <v/>
      </c>
      <c r="DO188" t="str">
        <f>""</f>
        <v/>
      </c>
      <c r="DP188" t="str">
        <f>""</f>
        <v/>
      </c>
      <c r="DQ188" t="str">
        <f>""</f>
        <v/>
      </c>
      <c r="DR188" t="str">
        <f>""</f>
        <v/>
      </c>
      <c r="DS188" t="str">
        <f>""</f>
        <v/>
      </c>
      <c r="DT188" t="str">
        <f>""</f>
        <v/>
      </c>
      <c r="DU188" t="str">
        <f>""</f>
        <v/>
      </c>
    </row>
    <row r="189" spans="1:125" x14ac:dyDescent="0.25">
      <c r="A189" t="str">
        <f>$A$33</f>
        <v xml:space="preserve">                        Asia Pacific</v>
      </c>
      <c r="B189" t="str">
        <f>$B$33</f>
        <v>KER FP Equity</v>
      </c>
      <c r="C189" t="str">
        <f>$C$33</f>
        <v>BI047</v>
      </c>
      <c r="D189" t="str">
        <f>$D$33</f>
        <v>BICS_SEGMENT_DATA</v>
      </c>
      <c r="E189" t="str">
        <f>$E$33</f>
        <v>Dynamic</v>
      </c>
      <c r="F189" t="str">
        <f ca="1">_xll.BDH($B$33,$C$33,$B$156,$B$157,CONCATENATE("Per=",$B$154),"Dts=H","Dir=H",CONCATENATE("Points=",$B$155),"Sort=R","Days=A","Fill=B","DZ666=700","DZ381=1110101012","DZ667=12","DS276=Y",CONCATENATE("FX=", $B$153) )</f>
        <v/>
      </c>
      <c r="BN189" t="str">
        <f>""</f>
        <v/>
      </c>
      <c r="BO189" t="str">
        <f>""</f>
        <v/>
      </c>
      <c r="BP189" t="str">
        <f>""</f>
        <v/>
      </c>
      <c r="BQ189" t="str">
        <f>""</f>
        <v/>
      </c>
      <c r="BR189" t="str">
        <f>""</f>
        <v/>
      </c>
      <c r="BS189" t="str">
        <f>""</f>
        <v/>
      </c>
      <c r="BT189" t="str">
        <f>""</f>
        <v/>
      </c>
      <c r="BU189" t="str">
        <f>""</f>
        <v/>
      </c>
      <c r="BV189" t="str">
        <f>""</f>
        <v/>
      </c>
      <c r="BW189" t="str">
        <f>""</f>
        <v/>
      </c>
      <c r="BX189" t="str">
        <f>""</f>
        <v/>
      </c>
      <c r="BY189" t="str">
        <f>""</f>
        <v/>
      </c>
      <c r="BZ189" t="str">
        <f>""</f>
        <v/>
      </c>
      <c r="CA189" t="str">
        <f>""</f>
        <v/>
      </c>
      <c r="CB189" t="str">
        <f>""</f>
        <v/>
      </c>
      <c r="CC189" t="str">
        <f>""</f>
        <v/>
      </c>
      <c r="CD189" t="str">
        <f>""</f>
        <v/>
      </c>
      <c r="CE189" t="str">
        <f>""</f>
        <v/>
      </c>
      <c r="CF189" t="str">
        <f>""</f>
        <v/>
      </c>
      <c r="CG189" t="str">
        <f>""</f>
        <v/>
      </c>
      <c r="CH189" t="str">
        <f>""</f>
        <v/>
      </c>
      <c r="CI189" t="str">
        <f>""</f>
        <v/>
      </c>
      <c r="CJ189" t="str">
        <f>""</f>
        <v/>
      </c>
      <c r="CK189" t="str">
        <f>""</f>
        <v/>
      </c>
      <c r="CL189" t="str">
        <f>""</f>
        <v/>
      </c>
      <c r="CM189" t="str">
        <f>""</f>
        <v/>
      </c>
      <c r="CN189" t="str">
        <f>""</f>
        <v/>
      </c>
      <c r="CO189" t="str">
        <f>""</f>
        <v/>
      </c>
      <c r="CP189" t="str">
        <f>""</f>
        <v/>
      </c>
      <c r="CQ189" t="str">
        <f>""</f>
        <v/>
      </c>
      <c r="CR189" t="str">
        <f>""</f>
        <v/>
      </c>
      <c r="CS189" t="str">
        <f>""</f>
        <v/>
      </c>
      <c r="CT189" t="str">
        <f>""</f>
        <v/>
      </c>
      <c r="CU189" t="str">
        <f>""</f>
        <v/>
      </c>
      <c r="CV189" t="str">
        <f>""</f>
        <v/>
      </c>
      <c r="CW189" t="str">
        <f>""</f>
        <v/>
      </c>
      <c r="CX189" t="str">
        <f>""</f>
        <v/>
      </c>
      <c r="CY189" t="str">
        <f>""</f>
        <v/>
      </c>
      <c r="CZ189" t="str">
        <f>""</f>
        <v/>
      </c>
      <c r="DA189" t="str">
        <f>""</f>
        <v/>
      </c>
      <c r="DB189" t="str">
        <f>""</f>
        <v/>
      </c>
      <c r="DC189" t="str">
        <f>""</f>
        <v/>
      </c>
      <c r="DD189" t="str">
        <f>""</f>
        <v/>
      </c>
      <c r="DE189" t="str">
        <f>""</f>
        <v/>
      </c>
      <c r="DF189" t="str">
        <f>""</f>
        <v/>
      </c>
      <c r="DG189" t="str">
        <f>""</f>
        <v/>
      </c>
      <c r="DH189" t="str">
        <f>""</f>
        <v/>
      </c>
      <c r="DI189" t="str">
        <f>""</f>
        <v/>
      </c>
      <c r="DJ189" t="str">
        <f>""</f>
        <v/>
      </c>
      <c r="DK189" t="str">
        <f>""</f>
        <v/>
      </c>
      <c r="DL189" t="str">
        <f>""</f>
        <v/>
      </c>
      <c r="DM189" t="str">
        <f>""</f>
        <v/>
      </c>
      <c r="DN189" t="str">
        <f>""</f>
        <v/>
      </c>
      <c r="DO189" t="str">
        <f>""</f>
        <v/>
      </c>
      <c r="DP189" t="str">
        <f>""</f>
        <v/>
      </c>
      <c r="DQ189" t="str">
        <f>""</f>
        <v/>
      </c>
      <c r="DR189" t="str">
        <f>""</f>
        <v/>
      </c>
      <c r="DS189" t="str">
        <f>""</f>
        <v/>
      </c>
      <c r="DT189" t="str">
        <f>""</f>
        <v/>
      </c>
      <c r="DU189" t="str">
        <f>""</f>
        <v/>
      </c>
    </row>
    <row r="190" spans="1:125" x14ac:dyDescent="0.25">
      <c r="A190" t="str">
        <f>$A$34</f>
        <v xml:space="preserve">                        RoW</v>
      </c>
      <c r="B190" t="str">
        <f>$B$34</f>
        <v>KER FP Equity</v>
      </c>
      <c r="C190" t="str">
        <f>$C$34</f>
        <v>BI047</v>
      </c>
      <c r="D190" t="str">
        <f>$D$34</f>
        <v>BICS_SEGMENT_DATA</v>
      </c>
      <c r="E190" t="str">
        <f>$E$34</f>
        <v>Dynamic</v>
      </c>
      <c r="F190" t="str">
        <f ca="1">_xll.BDH($B$34,$C$34,$B$156,$B$157,CONCATENATE("Per=",$B$154),"Dts=H","Dir=H",CONCATENATE("Points=",$B$155),"Sort=R","Days=A","Fill=B","DZ666=700","DZ381=1110101012","DZ667=69","DS276=Y",CONCATENATE("FX=", $B$153) )</f>
        <v/>
      </c>
      <c r="BN190" t="str">
        <f>""</f>
        <v/>
      </c>
      <c r="BO190" t="str">
        <f>""</f>
        <v/>
      </c>
      <c r="BP190" t="str">
        <f>""</f>
        <v/>
      </c>
      <c r="BQ190" t="str">
        <f>""</f>
        <v/>
      </c>
      <c r="BR190" t="str">
        <f>""</f>
        <v/>
      </c>
      <c r="BS190" t="str">
        <f>""</f>
        <v/>
      </c>
      <c r="BT190" t="str">
        <f>""</f>
        <v/>
      </c>
      <c r="BU190" t="str">
        <f>""</f>
        <v/>
      </c>
      <c r="BV190" t="str">
        <f>""</f>
        <v/>
      </c>
      <c r="BW190" t="str">
        <f>""</f>
        <v/>
      </c>
      <c r="BX190" t="str">
        <f>""</f>
        <v/>
      </c>
      <c r="BY190" t="str">
        <f>""</f>
        <v/>
      </c>
      <c r="BZ190" t="str">
        <f>""</f>
        <v/>
      </c>
      <c r="CA190" t="str">
        <f>""</f>
        <v/>
      </c>
      <c r="CB190" t="str">
        <f>""</f>
        <v/>
      </c>
      <c r="CC190" t="str">
        <f>""</f>
        <v/>
      </c>
      <c r="CD190" t="str">
        <f>""</f>
        <v/>
      </c>
      <c r="CE190" t="str">
        <f>""</f>
        <v/>
      </c>
      <c r="CF190" t="str">
        <f>""</f>
        <v/>
      </c>
      <c r="CG190" t="str">
        <f>""</f>
        <v/>
      </c>
      <c r="CH190" t="str">
        <f>""</f>
        <v/>
      </c>
      <c r="CI190" t="str">
        <f>""</f>
        <v/>
      </c>
      <c r="CJ190" t="str">
        <f>""</f>
        <v/>
      </c>
      <c r="CK190" t="str">
        <f>""</f>
        <v/>
      </c>
      <c r="CL190" t="str">
        <f>""</f>
        <v/>
      </c>
      <c r="CM190" t="str">
        <f>""</f>
        <v/>
      </c>
      <c r="CN190" t="str">
        <f>""</f>
        <v/>
      </c>
      <c r="CO190" t="str">
        <f>""</f>
        <v/>
      </c>
      <c r="CP190" t="str">
        <f>""</f>
        <v/>
      </c>
      <c r="CQ190" t="str">
        <f>""</f>
        <v/>
      </c>
      <c r="CR190" t="str">
        <f>""</f>
        <v/>
      </c>
      <c r="CS190" t="str">
        <f>""</f>
        <v/>
      </c>
      <c r="CT190" t="str">
        <f>""</f>
        <v/>
      </c>
      <c r="CU190" t="str">
        <f>""</f>
        <v/>
      </c>
      <c r="CV190" t="str">
        <f>""</f>
        <v/>
      </c>
      <c r="CW190" t="str">
        <f>""</f>
        <v/>
      </c>
      <c r="CX190" t="str">
        <f>""</f>
        <v/>
      </c>
      <c r="CY190" t="str">
        <f>""</f>
        <v/>
      </c>
      <c r="CZ190" t="str">
        <f>""</f>
        <v/>
      </c>
      <c r="DA190" t="str">
        <f>""</f>
        <v/>
      </c>
      <c r="DB190" t="str">
        <f>""</f>
        <v/>
      </c>
      <c r="DC190" t="str">
        <f>""</f>
        <v/>
      </c>
      <c r="DD190" t="str">
        <f>""</f>
        <v/>
      </c>
      <c r="DE190" t="str">
        <f>""</f>
        <v/>
      </c>
      <c r="DF190" t="str">
        <f>""</f>
        <v/>
      </c>
      <c r="DG190" t="str">
        <f>""</f>
        <v/>
      </c>
      <c r="DH190" t="str">
        <f>""</f>
        <v/>
      </c>
      <c r="DI190" t="str">
        <f>""</f>
        <v/>
      </c>
      <c r="DJ190" t="str">
        <f>""</f>
        <v/>
      </c>
      <c r="DK190" t="str">
        <f>""</f>
        <v/>
      </c>
      <c r="DL190" t="str">
        <f>""</f>
        <v/>
      </c>
      <c r="DM190" t="str">
        <f>""</f>
        <v/>
      </c>
      <c r="DN190" t="str">
        <f>""</f>
        <v/>
      </c>
      <c r="DO190" t="str">
        <f>""</f>
        <v/>
      </c>
      <c r="DP190" t="str">
        <f>""</f>
        <v/>
      </c>
      <c r="DQ190" t="str">
        <f>""</f>
        <v/>
      </c>
      <c r="DR190" t="str">
        <f>""</f>
        <v/>
      </c>
      <c r="DS190" t="str">
        <f>""</f>
        <v/>
      </c>
      <c r="DT190" t="str">
        <f>""</f>
        <v/>
      </c>
      <c r="DU190" t="str">
        <f>""</f>
        <v/>
      </c>
    </row>
    <row r="191" spans="1:125" x14ac:dyDescent="0.25">
      <c r="A191" t="str">
        <f>$A$35</f>
        <v xml:space="preserve">                    Wholesale</v>
      </c>
      <c r="B191" t="str">
        <f>$B$35</f>
        <v>KER FP Equity</v>
      </c>
      <c r="C191" t="str">
        <f>$C$35</f>
        <v>BI047</v>
      </c>
      <c r="D191" t="str">
        <f>$D$35</f>
        <v>BICS_SEGMENT_DATA</v>
      </c>
      <c r="E191" t="str">
        <f>$E$35</f>
        <v>Dynamic</v>
      </c>
      <c r="F191" t="str">
        <f ca="1">_xll.BDH($B$35,$C$35,$B$156,$B$157,CONCATENATE("Per=",$B$154),"Dts=H","Dir=H",CONCATENATE("Points=",$B$155),"Sort=R","Days=A","Fill=B","DZ666=700","DZ381=1110101012","DZ667=14","DS276=Y",CONCATENATE("FX=", $B$153) )</f>
        <v/>
      </c>
      <c r="BN191" t="str">
        <f>""</f>
        <v/>
      </c>
      <c r="BO191" t="str">
        <f>""</f>
        <v/>
      </c>
      <c r="BP191" t="str">
        <f>""</f>
        <v/>
      </c>
      <c r="BQ191" t="str">
        <f>""</f>
        <v/>
      </c>
      <c r="BR191" t="str">
        <f>""</f>
        <v/>
      </c>
      <c r="BS191" t="str">
        <f>""</f>
        <v/>
      </c>
      <c r="BT191" t="str">
        <f>""</f>
        <v/>
      </c>
      <c r="BU191" t="str">
        <f>""</f>
        <v/>
      </c>
      <c r="BV191" t="str">
        <f>""</f>
        <v/>
      </c>
      <c r="BW191" t="str">
        <f>""</f>
        <v/>
      </c>
      <c r="BX191" t="str">
        <f>""</f>
        <v/>
      </c>
      <c r="BY191" t="str">
        <f>""</f>
        <v/>
      </c>
      <c r="BZ191" t="str">
        <f>""</f>
        <v/>
      </c>
      <c r="CA191" t="str">
        <f>""</f>
        <v/>
      </c>
      <c r="CB191" t="str">
        <f>""</f>
        <v/>
      </c>
      <c r="CC191" t="str">
        <f>""</f>
        <v/>
      </c>
      <c r="CD191" t="str">
        <f>""</f>
        <v/>
      </c>
      <c r="CE191" t="str">
        <f>""</f>
        <v/>
      </c>
      <c r="CF191" t="str">
        <f>""</f>
        <v/>
      </c>
      <c r="CG191" t="str">
        <f>""</f>
        <v/>
      </c>
      <c r="CH191" t="str">
        <f>""</f>
        <v/>
      </c>
      <c r="CI191" t="str">
        <f>""</f>
        <v/>
      </c>
      <c r="CJ191" t="str">
        <f>""</f>
        <v/>
      </c>
      <c r="CK191" t="str">
        <f>""</f>
        <v/>
      </c>
      <c r="CL191" t="str">
        <f>""</f>
        <v/>
      </c>
      <c r="CM191" t="str">
        <f>""</f>
        <v/>
      </c>
      <c r="CN191" t="str">
        <f>""</f>
        <v/>
      </c>
      <c r="CO191" t="str">
        <f>""</f>
        <v/>
      </c>
      <c r="CP191" t="str">
        <f>""</f>
        <v/>
      </c>
      <c r="CQ191" t="str">
        <f>""</f>
        <v/>
      </c>
      <c r="CR191" t="str">
        <f>""</f>
        <v/>
      </c>
      <c r="CS191" t="str">
        <f>""</f>
        <v/>
      </c>
      <c r="CT191" t="str">
        <f>""</f>
        <v/>
      </c>
      <c r="CU191" t="str">
        <f>""</f>
        <v/>
      </c>
      <c r="CV191" t="str">
        <f>""</f>
        <v/>
      </c>
      <c r="CW191" t="str">
        <f>""</f>
        <v/>
      </c>
      <c r="CX191" t="str">
        <f>""</f>
        <v/>
      </c>
      <c r="CY191" t="str">
        <f>""</f>
        <v/>
      </c>
      <c r="CZ191" t="str">
        <f>""</f>
        <v/>
      </c>
      <c r="DA191" t="str">
        <f>""</f>
        <v/>
      </c>
      <c r="DB191" t="str">
        <f>""</f>
        <v/>
      </c>
      <c r="DC191" t="str">
        <f>""</f>
        <v/>
      </c>
      <c r="DD191" t="str">
        <f>""</f>
        <v/>
      </c>
      <c r="DE191" t="str">
        <f>""</f>
        <v/>
      </c>
      <c r="DF191" t="str">
        <f>""</f>
        <v/>
      </c>
      <c r="DG191" t="str">
        <f>""</f>
        <v/>
      </c>
      <c r="DH191" t="str">
        <f>""</f>
        <v/>
      </c>
      <c r="DI191" t="str">
        <f>""</f>
        <v/>
      </c>
      <c r="DJ191" t="str">
        <f>""</f>
        <v/>
      </c>
      <c r="DK191" t="str">
        <f>""</f>
        <v/>
      </c>
      <c r="DL191" t="str">
        <f>""</f>
        <v/>
      </c>
      <c r="DM191" t="str">
        <f>""</f>
        <v/>
      </c>
      <c r="DN191" t="str">
        <f>""</f>
        <v/>
      </c>
      <c r="DO191" t="str">
        <f>""</f>
        <v/>
      </c>
      <c r="DP191" t="str">
        <f>""</f>
        <v/>
      </c>
      <c r="DQ191" t="str">
        <f>""</f>
        <v/>
      </c>
      <c r="DR191" t="str">
        <f>""</f>
        <v/>
      </c>
      <c r="DS191" t="str">
        <f>""</f>
        <v/>
      </c>
      <c r="DT191" t="str">
        <f>""</f>
        <v/>
      </c>
      <c r="DU191" t="str">
        <f>""</f>
        <v/>
      </c>
    </row>
    <row r="192" spans="1:125" x14ac:dyDescent="0.25">
      <c r="A192" t="str">
        <f>$A$36</f>
        <v xml:space="preserve">                    Royalties and Others</v>
      </c>
      <c r="B192" t="str">
        <f>$B$36</f>
        <v>KER FP Equity</v>
      </c>
      <c r="C192" t="str">
        <f>$C$36</f>
        <v>BI047</v>
      </c>
      <c r="D192" t="str">
        <f>$D$36</f>
        <v>BICS_SEGMENT_DATA</v>
      </c>
      <c r="E192" t="str">
        <f>$E$36</f>
        <v>Dynamic</v>
      </c>
      <c r="F192" t="str">
        <f ca="1">_xll.BDH($B$36,$C$36,$B$156,$B$157,CONCATENATE("Per=",$B$154),"Dts=H","Dir=H",CONCATENATE("Points=",$B$155),"Sort=R","Days=A","Fill=B","DZ666=700","DZ381=1110101012","DZ667=15","DS276=Y",CONCATENATE("FX=", $B$153) )</f>
        <v/>
      </c>
      <c r="BN192" t="str">
        <f>""</f>
        <v/>
      </c>
      <c r="BO192" t="str">
        <f>""</f>
        <v/>
      </c>
      <c r="BP192" t="str">
        <f>""</f>
        <v/>
      </c>
      <c r="BQ192" t="str">
        <f>""</f>
        <v/>
      </c>
      <c r="BR192" t="str">
        <f>""</f>
        <v/>
      </c>
      <c r="BS192" t="str">
        <f>""</f>
        <v/>
      </c>
      <c r="BT192" t="str">
        <f>""</f>
        <v/>
      </c>
      <c r="BU192" t="str">
        <f>""</f>
        <v/>
      </c>
      <c r="BV192" t="str">
        <f>""</f>
        <v/>
      </c>
      <c r="BW192" t="str">
        <f>""</f>
        <v/>
      </c>
      <c r="BX192" t="str">
        <f>""</f>
        <v/>
      </c>
      <c r="BY192" t="str">
        <f>""</f>
        <v/>
      </c>
      <c r="BZ192" t="str">
        <f>""</f>
        <v/>
      </c>
      <c r="CA192" t="str">
        <f>""</f>
        <v/>
      </c>
      <c r="CB192" t="str">
        <f>""</f>
        <v/>
      </c>
      <c r="CC192" t="str">
        <f>""</f>
        <v/>
      </c>
      <c r="CD192" t="str">
        <f>""</f>
        <v/>
      </c>
      <c r="CE192" t="str">
        <f>""</f>
        <v/>
      </c>
      <c r="CF192" t="str">
        <f>""</f>
        <v/>
      </c>
      <c r="CG192" t="str">
        <f>""</f>
        <v/>
      </c>
      <c r="CH192" t="str">
        <f>""</f>
        <v/>
      </c>
      <c r="CI192" t="str">
        <f>""</f>
        <v/>
      </c>
      <c r="CJ192" t="str">
        <f>""</f>
        <v/>
      </c>
      <c r="CK192" t="str">
        <f>""</f>
        <v/>
      </c>
      <c r="CL192" t="str">
        <f>""</f>
        <v/>
      </c>
      <c r="CM192" t="str">
        <f>""</f>
        <v/>
      </c>
      <c r="CN192" t="str">
        <f>""</f>
        <v/>
      </c>
      <c r="CO192" t="str">
        <f>""</f>
        <v/>
      </c>
      <c r="CP192" t="str">
        <f>""</f>
        <v/>
      </c>
      <c r="CQ192" t="str">
        <f>""</f>
        <v/>
      </c>
      <c r="CR192" t="str">
        <f>""</f>
        <v/>
      </c>
      <c r="CS192" t="str">
        <f>""</f>
        <v/>
      </c>
      <c r="CT192" t="str">
        <f>""</f>
        <v/>
      </c>
      <c r="CU192" t="str">
        <f>""</f>
        <v/>
      </c>
      <c r="CV192" t="str">
        <f>""</f>
        <v/>
      </c>
      <c r="CW192" t="str">
        <f>""</f>
        <v/>
      </c>
      <c r="CX192" t="str">
        <f>""</f>
        <v/>
      </c>
      <c r="CY192" t="str">
        <f>""</f>
        <v/>
      </c>
      <c r="CZ192" t="str">
        <f>""</f>
        <v/>
      </c>
      <c r="DA192" t="str">
        <f>""</f>
        <v/>
      </c>
      <c r="DB192" t="str">
        <f>""</f>
        <v/>
      </c>
      <c r="DC192" t="str">
        <f>""</f>
        <v/>
      </c>
      <c r="DD192" t="str">
        <f>""</f>
        <v/>
      </c>
      <c r="DE192" t="str">
        <f>""</f>
        <v/>
      </c>
      <c r="DF192" t="str">
        <f>""</f>
        <v/>
      </c>
      <c r="DG192" t="str">
        <f>""</f>
        <v/>
      </c>
      <c r="DH192" t="str">
        <f>""</f>
        <v/>
      </c>
      <c r="DI192" t="str">
        <f>""</f>
        <v/>
      </c>
      <c r="DJ192" t="str">
        <f>""</f>
        <v/>
      </c>
      <c r="DK192" t="str">
        <f>""</f>
        <v/>
      </c>
      <c r="DL192" t="str">
        <f>""</f>
        <v/>
      </c>
      <c r="DM192" t="str">
        <f>""</f>
        <v/>
      </c>
      <c r="DN192" t="str">
        <f>""</f>
        <v/>
      </c>
      <c r="DO192" t="str">
        <f>""</f>
        <v/>
      </c>
      <c r="DP192" t="str">
        <f>""</f>
        <v/>
      </c>
      <c r="DQ192" t="str">
        <f>""</f>
        <v/>
      </c>
      <c r="DR192" t="str">
        <f>""</f>
        <v/>
      </c>
      <c r="DS192" t="str">
        <f>""</f>
        <v/>
      </c>
      <c r="DT192" t="str">
        <f>""</f>
        <v/>
      </c>
      <c r="DU192" t="str">
        <f>""</f>
        <v/>
      </c>
    </row>
    <row r="193" spans="1:125" x14ac:dyDescent="0.25">
      <c r="A193" t="str">
        <f>$A$37</f>
        <v xml:space="preserve">                Saint Laurent</v>
      </c>
      <c r="B193" t="str">
        <f>$B$37</f>
        <v>KER FP Equity</v>
      </c>
      <c r="C193" t="str">
        <f>$C$37</f>
        <v>BI047</v>
      </c>
      <c r="D193" t="str">
        <f>$D$37</f>
        <v>BICS_SEGMENT_DATA</v>
      </c>
      <c r="E193" t="str">
        <f>$E$37</f>
        <v>Dynamic</v>
      </c>
      <c r="F193" t="str">
        <f ca="1">_xll.BDH($B$37,$C$37,$B$156,$B$157,CONCATENATE("Per=",$B$154),"Dts=H","Dir=H",CONCATENATE("Points=",$B$155),"Sort=R","Days=A","Fill=B","DZ666=129","DZ381=1110101012","DZ665=240051","DZ667=1","DS276=Y",CONCATENATE("FX=", $B$153) )</f>
        <v/>
      </c>
      <c r="BN193" t="str">
        <f>""</f>
        <v/>
      </c>
      <c r="BO193" t="str">
        <f>""</f>
        <v/>
      </c>
      <c r="BP193" t="str">
        <f>""</f>
        <v/>
      </c>
      <c r="BQ193" t="str">
        <f>""</f>
        <v/>
      </c>
      <c r="BR193" t="str">
        <f>""</f>
        <v/>
      </c>
      <c r="BS193" t="str">
        <f>""</f>
        <v/>
      </c>
      <c r="BT193" t="str">
        <f>""</f>
        <v/>
      </c>
      <c r="BU193" t="str">
        <f>""</f>
        <v/>
      </c>
      <c r="BV193" t="str">
        <f>""</f>
        <v/>
      </c>
      <c r="BW193" t="str">
        <f>""</f>
        <v/>
      </c>
      <c r="BX193" t="str">
        <f>""</f>
        <v/>
      </c>
      <c r="BY193" t="str">
        <f>""</f>
        <v/>
      </c>
      <c r="BZ193" t="str">
        <f>""</f>
        <v/>
      </c>
      <c r="CA193" t="str">
        <f>""</f>
        <v/>
      </c>
      <c r="CB193" t="str">
        <f>""</f>
        <v/>
      </c>
      <c r="CC193" t="str">
        <f>""</f>
        <v/>
      </c>
      <c r="CD193" t="str">
        <f>""</f>
        <v/>
      </c>
      <c r="CE193" t="str">
        <f>""</f>
        <v/>
      </c>
      <c r="CF193" t="str">
        <f>""</f>
        <v/>
      </c>
      <c r="CG193" t="str">
        <f>""</f>
        <v/>
      </c>
      <c r="CH193" t="str">
        <f>""</f>
        <v/>
      </c>
      <c r="CI193" t="str">
        <f>""</f>
        <v/>
      </c>
      <c r="CJ193" t="str">
        <f>""</f>
        <v/>
      </c>
      <c r="CK193" t="str">
        <f>""</f>
        <v/>
      </c>
      <c r="CL193" t="str">
        <f>""</f>
        <v/>
      </c>
      <c r="CM193" t="str">
        <f>""</f>
        <v/>
      </c>
      <c r="CN193" t="str">
        <f>""</f>
        <v/>
      </c>
      <c r="CO193" t="str">
        <f>""</f>
        <v/>
      </c>
      <c r="CP193" t="str">
        <f>""</f>
        <v/>
      </c>
      <c r="CQ193" t="str">
        <f>""</f>
        <v/>
      </c>
      <c r="CR193" t="str">
        <f>""</f>
        <v/>
      </c>
      <c r="CS193" t="str">
        <f>""</f>
        <v/>
      </c>
      <c r="CT193" t="str">
        <f>""</f>
        <v/>
      </c>
      <c r="CU193" t="str">
        <f>""</f>
        <v/>
      </c>
      <c r="CV193" t="str">
        <f>""</f>
        <v/>
      </c>
      <c r="CW193" t="str">
        <f>""</f>
        <v/>
      </c>
      <c r="CX193" t="str">
        <f>""</f>
        <v/>
      </c>
      <c r="CY193" t="str">
        <f>""</f>
        <v/>
      </c>
      <c r="CZ193" t="str">
        <f>""</f>
        <v/>
      </c>
      <c r="DA193" t="str">
        <f>""</f>
        <v/>
      </c>
      <c r="DB193" t="str">
        <f>""</f>
        <v/>
      </c>
      <c r="DC193" t="str">
        <f>""</f>
        <v/>
      </c>
      <c r="DD193" t="str">
        <f>""</f>
        <v/>
      </c>
      <c r="DE193" t="str">
        <f>""</f>
        <v/>
      </c>
      <c r="DF193" t="str">
        <f>""</f>
        <v/>
      </c>
      <c r="DG193" t="str">
        <f>""</f>
        <v/>
      </c>
      <c r="DH193" t="str">
        <f>""</f>
        <v/>
      </c>
      <c r="DI193" t="str">
        <f>""</f>
        <v/>
      </c>
      <c r="DJ193" t="str">
        <f>""</f>
        <v/>
      </c>
      <c r="DK193" t="str">
        <f>""</f>
        <v/>
      </c>
      <c r="DL193" t="str">
        <f>""</f>
        <v/>
      </c>
      <c r="DM193" t="str">
        <f>""</f>
        <v/>
      </c>
      <c r="DN193" t="str">
        <f>""</f>
        <v/>
      </c>
      <c r="DO193" t="str">
        <f>""</f>
        <v/>
      </c>
      <c r="DP193" t="str">
        <f>""</f>
        <v/>
      </c>
      <c r="DQ193" t="str">
        <f>""</f>
        <v/>
      </c>
      <c r="DR193" t="str">
        <f>""</f>
        <v/>
      </c>
      <c r="DS193" t="str">
        <f>""</f>
        <v/>
      </c>
      <c r="DT193" t="str">
        <f>""</f>
        <v/>
      </c>
      <c r="DU193" t="str">
        <f>""</f>
        <v/>
      </c>
    </row>
    <row r="194" spans="1:125" x14ac:dyDescent="0.25">
      <c r="A194" t="str">
        <f>$A$38</f>
        <v xml:space="preserve">                    Retail</v>
      </c>
      <c r="B194" t="str">
        <f>$B$38</f>
        <v>KER FP Equity</v>
      </c>
      <c r="C194" t="str">
        <f>$C$38</f>
        <v>BI047</v>
      </c>
      <c r="D194" t="str">
        <f>$D$38</f>
        <v>BICS_SEGMENT_DATA</v>
      </c>
      <c r="E194" t="str">
        <f>$E$38</f>
        <v>Dynamic</v>
      </c>
      <c r="F194" t="str">
        <f ca="1">_xll.BDH($B$38,$C$38,$B$156,$B$157,CONCATENATE("Per=",$B$154),"Dts=H","Dir=H",CONCATENATE("Points=",$B$155),"Sort=R","Days=A","Fill=B","DZ666=700","DZ381=1110101012","DZ667=22","DS276=Y",CONCATENATE("FX=", $B$153) )</f>
        <v/>
      </c>
      <c r="BN194" t="str">
        <f>""</f>
        <v/>
      </c>
      <c r="BO194" t="str">
        <f>""</f>
        <v/>
      </c>
      <c r="BP194" t="str">
        <f>""</f>
        <v/>
      </c>
      <c r="BQ194" t="str">
        <f>""</f>
        <v/>
      </c>
      <c r="BR194" t="str">
        <f>""</f>
        <v/>
      </c>
      <c r="BS194" t="str">
        <f>""</f>
        <v/>
      </c>
      <c r="BT194" t="str">
        <f>""</f>
        <v/>
      </c>
      <c r="BU194" t="str">
        <f>""</f>
        <v/>
      </c>
      <c r="BV194" t="str">
        <f>""</f>
        <v/>
      </c>
      <c r="BW194" t="str">
        <f>""</f>
        <v/>
      </c>
      <c r="BX194" t="str">
        <f>""</f>
        <v/>
      </c>
      <c r="BY194" t="str">
        <f>""</f>
        <v/>
      </c>
      <c r="BZ194" t="str">
        <f>""</f>
        <v/>
      </c>
      <c r="CA194" t="str">
        <f>""</f>
        <v/>
      </c>
      <c r="CB194" t="str">
        <f>""</f>
        <v/>
      </c>
      <c r="CC194" t="str">
        <f>""</f>
        <v/>
      </c>
      <c r="CD194" t="str">
        <f>""</f>
        <v/>
      </c>
      <c r="CE194" t="str">
        <f>""</f>
        <v/>
      </c>
      <c r="CF194" t="str">
        <f>""</f>
        <v/>
      </c>
      <c r="CG194" t="str">
        <f>""</f>
        <v/>
      </c>
      <c r="CH194" t="str">
        <f>""</f>
        <v/>
      </c>
      <c r="CI194" t="str">
        <f>""</f>
        <v/>
      </c>
      <c r="CJ194" t="str">
        <f>""</f>
        <v/>
      </c>
      <c r="CK194" t="str">
        <f>""</f>
        <v/>
      </c>
      <c r="CL194" t="str">
        <f>""</f>
        <v/>
      </c>
      <c r="CM194" t="str">
        <f>""</f>
        <v/>
      </c>
      <c r="CN194" t="str">
        <f>""</f>
        <v/>
      </c>
      <c r="CO194" t="str">
        <f>""</f>
        <v/>
      </c>
      <c r="CP194" t="str">
        <f>""</f>
        <v/>
      </c>
      <c r="CQ194" t="str">
        <f>""</f>
        <v/>
      </c>
      <c r="CR194" t="str">
        <f>""</f>
        <v/>
      </c>
      <c r="CS194" t="str">
        <f>""</f>
        <v/>
      </c>
      <c r="CT194" t="str">
        <f>""</f>
        <v/>
      </c>
      <c r="CU194" t="str">
        <f>""</f>
        <v/>
      </c>
      <c r="CV194" t="str">
        <f>""</f>
        <v/>
      </c>
      <c r="CW194" t="str">
        <f>""</f>
        <v/>
      </c>
      <c r="CX194" t="str">
        <f>""</f>
        <v/>
      </c>
      <c r="CY194" t="str">
        <f>""</f>
        <v/>
      </c>
      <c r="CZ194" t="str">
        <f>""</f>
        <v/>
      </c>
      <c r="DA194" t="str">
        <f>""</f>
        <v/>
      </c>
      <c r="DB194" t="str">
        <f>""</f>
        <v/>
      </c>
      <c r="DC194" t="str">
        <f>""</f>
        <v/>
      </c>
      <c r="DD194" t="str">
        <f>""</f>
        <v/>
      </c>
      <c r="DE194" t="str">
        <f>""</f>
        <v/>
      </c>
      <c r="DF194" t="str">
        <f>""</f>
        <v/>
      </c>
      <c r="DG194" t="str">
        <f>""</f>
        <v/>
      </c>
      <c r="DH194" t="str">
        <f>""</f>
        <v/>
      </c>
      <c r="DI194" t="str">
        <f>""</f>
        <v/>
      </c>
      <c r="DJ194" t="str">
        <f>""</f>
        <v/>
      </c>
      <c r="DK194" t="str">
        <f>""</f>
        <v/>
      </c>
      <c r="DL194" t="str">
        <f>""</f>
        <v/>
      </c>
      <c r="DM194" t="str">
        <f>""</f>
        <v/>
      </c>
      <c r="DN194" t="str">
        <f>""</f>
        <v/>
      </c>
      <c r="DO194" t="str">
        <f>""</f>
        <v/>
      </c>
      <c r="DP194" t="str">
        <f>""</f>
        <v/>
      </c>
      <c r="DQ194" t="str">
        <f>""</f>
        <v/>
      </c>
      <c r="DR194" t="str">
        <f>""</f>
        <v/>
      </c>
      <c r="DS194" t="str">
        <f>""</f>
        <v/>
      </c>
      <c r="DT194" t="str">
        <f>""</f>
        <v/>
      </c>
      <c r="DU194" t="str">
        <f>""</f>
        <v/>
      </c>
    </row>
    <row r="195" spans="1:125" x14ac:dyDescent="0.25">
      <c r="A195" t="str">
        <f>$A$39</f>
        <v xml:space="preserve">                        Western Europe</v>
      </c>
      <c r="B195" t="str">
        <f>$B$39</f>
        <v>KER FP Equity</v>
      </c>
      <c r="C195" t="str">
        <f>$C$39</f>
        <v>BI047</v>
      </c>
      <c r="D195" t="str">
        <f>$D$39</f>
        <v>BICS_SEGMENT_DATA</v>
      </c>
      <c r="E195" t="str">
        <f>$E$39</f>
        <v>Dynamic</v>
      </c>
      <c r="F195" t="str">
        <f ca="1">_xll.BDH($B$39,$C$39,$B$156,$B$157,CONCATENATE("Per=",$B$154),"Dts=H","Dir=H",CONCATENATE("Points=",$B$155),"Sort=R","Days=A","Fill=B","DZ666=700","DZ381=1110101012","DZ667=17","DS276=Y",CONCATENATE("FX=", $B$153) )</f>
        <v/>
      </c>
      <c r="BN195" t="str">
        <f>""</f>
        <v/>
      </c>
      <c r="BO195" t="str">
        <f>""</f>
        <v/>
      </c>
      <c r="BP195" t="str">
        <f>""</f>
        <v/>
      </c>
      <c r="BQ195" t="str">
        <f>""</f>
        <v/>
      </c>
      <c r="BR195" t="str">
        <f>""</f>
        <v/>
      </c>
      <c r="BS195" t="str">
        <f>""</f>
        <v/>
      </c>
      <c r="BT195" t="str">
        <f>""</f>
        <v/>
      </c>
      <c r="BU195" t="str">
        <f>""</f>
        <v/>
      </c>
      <c r="BV195" t="str">
        <f>""</f>
        <v/>
      </c>
      <c r="BW195" t="str">
        <f>""</f>
        <v/>
      </c>
      <c r="BX195" t="str">
        <f>""</f>
        <v/>
      </c>
      <c r="BY195" t="str">
        <f>""</f>
        <v/>
      </c>
      <c r="BZ195" t="str">
        <f>""</f>
        <v/>
      </c>
      <c r="CA195" t="str">
        <f>""</f>
        <v/>
      </c>
      <c r="CB195" t="str">
        <f>""</f>
        <v/>
      </c>
      <c r="CC195" t="str">
        <f>""</f>
        <v/>
      </c>
      <c r="CD195" t="str">
        <f>""</f>
        <v/>
      </c>
      <c r="CE195" t="str">
        <f>""</f>
        <v/>
      </c>
      <c r="CF195" t="str">
        <f>""</f>
        <v/>
      </c>
      <c r="CG195" t="str">
        <f>""</f>
        <v/>
      </c>
      <c r="CH195" t="str">
        <f>""</f>
        <v/>
      </c>
      <c r="CI195" t="str">
        <f>""</f>
        <v/>
      </c>
      <c r="CJ195" t="str">
        <f>""</f>
        <v/>
      </c>
      <c r="CK195" t="str">
        <f>""</f>
        <v/>
      </c>
      <c r="CL195" t="str">
        <f>""</f>
        <v/>
      </c>
      <c r="CM195" t="str">
        <f>""</f>
        <v/>
      </c>
      <c r="CN195" t="str">
        <f>""</f>
        <v/>
      </c>
      <c r="CO195" t="str">
        <f>""</f>
        <v/>
      </c>
      <c r="CP195" t="str">
        <f>""</f>
        <v/>
      </c>
      <c r="CQ195" t="str">
        <f>""</f>
        <v/>
      </c>
      <c r="CR195" t="str">
        <f>""</f>
        <v/>
      </c>
      <c r="CS195" t="str">
        <f>""</f>
        <v/>
      </c>
      <c r="CT195" t="str">
        <f>""</f>
        <v/>
      </c>
      <c r="CU195" t="str">
        <f>""</f>
        <v/>
      </c>
      <c r="CV195" t="str">
        <f>""</f>
        <v/>
      </c>
      <c r="CW195" t="str">
        <f>""</f>
        <v/>
      </c>
      <c r="CX195" t="str">
        <f>""</f>
        <v/>
      </c>
      <c r="CY195" t="str">
        <f>""</f>
        <v/>
      </c>
      <c r="CZ195" t="str">
        <f>""</f>
        <v/>
      </c>
      <c r="DA195" t="str">
        <f>""</f>
        <v/>
      </c>
      <c r="DB195" t="str">
        <f>""</f>
        <v/>
      </c>
      <c r="DC195" t="str">
        <f>""</f>
        <v/>
      </c>
      <c r="DD195" t="str">
        <f>""</f>
        <v/>
      </c>
      <c r="DE195" t="str">
        <f>""</f>
        <v/>
      </c>
      <c r="DF195" t="str">
        <f>""</f>
        <v/>
      </c>
      <c r="DG195" t="str">
        <f>""</f>
        <v/>
      </c>
      <c r="DH195" t="str">
        <f>""</f>
        <v/>
      </c>
      <c r="DI195" t="str">
        <f>""</f>
        <v/>
      </c>
      <c r="DJ195" t="str">
        <f>""</f>
        <v/>
      </c>
      <c r="DK195" t="str">
        <f>""</f>
        <v/>
      </c>
      <c r="DL195" t="str">
        <f>""</f>
        <v/>
      </c>
      <c r="DM195" t="str">
        <f>""</f>
        <v/>
      </c>
      <c r="DN195" t="str">
        <f>""</f>
        <v/>
      </c>
      <c r="DO195" t="str">
        <f>""</f>
        <v/>
      </c>
      <c r="DP195" t="str">
        <f>""</f>
        <v/>
      </c>
      <c r="DQ195" t="str">
        <f>""</f>
        <v/>
      </c>
      <c r="DR195" t="str">
        <f>""</f>
        <v/>
      </c>
      <c r="DS195" t="str">
        <f>""</f>
        <v/>
      </c>
      <c r="DT195" t="str">
        <f>""</f>
        <v/>
      </c>
      <c r="DU195" t="str">
        <f>""</f>
        <v/>
      </c>
    </row>
    <row r="196" spans="1:125" x14ac:dyDescent="0.25">
      <c r="A196" t="str">
        <f>$A$40</f>
        <v xml:space="preserve">                        North America</v>
      </c>
      <c r="B196" t="str">
        <f>$B$40</f>
        <v>KER FP Equity</v>
      </c>
      <c r="C196" t="str">
        <f>$C$40</f>
        <v>BI047</v>
      </c>
      <c r="D196" t="str">
        <f>$D$40</f>
        <v>BICS_SEGMENT_DATA</v>
      </c>
      <c r="E196" t="str">
        <f>$E$40</f>
        <v>Dynamic</v>
      </c>
      <c r="F196" t="str">
        <f ca="1">_xll.BDH($B$40,$C$40,$B$156,$B$157,CONCATENATE("Per=",$B$154),"Dts=H","Dir=H",CONCATENATE("Points=",$B$155),"Sort=R","Days=A","Fill=B","DZ666=700","DZ381=1110101012","DZ667=18","DS276=Y",CONCATENATE("FX=", $B$153) )</f>
        <v/>
      </c>
      <c r="BN196" t="str">
        <f>""</f>
        <v/>
      </c>
      <c r="BO196" t="str">
        <f>""</f>
        <v/>
      </c>
      <c r="BP196" t="str">
        <f>""</f>
        <v/>
      </c>
      <c r="BQ196" t="str">
        <f>""</f>
        <v/>
      </c>
      <c r="BR196" t="str">
        <f>""</f>
        <v/>
      </c>
      <c r="BS196" t="str">
        <f>""</f>
        <v/>
      </c>
      <c r="BT196" t="str">
        <f>""</f>
        <v/>
      </c>
      <c r="BU196" t="str">
        <f>""</f>
        <v/>
      </c>
      <c r="BV196" t="str">
        <f>""</f>
        <v/>
      </c>
      <c r="BW196" t="str">
        <f>""</f>
        <v/>
      </c>
      <c r="BX196" t="str">
        <f>""</f>
        <v/>
      </c>
      <c r="BY196" t="str">
        <f>""</f>
        <v/>
      </c>
      <c r="BZ196" t="str">
        <f>""</f>
        <v/>
      </c>
      <c r="CA196" t="str">
        <f>""</f>
        <v/>
      </c>
      <c r="CB196" t="str">
        <f>""</f>
        <v/>
      </c>
      <c r="CC196" t="str">
        <f>""</f>
        <v/>
      </c>
      <c r="CD196" t="str">
        <f>""</f>
        <v/>
      </c>
      <c r="CE196" t="str">
        <f>""</f>
        <v/>
      </c>
      <c r="CF196" t="str">
        <f>""</f>
        <v/>
      </c>
      <c r="CG196" t="str">
        <f>""</f>
        <v/>
      </c>
      <c r="CH196" t="str">
        <f>""</f>
        <v/>
      </c>
      <c r="CI196" t="str">
        <f>""</f>
        <v/>
      </c>
      <c r="CJ196" t="str">
        <f>""</f>
        <v/>
      </c>
      <c r="CK196" t="str">
        <f>""</f>
        <v/>
      </c>
      <c r="CL196" t="str">
        <f>""</f>
        <v/>
      </c>
      <c r="CM196" t="str">
        <f>""</f>
        <v/>
      </c>
      <c r="CN196" t="str">
        <f>""</f>
        <v/>
      </c>
      <c r="CO196" t="str">
        <f>""</f>
        <v/>
      </c>
      <c r="CP196" t="str">
        <f>""</f>
        <v/>
      </c>
      <c r="CQ196" t="str">
        <f>""</f>
        <v/>
      </c>
      <c r="CR196" t="str">
        <f>""</f>
        <v/>
      </c>
      <c r="CS196" t="str">
        <f>""</f>
        <v/>
      </c>
      <c r="CT196" t="str">
        <f>""</f>
        <v/>
      </c>
      <c r="CU196" t="str">
        <f>""</f>
        <v/>
      </c>
      <c r="CV196" t="str">
        <f>""</f>
        <v/>
      </c>
      <c r="CW196" t="str">
        <f>""</f>
        <v/>
      </c>
      <c r="CX196" t="str">
        <f>""</f>
        <v/>
      </c>
      <c r="CY196" t="str">
        <f>""</f>
        <v/>
      </c>
      <c r="CZ196" t="str">
        <f>""</f>
        <v/>
      </c>
      <c r="DA196" t="str">
        <f>""</f>
        <v/>
      </c>
      <c r="DB196" t="str">
        <f>""</f>
        <v/>
      </c>
      <c r="DC196" t="str">
        <f>""</f>
        <v/>
      </c>
      <c r="DD196" t="str">
        <f>""</f>
        <v/>
      </c>
      <c r="DE196" t="str">
        <f>""</f>
        <v/>
      </c>
      <c r="DF196" t="str">
        <f>""</f>
        <v/>
      </c>
      <c r="DG196" t="str">
        <f>""</f>
        <v/>
      </c>
      <c r="DH196" t="str">
        <f>""</f>
        <v/>
      </c>
      <c r="DI196" t="str">
        <f>""</f>
        <v/>
      </c>
      <c r="DJ196" t="str">
        <f>""</f>
        <v/>
      </c>
      <c r="DK196" t="str">
        <f>""</f>
        <v/>
      </c>
      <c r="DL196" t="str">
        <f>""</f>
        <v/>
      </c>
      <c r="DM196" t="str">
        <f>""</f>
        <v/>
      </c>
      <c r="DN196" t="str">
        <f>""</f>
        <v/>
      </c>
      <c r="DO196" t="str">
        <f>""</f>
        <v/>
      </c>
      <c r="DP196" t="str">
        <f>""</f>
        <v/>
      </c>
      <c r="DQ196" t="str">
        <f>""</f>
        <v/>
      </c>
      <c r="DR196" t="str">
        <f>""</f>
        <v/>
      </c>
      <c r="DS196" t="str">
        <f>""</f>
        <v/>
      </c>
      <c r="DT196" t="str">
        <f>""</f>
        <v/>
      </c>
      <c r="DU196" t="str">
        <f>""</f>
        <v/>
      </c>
    </row>
    <row r="197" spans="1:125" x14ac:dyDescent="0.25">
      <c r="A197" t="str">
        <f>$A$41</f>
        <v xml:space="preserve">                        Japan</v>
      </c>
      <c r="B197" t="str">
        <f>$B$41</f>
        <v>KER FP Equity</v>
      </c>
      <c r="C197" t="str">
        <f>$C$41</f>
        <v>BI047</v>
      </c>
      <c r="D197" t="str">
        <f>$D$41</f>
        <v>BICS_SEGMENT_DATA</v>
      </c>
      <c r="E197" t="str">
        <f>$E$41</f>
        <v>Dynamic</v>
      </c>
      <c r="F197" t="str">
        <f ca="1">_xll.BDH($B$41,$C$41,$B$156,$B$157,CONCATENATE("Per=",$B$154),"Dts=H","Dir=H",CONCATENATE("Points=",$B$155),"Sort=R","Days=A","Fill=B","DZ666=700","DZ381=1110101012","DZ667=19","DS276=Y",CONCATENATE("FX=", $B$153) )</f>
        <v/>
      </c>
      <c r="BN197" t="str">
        <f>""</f>
        <v/>
      </c>
      <c r="BO197" t="str">
        <f>""</f>
        <v/>
      </c>
      <c r="BP197" t="str">
        <f>""</f>
        <v/>
      </c>
      <c r="BQ197" t="str">
        <f>""</f>
        <v/>
      </c>
      <c r="BR197" t="str">
        <f>""</f>
        <v/>
      </c>
      <c r="BS197" t="str">
        <f>""</f>
        <v/>
      </c>
      <c r="BT197" t="str">
        <f>""</f>
        <v/>
      </c>
      <c r="BU197" t="str">
        <f>""</f>
        <v/>
      </c>
      <c r="BV197" t="str">
        <f>""</f>
        <v/>
      </c>
      <c r="BW197" t="str">
        <f>""</f>
        <v/>
      </c>
      <c r="BX197" t="str">
        <f>""</f>
        <v/>
      </c>
      <c r="BY197" t="str">
        <f>""</f>
        <v/>
      </c>
      <c r="BZ197" t="str">
        <f>""</f>
        <v/>
      </c>
      <c r="CA197" t="str">
        <f>""</f>
        <v/>
      </c>
      <c r="CB197" t="str">
        <f>""</f>
        <v/>
      </c>
      <c r="CC197" t="str">
        <f>""</f>
        <v/>
      </c>
      <c r="CD197" t="str">
        <f>""</f>
        <v/>
      </c>
      <c r="CE197" t="str">
        <f>""</f>
        <v/>
      </c>
      <c r="CF197" t="str">
        <f>""</f>
        <v/>
      </c>
      <c r="CG197" t="str">
        <f>""</f>
        <v/>
      </c>
      <c r="CH197" t="str">
        <f>""</f>
        <v/>
      </c>
      <c r="CI197" t="str">
        <f>""</f>
        <v/>
      </c>
      <c r="CJ197" t="str">
        <f>""</f>
        <v/>
      </c>
      <c r="CK197" t="str">
        <f>""</f>
        <v/>
      </c>
      <c r="CL197" t="str">
        <f>""</f>
        <v/>
      </c>
      <c r="CM197" t="str">
        <f>""</f>
        <v/>
      </c>
      <c r="CN197" t="str">
        <f>""</f>
        <v/>
      </c>
      <c r="CO197" t="str">
        <f>""</f>
        <v/>
      </c>
      <c r="CP197" t="str">
        <f>""</f>
        <v/>
      </c>
      <c r="CQ197" t="str">
        <f>""</f>
        <v/>
      </c>
      <c r="CR197" t="str">
        <f>""</f>
        <v/>
      </c>
      <c r="CS197" t="str">
        <f>""</f>
        <v/>
      </c>
      <c r="CT197" t="str">
        <f>""</f>
        <v/>
      </c>
      <c r="CU197" t="str">
        <f>""</f>
        <v/>
      </c>
      <c r="CV197" t="str">
        <f>""</f>
        <v/>
      </c>
      <c r="CW197" t="str">
        <f>""</f>
        <v/>
      </c>
      <c r="CX197" t="str">
        <f>""</f>
        <v/>
      </c>
      <c r="CY197" t="str">
        <f>""</f>
        <v/>
      </c>
      <c r="CZ197" t="str">
        <f>""</f>
        <v/>
      </c>
      <c r="DA197" t="str">
        <f>""</f>
        <v/>
      </c>
      <c r="DB197" t="str">
        <f>""</f>
        <v/>
      </c>
      <c r="DC197" t="str">
        <f>""</f>
        <v/>
      </c>
      <c r="DD197" t="str">
        <f>""</f>
        <v/>
      </c>
      <c r="DE197" t="str">
        <f>""</f>
        <v/>
      </c>
      <c r="DF197" t="str">
        <f>""</f>
        <v/>
      </c>
      <c r="DG197" t="str">
        <f>""</f>
        <v/>
      </c>
      <c r="DH197" t="str">
        <f>""</f>
        <v/>
      </c>
      <c r="DI197" t="str">
        <f>""</f>
        <v/>
      </c>
      <c r="DJ197" t="str">
        <f>""</f>
        <v/>
      </c>
      <c r="DK197" t="str">
        <f>""</f>
        <v/>
      </c>
      <c r="DL197" t="str">
        <f>""</f>
        <v/>
      </c>
      <c r="DM197" t="str">
        <f>""</f>
        <v/>
      </c>
      <c r="DN197" t="str">
        <f>""</f>
        <v/>
      </c>
      <c r="DO197" t="str">
        <f>""</f>
        <v/>
      </c>
      <c r="DP197" t="str">
        <f>""</f>
        <v/>
      </c>
      <c r="DQ197" t="str">
        <f>""</f>
        <v/>
      </c>
      <c r="DR197" t="str">
        <f>""</f>
        <v/>
      </c>
      <c r="DS197" t="str">
        <f>""</f>
        <v/>
      </c>
      <c r="DT197" t="str">
        <f>""</f>
        <v/>
      </c>
      <c r="DU197" t="str">
        <f>""</f>
        <v/>
      </c>
    </row>
    <row r="198" spans="1:125" x14ac:dyDescent="0.25">
      <c r="A198" t="str">
        <f>$A$42</f>
        <v xml:space="preserve">                        Asia Pacific</v>
      </c>
      <c r="B198" t="str">
        <f>$B$42</f>
        <v>KER FP Equity</v>
      </c>
      <c r="C198" t="str">
        <f>$C$42</f>
        <v>BI047</v>
      </c>
      <c r="D198" t="str">
        <f>$D$42</f>
        <v>BICS_SEGMENT_DATA</v>
      </c>
      <c r="E198" t="str">
        <f>$E$42</f>
        <v>Dynamic</v>
      </c>
      <c r="F198" t="str">
        <f ca="1">_xll.BDH($B$42,$C$42,$B$156,$B$157,CONCATENATE("Per=",$B$154),"Dts=H","Dir=H",CONCATENATE("Points=",$B$155),"Sort=R","Days=A","Fill=B","DZ666=700","DZ381=1110101012","DZ667=20","DS276=Y",CONCATENATE("FX=", $B$153) )</f>
        <v/>
      </c>
      <c r="BN198" t="str">
        <f>""</f>
        <v/>
      </c>
      <c r="BO198" t="str">
        <f>""</f>
        <v/>
      </c>
      <c r="BP198" t="str">
        <f>""</f>
        <v/>
      </c>
      <c r="BQ198" t="str">
        <f>""</f>
        <v/>
      </c>
      <c r="BR198" t="str">
        <f>""</f>
        <v/>
      </c>
      <c r="BS198" t="str">
        <f>""</f>
        <v/>
      </c>
      <c r="BT198" t="str">
        <f>""</f>
        <v/>
      </c>
      <c r="BU198" t="str">
        <f>""</f>
        <v/>
      </c>
      <c r="BV198" t="str">
        <f>""</f>
        <v/>
      </c>
      <c r="BW198" t="str">
        <f>""</f>
        <v/>
      </c>
      <c r="BX198" t="str">
        <f>""</f>
        <v/>
      </c>
      <c r="BY198" t="str">
        <f>""</f>
        <v/>
      </c>
      <c r="BZ198" t="str">
        <f>""</f>
        <v/>
      </c>
      <c r="CA198" t="str">
        <f>""</f>
        <v/>
      </c>
      <c r="CB198" t="str">
        <f>""</f>
        <v/>
      </c>
      <c r="CC198" t="str">
        <f>""</f>
        <v/>
      </c>
      <c r="CD198" t="str">
        <f>""</f>
        <v/>
      </c>
      <c r="CE198" t="str">
        <f>""</f>
        <v/>
      </c>
      <c r="CF198" t="str">
        <f>""</f>
        <v/>
      </c>
      <c r="CG198" t="str">
        <f>""</f>
        <v/>
      </c>
      <c r="CH198" t="str">
        <f>""</f>
        <v/>
      </c>
      <c r="CI198" t="str">
        <f>""</f>
        <v/>
      </c>
      <c r="CJ198" t="str">
        <f>""</f>
        <v/>
      </c>
      <c r="CK198" t="str">
        <f>""</f>
        <v/>
      </c>
      <c r="CL198" t="str">
        <f>""</f>
        <v/>
      </c>
      <c r="CM198" t="str">
        <f>""</f>
        <v/>
      </c>
      <c r="CN198" t="str">
        <f>""</f>
        <v/>
      </c>
      <c r="CO198" t="str">
        <f>""</f>
        <v/>
      </c>
      <c r="CP198" t="str">
        <f>""</f>
        <v/>
      </c>
      <c r="CQ198" t="str">
        <f>""</f>
        <v/>
      </c>
      <c r="CR198" t="str">
        <f>""</f>
        <v/>
      </c>
      <c r="CS198" t="str">
        <f>""</f>
        <v/>
      </c>
      <c r="CT198" t="str">
        <f>""</f>
        <v/>
      </c>
      <c r="CU198" t="str">
        <f>""</f>
        <v/>
      </c>
      <c r="CV198" t="str">
        <f>""</f>
        <v/>
      </c>
      <c r="CW198" t="str">
        <f>""</f>
        <v/>
      </c>
      <c r="CX198" t="str">
        <f>""</f>
        <v/>
      </c>
      <c r="CY198" t="str">
        <f>""</f>
        <v/>
      </c>
      <c r="CZ198" t="str">
        <f>""</f>
        <v/>
      </c>
      <c r="DA198" t="str">
        <f>""</f>
        <v/>
      </c>
      <c r="DB198" t="str">
        <f>""</f>
        <v/>
      </c>
      <c r="DC198" t="str">
        <f>""</f>
        <v/>
      </c>
      <c r="DD198" t="str">
        <f>""</f>
        <v/>
      </c>
      <c r="DE198" t="str">
        <f>""</f>
        <v/>
      </c>
      <c r="DF198" t="str">
        <f>""</f>
        <v/>
      </c>
      <c r="DG198" t="str">
        <f>""</f>
        <v/>
      </c>
      <c r="DH198" t="str">
        <f>""</f>
        <v/>
      </c>
      <c r="DI198" t="str">
        <f>""</f>
        <v/>
      </c>
      <c r="DJ198" t="str">
        <f>""</f>
        <v/>
      </c>
      <c r="DK198" t="str">
        <f>""</f>
        <v/>
      </c>
      <c r="DL198" t="str">
        <f>""</f>
        <v/>
      </c>
      <c r="DM198" t="str">
        <f>""</f>
        <v/>
      </c>
      <c r="DN198" t="str">
        <f>""</f>
        <v/>
      </c>
      <c r="DO198" t="str">
        <f>""</f>
        <v/>
      </c>
      <c r="DP198" t="str">
        <f>""</f>
        <v/>
      </c>
      <c r="DQ198" t="str">
        <f>""</f>
        <v/>
      </c>
      <c r="DR198" t="str">
        <f>""</f>
        <v/>
      </c>
      <c r="DS198" t="str">
        <f>""</f>
        <v/>
      </c>
      <c r="DT198" t="str">
        <f>""</f>
        <v/>
      </c>
      <c r="DU198" t="str">
        <f>""</f>
        <v/>
      </c>
    </row>
    <row r="199" spans="1:125" x14ac:dyDescent="0.25">
      <c r="A199" t="str">
        <f>$A$43</f>
        <v xml:space="preserve">                        RoW</v>
      </c>
      <c r="B199" t="str">
        <f>$B$43</f>
        <v>KER FP Equity</v>
      </c>
      <c r="C199" t="str">
        <f>$C$43</f>
        <v>BI047</v>
      </c>
      <c r="D199" t="str">
        <f>$D$43</f>
        <v>BICS_SEGMENT_DATA</v>
      </c>
      <c r="E199" t="str">
        <f>$E$43</f>
        <v>Dynamic</v>
      </c>
      <c r="F199" t="str">
        <f ca="1">_xll.BDH($B$43,$C$43,$B$156,$B$157,CONCATENATE("Per=",$B$154),"Dts=H","Dir=H",CONCATENATE("Points=",$B$155),"Sort=R","Days=A","Fill=B","DZ666=700","DZ381=1110101012","DZ667=21","DS276=Y",CONCATENATE("FX=", $B$153) )</f>
        <v/>
      </c>
      <c r="BN199" t="str">
        <f>""</f>
        <v/>
      </c>
      <c r="BO199" t="str">
        <f>""</f>
        <v/>
      </c>
      <c r="BP199" t="str">
        <f>""</f>
        <v/>
      </c>
      <c r="BQ199" t="str">
        <f>""</f>
        <v/>
      </c>
      <c r="BR199" t="str">
        <f>""</f>
        <v/>
      </c>
      <c r="BS199" t="str">
        <f>""</f>
        <v/>
      </c>
      <c r="BT199" t="str">
        <f>""</f>
        <v/>
      </c>
      <c r="BU199" t="str">
        <f>""</f>
        <v/>
      </c>
      <c r="BV199" t="str">
        <f>""</f>
        <v/>
      </c>
      <c r="BW199" t="str">
        <f>""</f>
        <v/>
      </c>
      <c r="BX199" t="str">
        <f>""</f>
        <v/>
      </c>
      <c r="BY199" t="str">
        <f>""</f>
        <v/>
      </c>
      <c r="BZ199" t="str">
        <f>""</f>
        <v/>
      </c>
      <c r="CA199" t="str">
        <f>""</f>
        <v/>
      </c>
      <c r="CB199" t="str">
        <f>""</f>
        <v/>
      </c>
      <c r="CC199" t="str">
        <f>""</f>
        <v/>
      </c>
      <c r="CD199" t="str">
        <f>""</f>
        <v/>
      </c>
      <c r="CE199" t="str">
        <f>""</f>
        <v/>
      </c>
      <c r="CF199" t="str">
        <f>""</f>
        <v/>
      </c>
      <c r="CG199" t="str">
        <f>""</f>
        <v/>
      </c>
      <c r="CH199" t="str">
        <f>""</f>
        <v/>
      </c>
      <c r="CI199" t="str">
        <f>""</f>
        <v/>
      </c>
      <c r="CJ199" t="str">
        <f>""</f>
        <v/>
      </c>
      <c r="CK199" t="str">
        <f>""</f>
        <v/>
      </c>
      <c r="CL199" t="str">
        <f>""</f>
        <v/>
      </c>
      <c r="CM199" t="str">
        <f>""</f>
        <v/>
      </c>
      <c r="CN199" t="str">
        <f>""</f>
        <v/>
      </c>
      <c r="CO199" t="str">
        <f>""</f>
        <v/>
      </c>
      <c r="CP199" t="str">
        <f>""</f>
        <v/>
      </c>
      <c r="CQ199" t="str">
        <f>""</f>
        <v/>
      </c>
      <c r="CR199" t="str">
        <f>""</f>
        <v/>
      </c>
      <c r="CS199" t="str">
        <f>""</f>
        <v/>
      </c>
      <c r="CT199" t="str">
        <f>""</f>
        <v/>
      </c>
      <c r="CU199" t="str">
        <f>""</f>
        <v/>
      </c>
      <c r="CV199" t="str">
        <f>""</f>
        <v/>
      </c>
      <c r="CW199" t="str">
        <f>""</f>
        <v/>
      </c>
      <c r="CX199" t="str">
        <f>""</f>
        <v/>
      </c>
      <c r="CY199" t="str">
        <f>""</f>
        <v/>
      </c>
      <c r="CZ199" t="str">
        <f>""</f>
        <v/>
      </c>
      <c r="DA199" t="str">
        <f>""</f>
        <v/>
      </c>
      <c r="DB199" t="str">
        <f>""</f>
        <v/>
      </c>
      <c r="DC199" t="str">
        <f>""</f>
        <v/>
      </c>
      <c r="DD199" t="str">
        <f>""</f>
        <v/>
      </c>
      <c r="DE199" t="str">
        <f>""</f>
        <v/>
      </c>
      <c r="DF199" t="str">
        <f>""</f>
        <v/>
      </c>
      <c r="DG199" t="str">
        <f>""</f>
        <v/>
      </c>
      <c r="DH199" t="str">
        <f>""</f>
        <v/>
      </c>
      <c r="DI199" t="str">
        <f>""</f>
        <v/>
      </c>
      <c r="DJ199" t="str">
        <f>""</f>
        <v/>
      </c>
      <c r="DK199" t="str">
        <f>""</f>
        <v/>
      </c>
      <c r="DL199" t="str">
        <f>""</f>
        <v/>
      </c>
      <c r="DM199" t="str">
        <f>""</f>
        <v/>
      </c>
      <c r="DN199" t="str">
        <f>""</f>
        <v/>
      </c>
      <c r="DO199" t="str">
        <f>""</f>
        <v/>
      </c>
      <c r="DP199" t="str">
        <f>""</f>
        <v/>
      </c>
      <c r="DQ199" t="str">
        <f>""</f>
        <v/>
      </c>
      <c r="DR199" t="str">
        <f>""</f>
        <v/>
      </c>
      <c r="DS199" t="str">
        <f>""</f>
        <v/>
      </c>
      <c r="DT199" t="str">
        <f>""</f>
        <v/>
      </c>
      <c r="DU199" t="str">
        <f>""</f>
        <v/>
      </c>
    </row>
    <row r="200" spans="1:125" x14ac:dyDescent="0.25">
      <c r="A200" t="str">
        <f>$A$44</f>
        <v xml:space="preserve">                    Wholesale</v>
      </c>
      <c r="B200" t="str">
        <f>$B$44</f>
        <v>KER FP Equity</v>
      </c>
      <c r="C200" t="str">
        <f>$C$44</f>
        <v>BI047</v>
      </c>
      <c r="D200" t="str">
        <f>$D$44</f>
        <v>BICS_SEGMENT_DATA</v>
      </c>
      <c r="E200" t="str">
        <f>$E$44</f>
        <v>Dynamic</v>
      </c>
      <c r="F200" t="str">
        <f ca="1">_xll.BDH($B$44,$C$44,$B$156,$B$157,CONCATENATE("Per=",$B$154),"Dts=H","Dir=H",CONCATENATE("Points=",$B$155),"Sort=R","Days=A","Fill=B","DZ666=700","DZ381=1110101012","DZ667=23","DS276=Y",CONCATENATE("FX=", $B$153) )</f>
        <v/>
      </c>
      <c r="BN200" t="str">
        <f>""</f>
        <v/>
      </c>
      <c r="BO200" t="str">
        <f>""</f>
        <v/>
      </c>
      <c r="BP200" t="str">
        <f>""</f>
        <v/>
      </c>
      <c r="BQ200" t="str">
        <f>""</f>
        <v/>
      </c>
      <c r="BR200" t="str">
        <f>""</f>
        <v/>
      </c>
      <c r="BS200" t="str">
        <f>""</f>
        <v/>
      </c>
      <c r="BT200" t="str">
        <f>""</f>
        <v/>
      </c>
      <c r="BU200" t="str">
        <f>""</f>
        <v/>
      </c>
      <c r="BV200" t="str">
        <f>""</f>
        <v/>
      </c>
      <c r="BW200" t="str">
        <f>""</f>
        <v/>
      </c>
      <c r="BX200" t="str">
        <f>""</f>
        <v/>
      </c>
      <c r="BY200" t="str">
        <f>""</f>
        <v/>
      </c>
      <c r="BZ200" t="str">
        <f>""</f>
        <v/>
      </c>
      <c r="CA200" t="str">
        <f>""</f>
        <v/>
      </c>
      <c r="CB200" t="str">
        <f>""</f>
        <v/>
      </c>
      <c r="CC200" t="str">
        <f>""</f>
        <v/>
      </c>
      <c r="CD200" t="str">
        <f>""</f>
        <v/>
      </c>
      <c r="CE200" t="str">
        <f>""</f>
        <v/>
      </c>
      <c r="CF200" t="str">
        <f>""</f>
        <v/>
      </c>
      <c r="CG200" t="str">
        <f>""</f>
        <v/>
      </c>
      <c r="CH200" t="str">
        <f>""</f>
        <v/>
      </c>
      <c r="CI200" t="str">
        <f>""</f>
        <v/>
      </c>
      <c r="CJ200" t="str">
        <f>""</f>
        <v/>
      </c>
      <c r="CK200" t="str">
        <f>""</f>
        <v/>
      </c>
      <c r="CL200" t="str">
        <f>""</f>
        <v/>
      </c>
      <c r="CM200" t="str">
        <f>""</f>
        <v/>
      </c>
      <c r="CN200" t="str">
        <f>""</f>
        <v/>
      </c>
      <c r="CO200" t="str">
        <f>""</f>
        <v/>
      </c>
      <c r="CP200" t="str">
        <f>""</f>
        <v/>
      </c>
      <c r="CQ200" t="str">
        <f>""</f>
        <v/>
      </c>
      <c r="CR200" t="str">
        <f>""</f>
        <v/>
      </c>
      <c r="CS200" t="str">
        <f>""</f>
        <v/>
      </c>
      <c r="CT200" t="str">
        <f>""</f>
        <v/>
      </c>
      <c r="CU200" t="str">
        <f>""</f>
        <v/>
      </c>
      <c r="CV200" t="str">
        <f>""</f>
        <v/>
      </c>
      <c r="CW200" t="str">
        <f>""</f>
        <v/>
      </c>
      <c r="CX200" t="str">
        <f>""</f>
        <v/>
      </c>
      <c r="CY200" t="str">
        <f>""</f>
        <v/>
      </c>
      <c r="CZ200" t="str">
        <f>""</f>
        <v/>
      </c>
      <c r="DA200" t="str">
        <f>""</f>
        <v/>
      </c>
      <c r="DB200" t="str">
        <f>""</f>
        <v/>
      </c>
      <c r="DC200" t="str">
        <f>""</f>
        <v/>
      </c>
      <c r="DD200" t="str">
        <f>""</f>
        <v/>
      </c>
      <c r="DE200" t="str">
        <f>""</f>
        <v/>
      </c>
      <c r="DF200" t="str">
        <f>""</f>
        <v/>
      </c>
      <c r="DG200" t="str">
        <f>""</f>
        <v/>
      </c>
      <c r="DH200" t="str">
        <f>""</f>
        <v/>
      </c>
      <c r="DI200" t="str">
        <f>""</f>
        <v/>
      </c>
      <c r="DJ200" t="str">
        <f>""</f>
        <v/>
      </c>
      <c r="DK200" t="str">
        <f>""</f>
        <v/>
      </c>
      <c r="DL200" t="str">
        <f>""</f>
        <v/>
      </c>
      <c r="DM200" t="str">
        <f>""</f>
        <v/>
      </c>
      <c r="DN200" t="str">
        <f>""</f>
        <v/>
      </c>
      <c r="DO200" t="str">
        <f>""</f>
        <v/>
      </c>
      <c r="DP200" t="str">
        <f>""</f>
        <v/>
      </c>
      <c r="DQ200" t="str">
        <f>""</f>
        <v/>
      </c>
      <c r="DR200" t="str">
        <f>""</f>
        <v/>
      </c>
      <c r="DS200" t="str">
        <f>""</f>
        <v/>
      </c>
      <c r="DT200" t="str">
        <f>""</f>
        <v/>
      </c>
      <c r="DU200" t="str">
        <f>""</f>
        <v/>
      </c>
    </row>
    <row r="201" spans="1:125" x14ac:dyDescent="0.25">
      <c r="A201" t="str">
        <f>$A$45</f>
        <v xml:space="preserve">                    Royalties and Others</v>
      </c>
      <c r="B201" t="str">
        <f>$B$45</f>
        <v>KER FP Equity</v>
      </c>
      <c r="C201" t="str">
        <f>$C$45</f>
        <v>BI047</v>
      </c>
      <c r="D201" t="str">
        <f>$D$45</f>
        <v>BICS_SEGMENT_DATA</v>
      </c>
      <c r="E201" t="str">
        <f>$E$45</f>
        <v>Dynamic</v>
      </c>
      <c r="F201" t="str">
        <f ca="1">_xll.BDH($B$45,$C$45,$B$156,$B$157,CONCATENATE("Per=",$B$154),"Dts=H","Dir=H",CONCATENATE("Points=",$B$155),"Sort=R","Days=A","Fill=B","DZ666=700","DZ381=1110101012","DZ667=24","DS276=Y",CONCATENATE("FX=", $B$153) )</f>
        <v/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  <c r="BT201" t="str">
        <f>""</f>
        <v/>
      </c>
      <c r="BU201" t="str">
        <f>""</f>
        <v/>
      </c>
      <c r="BV201" t="str">
        <f>""</f>
        <v/>
      </c>
      <c r="BW201" t="str">
        <f>""</f>
        <v/>
      </c>
      <c r="BX201" t="str">
        <f>""</f>
        <v/>
      </c>
      <c r="BY201" t="str">
        <f>""</f>
        <v/>
      </c>
      <c r="BZ201" t="str">
        <f>""</f>
        <v/>
      </c>
      <c r="CA201" t="str">
        <f>""</f>
        <v/>
      </c>
      <c r="CB201" t="str">
        <f>""</f>
        <v/>
      </c>
      <c r="CC201" t="str">
        <f>""</f>
        <v/>
      </c>
      <c r="CD201" t="str">
        <f>""</f>
        <v/>
      </c>
      <c r="CE201" t="str">
        <f>""</f>
        <v/>
      </c>
      <c r="CF201" t="str">
        <f>""</f>
        <v/>
      </c>
      <c r="CG201" t="str">
        <f>""</f>
        <v/>
      </c>
      <c r="CH201" t="str">
        <f>""</f>
        <v/>
      </c>
      <c r="CI201" t="str">
        <f>""</f>
        <v/>
      </c>
      <c r="CJ201" t="str">
        <f>""</f>
        <v/>
      </c>
      <c r="CK201" t="str">
        <f>""</f>
        <v/>
      </c>
      <c r="CL201" t="str">
        <f>""</f>
        <v/>
      </c>
      <c r="CM201" t="str">
        <f>""</f>
        <v/>
      </c>
      <c r="CN201" t="str">
        <f>""</f>
        <v/>
      </c>
      <c r="CO201" t="str">
        <f>""</f>
        <v/>
      </c>
      <c r="CP201" t="str">
        <f>""</f>
        <v/>
      </c>
      <c r="CQ201" t="str">
        <f>""</f>
        <v/>
      </c>
      <c r="CR201" t="str">
        <f>""</f>
        <v/>
      </c>
      <c r="CS201" t="str">
        <f>""</f>
        <v/>
      </c>
      <c r="CT201" t="str">
        <f>""</f>
        <v/>
      </c>
      <c r="CU201" t="str">
        <f>""</f>
        <v/>
      </c>
      <c r="CV201" t="str">
        <f>""</f>
        <v/>
      </c>
      <c r="CW201" t="str">
        <f>""</f>
        <v/>
      </c>
      <c r="CX201" t="str">
        <f>""</f>
        <v/>
      </c>
      <c r="CY201" t="str">
        <f>""</f>
        <v/>
      </c>
      <c r="CZ201" t="str">
        <f>""</f>
        <v/>
      </c>
      <c r="DA201" t="str">
        <f>""</f>
        <v/>
      </c>
      <c r="DB201" t="str">
        <f>""</f>
        <v/>
      </c>
      <c r="DC201" t="str">
        <f>""</f>
        <v/>
      </c>
      <c r="DD201" t="str">
        <f>""</f>
        <v/>
      </c>
      <c r="DE201" t="str">
        <f>""</f>
        <v/>
      </c>
      <c r="DF201" t="str">
        <f>""</f>
        <v/>
      </c>
      <c r="DG201" t="str">
        <f>""</f>
        <v/>
      </c>
      <c r="DH201" t="str">
        <f>""</f>
        <v/>
      </c>
      <c r="DI201" t="str">
        <f>""</f>
        <v/>
      </c>
      <c r="DJ201" t="str">
        <f>""</f>
        <v/>
      </c>
      <c r="DK201" t="str">
        <f>""</f>
        <v/>
      </c>
      <c r="DL201" t="str">
        <f>""</f>
        <v/>
      </c>
      <c r="DM201" t="str">
        <f>""</f>
        <v/>
      </c>
      <c r="DN201" t="str">
        <f>""</f>
        <v/>
      </c>
      <c r="DO201" t="str">
        <f>""</f>
        <v/>
      </c>
      <c r="DP201" t="str">
        <f>""</f>
        <v/>
      </c>
      <c r="DQ201" t="str">
        <f>""</f>
        <v/>
      </c>
      <c r="DR201" t="str">
        <f>""</f>
        <v/>
      </c>
      <c r="DS201" t="str">
        <f>""</f>
        <v/>
      </c>
      <c r="DT201" t="str">
        <f>""</f>
        <v/>
      </c>
      <c r="DU201" t="str">
        <f>""</f>
        <v/>
      </c>
    </row>
    <row r="202" spans="1:125" x14ac:dyDescent="0.25">
      <c r="A202" t="str">
        <f>$A$46</f>
        <v xml:space="preserve">                Bottega Veneta</v>
      </c>
      <c r="B202" t="str">
        <f>$B$46</f>
        <v>KER FP Equity</v>
      </c>
      <c r="C202" t="str">
        <f>$C$46</f>
        <v>BI047</v>
      </c>
      <c r="D202" t="str">
        <f>$D$46</f>
        <v>BICS_SEGMENT_DATA</v>
      </c>
      <c r="E202" t="str">
        <f>$E$46</f>
        <v>Dynamic</v>
      </c>
      <c r="F202" t="str">
        <f ca="1">_xll.BDH($B$46,$C$46,$B$156,$B$157,CONCATENATE("Per=",$B$154),"Dts=H","Dir=H",CONCATENATE("Points=",$B$155),"Sort=R","Days=A","Fill=B","DZ666=129","DZ381=1110101012","DZ665=13372677","DZ667=1","DS276=Y",CONCATENATE("FX=", $B$153) )</f>
        <v/>
      </c>
      <c r="BN202" t="str">
        <f>""</f>
        <v/>
      </c>
      <c r="BO202" t="str">
        <f>""</f>
        <v/>
      </c>
      <c r="BP202" t="str">
        <f>""</f>
        <v/>
      </c>
      <c r="BQ202" t="str">
        <f>""</f>
        <v/>
      </c>
      <c r="BR202" t="str">
        <f>""</f>
        <v/>
      </c>
      <c r="BS202" t="str">
        <f>""</f>
        <v/>
      </c>
      <c r="BT202" t="str">
        <f>""</f>
        <v/>
      </c>
      <c r="BU202" t="str">
        <f>""</f>
        <v/>
      </c>
      <c r="BV202" t="str">
        <f>""</f>
        <v/>
      </c>
      <c r="BW202" t="str">
        <f>""</f>
        <v/>
      </c>
      <c r="BX202" t="str">
        <f>""</f>
        <v/>
      </c>
      <c r="BY202" t="str">
        <f>""</f>
        <v/>
      </c>
      <c r="BZ202" t="str">
        <f>""</f>
        <v/>
      </c>
      <c r="CA202" t="str">
        <f>""</f>
        <v/>
      </c>
      <c r="CB202" t="str">
        <f>""</f>
        <v/>
      </c>
      <c r="CC202" t="str">
        <f>""</f>
        <v/>
      </c>
      <c r="CD202" t="str">
        <f>""</f>
        <v/>
      </c>
      <c r="CE202" t="str">
        <f>""</f>
        <v/>
      </c>
      <c r="CF202" t="str">
        <f>""</f>
        <v/>
      </c>
      <c r="CG202" t="str">
        <f>""</f>
        <v/>
      </c>
      <c r="CH202" t="str">
        <f>""</f>
        <v/>
      </c>
      <c r="CI202" t="str">
        <f>""</f>
        <v/>
      </c>
      <c r="CJ202" t="str">
        <f>""</f>
        <v/>
      </c>
      <c r="CK202" t="str">
        <f>""</f>
        <v/>
      </c>
      <c r="CL202" t="str">
        <f>""</f>
        <v/>
      </c>
      <c r="CM202" t="str">
        <f>""</f>
        <v/>
      </c>
      <c r="CN202" t="str">
        <f>""</f>
        <v/>
      </c>
      <c r="CO202" t="str">
        <f>""</f>
        <v/>
      </c>
      <c r="CP202" t="str">
        <f>""</f>
        <v/>
      </c>
      <c r="CQ202" t="str">
        <f>""</f>
        <v/>
      </c>
      <c r="CR202" t="str">
        <f>""</f>
        <v/>
      </c>
      <c r="CS202" t="str">
        <f>""</f>
        <v/>
      </c>
      <c r="CT202" t="str">
        <f>""</f>
        <v/>
      </c>
      <c r="CU202" t="str">
        <f>""</f>
        <v/>
      </c>
      <c r="CV202" t="str">
        <f>""</f>
        <v/>
      </c>
      <c r="CW202" t="str">
        <f>""</f>
        <v/>
      </c>
      <c r="CX202" t="str">
        <f>""</f>
        <v/>
      </c>
      <c r="CY202" t="str">
        <f>""</f>
        <v/>
      </c>
      <c r="CZ202" t="str">
        <f>""</f>
        <v/>
      </c>
      <c r="DA202" t="str">
        <f>""</f>
        <v/>
      </c>
      <c r="DB202" t="str">
        <f>""</f>
        <v/>
      </c>
      <c r="DC202" t="str">
        <f>""</f>
        <v/>
      </c>
      <c r="DD202" t="str">
        <f>""</f>
        <v/>
      </c>
      <c r="DE202" t="str">
        <f>""</f>
        <v/>
      </c>
      <c r="DF202" t="str">
        <f>""</f>
        <v/>
      </c>
      <c r="DG202" t="str">
        <f>""</f>
        <v/>
      </c>
      <c r="DH202" t="str">
        <f>""</f>
        <v/>
      </c>
      <c r="DI202" t="str">
        <f>""</f>
        <v/>
      </c>
      <c r="DJ202" t="str">
        <f>""</f>
        <v/>
      </c>
      <c r="DK202" t="str">
        <f>""</f>
        <v/>
      </c>
      <c r="DL202" t="str">
        <f>""</f>
        <v/>
      </c>
      <c r="DM202" t="str">
        <f>""</f>
        <v/>
      </c>
      <c r="DN202" t="str">
        <f>""</f>
        <v/>
      </c>
      <c r="DO202" t="str">
        <f>""</f>
        <v/>
      </c>
      <c r="DP202" t="str">
        <f>""</f>
        <v/>
      </c>
      <c r="DQ202" t="str">
        <f>""</f>
        <v/>
      </c>
      <c r="DR202" t="str">
        <f>""</f>
        <v/>
      </c>
      <c r="DS202" t="str">
        <f>""</f>
        <v/>
      </c>
      <c r="DT202" t="str">
        <f>""</f>
        <v/>
      </c>
      <c r="DU202" t="str">
        <f>""</f>
        <v/>
      </c>
    </row>
    <row r="203" spans="1:125" x14ac:dyDescent="0.25">
      <c r="A203" t="str">
        <f>$A$47</f>
        <v xml:space="preserve">                    Retail</v>
      </c>
      <c r="B203" t="str">
        <f>$B$47</f>
        <v>KER FP Equity</v>
      </c>
      <c r="C203" t="str">
        <f>$C$47</f>
        <v>BI047</v>
      </c>
      <c r="D203" t="str">
        <f>$D$47</f>
        <v>BICS_SEGMENT_DATA</v>
      </c>
      <c r="E203" t="str">
        <f>$E$47</f>
        <v>Dynamic</v>
      </c>
      <c r="F203" t="str">
        <f ca="1">_xll.BDH($B$47,$C$47,$B$156,$B$157,CONCATENATE("Per=",$B$154),"Dts=H","Dir=H",CONCATENATE("Points=",$B$155),"Sort=R","Days=A","Fill=B","DZ666=700","DZ381=1110101012","DZ667=30","DS276=Y",CONCATENATE("FX=", $B$153) )</f>
        <v/>
      </c>
      <c r="BN203" t="str">
        <f>""</f>
        <v/>
      </c>
      <c r="BO203" t="str">
        <f>""</f>
        <v/>
      </c>
      <c r="BP203" t="str">
        <f>""</f>
        <v/>
      </c>
      <c r="BQ203" t="str">
        <f>""</f>
        <v/>
      </c>
      <c r="BR203" t="str">
        <f>""</f>
        <v/>
      </c>
      <c r="BS203" t="str">
        <f>""</f>
        <v/>
      </c>
      <c r="BT203" t="str">
        <f>""</f>
        <v/>
      </c>
      <c r="BU203" t="str">
        <f>""</f>
        <v/>
      </c>
      <c r="BV203" t="str">
        <f>""</f>
        <v/>
      </c>
      <c r="BW203" t="str">
        <f>""</f>
        <v/>
      </c>
      <c r="BX203" t="str">
        <f>""</f>
        <v/>
      </c>
      <c r="BY203" t="str">
        <f>""</f>
        <v/>
      </c>
      <c r="BZ203" t="str">
        <f>""</f>
        <v/>
      </c>
      <c r="CA203" t="str">
        <f>""</f>
        <v/>
      </c>
      <c r="CB203" t="str">
        <f>""</f>
        <v/>
      </c>
      <c r="CC203" t="str">
        <f>""</f>
        <v/>
      </c>
      <c r="CD203" t="str">
        <f>""</f>
        <v/>
      </c>
      <c r="CE203" t="str">
        <f>""</f>
        <v/>
      </c>
      <c r="CF203" t="str">
        <f>""</f>
        <v/>
      </c>
      <c r="CG203" t="str">
        <f>""</f>
        <v/>
      </c>
      <c r="CH203" t="str">
        <f>""</f>
        <v/>
      </c>
      <c r="CI203" t="str">
        <f>""</f>
        <v/>
      </c>
      <c r="CJ203" t="str">
        <f>""</f>
        <v/>
      </c>
      <c r="CK203" t="str">
        <f>""</f>
        <v/>
      </c>
      <c r="CL203" t="str">
        <f>""</f>
        <v/>
      </c>
      <c r="CM203" t="str">
        <f>""</f>
        <v/>
      </c>
      <c r="CN203" t="str">
        <f>""</f>
        <v/>
      </c>
      <c r="CO203" t="str">
        <f>""</f>
        <v/>
      </c>
      <c r="CP203" t="str">
        <f>""</f>
        <v/>
      </c>
      <c r="CQ203" t="str">
        <f>""</f>
        <v/>
      </c>
      <c r="CR203" t="str">
        <f>""</f>
        <v/>
      </c>
      <c r="CS203" t="str">
        <f>""</f>
        <v/>
      </c>
      <c r="CT203" t="str">
        <f>""</f>
        <v/>
      </c>
      <c r="CU203" t="str">
        <f>""</f>
        <v/>
      </c>
      <c r="CV203" t="str">
        <f>""</f>
        <v/>
      </c>
      <c r="CW203" t="str">
        <f>""</f>
        <v/>
      </c>
      <c r="CX203" t="str">
        <f>""</f>
        <v/>
      </c>
      <c r="CY203" t="str">
        <f>""</f>
        <v/>
      </c>
      <c r="CZ203" t="str">
        <f>""</f>
        <v/>
      </c>
      <c r="DA203" t="str">
        <f>""</f>
        <v/>
      </c>
      <c r="DB203" t="str">
        <f>""</f>
        <v/>
      </c>
      <c r="DC203" t="str">
        <f>""</f>
        <v/>
      </c>
      <c r="DD203" t="str">
        <f>""</f>
        <v/>
      </c>
      <c r="DE203" t="str">
        <f>""</f>
        <v/>
      </c>
      <c r="DF203" t="str">
        <f>""</f>
        <v/>
      </c>
      <c r="DG203" t="str">
        <f>""</f>
        <v/>
      </c>
      <c r="DH203" t="str">
        <f>""</f>
        <v/>
      </c>
      <c r="DI203" t="str">
        <f>""</f>
        <v/>
      </c>
      <c r="DJ203" t="str">
        <f>""</f>
        <v/>
      </c>
      <c r="DK203" t="str">
        <f>""</f>
        <v/>
      </c>
      <c r="DL203" t="str">
        <f>""</f>
        <v/>
      </c>
      <c r="DM203" t="str">
        <f>""</f>
        <v/>
      </c>
      <c r="DN203" t="str">
        <f>""</f>
        <v/>
      </c>
      <c r="DO203" t="str">
        <f>""</f>
        <v/>
      </c>
      <c r="DP203" t="str">
        <f>""</f>
        <v/>
      </c>
      <c r="DQ203" t="str">
        <f>""</f>
        <v/>
      </c>
      <c r="DR203" t="str">
        <f>""</f>
        <v/>
      </c>
      <c r="DS203" t="str">
        <f>""</f>
        <v/>
      </c>
      <c r="DT203" t="str">
        <f>""</f>
        <v/>
      </c>
      <c r="DU203" t="str">
        <f>""</f>
        <v/>
      </c>
    </row>
    <row r="204" spans="1:125" x14ac:dyDescent="0.25">
      <c r="A204" t="str">
        <f>$A$48</f>
        <v xml:space="preserve">                        Western Europe</v>
      </c>
      <c r="B204" t="str">
        <f>$B$48</f>
        <v>KER FP Equity</v>
      </c>
      <c r="C204" t="str">
        <f>$C$48</f>
        <v>BI047</v>
      </c>
      <c r="D204" t="str">
        <f>$D$48</f>
        <v>BICS_SEGMENT_DATA</v>
      </c>
      <c r="E204" t="str">
        <f>$E$48</f>
        <v>Dynamic</v>
      </c>
      <c r="F204" t="str">
        <f ca="1">_xll.BDH($B$48,$C$48,$B$156,$B$157,CONCATENATE("Per=",$B$154),"Dts=H","Dir=H",CONCATENATE("Points=",$B$155),"Sort=R","Days=A","Fill=B","DZ666=700","DZ381=1110101012","DZ667=25","DS276=Y",CONCATENATE("FX=", $B$153) )</f>
        <v/>
      </c>
      <c r="BN204" t="str">
        <f>""</f>
        <v/>
      </c>
      <c r="BO204" t="str">
        <f>""</f>
        <v/>
      </c>
      <c r="BP204" t="str">
        <f>""</f>
        <v/>
      </c>
      <c r="BQ204" t="str">
        <f>""</f>
        <v/>
      </c>
      <c r="BR204" t="str">
        <f>""</f>
        <v/>
      </c>
      <c r="BS204" t="str">
        <f>""</f>
        <v/>
      </c>
      <c r="BT204" t="str">
        <f>""</f>
        <v/>
      </c>
      <c r="BU204" t="str">
        <f>""</f>
        <v/>
      </c>
      <c r="BV204" t="str">
        <f>""</f>
        <v/>
      </c>
      <c r="BW204" t="str">
        <f>""</f>
        <v/>
      </c>
      <c r="BX204" t="str">
        <f>""</f>
        <v/>
      </c>
      <c r="BY204" t="str">
        <f>""</f>
        <v/>
      </c>
      <c r="BZ204" t="str">
        <f>""</f>
        <v/>
      </c>
      <c r="CA204" t="str">
        <f>""</f>
        <v/>
      </c>
      <c r="CB204" t="str">
        <f>""</f>
        <v/>
      </c>
      <c r="CC204" t="str">
        <f>""</f>
        <v/>
      </c>
      <c r="CD204" t="str">
        <f>""</f>
        <v/>
      </c>
      <c r="CE204" t="str">
        <f>""</f>
        <v/>
      </c>
      <c r="CF204" t="str">
        <f>""</f>
        <v/>
      </c>
      <c r="CG204" t="str">
        <f>""</f>
        <v/>
      </c>
      <c r="CH204" t="str">
        <f>""</f>
        <v/>
      </c>
      <c r="CI204" t="str">
        <f>""</f>
        <v/>
      </c>
      <c r="CJ204" t="str">
        <f>""</f>
        <v/>
      </c>
      <c r="CK204" t="str">
        <f>""</f>
        <v/>
      </c>
      <c r="CL204" t="str">
        <f>""</f>
        <v/>
      </c>
      <c r="CM204" t="str">
        <f>""</f>
        <v/>
      </c>
      <c r="CN204" t="str">
        <f>""</f>
        <v/>
      </c>
      <c r="CO204" t="str">
        <f>""</f>
        <v/>
      </c>
      <c r="CP204" t="str">
        <f>""</f>
        <v/>
      </c>
      <c r="CQ204" t="str">
        <f>""</f>
        <v/>
      </c>
      <c r="CR204" t="str">
        <f>""</f>
        <v/>
      </c>
      <c r="CS204" t="str">
        <f>""</f>
        <v/>
      </c>
      <c r="CT204" t="str">
        <f>""</f>
        <v/>
      </c>
      <c r="CU204" t="str">
        <f>""</f>
        <v/>
      </c>
      <c r="CV204" t="str">
        <f>""</f>
        <v/>
      </c>
      <c r="CW204" t="str">
        <f>""</f>
        <v/>
      </c>
      <c r="CX204" t="str">
        <f>""</f>
        <v/>
      </c>
      <c r="CY204" t="str">
        <f>""</f>
        <v/>
      </c>
      <c r="CZ204" t="str">
        <f>""</f>
        <v/>
      </c>
      <c r="DA204" t="str">
        <f>""</f>
        <v/>
      </c>
      <c r="DB204" t="str">
        <f>""</f>
        <v/>
      </c>
      <c r="DC204" t="str">
        <f>""</f>
        <v/>
      </c>
      <c r="DD204" t="str">
        <f>""</f>
        <v/>
      </c>
      <c r="DE204" t="str">
        <f>""</f>
        <v/>
      </c>
      <c r="DF204" t="str">
        <f>""</f>
        <v/>
      </c>
      <c r="DG204" t="str">
        <f>""</f>
        <v/>
      </c>
      <c r="DH204" t="str">
        <f>""</f>
        <v/>
      </c>
      <c r="DI204" t="str">
        <f>""</f>
        <v/>
      </c>
      <c r="DJ204" t="str">
        <f>""</f>
        <v/>
      </c>
      <c r="DK204" t="str">
        <f>""</f>
        <v/>
      </c>
      <c r="DL204" t="str">
        <f>""</f>
        <v/>
      </c>
      <c r="DM204" t="str">
        <f>""</f>
        <v/>
      </c>
      <c r="DN204" t="str">
        <f>""</f>
        <v/>
      </c>
      <c r="DO204" t="str">
        <f>""</f>
        <v/>
      </c>
      <c r="DP204" t="str">
        <f>""</f>
        <v/>
      </c>
      <c r="DQ204" t="str">
        <f>""</f>
        <v/>
      </c>
      <c r="DR204" t="str">
        <f>""</f>
        <v/>
      </c>
      <c r="DS204" t="str">
        <f>""</f>
        <v/>
      </c>
      <c r="DT204" t="str">
        <f>""</f>
        <v/>
      </c>
      <c r="DU204" t="str">
        <f>""</f>
        <v/>
      </c>
    </row>
    <row r="205" spans="1:125" x14ac:dyDescent="0.25">
      <c r="A205" t="str">
        <f>$A$49</f>
        <v xml:space="preserve">                        North America</v>
      </c>
      <c r="B205" t="str">
        <f>$B$49</f>
        <v>KER FP Equity</v>
      </c>
      <c r="C205" t="str">
        <f>$C$49</f>
        <v>BI047</v>
      </c>
      <c r="D205" t="str">
        <f>$D$49</f>
        <v>BICS_SEGMENT_DATA</v>
      </c>
      <c r="E205" t="str">
        <f>$E$49</f>
        <v>Dynamic</v>
      </c>
      <c r="F205" t="str">
        <f ca="1">_xll.BDH($B$49,$C$49,$B$156,$B$157,CONCATENATE("Per=",$B$154),"Dts=H","Dir=H",CONCATENATE("Points=",$B$155),"Sort=R","Days=A","Fill=B","DZ666=700","DZ381=1110101012","DZ667=26","DS276=Y",CONCATENATE("FX=", $B$153) )</f>
        <v/>
      </c>
      <c r="BN205" t="str">
        <f>""</f>
        <v/>
      </c>
      <c r="BO205" t="str">
        <f>""</f>
        <v/>
      </c>
      <c r="BP205" t="str">
        <f>""</f>
        <v/>
      </c>
      <c r="BQ205" t="str">
        <f>""</f>
        <v/>
      </c>
      <c r="BR205" t="str">
        <f>""</f>
        <v/>
      </c>
      <c r="BS205" t="str">
        <f>""</f>
        <v/>
      </c>
      <c r="BT205" t="str">
        <f>""</f>
        <v/>
      </c>
      <c r="BU205" t="str">
        <f>""</f>
        <v/>
      </c>
      <c r="BV205" t="str">
        <f>""</f>
        <v/>
      </c>
      <c r="BW205" t="str">
        <f>""</f>
        <v/>
      </c>
      <c r="BX205" t="str">
        <f>""</f>
        <v/>
      </c>
      <c r="BY205" t="str">
        <f>""</f>
        <v/>
      </c>
      <c r="BZ205" t="str">
        <f>""</f>
        <v/>
      </c>
      <c r="CA205" t="str">
        <f>""</f>
        <v/>
      </c>
      <c r="CB205" t="str">
        <f>""</f>
        <v/>
      </c>
      <c r="CC205" t="str">
        <f>""</f>
        <v/>
      </c>
      <c r="CD205" t="str">
        <f>""</f>
        <v/>
      </c>
      <c r="CE205" t="str">
        <f>""</f>
        <v/>
      </c>
      <c r="CF205" t="str">
        <f>""</f>
        <v/>
      </c>
      <c r="CG205" t="str">
        <f>""</f>
        <v/>
      </c>
      <c r="CH205" t="str">
        <f>""</f>
        <v/>
      </c>
      <c r="CI205" t="str">
        <f>""</f>
        <v/>
      </c>
      <c r="CJ205" t="str">
        <f>""</f>
        <v/>
      </c>
      <c r="CK205" t="str">
        <f>""</f>
        <v/>
      </c>
      <c r="CL205" t="str">
        <f>""</f>
        <v/>
      </c>
      <c r="CM205" t="str">
        <f>""</f>
        <v/>
      </c>
      <c r="CN205" t="str">
        <f>""</f>
        <v/>
      </c>
      <c r="CO205" t="str">
        <f>""</f>
        <v/>
      </c>
      <c r="CP205" t="str">
        <f>""</f>
        <v/>
      </c>
      <c r="CQ205" t="str">
        <f>""</f>
        <v/>
      </c>
      <c r="CR205" t="str">
        <f>""</f>
        <v/>
      </c>
      <c r="CS205" t="str">
        <f>""</f>
        <v/>
      </c>
      <c r="CT205" t="str">
        <f>""</f>
        <v/>
      </c>
      <c r="CU205" t="str">
        <f>""</f>
        <v/>
      </c>
      <c r="CV205" t="str">
        <f>""</f>
        <v/>
      </c>
      <c r="CW205" t="str">
        <f>""</f>
        <v/>
      </c>
      <c r="CX205" t="str">
        <f>""</f>
        <v/>
      </c>
      <c r="CY205" t="str">
        <f>""</f>
        <v/>
      </c>
      <c r="CZ205" t="str">
        <f>""</f>
        <v/>
      </c>
      <c r="DA205" t="str">
        <f>""</f>
        <v/>
      </c>
      <c r="DB205" t="str">
        <f>""</f>
        <v/>
      </c>
      <c r="DC205" t="str">
        <f>""</f>
        <v/>
      </c>
      <c r="DD205" t="str">
        <f>""</f>
        <v/>
      </c>
      <c r="DE205" t="str">
        <f>""</f>
        <v/>
      </c>
      <c r="DF205" t="str">
        <f>""</f>
        <v/>
      </c>
      <c r="DG205" t="str">
        <f>""</f>
        <v/>
      </c>
      <c r="DH205" t="str">
        <f>""</f>
        <v/>
      </c>
      <c r="DI205" t="str">
        <f>""</f>
        <v/>
      </c>
      <c r="DJ205" t="str">
        <f>""</f>
        <v/>
      </c>
      <c r="DK205" t="str">
        <f>""</f>
        <v/>
      </c>
      <c r="DL205" t="str">
        <f>""</f>
        <v/>
      </c>
      <c r="DM205" t="str">
        <f>""</f>
        <v/>
      </c>
      <c r="DN205" t="str">
        <f>""</f>
        <v/>
      </c>
      <c r="DO205" t="str">
        <f>""</f>
        <v/>
      </c>
      <c r="DP205" t="str">
        <f>""</f>
        <v/>
      </c>
      <c r="DQ205" t="str">
        <f>""</f>
        <v/>
      </c>
      <c r="DR205" t="str">
        <f>""</f>
        <v/>
      </c>
      <c r="DS205" t="str">
        <f>""</f>
        <v/>
      </c>
      <c r="DT205" t="str">
        <f>""</f>
        <v/>
      </c>
      <c r="DU205" t="str">
        <f>""</f>
        <v/>
      </c>
    </row>
    <row r="206" spans="1:125" x14ac:dyDescent="0.25">
      <c r="A206" t="str">
        <f>$A$50</f>
        <v xml:space="preserve">                        Japan</v>
      </c>
      <c r="B206" t="str">
        <f>$B$50</f>
        <v>KER FP Equity</v>
      </c>
      <c r="C206" t="str">
        <f>$C$50</f>
        <v>BI047</v>
      </c>
      <c r="D206" t="str">
        <f>$D$50</f>
        <v>BICS_SEGMENT_DATA</v>
      </c>
      <c r="E206" t="str">
        <f>$E$50</f>
        <v>Dynamic</v>
      </c>
      <c r="F206" t="str">
        <f ca="1">_xll.BDH($B$50,$C$50,$B$156,$B$157,CONCATENATE("Per=",$B$154),"Dts=H","Dir=H",CONCATENATE("Points=",$B$155),"Sort=R","Days=A","Fill=B","DZ666=700","DZ381=1110101012","DZ667=27","DS276=Y",CONCATENATE("FX=", $B$153) )</f>
        <v/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  <c r="BT206" t="str">
        <f>""</f>
        <v/>
      </c>
      <c r="BU206" t="str">
        <f>""</f>
        <v/>
      </c>
      <c r="BV206" t="str">
        <f>""</f>
        <v/>
      </c>
      <c r="BW206" t="str">
        <f>""</f>
        <v/>
      </c>
      <c r="BX206" t="str">
        <f>""</f>
        <v/>
      </c>
      <c r="BY206" t="str">
        <f>""</f>
        <v/>
      </c>
      <c r="BZ206" t="str">
        <f>""</f>
        <v/>
      </c>
      <c r="CA206" t="str">
        <f>""</f>
        <v/>
      </c>
      <c r="CB206" t="str">
        <f>""</f>
        <v/>
      </c>
      <c r="CC206" t="str">
        <f>""</f>
        <v/>
      </c>
      <c r="CD206" t="str">
        <f>""</f>
        <v/>
      </c>
      <c r="CE206" t="str">
        <f>""</f>
        <v/>
      </c>
      <c r="CF206" t="str">
        <f>""</f>
        <v/>
      </c>
      <c r="CG206" t="str">
        <f>""</f>
        <v/>
      </c>
      <c r="CH206" t="str">
        <f>""</f>
        <v/>
      </c>
      <c r="CI206" t="str">
        <f>""</f>
        <v/>
      </c>
      <c r="CJ206" t="str">
        <f>""</f>
        <v/>
      </c>
      <c r="CK206" t="str">
        <f>""</f>
        <v/>
      </c>
      <c r="CL206" t="str">
        <f>""</f>
        <v/>
      </c>
      <c r="CM206" t="str">
        <f>""</f>
        <v/>
      </c>
      <c r="CN206" t="str">
        <f>""</f>
        <v/>
      </c>
      <c r="CO206" t="str">
        <f>""</f>
        <v/>
      </c>
      <c r="CP206" t="str">
        <f>""</f>
        <v/>
      </c>
      <c r="CQ206" t="str">
        <f>""</f>
        <v/>
      </c>
      <c r="CR206" t="str">
        <f>""</f>
        <v/>
      </c>
      <c r="CS206" t="str">
        <f>""</f>
        <v/>
      </c>
      <c r="CT206" t="str">
        <f>""</f>
        <v/>
      </c>
      <c r="CU206" t="str">
        <f>""</f>
        <v/>
      </c>
      <c r="CV206" t="str">
        <f>""</f>
        <v/>
      </c>
      <c r="CW206" t="str">
        <f>""</f>
        <v/>
      </c>
      <c r="CX206" t="str">
        <f>""</f>
        <v/>
      </c>
      <c r="CY206" t="str">
        <f>""</f>
        <v/>
      </c>
      <c r="CZ206" t="str">
        <f>""</f>
        <v/>
      </c>
      <c r="DA206" t="str">
        <f>""</f>
        <v/>
      </c>
      <c r="DB206" t="str">
        <f>""</f>
        <v/>
      </c>
      <c r="DC206" t="str">
        <f>""</f>
        <v/>
      </c>
      <c r="DD206" t="str">
        <f>""</f>
        <v/>
      </c>
      <c r="DE206" t="str">
        <f>""</f>
        <v/>
      </c>
      <c r="DF206" t="str">
        <f>""</f>
        <v/>
      </c>
      <c r="DG206" t="str">
        <f>""</f>
        <v/>
      </c>
      <c r="DH206" t="str">
        <f>""</f>
        <v/>
      </c>
      <c r="DI206" t="str">
        <f>""</f>
        <v/>
      </c>
      <c r="DJ206" t="str">
        <f>""</f>
        <v/>
      </c>
      <c r="DK206" t="str">
        <f>""</f>
        <v/>
      </c>
      <c r="DL206" t="str">
        <f>""</f>
        <v/>
      </c>
      <c r="DM206" t="str">
        <f>""</f>
        <v/>
      </c>
      <c r="DN206" t="str">
        <f>""</f>
        <v/>
      </c>
      <c r="DO206" t="str">
        <f>""</f>
        <v/>
      </c>
      <c r="DP206" t="str">
        <f>""</f>
        <v/>
      </c>
      <c r="DQ206" t="str">
        <f>""</f>
        <v/>
      </c>
      <c r="DR206" t="str">
        <f>""</f>
        <v/>
      </c>
      <c r="DS206" t="str">
        <f>""</f>
        <v/>
      </c>
      <c r="DT206" t="str">
        <f>""</f>
        <v/>
      </c>
      <c r="DU206" t="str">
        <f>""</f>
        <v/>
      </c>
    </row>
    <row r="207" spans="1:125" x14ac:dyDescent="0.25">
      <c r="A207" t="str">
        <f>$A$51</f>
        <v xml:space="preserve">                        Asia Pacific</v>
      </c>
      <c r="B207" t="str">
        <f>$B$51</f>
        <v>KER FP Equity</v>
      </c>
      <c r="C207" t="str">
        <f>$C$51</f>
        <v>BI047</v>
      </c>
      <c r="D207" t="str">
        <f>$D$51</f>
        <v>BICS_SEGMENT_DATA</v>
      </c>
      <c r="E207" t="str">
        <f>$E$51</f>
        <v>Dynamic</v>
      </c>
      <c r="F207" t="str">
        <f ca="1">_xll.BDH($B$51,$C$51,$B$156,$B$157,CONCATENATE("Per=",$B$154),"Dts=H","Dir=H",CONCATENATE("Points=",$B$155),"Sort=R","Days=A","Fill=B","DZ666=700","DZ381=1110101012","DZ667=28","DS276=Y",CONCATENATE("FX=", $B$153) )</f>
        <v/>
      </c>
      <c r="BN207" t="str">
        <f>""</f>
        <v/>
      </c>
      <c r="BO207" t="str">
        <f>""</f>
        <v/>
      </c>
      <c r="BP207" t="str">
        <f>""</f>
        <v/>
      </c>
      <c r="BQ207" t="str">
        <f>""</f>
        <v/>
      </c>
      <c r="BR207" t="str">
        <f>""</f>
        <v/>
      </c>
      <c r="BS207" t="str">
        <f>""</f>
        <v/>
      </c>
      <c r="BT207" t="str">
        <f>""</f>
        <v/>
      </c>
      <c r="BU207" t="str">
        <f>""</f>
        <v/>
      </c>
      <c r="BV207" t="str">
        <f>""</f>
        <v/>
      </c>
      <c r="BW207" t="str">
        <f>""</f>
        <v/>
      </c>
      <c r="BX207" t="str">
        <f>""</f>
        <v/>
      </c>
      <c r="BY207" t="str">
        <f>""</f>
        <v/>
      </c>
      <c r="BZ207" t="str">
        <f>""</f>
        <v/>
      </c>
      <c r="CA207" t="str">
        <f>""</f>
        <v/>
      </c>
      <c r="CB207" t="str">
        <f>""</f>
        <v/>
      </c>
      <c r="CC207" t="str">
        <f>""</f>
        <v/>
      </c>
      <c r="CD207" t="str">
        <f>""</f>
        <v/>
      </c>
      <c r="CE207" t="str">
        <f>""</f>
        <v/>
      </c>
      <c r="CF207" t="str">
        <f>""</f>
        <v/>
      </c>
      <c r="CG207" t="str">
        <f>""</f>
        <v/>
      </c>
      <c r="CH207" t="str">
        <f>""</f>
        <v/>
      </c>
      <c r="CI207" t="str">
        <f>""</f>
        <v/>
      </c>
      <c r="CJ207" t="str">
        <f>""</f>
        <v/>
      </c>
      <c r="CK207" t="str">
        <f>""</f>
        <v/>
      </c>
      <c r="CL207" t="str">
        <f>""</f>
        <v/>
      </c>
      <c r="CM207" t="str">
        <f>""</f>
        <v/>
      </c>
      <c r="CN207" t="str">
        <f>""</f>
        <v/>
      </c>
      <c r="CO207" t="str">
        <f>""</f>
        <v/>
      </c>
      <c r="CP207" t="str">
        <f>""</f>
        <v/>
      </c>
      <c r="CQ207" t="str">
        <f>""</f>
        <v/>
      </c>
      <c r="CR207" t="str">
        <f>""</f>
        <v/>
      </c>
      <c r="CS207" t="str">
        <f>""</f>
        <v/>
      </c>
      <c r="CT207" t="str">
        <f>""</f>
        <v/>
      </c>
      <c r="CU207" t="str">
        <f>""</f>
        <v/>
      </c>
      <c r="CV207" t="str">
        <f>""</f>
        <v/>
      </c>
      <c r="CW207" t="str">
        <f>""</f>
        <v/>
      </c>
      <c r="CX207" t="str">
        <f>""</f>
        <v/>
      </c>
      <c r="CY207" t="str">
        <f>""</f>
        <v/>
      </c>
      <c r="CZ207" t="str">
        <f>""</f>
        <v/>
      </c>
      <c r="DA207" t="str">
        <f>""</f>
        <v/>
      </c>
      <c r="DB207" t="str">
        <f>""</f>
        <v/>
      </c>
      <c r="DC207" t="str">
        <f>""</f>
        <v/>
      </c>
      <c r="DD207" t="str">
        <f>""</f>
        <v/>
      </c>
      <c r="DE207" t="str">
        <f>""</f>
        <v/>
      </c>
      <c r="DF207" t="str">
        <f>""</f>
        <v/>
      </c>
      <c r="DG207" t="str">
        <f>""</f>
        <v/>
      </c>
      <c r="DH207" t="str">
        <f>""</f>
        <v/>
      </c>
      <c r="DI207" t="str">
        <f>""</f>
        <v/>
      </c>
      <c r="DJ207" t="str">
        <f>""</f>
        <v/>
      </c>
      <c r="DK207" t="str">
        <f>""</f>
        <v/>
      </c>
      <c r="DL207" t="str">
        <f>""</f>
        <v/>
      </c>
      <c r="DM207" t="str">
        <f>""</f>
        <v/>
      </c>
      <c r="DN207" t="str">
        <f>""</f>
        <v/>
      </c>
      <c r="DO207" t="str">
        <f>""</f>
        <v/>
      </c>
      <c r="DP207" t="str">
        <f>""</f>
        <v/>
      </c>
      <c r="DQ207" t="str">
        <f>""</f>
        <v/>
      </c>
      <c r="DR207" t="str">
        <f>""</f>
        <v/>
      </c>
      <c r="DS207" t="str">
        <f>""</f>
        <v/>
      </c>
      <c r="DT207" t="str">
        <f>""</f>
        <v/>
      </c>
      <c r="DU207" t="str">
        <f>""</f>
        <v/>
      </c>
    </row>
    <row r="208" spans="1:125" x14ac:dyDescent="0.25">
      <c r="A208" t="str">
        <f>$A$52</f>
        <v xml:space="preserve">                        RoW</v>
      </c>
      <c r="B208" t="str">
        <f>$B$52</f>
        <v>KER FP Equity</v>
      </c>
      <c r="C208" t="str">
        <f>$C$52</f>
        <v>BI047</v>
      </c>
      <c r="D208" t="str">
        <f>$D$52</f>
        <v>BICS_SEGMENT_DATA</v>
      </c>
      <c r="E208" t="str">
        <f>$E$52</f>
        <v>Dynamic</v>
      </c>
      <c r="F208" t="str">
        <f ca="1">_xll.BDH($B$52,$C$52,$B$156,$B$157,CONCATENATE("Per=",$B$154),"Dts=H","Dir=H",CONCATENATE("Points=",$B$155),"Sort=R","Days=A","Fill=B","DZ666=700","DZ381=1110101012","DZ667=29","DS276=Y",CONCATENATE("FX=", $B$153) )</f>
        <v/>
      </c>
      <c r="BN208" t="str">
        <f>""</f>
        <v/>
      </c>
      <c r="BO208" t="str">
        <f>""</f>
        <v/>
      </c>
      <c r="BP208" t="str">
        <f>""</f>
        <v/>
      </c>
      <c r="BQ208" t="str">
        <f>""</f>
        <v/>
      </c>
      <c r="BR208" t="str">
        <f>""</f>
        <v/>
      </c>
      <c r="BS208" t="str">
        <f>""</f>
        <v/>
      </c>
      <c r="BT208" t="str">
        <f>""</f>
        <v/>
      </c>
      <c r="BU208" t="str">
        <f>""</f>
        <v/>
      </c>
      <c r="BV208" t="str">
        <f>""</f>
        <v/>
      </c>
      <c r="BW208" t="str">
        <f>""</f>
        <v/>
      </c>
      <c r="BX208" t="str">
        <f>""</f>
        <v/>
      </c>
      <c r="BY208" t="str">
        <f>""</f>
        <v/>
      </c>
      <c r="BZ208" t="str">
        <f>""</f>
        <v/>
      </c>
      <c r="CA208" t="str">
        <f>""</f>
        <v/>
      </c>
      <c r="CB208" t="str">
        <f>""</f>
        <v/>
      </c>
      <c r="CC208" t="str">
        <f>""</f>
        <v/>
      </c>
      <c r="CD208" t="str">
        <f>""</f>
        <v/>
      </c>
      <c r="CE208" t="str">
        <f>""</f>
        <v/>
      </c>
      <c r="CF208" t="str">
        <f>""</f>
        <v/>
      </c>
      <c r="CG208" t="str">
        <f>""</f>
        <v/>
      </c>
      <c r="CH208" t="str">
        <f>""</f>
        <v/>
      </c>
      <c r="CI208" t="str">
        <f>""</f>
        <v/>
      </c>
      <c r="CJ208" t="str">
        <f>""</f>
        <v/>
      </c>
      <c r="CK208" t="str">
        <f>""</f>
        <v/>
      </c>
      <c r="CL208" t="str">
        <f>""</f>
        <v/>
      </c>
      <c r="CM208" t="str">
        <f>""</f>
        <v/>
      </c>
      <c r="CN208" t="str">
        <f>""</f>
        <v/>
      </c>
      <c r="CO208" t="str">
        <f>""</f>
        <v/>
      </c>
      <c r="CP208" t="str">
        <f>""</f>
        <v/>
      </c>
      <c r="CQ208" t="str">
        <f>""</f>
        <v/>
      </c>
      <c r="CR208" t="str">
        <f>""</f>
        <v/>
      </c>
      <c r="CS208" t="str">
        <f>""</f>
        <v/>
      </c>
      <c r="CT208" t="str">
        <f>""</f>
        <v/>
      </c>
      <c r="CU208" t="str">
        <f>""</f>
        <v/>
      </c>
      <c r="CV208" t="str">
        <f>""</f>
        <v/>
      </c>
      <c r="CW208" t="str">
        <f>""</f>
        <v/>
      </c>
      <c r="CX208" t="str">
        <f>""</f>
        <v/>
      </c>
      <c r="CY208" t="str">
        <f>""</f>
        <v/>
      </c>
      <c r="CZ208" t="str">
        <f>""</f>
        <v/>
      </c>
      <c r="DA208" t="str">
        <f>""</f>
        <v/>
      </c>
      <c r="DB208" t="str">
        <f>""</f>
        <v/>
      </c>
      <c r="DC208" t="str">
        <f>""</f>
        <v/>
      </c>
      <c r="DD208" t="str">
        <f>""</f>
        <v/>
      </c>
      <c r="DE208" t="str">
        <f>""</f>
        <v/>
      </c>
      <c r="DF208" t="str">
        <f>""</f>
        <v/>
      </c>
      <c r="DG208" t="str">
        <f>""</f>
        <v/>
      </c>
      <c r="DH208" t="str">
        <f>""</f>
        <v/>
      </c>
      <c r="DI208" t="str">
        <f>""</f>
        <v/>
      </c>
      <c r="DJ208" t="str">
        <f>""</f>
        <v/>
      </c>
      <c r="DK208" t="str">
        <f>""</f>
        <v/>
      </c>
      <c r="DL208" t="str">
        <f>""</f>
        <v/>
      </c>
      <c r="DM208" t="str">
        <f>""</f>
        <v/>
      </c>
      <c r="DN208" t="str">
        <f>""</f>
        <v/>
      </c>
      <c r="DO208" t="str">
        <f>""</f>
        <v/>
      </c>
      <c r="DP208" t="str">
        <f>""</f>
        <v/>
      </c>
      <c r="DQ208" t="str">
        <f>""</f>
        <v/>
      </c>
      <c r="DR208" t="str">
        <f>""</f>
        <v/>
      </c>
      <c r="DS208" t="str">
        <f>""</f>
        <v/>
      </c>
      <c r="DT208" t="str">
        <f>""</f>
        <v/>
      </c>
      <c r="DU208" t="str">
        <f>""</f>
        <v/>
      </c>
    </row>
    <row r="209" spans="1:125" x14ac:dyDescent="0.25">
      <c r="A209" t="str">
        <f>$A$53</f>
        <v xml:space="preserve">                    Wholesale</v>
      </c>
      <c r="B209" t="str">
        <f>$B$53</f>
        <v>KER FP Equity</v>
      </c>
      <c r="C209" t="str">
        <f>$C$53</f>
        <v>BI047</v>
      </c>
      <c r="D209" t="str">
        <f>$D$53</f>
        <v>BICS_SEGMENT_DATA</v>
      </c>
      <c r="E209" t="str">
        <f>$E$53</f>
        <v>Dynamic</v>
      </c>
      <c r="F209" t="str">
        <f ca="1">_xll.BDH($B$53,$C$53,$B$156,$B$157,CONCATENATE("Per=",$B$154),"Dts=H","Dir=H",CONCATENATE("Points=",$B$155),"Sort=R","Days=A","Fill=B","DZ666=700","DZ381=1110101012","DZ667=31","DS276=Y",CONCATENATE("FX=", $B$153) )</f>
        <v/>
      </c>
      <c r="BN209" t="str">
        <f>""</f>
        <v/>
      </c>
      <c r="BO209" t="str">
        <f>""</f>
        <v/>
      </c>
      <c r="BP209" t="str">
        <f>""</f>
        <v/>
      </c>
      <c r="BQ209" t="str">
        <f>""</f>
        <v/>
      </c>
      <c r="BR209" t="str">
        <f>""</f>
        <v/>
      </c>
      <c r="BS209" t="str">
        <f>""</f>
        <v/>
      </c>
      <c r="BT209" t="str">
        <f>""</f>
        <v/>
      </c>
      <c r="BU209" t="str">
        <f>""</f>
        <v/>
      </c>
      <c r="BV209" t="str">
        <f>""</f>
        <v/>
      </c>
      <c r="BW209" t="str">
        <f>""</f>
        <v/>
      </c>
      <c r="BX209" t="str">
        <f>""</f>
        <v/>
      </c>
      <c r="BY209" t="str">
        <f>""</f>
        <v/>
      </c>
      <c r="BZ209" t="str">
        <f>""</f>
        <v/>
      </c>
      <c r="CA209" t="str">
        <f>""</f>
        <v/>
      </c>
      <c r="CB209" t="str">
        <f>""</f>
        <v/>
      </c>
      <c r="CC209" t="str">
        <f>""</f>
        <v/>
      </c>
      <c r="CD209" t="str">
        <f>""</f>
        <v/>
      </c>
      <c r="CE209" t="str">
        <f>""</f>
        <v/>
      </c>
      <c r="CF209" t="str">
        <f>""</f>
        <v/>
      </c>
      <c r="CG209" t="str">
        <f>""</f>
        <v/>
      </c>
      <c r="CH209" t="str">
        <f>""</f>
        <v/>
      </c>
      <c r="CI209" t="str">
        <f>""</f>
        <v/>
      </c>
      <c r="CJ209" t="str">
        <f>""</f>
        <v/>
      </c>
      <c r="CK209" t="str">
        <f>""</f>
        <v/>
      </c>
      <c r="CL209" t="str">
        <f>""</f>
        <v/>
      </c>
      <c r="CM209" t="str">
        <f>""</f>
        <v/>
      </c>
      <c r="CN209" t="str">
        <f>""</f>
        <v/>
      </c>
      <c r="CO209" t="str">
        <f>""</f>
        <v/>
      </c>
      <c r="CP209" t="str">
        <f>""</f>
        <v/>
      </c>
      <c r="CQ209" t="str">
        <f>""</f>
        <v/>
      </c>
      <c r="CR209" t="str">
        <f>""</f>
        <v/>
      </c>
      <c r="CS209" t="str">
        <f>""</f>
        <v/>
      </c>
      <c r="CT209" t="str">
        <f>""</f>
        <v/>
      </c>
      <c r="CU209" t="str">
        <f>""</f>
        <v/>
      </c>
      <c r="CV209" t="str">
        <f>""</f>
        <v/>
      </c>
      <c r="CW209" t="str">
        <f>""</f>
        <v/>
      </c>
      <c r="CX209" t="str">
        <f>""</f>
        <v/>
      </c>
      <c r="CY209" t="str">
        <f>""</f>
        <v/>
      </c>
      <c r="CZ209" t="str">
        <f>""</f>
        <v/>
      </c>
      <c r="DA209" t="str">
        <f>""</f>
        <v/>
      </c>
      <c r="DB209" t="str">
        <f>""</f>
        <v/>
      </c>
      <c r="DC209" t="str">
        <f>""</f>
        <v/>
      </c>
      <c r="DD209" t="str">
        <f>""</f>
        <v/>
      </c>
      <c r="DE209" t="str">
        <f>""</f>
        <v/>
      </c>
      <c r="DF209" t="str">
        <f>""</f>
        <v/>
      </c>
      <c r="DG209" t="str">
        <f>""</f>
        <v/>
      </c>
      <c r="DH209" t="str">
        <f>""</f>
        <v/>
      </c>
      <c r="DI209" t="str">
        <f>""</f>
        <v/>
      </c>
      <c r="DJ209" t="str">
        <f>""</f>
        <v/>
      </c>
      <c r="DK209" t="str">
        <f>""</f>
        <v/>
      </c>
      <c r="DL209" t="str">
        <f>""</f>
        <v/>
      </c>
      <c r="DM209" t="str">
        <f>""</f>
        <v/>
      </c>
      <c r="DN209" t="str">
        <f>""</f>
        <v/>
      </c>
      <c r="DO209" t="str">
        <f>""</f>
        <v/>
      </c>
      <c r="DP209" t="str">
        <f>""</f>
        <v/>
      </c>
      <c r="DQ209" t="str">
        <f>""</f>
        <v/>
      </c>
      <c r="DR209" t="str">
        <f>""</f>
        <v/>
      </c>
      <c r="DS209" t="str">
        <f>""</f>
        <v/>
      </c>
      <c r="DT209" t="str">
        <f>""</f>
        <v/>
      </c>
      <c r="DU209" t="str">
        <f>""</f>
        <v/>
      </c>
    </row>
    <row r="210" spans="1:125" x14ac:dyDescent="0.25">
      <c r="A210" t="str">
        <f>$A$54</f>
        <v xml:space="preserve">                    Royalties and Others</v>
      </c>
      <c r="B210" t="str">
        <f>$B$54</f>
        <v>KER FP Equity</v>
      </c>
      <c r="C210" t="str">
        <f>$C$54</f>
        <v>BI047</v>
      </c>
      <c r="D210" t="str">
        <f>$D$54</f>
        <v>BICS_SEGMENT_DATA</v>
      </c>
      <c r="E210" t="str">
        <f>$E$54</f>
        <v>Dynamic</v>
      </c>
      <c r="F210" t="str">
        <f ca="1">_xll.BDH($B$54,$C$54,$B$156,$B$157,CONCATENATE("Per=",$B$154),"Dts=H","Dir=H",CONCATENATE("Points=",$B$155),"Sort=R","Days=A","Fill=B","DZ666=700","DZ381=1110101012","DZ667=32","DS276=Y",CONCATENATE("FX=", $B$153) )</f>
        <v/>
      </c>
      <c r="BN210" t="str">
        <f>""</f>
        <v/>
      </c>
      <c r="BO210" t="str">
        <f>""</f>
        <v/>
      </c>
      <c r="BP210" t="str">
        <f>""</f>
        <v/>
      </c>
      <c r="BQ210" t="str">
        <f>""</f>
        <v/>
      </c>
      <c r="BR210" t="str">
        <f>""</f>
        <v/>
      </c>
      <c r="BS210" t="str">
        <f>""</f>
        <v/>
      </c>
      <c r="BT210" t="str">
        <f>""</f>
        <v/>
      </c>
      <c r="BU210" t="str">
        <f>""</f>
        <v/>
      </c>
      <c r="BV210" t="str">
        <f>""</f>
        <v/>
      </c>
      <c r="BW210" t="str">
        <f>""</f>
        <v/>
      </c>
      <c r="BX210" t="str">
        <f>""</f>
        <v/>
      </c>
      <c r="BY210" t="str">
        <f>""</f>
        <v/>
      </c>
      <c r="BZ210" t="str">
        <f>""</f>
        <v/>
      </c>
      <c r="CA210" t="str">
        <f>""</f>
        <v/>
      </c>
      <c r="CB210" t="str">
        <f>""</f>
        <v/>
      </c>
      <c r="CC210" t="str">
        <f>""</f>
        <v/>
      </c>
      <c r="CD210" t="str">
        <f>""</f>
        <v/>
      </c>
      <c r="CE210" t="str">
        <f>""</f>
        <v/>
      </c>
      <c r="CF210" t="str">
        <f>""</f>
        <v/>
      </c>
      <c r="CG210" t="str">
        <f>""</f>
        <v/>
      </c>
      <c r="CH210" t="str">
        <f>""</f>
        <v/>
      </c>
      <c r="CI210" t="str">
        <f>""</f>
        <v/>
      </c>
      <c r="CJ210" t="str">
        <f>""</f>
        <v/>
      </c>
      <c r="CK210" t="str">
        <f>""</f>
        <v/>
      </c>
      <c r="CL210" t="str">
        <f>""</f>
        <v/>
      </c>
      <c r="CM210" t="str">
        <f>""</f>
        <v/>
      </c>
      <c r="CN210" t="str">
        <f>""</f>
        <v/>
      </c>
      <c r="CO210" t="str">
        <f>""</f>
        <v/>
      </c>
      <c r="CP210" t="str">
        <f>""</f>
        <v/>
      </c>
      <c r="CQ210" t="str">
        <f>""</f>
        <v/>
      </c>
      <c r="CR210" t="str">
        <f>""</f>
        <v/>
      </c>
      <c r="CS210" t="str">
        <f>""</f>
        <v/>
      </c>
      <c r="CT210" t="str">
        <f>""</f>
        <v/>
      </c>
      <c r="CU210" t="str">
        <f>""</f>
        <v/>
      </c>
      <c r="CV210" t="str">
        <f>""</f>
        <v/>
      </c>
      <c r="CW210" t="str">
        <f>""</f>
        <v/>
      </c>
      <c r="CX210" t="str">
        <f>""</f>
        <v/>
      </c>
      <c r="CY210" t="str">
        <f>""</f>
        <v/>
      </c>
      <c r="CZ210" t="str">
        <f>""</f>
        <v/>
      </c>
      <c r="DA210" t="str">
        <f>""</f>
        <v/>
      </c>
      <c r="DB210" t="str">
        <f>""</f>
        <v/>
      </c>
      <c r="DC210" t="str">
        <f>""</f>
        <v/>
      </c>
      <c r="DD210" t="str">
        <f>""</f>
        <v/>
      </c>
      <c r="DE210" t="str">
        <f>""</f>
        <v/>
      </c>
      <c r="DF210" t="str">
        <f>""</f>
        <v/>
      </c>
      <c r="DG210" t="str">
        <f>""</f>
        <v/>
      </c>
      <c r="DH210" t="str">
        <f>""</f>
        <v/>
      </c>
      <c r="DI210" t="str">
        <f>""</f>
        <v/>
      </c>
      <c r="DJ210" t="str">
        <f>""</f>
        <v/>
      </c>
      <c r="DK210" t="str">
        <f>""</f>
        <v/>
      </c>
      <c r="DL210" t="str">
        <f>""</f>
        <v/>
      </c>
      <c r="DM210" t="str">
        <f>""</f>
        <v/>
      </c>
      <c r="DN210" t="str">
        <f>""</f>
        <v/>
      </c>
      <c r="DO210" t="str">
        <f>""</f>
        <v/>
      </c>
      <c r="DP210" t="str">
        <f>""</f>
        <v/>
      </c>
      <c r="DQ210" t="str">
        <f>""</f>
        <v/>
      </c>
      <c r="DR210" t="str">
        <f>""</f>
        <v/>
      </c>
      <c r="DS210" t="str">
        <f>""</f>
        <v/>
      </c>
      <c r="DT210" t="str">
        <f>""</f>
        <v/>
      </c>
      <c r="DU210" t="str">
        <f>""</f>
        <v/>
      </c>
    </row>
    <row r="211" spans="1:125" x14ac:dyDescent="0.25">
      <c r="A211" t="str">
        <f>$A$55</f>
        <v xml:space="preserve">                Other Luxury Brands</v>
      </c>
      <c r="B211" t="str">
        <f>$B$55</f>
        <v>KER FP Equity</v>
      </c>
      <c r="C211" t="str">
        <f>$C$55</f>
        <v>BI047</v>
      </c>
      <c r="D211" t="str">
        <f>$D$55</f>
        <v>BICS_SEGMENT_DATA</v>
      </c>
      <c r="E211" t="str">
        <f>$E$55</f>
        <v>Dynamic</v>
      </c>
      <c r="F211" t="str">
        <f ca="1">_xll.BDH($B$55,$C$55,$B$156,$B$157,CONCATENATE("Per=",$B$154),"Dts=H","Dir=H",CONCATENATE("Points=",$B$155),"Sort=R","Days=A","Fill=B","DZ666=129","DZ381=1110101012","DZ665=13689884","DZ667=4","DS276=Y",CONCATENATE("FX=", $B$153) )</f>
        <v/>
      </c>
      <c r="BN211" t="str">
        <f>""</f>
        <v/>
      </c>
      <c r="BO211" t="str">
        <f>""</f>
        <v/>
      </c>
      <c r="BP211" t="str">
        <f>""</f>
        <v/>
      </c>
      <c r="BQ211" t="str">
        <f>""</f>
        <v/>
      </c>
      <c r="BR211" t="str">
        <f>""</f>
        <v/>
      </c>
      <c r="BS211" t="str">
        <f>""</f>
        <v/>
      </c>
      <c r="BT211" t="str">
        <f>""</f>
        <v/>
      </c>
      <c r="BU211" t="str">
        <f>""</f>
        <v/>
      </c>
      <c r="BV211" t="str">
        <f>""</f>
        <v/>
      </c>
      <c r="BW211" t="str">
        <f>""</f>
        <v/>
      </c>
      <c r="BX211" t="str">
        <f>""</f>
        <v/>
      </c>
      <c r="BY211" t="str">
        <f>""</f>
        <v/>
      </c>
      <c r="BZ211" t="str">
        <f>""</f>
        <v/>
      </c>
      <c r="CA211" t="str">
        <f>""</f>
        <v/>
      </c>
      <c r="CB211" t="str">
        <f>""</f>
        <v/>
      </c>
      <c r="CC211" t="str">
        <f>""</f>
        <v/>
      </c>
      <c r="CD211" t="str">
        <f>""</f>
        <v/>
      </c>
      <c r="CE211" t="str">
        <f>""</f>
        <v/>
      </c>
      <c r="CF211" t="str">
        <f>""</f>
        <v/>
      </c>
      <c r="CG211" t="str">
        <f>""</f>
        <v/>
      </c>
      <c r="CH211" t="str">
        <f>""</f>
        <v/>
      </c>
      <c r="CI211" t="str">
        <f>""</f>
        <v/>
      </c>
      <c r="CJ211" t="str">
        <f>""</f>
        <v/>
      </c>
      <c r="CK211" t="str">
        <f>""</f>
        <v/>
      </c>
      <c r="CL211" t="str">
        <f>""</f>
        <v/>
      </c>
      <c r="CM211" t="str">
        <f>""</f>
        <v/>
      </c>
      <c r="CN211" t="str">
        <f>""</f>
        <v/>
      </c>
      <c r="CO211" t="str">
        <f>""</f>
        <v/>
      </c>
      <c r="CP211" t="str">
        <f>""</f>
        <v/>
      </c>
      <c r="CQ211" t="str">
        <f>""</f>
        <v/>
      </c>
      <c r="CR211" t="str">
        <f>""</f>
        <v/>
      </c>
      <c r="CS211" t="str">
        <f>""</f>
        <v/>
      </c>
      <c r="CT211" t="str">
        <f>""</f>
        <v/>
      </c>
      <c r="CU211" t="str">
        <f>""</f>
        <v/>
      </c>
      <c r="CV211" t="str">
        <f>""</f>
        <v/>
      </c>
      <c r="CW211" t="str">
        <f>""</f>
        <v/>
      </c>
      <c r="CX211" t="str">
        <f>""</f>
        <v/>
      </c>
      <c r="CY211" t="str">
        <f>""</f>
        <v/>
      </c>
      <c r="CZ211" t="str">
        <f>""</f>
        <v/>
      </c>
      <c r="DA211" t="str">
        <f>""</f>
        <v/>
      </c>
      <c r="DB211" t="str">
        <f>""</f>
        <v/>
      </c>
      <c r="DC211" t="str">
        <f>""</f>
        <v/>
      </c>
      <c r="DD211" t="str">
        <f>""</f>
        <v/>
      </c>
      <c r="DE211" t="str">
        <f>""</f>
        <v/>
      </c>
      <c r="DF211" t="str">
        <f>""</f>
        <v/>
      </c>
      <c r="DG211" t="str">
        <f>""</f>
        <v/>
      </c>
      <c r="DH211" t="str">
        <f>""</f>
        <v/>
      </c>
      <c r="DI211" t="str">
        <f>""</f>
        <v/>
      </c>
      <c r="DJ211" t="str">
        <f>""</f>
        <v/>
      </c>
      <c r="DK211" t="str">
        <f>""</f>
        <v/>
      </c>
      <c r="DL211" t="str">
        <f>""</f>
        <v/>
      </c>
      <c r="DM211" t="str">
        <f>""</f>
        <v/>
      </c>
      <c r="DN211" t="str">
        <f>""</f>
        <v/>
      </c>
      <c r="DO211" t="str">
        <f>""</f>
        <v/>
      </c>
      <c r="DP211" t="str">
        <f>""</f>
        <v/>
      </c>
      <c r="DQ211" t="str">
        <f>""</f>
        <v/>
      </c>
      <c r="DR211" t="str">
        <f>""</f>
        <v/>
      </c>
      <c r="DS211" t="str">
        <f>""</f>
        <v/>
      </c>
      <c r="DT211" t="str">
        <f>""</f>
        <v/>
      </c>
      <c r="DU211" t="str">
        <f>""</f>
        <v/>
      </c>
    </row>
    <row r="212" spans="1:125" x14ac:dyDescent="0.25">
      <c r="A212" t="str">
        <f>$A$56</f>
        <v xml:space="preserve">                    Retail</v>
      </c>
      <c r="B212" t="str">
        <f>$B$56</f>
        <v>KER FP Equity</v>
      </c>
      <c r="C212" t="str">
        <f>$C$56</f>
        <v>BI047</v>
      </c>
      <c r="D212" t="str">
        <f>$D$56</f>
        <v>BICS_SEGMENT_DATA</v>
      </c>
      <c r="E212" t="str">
        <f>$E$56</f>
        <v>Dynamic</v>
      </c>
      <c r="F212" t="str">
        <f ca="1">_xll.BDH($B$56,$C$56,$B$156,$B$157,CONCATENATE("Per=",$B$154),"Dts=H","Dir=H",CONCATENATE("Points=",$B$155),"Sort=R","Days=A","Fill=B","DZ666=700","DZ381=1110101012","DZ667=35","DS276=Y",CONCATENATE("FX=", $B$153) )</f>
        <v/>
      </c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  <c r="BT212" t="str">
        <f>""</f>
        <v/>
      </c>
      <c r="BU212" t="str">
        <f>""</f>
        <v/>
      </c>
      <c r="BV212" t="str">
        <f>""</f>
        <v/>
      </c>
      <c r="BW212" t="str">
        <f>""</f>
        <v/>
      </c>
      <c r="BX212" t="str">
        <f>""</f>
        <v/>
      </c>
      <c r="BY212" t="str">
        <f>""</f>
        <v/>
      </c>
      <c r="BZ212" t="str">
        <f>""</f>
        <v/>
      </c>
      <c r="CA212" t="str">
        <f>""</f>
        <v/>
      </c>
      <c r="CB212" t="str">
        <f>""</f>
        <v/>
      </c>
      <c r="CC212" t="str">
        <f>""</f>
        <v/>
      </c>
      <c r="CD212" t="str">
        <f>""</f>
        <v/>
      </c>
      <c r="CE212" t="str">
        <f>""</f>
        <v/>
      </c>
      <c r="CF212" t="str">
        <f>""</f>
        <v/>
      </c>
      <c r="CG212" t="str">
        <f>""</f>
        <v/>
      </c>
      <c r="CH212" t="str">
        <f>""</f>
        <v/>
      </c>
      <c r="CI212" t="str">
        <f>""</f>
        <v/>
      </c>
      <c r="CJ212" t="str">
        <f>""</f>
        <v/>
      </c>
      <c r="CK212" t="str">
        <f>""</f>
        <v/>
      </c>
      <c r="CL212" t="str">
        <f>""</f>
        <v/>
      </c>
      <c r="CM212" t="str">
        <f>""</f>
        <v/>
      </c>
      <c r="CN212" t="str">
        <f>""</f>
        <v/>
      </c>
      <c r="CO212" t="str">
        <f>""</f>
        <v/>
      </c>
      <c r="CP212" t="str">
        <f>""</f>
        <v/>
      </c>
      <c r="CQ212" t="str">
        <f>""</f>
        <v/>
      </c>
      <c r="CR212" t="str">
        <f>""</f>
        <v/>
      </c>
      <c r="CS212" t="str">
        <f>""</f>
        <v/>
      </c>
      <c r="CT212" t="str">
        <f>""</f>
        <v/>
      </c>
      <c r="CU212" t="str">
        <f>""</f>
        <v/>
      </c>
      <c r="CV212" t="str">
        <f>""</f>
        <v/>
      </c>
      <c r="CW212" t="str">
        <f>""</f>
        <v/>
      </c>
      <c r="CX212" t="str">
        <f>""</f>
        <v/>
      </c>
      <c r="CY212" t="str">
        <f>""</f>
        <v/>
      </c>
      <c r="CZ212" t="str">
        <f>""</f>
        <v/>
      </c>
      <c r="DA212" t="str">
        <f>""</f>
        <v/>
      </c>
      <c r="DB212" t="str">
        <f>""</f>
        <v/>
      </c>
      <c r="DC212" t="str">
        <f>""</f>
        <v/>
      </c>
      <c r="DD212" t="str">
        <f>""</f>
        <v/>
      </c>
      <c r="DE212" t="str">
        <f>""</f>
        <v/>
      </c>
      <c r="DF212" t="str">
        <f>""</f>
        <v/>
      </c>
      <c r="DG212" t="str">
        <f>""</f>
        <v/>
      </c>
      <c r="DH212" t="str">
        <f>""</f>
        <v/>
      </c>
      <c r="DI212" t="str">
        <f>""</f>
        <v/>
      </c>
      <c r="DJ212" t="str">
        <f>""</f>
        <v/>
      </c>
      <c r="DK212" t="str">
        <f>""</f>
        <v/>
      </c>
      <c r="DL212" t="str">
        <f>""</f>
        <v/>
      </c>
      <c r="DM212" t="str">
        <f>""</f>
        <v/>
      </c>
      <c r="DN212" t="str">
        <f>""</f>
        <v/>
      </c>
      <c r="DO212" t="str">
        <f>""</f>
        <v/>
      </c>
      <c r="DP212" t="str">
        <f>""</f>
        <v/>
      </c>
      <c r="DQ212" t="str">
        <f>""</f>
        <v/>
      </c>
      <c r="DR212" t="str">
        <f>""</f>
        <v/>
      </c>
      <c r="DS212" t="str">
        <f>""</f>
        <v/>
      </c>
      <c r="DT212" t="str">
        <f>""</f>
        <v/>
      </c>
      <c r="DU212" t="str">
        <f>""</f>
        <v/>
      </c>
    </row>
    <row r="213" spans="1:125" x14ac:dyDescent="0.25">
      <c r="A213" t="str">
        <f>$A$57</f>
        <v xml:space="preserve">                    Wholesale</v>
      </c>
      <c r="B213" t="str">
        <f>$B$57</f>
        <v>KER FP Equity</v>
      </c>
      <c r="C213" t="str">
        <f>$C$57</f>
        <v>BI047</v>
      </c>
      <c r="D213" t="str">
        <f>$D$57</f>
        <v>BICS_SEGMENT_DATA</v>
      </c>
      <c r="E213" t="str">
        <f>$E$57</f>
        <v>Dynamic</v>
      </c>
      <c r="F213" t="str">
        <f ca="1">_xll.BDH($B$57,$C$57,$B$156,$B$157,CONCATENATE("Per=",$B$154),"Dts=H","Dir=H",CONCATENATE("Points=",$B$155),"Sort=R","Days=A","Fill=B","DZ666=700","DZ381=1110101012","DZ667=36","DS276=Y",CONCATENATE("FX=", $B$153) )</f>
        <v/>
      </c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  <c r="BT213" t="str">
        <f>""</f>
        <v/>
      </c>
      <c r="BU213" t="str">
        <f>""</f>
        <v/>
      </c>
      <c r="BV213" t="str">
        <f>""</f>
        <v/>
      </c>
      <c r="BW213" t="str">
        <f>""</f>
        <v/>
      </c>
      <c r="BX213" t="str">
        <f>""</f>
        <v/>
      </c>
      <c r="BY213" t="str">
        <f>""</f>
        <v/>
      </c>
      <c r="BZ213" t="str">
        <f>""</f>
        <v/>
      </c>
      <c r="CA213" t="str">
        <f>""</f>
        <v/>
      </c>
      <c r="CB213" t="str">
        <f>""</f>
        <v/>
      </c>
      <c r="CC213" t="str">
        <f>""</f>
        <v/>
      </c>
      <c r="CD213" t="str">
        <f>""</f>
        <v/>
      </c>
      <c r="CE213" t="str">
        <f>""</f>
        <v/>
      </c>
      <c r="CF213" t="str">
        <f>""</f>
        <v/>
      </c>
      <c r="CG213" t="str">
        <f>""</f>
        <v/>
      </c>
      <c r="CH213" t="str">
        <f>""</f>
        <v/>
      </c>
      <c r="CI213" t="str">
        <f>""</f>
        <v/>
      </c>
      <c r="CJ213" t="str">
        <f>""</f>
        <v/>
      </c>
      <c r="CK213" t="str">
        <f>""</f>
        <v/>
      </c>
      <c r="CL213" t="str">
        <f>""</f>
        <v/>
      </c>
      <c r="CM213" t="str">
        <f>""</f>
        <v/>
      </c>
      <c r="CN213" t="str">
        <f>""</f>
        <v/>
      </c>
      <c r="CO213" t="str">
        <f>""</f>
        <v/>
      </c>
      <c r="CP213" t="str">
        <f>""</f>
        <v/>
      </c>
      <c r="CQ213" t="str">
        <f>""</f>
        <v/>
      </c>
      <c r="CR213" t="str">
        <f>""</f>
        <v/>
      </c>
      <c r="CS213" t="str">
        <f>""</f>
        <v/>
      </c>
      <c r="CT213" t="str">
        <f>""</f>
        <v/>
      </c>
      <c r="CU213" t="str">
        <f>""</f>
        <v/>
      </c>
      <c r="CV213" t="str">
        <f>""</f>
        <v/>
      </c>
      <c r="CW213" t="str">
        <f>""</f>
        <v/>
      </c>
      <c r="CX213" t="str">
        <f>""</f>
        <v/>
      </c>
      <c r="CY213" t="str">
        <f>""</f>
        <v/>
      </c>
      <c r="CZ213" t="str">
        <f>""</f>
        <v/>
      </c>
      <c r="DA213" t="str">
        <f>""</f>
        <v/>
      </c>
      <c r="DB213" t="str">
        <f>""</f>
        <v/>
      </c>
      <c r="DC213" t="str">
        <f>""</f>
        <v/>
      </c>
      <c r="DD213" t="str">
        <f>""</f>
        <v/>
      </c>
      <c r="DE213" t="str">
        <f>""</f>
        <v/>
      </c>
      <c r="DF213" t="str">
        <f>""</f>
        <v/>
      </c>
      <c r="DG213" t="str">
        <f>""</f>
        <v/>
      </c>
      <c r="DH213" t="str">
        <f>""</f>
        <v/>
      </c>
      <c r="DI213" t="str">
        <f>""</f>
        <v/>
      </c>
      <c r="DJ213" t="str">
        <f>""</f>
        <v/>
      </c>
      <c r="DK213" t="str">
        <f>""</f>
        <v/>
      </c>
      <c r="DL213" t="str">
        <f>""</f>
        <v/>
      </c>
      <c r="DM213" t="str">
        <f>""</f>
        <v/>
      </c>
      <c r="DN213" t="str">
        <f>""</f>
        <v/>
      </c>
      <c r="DO213" t="str">
        <f>""</f>
        <v/>
      </c>
      <c r="DP213" t="str">
        <f>""</f>
        <v/>
      </c>
      <c r="DQ213" t="str">
        <f>""</f>
        <v/>
      </c>
      <c r="DR213" t="str">
        <f>""</f>
        <v/>
      </c>
      <c r="DS213" t="str">
        <f>""</f>
        <v/>
      </c>
      <c r="DT213" t="str">
        <f>""</f>
        <v/>
      </c>
      <c r="DU213" t="str">
        <f>""</f>
        <v/>
      </c>
    </row>
    <row r="214" spans="1:125" x14ac:dyDescent="0.25">
      <c r="A214" t="str">
        <f>$A$58</f>
        <v xml:space="preserve">                    Royalties and Others</v>
      </c>
      <c r="B214" t="str">
        <f>$B$58</f>
        <v>KER FP Equity</v>
      </c>
      <c r="C214" t="str">
        <f>$C$58</f>
        <v>BI047</v>
      </c>
      <c r="D214" t="str">
        <f>$D$58</f>
        <v>BICS_SEGMENT_DATA</v>
      </c>
      <c r="E214" t="str">
        <f>$E$58</f>
        <v>Dynamic</v>
      </c>
      <c r="F214" t="str">
        <f ca="1">_xll.BDH($B$58,$C$58,$B$156,$B$157,CONCATENATE("Per=",$B$154),"Dts=H","Dir=H",CONCATENATE("Points=",$B$155),"Sort=R","Days=A","Fill=B","DZ666=700","DZ381=1110101012","DZ667=37","DS276=Y",CONCATENATE("FX=", $B$153) )</f>
        <v/>
      </c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  <c r="BT214" t="str">
        <f>""</f>
        <v/>
      </c>
      <c r="BU214" t="str">
        <f>""</f>
        <v/>
      </c>
      <c r="BV214" t="str">
        <f>""</f>
        <v/>
      </c>
      <c r="BW214" t="str">
        <f>""</f>
        <v/>
      </c>
      <c r="BX214" t="str">
        <f>""</f>
        <v/>
      </c>
      <c r="BY214" t="str">
        <f>""</f>
        <v/>
      </c>
      <c r="BZ214" t="str">
        <f>""</f>
        <v/>
      </c>
      <c r="CA214" t="str">
        <f>""</f>
        <v/>
      </c>
      <c r="CB214" t="str">
        <f>""</f>
        <v/>
      </c>
      <c r="CC214" t="str">
        <f>""</f>
        <v/>
      </c>
      <c r="CD214" t="str">
        <f>""</f>
        <v/>
      </c>
      <c r="CE214" t="str">
        <f>""</f>
        <v/>
      </c>
      <c r="CF214" t="str">
        <f>""</f>
        <v/>
      </c>
      <c r="CG214" t="str">
        <f>""</f>
        <v/>
      </c>
      <c r="CH214" t="str">
        <f>""</f>
        <v/>
      </c>
      <c r="CI214" t="str">
        <f>""</f>
        <v/>
      </c>
      <c r="CJ214" t="str">
        <f>""</f>
        <v/>
      </c>
      <c r="CK214" t="str">
        <f>""</f>
        <v/>
      </c>
      <c r="CL214" t="str">
        <f>""</f>
        <v/>
      </c>
      <c r="CM214" t="str">
        <f>""</f>
        <v/>
      </c>
      <c r="CN214" t="str">
        <f>""</f>
        <v/>
      </c>
      <c r="CO214" t="str">
        <f>""</f>
        <v/>
      </c>
      <c r="CP214" t="str">
        <f>""</f>
        <v/>
      </c>
      <c r="CQ214" t="str">
        <f>""</f>
        <v/>
      </c>
      <c r="CR214" t="str">
        <f>""</f>
        <v/>
      </c>
      <c r="CS214" t="str">
        <f>""</f>
        <v/>
      </c>
      <c r="CT214" t="str">
        <f>""</f>
        <v/>
      </c>
      <c r="CU214" t="str">
        <f>""</f>
        <v/>
      </c>
      <c r="CV214" t="str">
        <f>""</f>
        <v/>
      </c>
      <c r="CW214" t="str">
        <f>""</f>
        <v/>
      </c>
      <c r="CX214" t="str">
        <f>""</f>
        <v/>
      </c>
      <c r="CY214" t="str">
        <f>""</f>
        <v/>
      </c>
      <c r="CZ214" t="str">
        <f>""</f>
        <v/>
      </c>
      <c r="DA214" t="str">
        <f>""</f>
        <v/>
      </c>
      <c r="DB214" t="str">
        <f>""</f>
        <v/>
      </c>
      <c r="DC214" t="str">
        <f>""</f>
        <v/>
      </c>
      <c r="DD214" t="str">
        <f>""</f>
        <v/>
      </c>
      <c r="DE214" t="str">
        <f>""</f>
        <v/>
      </c>
      <c r="DF214" t="str">
        <f>""</f>
        <v/>
      </c>
      <c r="DG214" t="str">
        <f>""</f>
        <v/>
      </c>
      <c r="DH214" t="str">
        <f>""</f>
        <v/>
      </c>
      <c r="DI214" t="str">
        <f>""</f>
        <v/>
      </c>
      <c r="DJ214" t="str">
        <f>""</f>
        <v/>
      </c>
      <c r="DK214" t="str">
        <f>""</f>
        <v/>
      </c>
      <c r="DL214" t="str">
        <f>""</f>
        <v/>
      </c>
      <c r="DM214" t="str">
        <f>""</f>
        <v/>
      </c>
      <c r="DN214" t="str">
        <f>""</f>
        <v/>
      </c>
      <c r="DO214" t="str">
        <f>""</f>
        <v/>
      </c>
      <c r="DP214" t="str">
        <f>""</f>
        <v/>
      </c>
      <c r="DQ214" t="str">
        <f>""</f>
        <v/>
      </c>
      <c r="DR214" t="str">
        <f>""</f>
        <v/>
      </c>
      <c r="DS214" t="str">
        <f>""</f>
        <v/>
      </c>
      <c r="DT214" t="str">
        <f>""</f>
        <v/>
      </c>
      <c r="DU214" t="str">
        <f>""</f>
        <v/>
      </c>
    </row>
    <row r="215" spans="1:125" x14ac:dyDescent="0.25">
      <c r="A215" t="str">
        <f>$A$60</f>
        <v xml:space="preserve">        Organic Growth (%)</v>
      </c>
      <c r="B215" t="str">
        <f>$B$60</f>
        <v>KER FP Equity</v>
      </c>
      <c r="C215" t="str">
        <f>$C$60</f>
        <v>IS950</v>
      </c>
      <c r="D215" t="str">
        <f>$D$60</f>
        <v>IS_ORGANIC_GROWTH_RATE</v>
      </c>
      <c r="E215" t="str">
        <f>$E$60</f>
        <v>Dynamic</v>
      </c>
      <c r="F215" t="str">
        <f ca="1">_xll.BDH($B$60,$C$60,$B$156,$B$157,CONCATENATE("Per=",$B$154),"Dts=H","Dir=H",CONCATENATE("Points=",$B$155),"Sort=R","Days=A","Fill=B",CONCATENATE("FX=", $B$153) )</f>
        <v/>
      </c>
      <c r="BN215" t="str">
        <f>""</f>
        <v/>
      </c>
      <c r="BO215" t="str">
        <f>""</f>
        <v/>
      </c>
      <c r="BP215" t="str">
        <f>""</f>
        <v/>
      </c>
      <c r="BQ215" t="str">
        <f>""</f>
        <v/>
      </c>
      <c r="BR215" t="str">
        <f>""</f>
        <v/>
      </c>
      <c r="BS215" t="str">
        <f>""</f>
        <v/>
      </c>
      <c r="BT215" t="str">
        <f>""</f>
        <v/>
      </c>
      <c r="BU215" t="str">
        <f>""</f>
        <v/>
      </c>
      <c r="BV215" t="str">
        <f>""</f>
        <v/>
      </c>
      <c r="BW215" t="str">
        <f>""</f>
        <v/>
      </c>
      <c r="BX215" t="str">
        <f>""</f>
        <v/>
      </c>
      <c r="BY215" t="str">
        <f>""</f>
        <v/>
      </c>
      <c r="BZ215" t="str">
        <f>""</f>
        <v/>
      </c>
      <c r="CA215" t="str">
        <f>""</f>
        <v/>
      </c>
      <c r="CB215" t="str">
        <f>""</f>
        <v/>
      </c>
      <c r="CC215" t="str">
        <f>""</f>
        <v/>
      </c>
      <c r="CD215" t="str">
        <f>""</f>
        <v/>
      </c>
      <c r="CE215" t="str">
        <f>""</f>
        <v/>
      </c>
      <c r="CF215" t="str">
        <f>""</f>
        <v/>
      </c>
      <c r="CG215" t="str">
        <f>""</f>
        <v/>
      </c>
      <c r="CH215" t="str">
        <f>""</f>
        <v/>
      </c>
      <c r="CI215" t="str">
        <f>""</f>
        <v/>
      </c>
      <c r="CJ215" t="str">
        <f>""</f>
        <v/>
      </c>
      <c r="CK215" t="str">
        <f>""</f>
        <v/>
      </c>
      <c r="CL215" t="str">
        <f>""</f>
        <v/>
      </c>
      <c r="CM215" t="str">
        <f>""</f>
        <v/>
      </c>
      <c r="CN215" t="str">
        <f>""</f>
        <v/>
      </c>
      <c r="CO215" t="str">
        <f>""</f>
        <v/>
      </c>
      <c r="CP215" t="str">
        <f>""</f>
        <v/>
      </c>
      <c r="CQ215" t="str">
        <f>""</f>
        <v/>
      </c>
      <c r="CR215" t="str">
        <f>""</f>
        <v/>
      </c>
      <c r="CS215" t="str">
        <f>""</f>
        <v/>
      </c>
      <c r="CT215" t="str">
        <f>""</f>
        <v/>
      </c>
      <c r="CU215" t="str">
        <f>""</f>
        <v/>
      </c>
      <c r="CV215" t="str">
        <f>""</f>
        <v/>
      </c>
      <c r="CW215" t="str">
        <f>""</f>
        <v/>
      </c>
      <c r="CX215" t="str">
        <f>""</f>
        <v/>
      </c>
      <c r="CY215" t="str">
        <f>""</f>
        <v/>
      </c>
      <c r="CZ215" t="str">
        <f>""</f>
        <v/>
      </c>
      <c r="DA215" t="str">
        <f>""</f>
        <v/>
      </c>
      <c r="DB215" t="str">
        <f>""</f>
        <v/>
      </c>
      <c r="DC215" t="str">
        <f>""</f>
        <v/>
      </c>
      <c r="DD215" t="str">
        <f>""</f>
        <v/>
      </c>
      <c r="DE215" t="str">
        <f>""</f>
        <v/>
      </c>
      <c r="DF215" t="str">
        <f>""</f>
        <v/>
      </c>
      <c r="DG215" t="str">
        <f>""</f>
        <v/>
      </c>
      <c r="DH215" t="str">
        <f>""</f>
        <v/>
      </c>
      <c r="DI215" t="str">
        <f>""</f>
        <v/>
      </c>
      <c r="DJ215" t="str">
        <f>""</f>
        <v/>
      </c>
      <c r="DK215" t="str">
        <f>""</f>
        <v/>
      </c>
      <c r="DL215" t="str">
        <f>""</f>
        <v/>
      </c>
      <c r="DM215" t="str">
        <f>""</f>
        <v/>
      </c>
      <c r="DN215" t="str">
        <f>""</f>
        <v/>
      </c>
      <c r="DO215" t="str">
        <f>""</f>
        <v/>
      </c>
      <c r="DP215" t="str">
        <f>""</f>
        <v/>
      </c>
      <c r="DQ215" t="str">
        <f>""</f>
        <v/>
      </c>
      <c r="DR215" t="str">
        <f>""</f>
        <v/>
      </c>
      <c r="DS215" t="str">
        <f>""</f>
        <v/>
      </c>
      <c r="DT215" t="str">
        <f>""</f>
        <v/>
      </c>
      <c r="DU215" t="str">
        <f>""</f>
        <v/>
      </c>
    </row>
    <row r="216" spans="1:125" x14ac:dyDescent="0.25">
      <c r="A216" t="str">
        <f>$A$61</f>
        <v xml:space="preserve">            Luxury Division</v>
      </c>
      <c r="B216" t="str">
        <f>$B$61</f>
        <v>KER FP Equity</v>
      </c>
      <c r="C216" t="str">
        <f>$C$61</f>
        <v>BI047</v>
      </c>
      <c r="D216" t="str">
        <f>$D$61</f>
        <v>BICS_SEGMENT_DATA</v>
      </c>
      <c r="E216" t="str">
        <f>$E$61</f>
        <v>Dynamic</v>
      </c>
      <c r="F216" t="str">
        <f ca="1">_xll.BDH($B$61,$C$61,$B$156,$B$157,CONCATENATE("Per=",$B$154),"Dts=H","Dir=H",CONCATENATE("Points=",$B$155),"Sort=R","Days=A","Fill=B","DZ666=701","DZ381=1110101012","DZ667=1","DS276=Y",CONCATENATE("FX=", $B$153) )</f>
        <v/>
      </c>
      <c r="BN216" t="str">
        <f>""</f>
        <v/>
      </c>
      <c r="BO216" t="str">
        <f>""</f>
        <v/>
      </c>
      <c r="BP216" t="str">
        <f>""</f>
        <v/>
      </c>
      <c r="BQ216" t="str">
        <f>""</f>
        <v/>
      </c>
      <c r="BR216" t="str">
        <f>""</f>
        <v/>
      </c>
      <c r="BS216" t="str">
        <f>""</f>
        <v/>
      </c>
      <c r="BT216" t="str">
        <f>""</f>
        <v/>
      </c>
      <c r="BU216" t="str">
        <f>""</f>
        <v/>
      </c>
      <c r="BV216" t="str">
        <f>""</f>
        <v/>
      </c>
      <c r="BW216" t="str">
        <f>""</f>
        <v/>
      </c>
      <c r="BX216" t="str">
        <f>""</f>
        <v/>
      </c>
      <c r="BY216" t="str">
        <f>""</f>
        <v/>
      </c>
      <c r="BZ216" t="str">
        <f>""</f>
        <v/>
      </c>
      <c r="CA216" t="str">
        <f>""</f>
        <v/>
      </c>
      <c r="CB216" t="str">
        <f>""</f>
        <v/>
      </c>
      <c r="CC216" t="str">
        <f>""</f>
        <v/>
      </c>
      <c r="CD216" t="str">
        <f>""</f>
        <v/>
      </c>
      <c r="CE216" t="str">
        <f>""</f>
        <v/>
      </c>
      <c r="CF216" t="str">
        <f>""</f>
        <v/>
      </c>
      <c r="CG216" t="str">
        <f>""</f>
        <v/>
      </c>
      <c r="CH216" t="str">
        <f>""</f>
        <v/>
      </c>
      <c r="CI216" t="str">
        <f>""</f>
        <v/>
      </c>
      <c r="CJ216" t="str">
        <f>""</f>
        <v/>
      </c>
      <c r="CK216" t="str">
        <f>""</f>
        <v/>
      </c>
      <c r="CL216" t="str">
        <f>""</f>
        <v/>
      </c>
      <c r="CM216" t="str">
        <f>""</f>
        <v/>
      </c>
      <c r="CN216" t="str">
        <f>""</f>
        <v/>
      </c>
      <c r="CO216" t="str">
        <f>""</f>
        <v/>
      </c>
      <c r="CP216" t="str">
        <f>""</f>
        <v/>
      </c>
      <c r="CQ216" t="str">
        <f>""</f>
        <v/>
      </c>
      <c r="CR216" t="str">
        <f>""</f>
        <v/>
      </c>
      <c r="CS216" t="str">
        <f>""</f>
        <v/>
      </c>
      <c r="CT216" t="str">
        <f>""</f>
        <v/>
      </c>
      <c r="CU216" t="str">
        <f>""</f>
        <v/>
      </c>
      <c r="CV216" t="str">
        <f>""</f>
        <v/>
      </c>
      <c r="CW216" t="str">
        <f>""</f>
        <v/>
      </c>
      <c r="CX216" t="str">
        <f>""</f>
        <v/>
      </c>
      <c r="CY216" t="str">
        <f>""</f>
        <v/>
      </c>
      <c r="CZ216" t="str">
        <f>""</f>
        <v/>
      </c>
      <c r="DA216" t="str">
        <f>""</f>
        <v/>
      </c>
      <c r="DB216" t="str">
        <f>""</f>
        <v/>
      </c>
      <c r="DC216" t="str">
        <f>""</f>
        <v/>
      </c>
      <c r="DD216" t="str">
        <f>""</f>
        <v/>
      </c>
      <c r="DE216" t="str">
        <f>""</f>
        <v/>
      </c>
      <c r="DF216" t="str">
        <f>""</f>
        <v/>
      </c>
      <c r="DG216" t="str">
        <f>""</f>
        <v/>
      </c>
      <c r="DH216" t="str">
        <f>""</f>
        <v/>
      </c>
      <c r="DI216" t="str">
        <f>""</f>
        <v/>
      </c>
      <c r="DJ216" t="str">
        <f>""</f>
        <v/>
      </c>
      <c r="DK216" t="str">
        <f>""</f>
        <v/>
      </c>
      <c r="DL216" t="str">
        <f>""</f>
        <v/>
      </c>
      <c r="DM216" t="str">
        <f>""</f>
        <v/>
      </c>
      <c r="DN216" t="str">
        <f>""</f>
        <v/>
      </c>
      <c r="DO216" t="str">
        <f>""</f>
        <v/>
      </c>
      <c r="DP216" t="str">
        <f>""</f>
        <v/>
      </c>
      <c r="DQ216" t="str">
        <f>""</f>
        <v/>
      </c>
      <c r="DR216" t="str">
        <f>""</f>
        <v/>
      </c>
      <c r="DS216" t="str">
        <f>""</f>
        <v/>
      </c>
      <c r="DT216" t="str">
        <f>""</f>
        <v/>
      </c>
      <c r="DU216" t="str">
        <f>""</f>
        <v/>
      </c>
    </row>
    <row r="217" spans="1:125" x14ac:dyDescent="0.25">
      <c r="A217" t="str">
        <f>$A$62</f>
        <v xml:space="preserve">                Retail - Regional Breakdown</v>
      </c>
      <c r="B217" t="str">
        <f>$B$62</f>
        <v>KER FP Equity</v>
      </c>
      <c r="C217" t="str">
        <f>$C$62</f>
        <v>BI047</v>
      </c>
      <c r="D217" t="str">
        <f>$D$62</f>
        <v>BICS_SEGMENT_DATA</v>
      </c>
      <c r="E217" t="str">
        <f>$E$62</f>
        <v>Dynamic</v>
      </c>
      <c r="F217" t="str">
        <f ca="1">_xll.BDH($B$62,$C$62,$B$156,$B$157,CONCATENATE("Per=",$B$154),"Dts=H","Dir=H",CONCATENATE("Points=",$B$155),"Sort=R","Days=A","Fill=B","DZ666=701","DZ381=1110101012","DZ667=2","DS276=Y",CONCATENATE("FX=", $B$153) )</f>
        <v/>
      </c>
      <c r="BN217" t="str">
        <f>""</f>
        <v/>
      </c>
      <c r="BO217" t="str">
        <f>""</f>
        <v/>
      </c>
      <c r="BP217" t="str">
        <f>""</f>
        <v/>
      </c>
      <c r="BQ217" t="str">
        <f>""</f>
        <v/>
      </c>
      <c r="BR217" t="str">
        <f>""</f>
        <v/>
      </c>
      <c r="BS217" t="str">
        <f>""</f>
        <v/>
      </c>
      <c r="BT217" t="str">
        <f>""</f>
        <v/>
      </c>
      <c r="BU217" t="str">
        <f>""</f>
        <v/>
      </c>
      <c r="BV217" t="str">
        <f>""</f>
        <v/>
      </c>
      <c r="BW217" t="str">
        <f>""</f>
        <v/>
      </c>
      <c r="BX217" t="str">
        <f>""</f>
        <v/>
      </c>
      <c r="BY217" t="str">
        <f>""</f>
        <v/>
      </c>
      <c r="BZ217" t="str">
        <f>""</f>
        <v/>
      </c>
      <c r="CA217" t="str">
        <f>""</f>
        <v/>
      </c>
      <c r="CB217" t="str">
        <f>""</f>
        <v/>
      </c>
      <c r="CC217" t="str">
        <f>""</f>
        <v/>
      </c>
      <c r="CD217" t="str">
        <f>""</f>
        <v/>
      </c>
      <c r="CE217" t="str">
        <f>""</f>
        <v/>
      </c>
      <c r="CF217" t="str">
        <f>""</f>
        <v/>
      </c>
      <c r="CG217" t="str">
        <f>""</f>
        <v/>
      </c>
      <c r="CH217" t="str">
        <f>""</f>
        <v/>
      </c>
      <c r="CI217" t="str">
        <f>""</f>
        <v/>
      </c>
      <c r="CJ217" t="str">
        <f>""</f>
        <v/>
      </c>
      <c r="CK217" t="str">
        <f>""</f>
        <v/>
      </c>
      <c r="CL217" t="str">
        <f>""</f>
        <v/>
      </c>
      <c r="CM217" t="str">
        <f>""</f>
        <v/>
      </c>
      <c r="CN217" t="str">
        <f>""</f>
        <v/>
      </c>
      <c r="CO217" t="str">
        <f>""</f>
        <v/>
      </c>
      <c r="CP217" t="str">
        <f>""</f>
        <v/>
      </c>
      <c r="CQ217" t="str">
        <f>""</f>
        <v/>
      </c>
      <c r="CR217" t="str">
        <f>""</f>
        <v/>
      </c>
      <c r="CS217" t="str">
        <f>""</f>
        <v/>
      </c>
      <c r="CT217" t="str">
        <f>""</f>
        <v/>
      </c>
      <c r="CU217" t="str">
        <f>""</f>
        <v/>
      </c>
      <c r="CV217" t="str">
        <f>""</f>
        <v/>
      </c>
      <c r="CW217" t="str">
        <f>""</f>
        <v/>
      </c>
      <c r="CX217" t="str">
        <f>""</f>
        <v/>
      </c>
      <c r="CY217" t="str">
        <f>""</f>
        <v/>
      </c>
      <c r="CZ217" t="str">
        <f>""</f>
        <v/>
      </c>
      <c r="DA217" t="str">
        <f>""</f>
        <v/>
      </c>
      <c r="DB217" t="str">
        <f>""</f>
        <v/>
      </c>
      <c r="DC217" t="str">
        <f>""</f>
        <v/>
      </c>
      <c r="DD217" t="str">
        <f>""</f>
        <v/>
      </c>
      <c r="DE217" t="str">
        <f>""</f>
        <v/>
      </c>
      <c r="DF217" t="str">
        <f>""</f>
        <v/>
      </c>
      <c r="DG217" t="str">
        <f>""</f>
        <v/>
      </c>
      <c r="DH217" t="str">
        <f>""</f>
        <v/>
      </c>
      <c r="DI217" t="str">
        <f>""</f>
        <v/>
      </c>
      <c r="DJ217" t="str">
        <f>""</f>
        <v/>
      </c>
      <c r="DK217" t="str">
        <f>""</f>
        <v/>
      </c>
      <c r="DL217" t="str">
        <f>""</f>
        <v/>
      </c>
      <c r="DM217" t="str">
        <f>""</f>
        <v/>
      </c>
      <c r="DN217" t="str">
        <f>""</f>
        <v/>
      </c>
      <c r="DO217" t="str">
        <f>""</f>
        <v/>
      </c>
      <c r="DP217" t="str">
        <f>""</f>
        <v/>
      </c>
      <c r="DQ217" t="str">
        <f>""</f>
        <v/>
      </c>
      <c r="DR217" t="str">
        <f>""</f>
        <v/>
      </c>
      <c r="DS217" t="str">
        <f>""</f>
        <v/>
      </c>
      <c r="DT217" t="str">
        <f>""</f>
        <v/>
      </c>
      <c r="DU217" t="str">
        <f>""</f>
        <v/>
      </c>
    </row>
    <row r="218" spans="1:125" x14ac:dyDescent="0.25">
      <c r="A218" t="str">
        <f>$A$63</f>
        <v xml:space="preserve">                    Asia Pacific (excl. Japan)</v>
      </c>
      <c r="B218" t="str">
        <f>$B$63</f>
        <v>KER FP Equity</v>
      </c>
      <c r="C218" t="str">
        <f>$C$63</f>
        <v>BI047</v>
      </c>
      <c r="D218" t="str">
        <f>$D$63</f>
        <v>BICS_SEGMENT_DATA</v>
      </c>
      <c r="E218" t="str">
        <f>$E$63</f>
        <v>Dynamic</v>
      </c>
      <c r="F218" t="str">
        <f ca="1">_xll.BDH($B$63,$C$63,$B$156,$B$157,CONCATENATE("Per=",$B$154),"Dts=H","Dir=H",CONCATENATE("Points=",$B$155),"Sort=R","Days=A","Fill=B","DZ666=701","X0001=AS09","DZ667=49","DS276=Y",CONCATENATE("FX=", $B$153) )</f>
        <v/>
      </c>
      <c r="BN218" t="str">
        <f>""</f>
        <v/>
      </c>
      <c r="BO218" t="str">
        <f>""</f>
        <v/>
      </c>
      <c r="BP218" t="str">
        <f>""</f>
        <v/>
      </c>
      <c r="BQ218" t="str">
        <f>""</f>
        <v/>
      </c>
      <c r="BR218" t="str">
        <f>""</f>
        <v/>
      </c>
      <c r="BS218" t="str">
        <f>""</f>
        <v/>
      </c>
      <c r="BT218" t="str">
        <f>""</f>
        <v/>
      </c>
      <c r="BU218" t="str">
        <f>""</f>
        <v/>
      </c>
      <c r="BV218" t="str">
        <f>""</f>
        <v/>
      </c>
      <c r="BW218" t="str">
        <f>""</f>
        <v/>
      </c>
      <c r="BX218" t="str">
        <f>""</f>
        <v/>
      </c>
      <c r="BY218" t="str">
        <f>""</f>
        <v/>
      </c>
      <c r="BZ218" t="str">
        <f>""</f>
        <v/>
      </c>
      <c r="CA218" t="str">
        <f>""</f>
        <v/>
      </c>
      <c r="CB218" t="str">
        <f>""</f>
        <v/>
      </c>
      <c r="CC218" t="str">
        <f>""</f>
        <v/>
      </c>
      <c r="CD218" t="str">
        <f>""</f>
        <v/>
      </c>
      <c r="CE218" t="str">
        <f>""</f>
        <v/>
      </c>
      <c r="CF218" t="str">
        <f>""</f>
        <v/>
      </c>
      <c r="CG218" t="str">
        <f>""</f>
        <v/>
      </c>
      <c r="CH218" t="str">
        <f>""</f>
        <v/>
      </c>
      <c r="CI218" t="str">
        <f>""</f>
        <v/>
      </c>
      <c r="CJ218" t="str">
        <f>""</f>
        <v/>
      </c>
      <c r="CK218" t="str">
        <f>""</f>
        <v/>
      </c>
      <c r="CL218" t="str">
        <f>""</f>
        <v/>
      </c>
      <c r="CM218" t="str">
        <f>""</f>
        <v/>
      </c>
      <c r="CN218" t="str">
        <f>""</f>
        <v/>
      </c>
      <c r="CO218" t="str">
        <f>""</f>
        <v/>
      </c>
      <c r="CP218" t="str">
        <f>""</f>
        <v/>
      </c>
      <c r="CQ218" t="str">
        <f>""</f>
        <v/>
      </c>
      <c r="CR218" t="str">
        <f>""</f>
        <v/>
      </c>
      <c r="CS218" t="str">
        <f>""</f>
        <v/>
      </c>
      <c r="CT218" t="str">
        <f>""</f>
        <v/>
      </c>
      <c r="CU218" t="str">
        <f>""</f>
        <v/>
      </c>
      <c r="CV218" t="str">
        <f>""</f>
        <v/>
      </c>
      <c r="CW218" t="str">
        <f>""</f>
        <v/>
      </c>
      <c r="CX218" t="str">
        <f>""</f>
        <v/>
      </c>
      <c r="CY218" t="str">
        <f>""</f>
        <v/>
      </c>
      <c r="CZ218" t="str">
        <f>""</f>
        <v/>
      </c>
      <c r="DA218" t="str">
        <f>""</f>
        <v/>
      </c>
      <c r="DB218" t="str">
        <f>""</f>
        <v/>
      </c>
      <c r="DC218" t="str">
        <f>""</f>
        <v/>
      </c>
      <c r="DD218" t="str">
        <f>""</f>
        <v/>
      </c>
      <c r="DE218" t="str">
        <f>""</f>
        <v/>
      </c>
      <c r="DF218" t="str">
        <f>""</f>
        <v/>
      </c>
      <c r="DG218" t="str">
        <f>""</f>
        <v/>
      </c>
      <c r="DH218" t="str">
        <f>""</f>
        <v/>
      </c>
      <c r="DI218" t="str">
        <f>""</f>
        <v/>
      </c>
      <c r="DJ218" t="str">
        <f>""</f>
        <v/>
      </c>
      <c r="DK218" t="str">
        <f>""</f>
        <v/>
      </c>
      <c r="DL218" t="str">
        <f>""</f>
        <v/>
      </c>
      <c r="DM218" t="str">
        <f>""</f>
        <v/>
      </c>
      <c r="DN218" t="str">
        <f>""</f>
        <v/>
      </c>
      <c r="DO218" t="str">
        <f>""</f>
        <v/>
      </c>
      <c r="DP218" t="str">
        <f>""</f>
        <v/>
      </c>
      <c r="DQ218" t="str">
        <f>""</f>
        <v/>
      </c>
      <c r="DR218" t="str">
        <f>""</f>
        <v/>
      </c>
      <c r="DS218" t="str">
        <f>""</f>
        <v/>
      </c>
      <c r="DT218" t="str">
        <f>""</f>
        <v/>
      </c>
      <c r="DU218" t="str">
        <f>""</f>
        <v/>
      </c>
    </row>
    <row r="219" spans="1:125" x14ac:dyDescent="0.25">
      <c r="A219" t="str">
        <f>$A$64</f>
        <v xml:space="preserve">                    Japan</v>
      </c>
      <c r="B219" t="str">
        <f>$B$64</f>
        <v>KER FP Equity</v>
      </c>
      <c r="C219" t="str">
        <f>$C$64</f>
        <v>BI047</v>
      </c>
      <c r="D219" t="str">
        <f>$D$64</f>
        <v>BICS_SEGMENT_DATA</v>
      </c>
      <c r="E219" t="str">
        <f>$E$64</f>
        <v>Dynamic</v>
      </c>
      <c r="F219" t="str">
        <f ca="1">_xll.BDH($B$64,$C$64,$B$156,$B$157,CONCATENATE("Per=",$B$154),"Dts=H","Dir=H",CONCATENATE("Points=",$B$155),"Sort=R","Days=A","Fill=B","DZ666=701","X0001=ASJP","DZ667=1","DS276=Y",CONCATENATE("FX=", $B$153) )</f>
        <v/>
      </c>
      <c r="BN219" t="str">
        <f>""</f>
        <v/>
      </c>
      <c r="BO219" t="str">
        <f>""</f>
        <v/>
      </c>
      <c r="BP219" t="str">
        <f>""</f>
        <v/>
      </c>
      <c r="BQ219" t="str">
        <f>""</f>
        <v/>
      </c>
      <c r="BR219" t="str">
        <f>""</f>
        <v/>
      </c>
      <c r="BS219" t="str">
        <f>""</f>
        <v/>
      </c>
      <c r="BT219" t="str">
        <f>""</f>
        <v/>
      </c>
      <c r="BU219" t="str">
        <f>""</f>
        <v/>
      </c>
      <c r="BV219" t="str">
        <f>""</f>
        <v/>
      </c>
      <c r="BW219" t="str">
        <f>""</f>
        <v/>
      </c>
      <c r="BX219" t="str">
        <f>""</f>
        <v/>
      </c>
      <c r="BY219" t="str">
        <f>""</f>
        <v/>
      </c>
      <c r="BZ219" t="str">
        <f>""</f>
        <v/>
      </c>
      <c r="CA219" t="str">
        <f>""</f>
        <v/>
      </c>
      <c r="CB219" t="str">
        <f>""</f>
        <v/>
      </c>
      <c r="CC219" t="str">
        <f>""</f>
        <v/>
      </c>
      <c r="CD219" t="str">
        <f>""</f>
        <v/>
      </c>
      <c r="CE219" t="str">
        <f>""</f>
        <v/>
      </c>
      <c r="CF219" t="str">
        <f>""</f>
        <v/>
      </c>
      <c r="CG219" t="str">
        <f>""</f>
        <v/>
      </c>
      <c r="CH219" t="str">
        <f>""</f>
        <v/>
      </c>
      <c r="CI219" t="str">
        <f>""</f>
        <v/>
      </c>
      <c r="CJ219" t="str">
        <f>""</f>
        <v/>
      </c>
      <c r="CK219" t="str">
        <f>""</f>
        <v/>
      </c>
      <c r="CL219" t="str">
        <f>""</f>
        <v/>
      </c>
      <c r="CM219" t="str">
        <f>""</f>
        <v/>
      </c>
      <c r="CN219" t="str">
        <f>""</f>
        <v/>
      </c>
      <c r="CO219" t="str">
        <f>""</f>
        <v/>
      </c>
      <c r="CP219" t="str">
        <f>""</f>
        <v/>
      </c>
      <c r="CQ219" t="str">
        <f>""</f>
        <v/>
      </c>
      <c r="CR219" t="str">
        <f>""</f>
        <v/>
      </c>
      <c r="CS219" t="str">
        <f>""</f>
        <v/>
      </c>
      <c r="CT219" t="str">
        <f>""</f>
        <v/>
      </c>
      <c r="CU219" t="str">
        <f>""</f>
        <v/>
      </c>
      <c r="CV219" t="str">
        <f>""</f>
        <v/>
      </c>
      <c r="CW219" t="str">
        <f>""</f>
        <v/>
      </c>
      <c r="CX219" t="str">
        <f>""</f>
        <v/>
      </c>
      <c r="CY219" t="str">
        <f>""</f>
        <v/>
      </c>
      <c r="CZ219" t="str">
        <f>""</f>
        <v/>
      </c>
      <c r="DA219" t="str">
        <f>""</f>
        <v/>
      </c>
      <c r="DB219" t="str">
        <f>""</f>
        <v/>
      </c>
      <c r="DC219" t="str">
        <f>""</f>
        <v/>
      </c>
      <c r="DD219" t="str">
        <f>""</f>
        <v/>
      </c>
      <c r="DE219" t="str">
        <f>""</f>
        <v/>
      </c>
      <c r="DF219" t="str">
        <f>""</f>
        <v/>
      </c>
      <c r="DG219" t="str">
        <f>""</f>
        <v/>
      </c>
      <c r="DH219" t="str">
        <f>""</f>
        <v/>
      </c>
      <c r="DI219" t="str">
        <f>""</f>
        <v/>
      </c>
      <c r="DJ219" t="str">
        <f>""</f>
        <v/>
      </c>
      <c r="DK219" t="str">
        <f>""</f>
        <v/>
      </c>
      <c r="DL219" t="str">
        <f>""</f>
        <v/>
      </c>
      <c r="DM219" t="str">
        <f>""</f>
        <v/>
      </c>
      <c r="DN219" t="str">
        <f>""</f>
        <v/>
      </c>
      <c r="DO219" t="str">
        <f>""</f>
        <v/>
      </c>
      <c r="DP219" t="str">
        <f>""</f>
        <v/>
      </c>
      <c r="DQ219" t="str">
        <f>""</f>
        <v/>
      </c>
      <c r="DR219" t="str">
        <f>""</f>
        <v/>
      </c>
      <c r="DS219" t="str">
        <f>""</f>
        <v/>
      </c>
      <c r="DT219" t="str">
        <f>""</f>
        <v/>
      </c>
      <c r="DU219" t="str">
        <f>""</f>
        <v/>
      </c>
    </row>
    <row r="220" spans="1:125" x14ac:dyDescent="0.25">
      <c r="A220" t="str">
        <f>$A$65</f>
        <v xml:space="preserve">                    Western Europe</v>
      </c>
      <c r="B220" t="str">
        <f>$B$65</f>
        <v>KER FP Equity</v>
      </c>
      <c r="C220" t="str">
        <f>$C$65</f>
        <v>BI047</v>
      </c>
      <c r="D220" t="str">
        <f>$D$65</f>
        <v>BICS_SEGMENT_DATA</v>
      </c>
      <c r="E220" t="str">
        <f>$E$65</f>
        <v>Dynamic</v>
      </c>
      <c r="F220" t="str">
        <f ca="1">_xll.BDH($B$65,$C$65,$B$156,$B$157,CONCATENATE("Per=",$B$154),"Dts=H","Dir=H",CONCATENATE("Points=",$B$155),"Sort=R","Days=A","Fill=B","DZ666=701","X0001=EUWE","DZ667=43","DS276=Y",CONCATENATE("FX=", $B$153) )</f>
        <v/>
      </c>
      <c r="BN220" t="str">
        <f>""</f>
        <v/>
      </c>
      <c r="BO220" t="str">
        <f>""</f>
        <v/>
      </c>
      <c r="BP220" t="str">
        <f>""</f>
        <v/>
      </c>
      <c r="BQ220" t="str">
        <f>""</f>
        <v/>
      </c>
      <c r="BR220" t="str">
        <f>""</f>
        <v/>
      </c>
      <c r="BS220" t="str">
        <f>""</f>
        <v/>
      </c>
      <c r="BT220" t="str">
        <f>""</f>
        <v/>
      </c>
      <c r="BU220" t="str">
        <f>""</f>
        <v/>
      </c>
      <c r="BV220" t="str">
        <f>""</f>
        <v/>
      </c>
      <c r="BW220" t="str">
        <f>""</f>
        <v/>
      </c>
      <c r="BX220" t="str">
        <f>""</f>
        <v/>
      </c>
      <c r="BY220" t="str">
        <f>""</f>
        <v/>
      </c>
      <c r="BZ220" t="str">
        <f>""</f>
        <v/>
      </c>
      <c r="CA220" t="str">
        <f>""</f>
        <v/>
      </c>
      <c r="CB220" t="str">
        <f>""</f>
        <v/>
      </c>
      <c r="CC220" t="str">
        <f>""</f>
        <v/>
      </c>
      <c r="CD220" t="str">
        <f>""</f>
        <v/>
      </c>
      <c r="CE220" t="str">
        <f>""</f>
        <v/>
      </c>
      <c r="CF220" t="str">
        <f>""</f>
        <v/>
      </c>
      <c r="CG220" t="str">
        <f>""</f>
        <v/>
      </c>
      <c r="CH220" t="str">
        <f>""</f>
        <v/>
      </c>
      <c r="CI220" t="str">
        <f>""</f>
        <v/>
      </c>
      <c r="CJ220" t="str">
        <f>""</f>
        <v/>
      </c>
      <c r="CK220" t="str">
        <f>""</f>
        <v/>
      </c>
      <c r="CL220" t="str">
        <f>""</f>
        <v/>
      </c>
      <c r="CM220" t="str">
        <f>""</f>
        <v/>
      </c>
      <c r="CN220" t="str">
        <f>""</f>
        <v/>
      </c>
      <c r="CO220" t="str">
        <f>""</f>
        <v/>
      </c>
      <c r="CP220" t="str">
        <f>""</f>
        <v/>
      </c>
      <c r="CQ220" t="str">
        <f>""</f>
        <v/>
      </c>
      <c r="CR220" t="str">
        <f>""</f>
        <v/>
      </c>
      <c r="CS220" t="str">
        <f>""</f>
        <v/>
      </c>
      <c r="CT220" t="str">
        <f>""</f>
        <v/>
      </c>
      <c r="CU220" t="str">
        <f>""</f>
        <v/>
      </c>
      <c r="CV220" t="str">
        <f>""</f>
        <v/>
      </c>
      <c r="CW220" t="str">
        <f>""</f>
        <v/>
      </c>
      <c r="CX220" t="str">
        <f>""</f>
        <v/>
      </c>
      <c r="CY220" t="str">
        <f>""</f>
        <v/>
      </c>
      <c r="CZ220" t="str">
        <f>""</f>
        <v/>
      </c>
      <c r="DA220" t="str">
        <f>""</f>
        <v/>
      </c>
      <c r="DB220" t="str">
        <f>""</f>
        <v/>
      </c>
      <c r="DC220" t="str">
        <f>""</f>
        <v/>
      </c>
      <c r="DD220" t="str">
        <f>""</f>
        <v/>
      </c>
      <c r="DE220" t="str">
        <f>""</f>
        <v/>
      </c>
      <c r="DF220" t="str">
        <f>""</f>
        <v/>
      </c>
      <c r="DG220" t="str">
        <f>""</f>
        <v/>
      </c>
      <c r="DH220" t="str">
        <f>""</f>
        <v/>
      </c>
      <c r="DI220" t="str">
        <f>""</f>
        <v/>
      </c>
      <c r="DJ220" t="str">
        <f>""</f>
        <v/>
      </c>
      <c r="DK220" t="str">
        <f>""</f>
        <v/>
      </c>
      <c r="DL220" t="str">
        <f>""</f>
        <v/>
      </c>
      <c r="DM220" t="str">
        <f>""</f>
        <v/>
      </c>
      <c r="DN220" t="str">
        <f>""</f>
        <v/>
      </c>
      <c r="DO220" t="str">
        <f>""</f>
        <v/>
      </c>
      <c r="DP220" t="str">
        <f>""</f>
        <v/>
      </c>
      <c r="DQ220" t="str">
        <f>""</f>
        <v/>
      </c>
      <c r="DR220" t="str">
        <f>""</f>
        <v/>
      </c>
      <c r="DS220" t="str">
        <f>""</f>
        <v/>
      </c>
      <c r="DT220" t="str">
        <f>""</f>
        <v/>
      </c>
      <c r="DU220" t="str">
        <f>""</f>
        <v/>
      </c>
    </row>
    <row r="221" spans="1:125" x14ac:dyDescent="0.25">
      <c r="A221" t="str">
        <f>$A$66</f>
        <v xml:space="preserve">                    North America</v>
      </c>
      <c r="B221" t="str">
        <f>$B$66</f>
        <v>KER FP Equity</v>
      </c>
      <c r="C221" t="str">
        <f>$C$66</f>
        <v>BI047</v>
      </c>
      <c r="D221" t="str">
        <f>$D$66</f>
        <v>BICS_SEGMENT_DATA</v>
      </c>
      <c r="E221" t="str">
        <f>$E$66</f>
        <v>Dynamic</v>
      </c>
      <c r="F221" t="str">
        <f ca="1">_xll.BDH($B$66,$C$66,$B$156,$B$157,CONCATENATE("Per=",$B$154),"Dts=H","Dir=H",CONCATENATE("Points=",$B$155),"Sort=R","Days=A","Fill=B","DZ666=701","X0001=NA00","DZ667=1","DS276=Y",CONCATENATE("FX=", $B$153) )</f>
        <v/>
      </c>
      <c r="BN221" t="str">
        <f>""</f>
        <v/>
      </c>
      <c r="BO221" t="str">
        <f>""</f>
        <v/>
      </c>
      <c r="BP221" t="str">
        <f>""</f>
        <v/>
      </c>
      <c r="BQ221" t="str">
        <f>""</f>
        <v/>
      </c>
      <c r="BR221" t="str">
        <f>""</f>
        <v/>
      </c>
      <c r="BS221" t="str">
        <f>""</f>
        <v/>
      </c>
      <c r="BT221" t="str">
        <f>""</f>
        <v/>
      </c>
      <c r="BU221" t="str">
        <f>""</f>
        <v/>
      </c>
      <c r="BV221" t="str">
        <f>""</f>
        <v/>
      </c>
      <c r="BW221" t="str">
        <f>""</f>
        <v/>
      </c>
      <c r="BX221" t="str">
        <f>""</f>
        <v/>
      </c>
      <c r="BY221" t="str">
        <f>""</f>
        <v/>
      </c>
      <c r="BZ221" t="str">
        <f>""</f>
        <v/>
      </c>
      <c r="CA221" t="str">
        <f>""</f>
        <v/>
      </c>
      <c r="CB221" t="str">
        <f>""</f>
        <v/>
      </c>
      <c r="CC221" t="str">
        <f>""</f>
        <v/>
      </c>
      <c r="CD221" t="str">
        <f>""</f>
        <v/>
      </c>
      <c r="CE221" t="str">
        <f>""</f>
        <v/>
      </c>
      <c r="CF221" t="str">
        <f>""</f>
        <v/>
      </c>
      <c r="CG221" t="str">
        <f>""</f>
        <v/>
      </c>
      <c r="CH221" t="str">
        <f>""</f>
        <v/>
      </c>
      <c r="CI221" t="str">
        <f>""</f>
        <v/>
      </c>
      <c r="CJ221" t="str">
        <f>""</f>
        <v/>
      </c>
      <c r="CK221" t="str">
        <f>""</f>
        <v/>
      </c>
      <c r="CL221" t="str">
        <f>""</f>
        <v/>
      </c>
      <c r="CM221" t="str">
        <f>""</f>
        <v/>
      </c>
      <c r="CN221" t="str">
        <f>""</f>
        <v/>
      </c>
      <c r="CO221" t="str">
        <f>""</f>
        <v/>
      </c>
      <c r="CP221" t="str">
        <f>""</f>
        <v/>
      </c>
      <c r="CQ221" t="str">
        <f>""</f>
        <v/>
      </c>
      <c r="CR221" t="str">
        <f>""</f>
        <v/>
      </c>
      <c r="CS221" t="str">
        <f>""</f>
        <v/>
      </c>
      <c r="CT221" t="str">
        <f>""</f>
        <v/>
      </c>
      <c r="CU221" t="str">
        <f>""</f>
        <v/>
      </c>
      <c r="CV221" t="str">
        <f>""</f>
        <v/>
      </c>
      <c r="CW221" t="str">
        <f>""</f>
        <v/>
      </c>
      <c r="CX221" t="str">
        <f>""</f>
        <v/>
      </c>
      <c r="CY221" t="str">
        <f>""</f>
        <v/>
      </c>
      <c r="CZ221" t="str">
        <f>""</f>
        <v/>
      </c>
      <c r="DA221" t="str">
        <f>""</f>
        <v/>
      </c>
      <c r="DB221" t="str">
        <f>""</f>
        <v/>
      </c>
      <c r="DC221" t="str">
        <f>""</f>
        <v/>
      </c>
      <c r="DD221" t="str">
        <f>""</f>
        <v/>
      </c>
      <c r="DE221" t="str">
        <f>""</f>
        <v/>
      </c>
      <c r="DF221" t="str">
        <f>""</f>
        <v/>
      </c>
      <c r="DG221" t="str">
        <f>""</f>
        <v/>
      </c>
      <c r="DH221" t="str">
        <f>""</f>
        <v/>
      </c>
      <c r="DI221" t="str">
        <f>""</f>
        <v/>
      </c>
      <c r="DJ221" t="str">
        <f>""</f>
        <v/>
      </c>
      <c r="DK221" t="str">
        <f>""</f>
        <v/>
      </c>
      <c r="DL221" t="str">
        <f>""</f>
        <v/>
      </c>
      <c r="DM221" t="str">
        <f>""</f>
        <v/>
      </c>
      <c r="DN221" t="str">
        <f>""</f>
        <v/>
      </c>
      <c r="DO221" t="str">
        <f>""</f>
        <v/>
      </c>
      <c r="DP221" t="str">
        <f>""</f>
        <v/>
      </c>
      <c r="DQ221" t="str">
        <f>""</f>
        <v/>
      </c>
      <c r="DR221" t="str">
        <f>""</f>
        <v/>
      </c>
      <c r="DS221" t="str">
        <f>""</f>
        <v/>
      </c>
      <c r="DT221" t="str">
        <f>""</f>
        <v/>
      </c>
      <c r="DU221" t="str">
        <f>""</f>
        <v/>
      </c>
    </row>
    <row r="222" spans="1:125" x14ac:dyDescent="0.25">
      <c r="A222" t="str">
        <f>$A$67</f>
        <v xml:space="preserve">                    Rest of World</v>
      </c>
      <c r="B222" t="str">
        <f>$B$67</f>
        <v>KER FP Equity</v>
      </c>
      <c r="C222" t="str">
        <f>$C$67</f>
        <v>BI047</v>
      </c>
      <c r="D222" t="str">
        <f>$D$67</f>
        <v>BICS_SEGMENT_DATA</v>
      </c>
      <c r="E222" t="str">
        <f>$E$67</f>
        <v>Dynamic</v>
      </c>
      <c r="F222" t="str">
        <f ca="1">_xll.BDH($B$67,$C$67,$B$156,$B$157,CONCATENATE("Per=",$B$154),"Dts=H","Dir=H",CONCATENATE("Points=",$B$155),"Sort=R","Days=A","Fill=B","DZ666=701","X0001=REST","DZ667=2","DS276=Y",CONCATENATE("FX=", $B$153) )</f>
        <v/>
      </c>
      <c r="BN222" t="str">
        <f>""</f>
        <v/>
      </c>
      <c r="BO222" t="str">
        <f>""</f>
        <v/>
      </c>
      <c r="BP222" t="str">
        <f>""</f>
        <v/>
      </c>
      <c r="BQ222" t="str">
        <f>""</f>
        <v/>
      </c>
      <c r="BR222" t="str">
        <f>""</f>
        <v/>
      </c>
      <c r="BS222" t="str">
        <f>""</f>
        <v/>
      </c>
      <c r="BT222" t="str">
        <f>""</f>
        <v/>
      </c>
      <c r="BU222" t="str">
        <f>""</f>
        <v/>
      </c>
      <c r="BV222" t="str">
        <f>""</f>
        <v/>
      </c>
      <c r="BW222" t="str">
        <f>""</f>
        <v/>
      </c>
      <c r="BX222" t="str">
        <f>""</f>
        <v/>
      </c>
      <c r="BY222" t="str">
        <f>""</f>
        <v/>
      </c>
      <c r="BZ222" t="str">
        <f>""</f>
        <v/>
      </c>
      <c r="CA222" t="str">
        <f>""</f>
        <v/>
      </c>
      <c r="CB222" t="str">
        <f>""</f>
        <v/>
      </c>
      <c r="CC222" t="str">
        <f>""</f>
        <v/>
      </c>
      <c r="CD222" t="str">
        <f>""</f>
        <v/>
      </c>
      <c r="CE222" t="str">
        <f>""</f>
        <v/>
      </c>
      <c r="CF222" t="str">
        <f>""</f>
        <v/>
      </c>
      <c r="CG222" t="str">
        <f>""</f>
        <v/>
      </c>
      <c r="CH222" t="str">
        <f>""</f>
        <v/>
      </c>
      <c r="CI222" t="str">
        <f>""</f>
        <v/>
      </c>
      <c r="CJ222" t="str">
        <f>""</f>
        <v/>
      </c>
      <c r="CK222" t="str">
        <f>""</f>
        <v/>
      </c>
      <c r="CL222" t="str">
        <f>""</f>
        <v/>
      </c>
      <c r="CM222" t="str">
        <f>""</f>
        <v/>
      </c>
      <c r="CN222" t="str">
        <f>""</f>
        <v/>
      </c>
      <c r="CO222" t="str">
        <f>""</f>
        <v/>
      </c>
      <c r="CP222" t="str">
        <f>""</f>
        <v/>
      </c>
      <c r="CQ222" t="str">
        <f>""</f>
        <v/>
      </c>
      <c r="CR222" t="str">
        <f>""</f>
        <v/>
      </c>
      <c r="CS222" t="str">
        <f>""</f>
        <v/>
      </c>
      <c r="CT222" t="str">
        <f>""</f>
        <v/>
      </c>
      <c r="CU222" t="str">
        <f>""</f>
        <v/>
      </c>
      <c r="CV222" t="str">
        <f>""</f>
        <v/>
      </c>
      <c r="CW222" t="str">
        <f>""</f>
        <v/>
      </c>
      <c r="CX222" t="str">
        <f>""</f>
        <v/>
      </c>
      <c r="CY222" t="str">
        <f>""</f>
        <v/>
      </c>
      <c r="CZ222" t="str">
        <f>""</f>
        <v/>
      </c>
      <c r="DA222" t="str">
        <f>""</f>
        <v/>
      </c>
      <c r="DB222" t="str">
        <f>""</f>
        <v/>
      </c>
      <c r="DC222" t="str">
        <f>""</f>
        <v/>
      </c>
      <c r="DD222" t="str">
        <f>""</f>
        <v/>
      </c>
      <c r="DE222" t="str">
        <f>""</f>
        <v/>
      </c>
      <c r="DF222" t="str">
        <f>""</f>
        <v/>
      </c>
      <c r="DG222" t="str">
        <f>""</f>
        <v/>
      </c>
      <c r="DH222" t="str">
        <f>""</f>
        <v/>
      </c>
      <c r="DI222" t="str">
        <f>""</f>
        <v/>
      </c>
      <c r="DJ222" t="str">
        <f>""</f>
        <v/>
      </c>
      <c r="DK222" t="str">
        <f>""</f>
        <v/>
      </c>
      <c r="DL222" t="str">
        <f>""</f>
        <v/>
      </c>
      <c r="DM222" t="str">
        <f>""</f>
        <v/>
      </c>
      <c r="DN222" t="str">
        <f>""</f>
        <v/>
      </c>
      <c r="DO222" t="str">
        <f>""</f>
        <v/>
      </c>
      <c r="DP222" t="str">
        <f>""</f>
        <v/>
      </c>
      <c r="DQ222" t="str">
        <f>""</f>
        <v/>
      </c>
      <c r="DR222" t="str">
        <f>""</f>
        <v/>
      </c>
      <c r="DS222" t="str">
        <f>""</f>
        <v/>
      </c>
      <c r="DT222" t="str">
        <f>""</f>
        <v/>
      </c>
      <c r="DU222" t="str">
        <f>""</f>
        <v/>
      </c>
    </row>
    <row r="223" spans="1:125" x14ac:dyDescent="0.25">
      <c r="A223" t="str">
        <f>$A$69</f>
        <v xml:space="preserve">                Gucci</v>
      </c>
      <c r="B223" t="str">
        <f>$B$69</f>
        <v>KER FP Equity</v>
      </c>
      <c r="C223" t="str">
        <f>$C$69</f>
        <v>BI047</v>
      </c>
      <c r="D223" t="str">
        <f>$D$69</f>
        <v>BICS_SEGMENT_DATA</v>
      </c>
      <c r="E223" t="str">
        <f>$E$69</f>
        <v>Dynamic</v>
      </c>
      <c r="F223" t="str">
        <f ca="1">_xll.BDH($B$69,$C$69,$B$156,$B$157,CONCATENATE("Per=",$B$154),"Dts=H","Dir=H",CONCATENATE("Points=",$B$155),"Sort=R","Days=A","Fill=B","DZ666=701","DZ381=1110101012","DZ665=18297059","DZ667=8",CONCATENATE("FX=", $B$153) )</f>
        <v/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  <c r="BT223" t="str">
        <f>""</f>
        <v/>
      </c>
      <c r="BU223" t="str">
        <f>""</f>
        <v/>
      </c>
      <c r="BV223" t="str">
        <f>""</f>
        <v/>
      </c>
      <c r="BW223" t="str">
        <f>""</f>
        <v/>
      </c>
      <c r="BX223" t="str">
        <f>""</f>
        <v/>
      </c>
      <c r="BY223" t="str">
        <f>""</f>
        <v/>
      </c>
      <c r="BZ223" t="str">
        <f>""</f>
        <v/>
      </c>
      <c r="CA223" t="str">
        <f>""</f>
        <v/>
      </c>
      <c r="CB223" t="str">
        <f>""</f>
        <v/>
      </c>
      <c r="CC223" t="str">
        <f>""</f>
        <v/>
      </c>
      <c r="CD223" t="str">
        <f>""</f>
        <v/>
      </c>
      <c r="CE223" t="str">
        <f>""</f>
        <v/>
      </c>
      <c r="CF223" t="str">
        <f>""</f>
        <v/>
      </c>
      <c r="CG223" t="str">
        <f>""</f>
        <v/>
      </c>
      <c r="CH223" t="str">
        <f>""</f>
        <v/>
      </c>
      <c r="CI223" t="str">
        <f>""</f>
        <v/>
      </c>
      <c r="CJ223" t="str">
        <f>""</f>
        <v/>
      </c>
      <c r="CK223" t="str">
        <f>""</f>
        <v/>
      </c>
      <c r="CL223" t="str">
        <f>""</f>
        <v/>
      </c>
      <c r="CM223" t="str">
        <f>""</f>
        <v/>
      </c>
      <c r="CN223" t="str">
        <f>""</f>
        <v/>
      </c>
      <c r="CO223" t="str">
        <f>""</f>
        <v/>
      </c>
      <c r="CP223" t="str">
        <f>""</f>
        <v/>
      </c>
      <c r="CQ223" t="str">
        <f>""</f>
        <v/>
      </c>
      <c r="CR223" t="str">
        <f>""</f>
        <v/>
      </c>
      <c r="CS223" t="str">
        <f>""</f>
        <v/>
      </c>
      <c r="CT223" t="str">
        <f>""</f>
        <v/>
      </c>
      <c r="CU223" t="str">
        <f>""</f>
        <v/>
      </c>
      <c r="CV223" t="str">
        <f>""</f>
        <v/>
      </c>
      <c r="CW223" t="str">
        <f>""</f>
        <v/>
      </c>
      <c r="CX223" t="str">
        <f>""</f>
        <v/>
      </c>
      <c r="CY223" t="str">
        <f>""</f>
        <v/>
      </c>
      <c r="CZ223" t="str">
        <f>""</f>
        <v/>
      </c>
      <c r="DA223" t="str">
        <f>""</f>
        <v/>
      </c>
      <c r="DB223" t="str">
        <f>""</f>
        <v/>
      </c>
      <c r="DC223" t="str">
        <f>""</f>
        <v/>
      </c>
      <c r="DD223" t="str">
        <f>""</f>
        <v/>
      </c>
      <c r="DE223" t="str">
        <f>""</f>
        <v/>
      </c>
      <c r="DF223" t="str">
        <f>""</f>
        <v/>
      </c>
      <c r="DG223" t="str">
        <f>""</f>
        <v/>
      </c>
      <c r="DH223" t="str">
        <f>""</f>
        <v/>
      </c>
      <c r="DI223" t="str">
        <f>""</f>
        <v/>
      </c>
      <c r="DJ223" t="str">
        <f>""</f>
        <v/>
      </c>
      <c r="DK223" t="str">
        <f>""</f>
        <v/>
      </c>
      <c r="DL223" t="str">
        <f>""</f>
        <v/>
      </c>
      <c r="DM223" t="str">
        <f>""</f>
        <v/>
      </c>
      <c r="DN223" t="str">
        <f>""</f>
        <v/>
      </c>
      <c r="DO223" t="str">
        <f>""</f>
        <v/>
      </c>
      <c r="DP223" t="str">
        <f>""</f>
        <v/>
      </c>
      <c r="DQ223" t="str">
        <f>""</f>
        <v/>
      </c>
      <c r="DR223" t="str">
        <f>""</f>
        <v/>
      </c>
      <c r="DS223" t="str">
        <f>""</f>
        <v/>
      </c>
      <c r="DT223" t="str">
        <f>""</f>
        <v/>
      </c>
      <c r="DU223" t="str">
        <f>""</f>
        <v/>
      </c>
    </row>
    <row r="224" spans="1:125" x14ac:dyDescent="0.25">
      <c r="A224" t="str">
        <f>$A$70</f>
        <v xml:space="preserve">                Saint Laurent</v>
      </c>
      <c r="B224" t="str">
        <f>$B$70</f>
        <v>KER FP Equity</v>
      </c>
      <c r="C224" t="str">
        <f>$C$70</f>
        <v>BI047</v>
      </c>
      <c r="D224" t="str">
        <f>$D$70</f>
        <v>BICS_SEGMENT_DATA</v>
      </c>
      <c r="E224" t="str">
        <f>$E$70</f>
        <v>Dynamic</v>
      </c>
      <c r="F224" t="str">
        <f ca="1">_xll.BDH($B$70,$C$70,$B$156,$B$157,CONCATENATE("Per=",$B$154),"Dts=H","Dir=H",CONCATENATE("Points=",$B$155),"Sort=R","Days=A","Fill=B","DZ666=701","DZ381=1110101012","DZ665=240051","DZ667=1","DS276=Y",CONCATENATE("FX=", $B$153) )</f>
        <v/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  <c r="BT224" t="str">
        <f>""</f>
        <v/>
      </c>
      <c r="BU224" t="str">
        <f>""</f>
        <v/>
      </c>
      <c r="BV224" t="str">
        <f>""</f>
        <v/>
      </c>
      <c r="BW224" t="str">
        <f>""</f>
        <v/>
      </c>
      <c r="BX224" t="str">
        <f>""</f>
        <v/>
      </c>
      <c r="BY224" t="str">
        <f>""</f>
        <v/>
      </c>
      <c r="BZ224" t="str">
        <f>""</f>
        <v/>
      </c>
      <c r="CA224" t="str">
        <f>""</f>
        <v/>
      </c>
      <c r="CB224" t="str">
        <f>""</f>
        <v/>
      </c>
      <c r="CC224" t="str">
        <f>""</f>
        <v/>
      </c>
      <c r="CD224" t="str">
        <f>""</f>
        <v/>
      </c>
      <c r="CE224" t="str">
        <f>""</f>
        <v/>
      </c>
      <c r="CF224" t="str">
        <f>""</f>
        <v/>
      </c>
      <c r="CG224" t="str">
        <f>""</f>
        <v/>
      </c>
      <c r="CH224" t="str">
        <f>""</f>
        <v/>
      </c>
      <c r="CI224" t="str">
        <f>""</f>
        <v/>
      </c>
      <c r="CJ224" t="str">
        <f>""</f>
        <v/>
      </c>
      <c r="CK224" t="str">
        <f>""</f>
        <v/>
      </c>
      <c r="CL224" t="str">
        <f>""</f>
        <v/>
      </c>
      <c r="CM224" t="str">
        <f>""</f>
        <v/>
      </c>
      <c r="CN224" t="str">
        <f>""</f>
        <v/>
      </c>
      <c r="CO224" t="str">
        <f>""</f>
        <v/>
      </c>
      <c r="CP224" t="str">
        <f>""</f>
        <v/>
      </c>
      <c r="CQ224" t="str">
        <f>""</f>
        <v/>
      </c>
      <c r="CR224" t="str">
        <f>""</f>
        <v/>
      </c>
      <c r="CS224" t="str">
        <f>""</f>
        <v/>
      </c>
      <c r="CT224" t="str">
        <f>""</f>
        <v/>
      </c>
      <c r="CU224" t="str">
        <f>""</f>
        <v/>
      </c>
      <c r="CV224" t="str">
        <f>""</f>
        <v/>
      </c>
      <c r="CW224" t="str">
        <f>""</f>
        <v/>
      </c>
      <c r="CX224" t="str">
        <f>""</f>
        <v/>
      </c>
      <c r="CY224" t="str">
        <f>""</f>
        <v/>
      </c>
      <c r="CZ224" t="str">
        <f>""</f>
        <v/>
      </c>
      <c r="DA224" t="str">
        <f>""</f>
        <v/>
      </c>
      <c r="DB224" t="str">
        <f>""</f>
        <v/>
      </c>
      <c r="DC224" t="str">
        <f>""</f>
        <v/>
      </c>
      <c r="DD224" t="str">
        <f>""</f>
        <v/>
      </c>
      <c r="DE224" t="str">
        <f>""</f>
        <v/>
      </c>
      <c r="DF224" t="str">
        <f>""</f>
        <v/>
      </c>
      <c r="DG224" t="str">
        <f>""</f>
        <v/>
      </c>
      <c r="DH224" t="str">
        <f>""</f>
        <v/>
      </c>
      <c r="DI224" t="str">
        <f>""</f>
        <v/>
      </c>
      <c r="DJ224" t="str">
        <f>""</f>
        <v/>
      </c>
      <c r="DK224" t="str">
        <f>""</f>
        <v/>
      </c>
      <c r="DL224" t="str">
        <f>""</f>
        <v/>
      </c>
      <c r="DM224" t="str">
        <f>""</f>
        <v/>
      </c>
      <c r="DN224" t="str">
        <f>""</f>
        <v/>
      </c>
      <c r="DO224" t="str">
        <f>""</f>
        <v/>
      </c>
      <c r="DP224" t="str">
        <f>""</f>
        <v/>
      </c>
      <c r="DQ224" t="str">
        <f>""</f>
        <v/>
      </c>
      <c r="DR224" t="str">
        <f>""</f>
        <v/>
      </c>
      <c r="DS224" t="str">
        <f>""</f>
        <v/>
      </c>
      <c r="DT224" t="str">
        <f>""</f>
        <v/>
      </c>
      <c r="DU224" t="str">
        <f>""</f>
        <v/>
      </c>
    </row>
    <row r="225" spans="1:125" x14ac:dyDescent="0.25">
      <c r="A225" t="str">
        <f>$A$71</f>
        <v xml:space="preserve">                Bottega Veneta</v>
      </c>
      <c r="B225" t="str">
        <f>$B$71</f>
        <v>KER FP Equity</v>
      </c>
      <c r="C225" t="str">
        <f>$C$71</f>
        <v>BI047</v>
      </c>
      <c r="D225" t="str">
        <f>$D$71</f>
        <v>BICS_SEGMENT_DATA</v>
      </c>
      <c r="E225" t="str">
        <f>$E$71</f>
        <v>Dynamic</v>
      </c>
      <c r="F225" t="str">
        <f ca="1">_xll.BDH($B$71,$C$71,$B$156,$B$157,CONCATENATE("Per=",$B$154),"Dts=H","Dir=H",CONCATENATE("Points=",$B$155),"Sort=R","Days=A","Fill=B","DZ666=701","DZ381=1110101012","DZ665=13372677","DZ667=1","DS276=Y",CONCATENATE("FX=", $B$153) )</f>
        <v/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  <c r="BT225" t="str">
        <f>""</f>
        <v/>
      </c>
      <c r="BU225" t="str">
        <f>""</f>
        <v/>
      </c>
      <c r="BV225" t="str">
        <f>""</f>
        <v/>
      </c>
      <c r="BW225" t="str">
        <f>""</f>
        <v/>
      </c>
      <c r="BX225" t="str">
        <f>""</f>
        <v/>
      </c>
      <c r="BY225" t="str">
        <f>""</f>
        <v/>
      </c>
      <c r="BZ225" t="str">
        <f>""</f>
        <v/>
      </c>
      <c r="CA225" t="str">
        <f>""</f>
        <v/>
      </c>
      <c r="CB225" t="str">
        <f>""</f>
        <v/>
      </c>
      <c r="CC225" t="str">
        <f>""</f>
        <v/>
      </c>
      <c r="CD225" t="str">
        <f>""</f>
        <v/>
      </c>
      <c r="CE225" t="str">
        <f>""</f>
        <v/>
      </c>
      <c r="CF225" t="str">
        <f>""</f>
        <v/>
      </c>
      <c r="CG225" t="str">
        <f>""</f>
        <v/>
      </c>
      <c r="CH225" t="str">
        <f>""</f>
        <v/>
      </c>
      <c r="CI225" t="str">
        <f>""</f>
        <v/>
      </c>
      <c r="CJ225" t="str">
        <f>""</f>
        <v/>
      </c>
      <c r="CK225" t="str">
        <f>""</f>
        <v/>
      </c>
      <c r="CL225" t="str">
        <f>""</f>
        <v/>
      </c>
      <c r="CM225" t="str">
        <f>""</f>
        <v/>
      </c>
      <c r="CN225" t="str">
        <f>""</f>
        <v/>
      </c>
      <c r="CO225" t="str">
        <f>""</f>
        <v/>
      </c>
      <c r="CP225" t="str">
        <f>""</f>
        <v/>
      </c>
      <c r="CQ225" t="str">
        <f>""</f>
        <v/>
      </c>
      <c r="CR225" t="str">
        <f>""</f>
        <v/>
      </c>
      <c r="CS225" t="str">
        <f>""</f>
        <v/>
      </c>
      <c r="CT225" t="str">
        <f>""</f>
        <v/>
      </c>
      <c r="CU225" t="str">
        <f>""</f>
        <v/>
      </c>
      <c r="CV225" t="str">
        <f>""</f>
        <v/>
      </c>
      <c r="CW225" t="str">
        <f>""</f>
        <v/>
      </c>
      <c r="CX225" t="str">
        <f>""</f>
        <v/>
      </c>
      <c r="CY225" t="str">
        <f>""</f>
        <v/>
      </c>
      <c r="CZ225" t="str">
        <f>""</f>
        <v/>
      </c>
      <c r="DA225" t="str">
        <f>""</f>
        <v/>
      </c>
      <c r="DB225" t="str">
        <f>""</f>
        <v/>
      </c>
      <c r="DC225" t="str">
        <f>""</f>
        <v/>
      </c>
      <c r="DD225" t="str">
        <f>""</f>
        <v/>
      </c>
      <c r="DE225" t="str">
        <f>""</f>
        <v/>
      </c>
      <c r="DF225" t="str">
        <f>""</f>
        <v/>
      </c>
      <c r="DG225" t="str">
        <f>""</f>
        <v/>
      </c>
      <c r="DH225" t="str">
        <f>""</f>
        <v/>
      </c>
      <c r="DI225" t="str">
        <f>""</f>
        <v/>
      </c>
      <c r="DJ225" t="str">
        <f>""</f>
        <v/>
      </c>
      <c r="DK225" t="str">
        <f>""</f>
        <v/>
      </c>
      <c r="DL225" t="str">
        <f>""</f>
        <v/>
      </c>
      <c r="DM225" t="str">
        <f>""</f>
        <v/>
      </c>
      <c r="DN225" t="str">
        <f>""</f>
        <v/>
      </c>
      <c r="DO225" t="str">
        <f>""</f>
        <v/>
      </c>
      <c r="DP225" t="str">
        <f>""</f>
        <v/>
      </c>
      <c r="DQ225" t="str">
        <f>""</f>
        <v/>
      </c>
      <c r="DR225" t="str">
        <f>""</f>
        <v/>
      </c>
      <c r="DS225" t="str">
        <f>""</f>
        <v/>
      </c>
      <c r="DT225" t="str">
        <f>""</f>
        <v/>
      </c>
      <c r="DU225" t="str">
        <f>""</f>
        <v/>
      </c>
    </row>
    <row r="226" spans="1:125" x14ac:dyDescent="0.25">
      <c r="A226" t="str">
        <f>$A$72</f>
        <v xml:space="preserve">                Other Luxury Brands</v>
      </c>
      <c r="B226" t="str">
        <f>$B$72</f>
        <v>KER FP Equity</v>
      </c>
      <c r="C226" t="str">
        <f>$C$72</f>
        <v>BI047</v>
      </c>
      <c r="D226" t="str">
        <f>$D$72</f>
        <v>BICS_SEGMENT_DATA</v>
      </c>
      <c r="E226" t="str">
        <f>$E$72</f>
        <v>Dynamic</v>
      </c>
      <c r="F226" t="str">
        <f ca="1">_xll.BDH($B$72,$C$72,$B$156,$B$157,CONCATENATE("Per=",$B$154),"Dts=H","Dir=H",CONCATENATE("Points=",$B$155),"Sort=R","Days=A","Fill=B","DZ666=701","DZ381=1110101012","DZ665=13689884","DZ667=4","DS276=Y",CONCATENATE("FX=", $B$153) )</f>
        <v/>
      </c>
      <c r="BN226" t="str">
        <f>""</f>
        <v/>
      </c>
      <c r="BO226" t="str">
        <f>""</f>
        <v/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  <c r="BT226" t="str">
        <f>""</f>
        <v/>
      </c>
      <c r="BU226" t="str">
        <f>""</f>
        <v/>
      </c>
      <c r="BV226" t="str">
        <f>""</f>
        <v/>
      </c>
      <c r="BW226" t="str">
        <f>""</f>
        <v/>
      </c>
      <c r="BX226" t="str">
        <f>""</f>
        <v/>
      </c>
      <c r="BY226" t="str">
        <f>""</f>
        <v/>
      </c>
      <c r="BZ226" t="str">
        <f>""</f>
        <v/>
      </c>
      <c r="CA226" t="str">
        <f>""</f>
        <v/>
      </c>
      <c r="CB226" t="str">
        <f>""</f>
        <v/>
      </c>
      <c r="CC226" t="str">
        <f>""</f>
        <v/>
      </c>
      <c r="CD226" t="str">
        <f>""</f>
        <v/>
      </c>
      <c r="CE226" t="str">
        <f>""</f>
        <v/>
      </c>
      <c r="CF226" t="str">
        <f>""</f>
        <v/>
      </c>
      <c r="CG226" t="str">
        <f>""</f>
        <v/>
      </c>
      <c r="CH226" t="str">
        <f>""</f>
        <v/>
      </c>
      <c r="CI226" t="str">
        <f>""</f>
        <v/>
      </c>
      <c r="CJ226" t="str">
        <f>""</f>
        <v/>
      </c>
      <c r="CK226" t="str">
        <f>""</f>
        <v/>
      </c>
      <c r="CL226" t="str">
        <f>""</f>
        <v/>
      </c>
      <c r="CM226" t="str">
        <f>""</f>
        <v/>
      </c>
      <c r="CN226" t="str">
        <f>""</f>
        <v/>
      </c>
      <c r="CO226" t="str">
        <f>""</f>
        <v/>
      </c>
      <c r="CP226" t="str">
        <f>""</f>
        <v/>
      </c>
      <c r="CQ226" t="str">
        <f>""</f>
        <v/>
      </c>
      <c r="CR226" t="str">
        <f>""</f>
        <v/>
      </c>
      <c r="CS226" t="str">
        <f>""</f>
        <v/>
      </c>
      <c r="CT226" t="str">
        <f>""</f>
        <v/>
      </c>
      <c r="CU226" t="str">
        <f>""</f>
        <v/>
      </c>
      <c r="CV226" t="str">
        <f>""</f>
        <v/>
      </c>
      <c r="CW226" t="str">
        <f>""</f>
        <v/>
      </c>
      <c r="CX226" t="str">
        <f>""</f>
        <v/>
      </c>
      <c r="CY226" t="str">
        <f>""</f>
        <v/>
      </c>
      <c r="CZ226" t="str">
        <f>""</f>
        <v/>
      </c>
      <c r="DA226" t="str">
        <f>""</f>
        <v/>
      </c>
      <c r="DB226" t="str">
        <f>""</f>
        <v/>
      </c>
      <c r="DC226" t="str">
        <f>""</f>
        <v/>
      </c>
      <c r="DD226" t="str">
        <f>""</f>
        <v/>
      </c>
      <c r="DE226" t="str">
        <f>""</f>
        <v/>
      </c>
      <c r="DF226" t="str">
        <f>""</f>
        <v/>
      </c>
      <c r="DG226" t="str">
        <f>""</f>
        <v/>
      </c>
      <c r="DH226" t="str">
        <f>""</f>
        <v/>
      </c>
      <c r="DI226" t="str">
        <f>""</f>
        <v/>
      </c>
      <c r="DJ226" t="str">
        <f>""</f>
        <v/>
      </c>
      <c r="DK226" t="str">
        <f>""</f>
        <v/>
      </c>
      <c r="DL226" t="str">
        <f>""</f>
        <v/>
      </c>
      <c r="DM226" t="str">
        <f>""</f>
        <v/>
      </c>
      <c r="DN226" t="str">
        <f>""</f>
        <v/>
      </c>
      <c r="DO226" t="str">
        <f>""</f>
        <v/>
      </c>
      <c r="DP226" t="str">
        <f>""</f>
        <v/>
      </c>
      <c r="DQ226" t="str">
        <f>""</f>
        <v/>
      </c>
      <c r="DR226" t="str">
        <f>""</f>
        <v/>
      </c>
      <c r="DS226" t="str">
        <f>""</f>
        <v/>
      </c>
      <c r="DT226" t="str">
        <f>""</f>
        <v/>
      </c>
      <c r="DU226" t="str">
        <f>""</f>
        <v/>
      </c>
    </row>
    <row r="227" spans="1:125" x14ac:dyDescent="0.25">
      <c r="A227" t="str">
        <f>$A$77</f>
        <v xml:space="preserve">        Revenue</v>
      </c>
      <c r="B227" t="str">
        <f>$B$77</f>
        <v>KER FP Equity</v>
      </c>
      <c r="C227" t="str">
        <f>$C$77</f>
        <v>BI047</v>
      </c>
      <c r="D227" t="str">
        <f>$D$77</f>
        <v>BICS_SEGMENT_DATA</v>
      </c>
      <c r="E227" t="str">
        <f>$E$77</f>
        <v>Dynamic</v>
      </c>
      <c r="F227" t="str">
        <f ca="1">_xll.BDH($B$77,$C$77,$B$156,$B$157,CONCATENATE("Per=",$B$154),"Dts=H","Dir=H",CONCATENATE("Points=",$B$155),"Sort=R","Days=A","Fill=B","DZ666=001","DZ381=1110101012","DZ667=1","DS276=Y",CONCATENATE("FX=", $B$153) )</f>
        <v/>
      </c>
      <c r="BN227" t="str">
        <f>""</f>
        <v/>
      </c>
      <c r="BO227" t="str">
        <f>""</f>
        <v/>
      </c>
      <c r="BP227" t="str">
        <f>""</f>
        <v/>
      </c>
      <c r="BQ227" t="str">
        <f>""</f>
        <v/>
      </c>
      <c r="BR227" t="str">
        <f>""</f>
        <v/>
      </c>
      <c r="BS227" t="str">
        <f>""</f>
        <v/>
      </c>
      <c r="BT227" t="str">
        <f>""</f>
        <v/>
      </c>
      <c r="BU227" t="str">
        <f>""</f>
        <v/>
      </c>
      <c r="BV227" t="str">
        <f>""</f>
        <v/>
      </c>
      <c r="BW227" t="str">
        <f>""</f>
        <v/>
      </c>
      <c r="BX227" t="str">
        <f>""</f>
        <v/>
      </c>
      <c r="BY227" t="str">
        <f>""</f>
        <v/>
      </c>
      <c r="BZ227" t="str">
        <f>""</f>
        <v/>
      </c>
      <c r="CA227" t="str">
        <f>""</f>
        <v/>
      </c>
      <c r="CB227" t="str">
        <f>""</f>
        <v/>
      </c>
      <c r="CC227" t="str">
        <f>""</f>
        <v/>
      </c>
      <c r="CD227" t="str">
        <f>""</f>
        <v/>
      </c>
      <c r="CE227" t="str">
        <f>""</f>
        <v/>
      </c>
      <c r="CF227" t="str">
        <f>""</f>
        <v/>
      </c>
      <c r="CG227" t="str">
        <f>""</f>
        <v/>
      </c>
      <c r="CH227" t="str">
        <f>""</f>
        <v/>
      </c>
      <c r="CI227" t="str">
        <f>""</f>
        <v/>
      </c>
      <c r="CJ227" t="str">
        <f>""</f>
        <v/>
      </c>
      <c r="CK227" t="str">
        <f>""</f>
        <v/>
      </c>
      <c r="CL227" t="str">
        <f>""</f>
        <v/>
      </c>
      <c r="CM227" t="str">
        <f>""</f>
        <v/>
      </c>
      <c r="CN227" t="str">
        <f>""</f>
        <v/>
      </c>
      <c r="CO227" t="str">
        <f>""</f>
        <v/>
      </c>
      <c r="CP227" t="str">
        <f>""</f>
        <v/>
      </c>
      <c r="CQ227" t="str">
        <f>""</f>
        <v/>
      </c>
      <c r="CR227" t="str">
        <f>""</f>
        <v/>
      </c>
      <c r="CS227" t="str">
        <f>""</f>
        <v/>
      </c>
      <c r="CT227" t="str">
        <f>""</f>
        <v/>
      </c>
      <c r="CU227" t="str">
        <f>""</f>
        <v/>
      </c>
      <c r="CV227" t="str">
        <f>""</f>
        <v/>
      </c>
      <c r="CW227" t="str">
        <f>""</f>
        <v/>
      </c>
      <c r="CX227" t="str">
        <f>""</f>
        <v/>
      </c>
      <c r="CY227" t="str">
        <f>""</f>
        <v/>
      </c>
      <c r="CZ227" t="str">
        <f>""</f>
        <v/>
      </c>
      <c r="DA227" t="str">
        <f>""</f>
        <v/>
      </c>
      <c r="DB227" t="str">
        <f>""</f>
        <v/>
      </c>
      <c r="DC227" t="str">
        <f>""</f>
        <v/>
      </c>
      <c r="DD227" t="str">
        <f>""</f>
        <v/>
      </c>
      <c r="DE227" t="str">
        <f>""</f>
        <v/>
      </c>
      <c r="DF227" t="str">
        <f>""</f>
        <v/>
      </c>
      <c r="DG227" t="str">
        <f>""</f>
        <v/>
      </c>
      <c r="DH227" t="str">
        <f>""</f>
        <v/>
      </c>
      <c r="DI227" t="str">
        <f>""</f>
        <v/>
      </c>
      <c r="DJ227" t="str">
        <f>""</f>
        <v/>
      </c>
      <c r="DK227" t="str">
        <f>""</f>
        <v/>
      </c>
      <c r="DL227" t="str">
        <f>""</f>
        <v/>
      </c>
      <c r="DM227" t="str">
        <f>""</f>
        <v/>
      </c>
      <c r="DN227" t="str">
        <f>""</f>
        <v/>
      </c>
      <c r="DO227" t="str">
        <f>""</f>
        <v/>
      </c>
      <c r="DP227" t="str">
        <f>""</f>
        <v/>
      </c>
      <c r="DQ227" t="str">
        <f>""</f>
        <v/>
      </c>
      <c r="DR227" t="str">
        <f>""</f>
        <v/>
      </c>
      <c r="DS227" t="str">
        <f>""</f>
        <v/>
      </c>
      <c r="DT227" t="str">
        <f>""</f>
        <v/>
      </c>
      <c r="DU227" t="str">
        <f>""</f>
        <v/>
      </c>
    </row>
    <row r="228" spans="1:125" x14ac:dyDescent="0.25">
      <c r="A228" t="str">
        <f>$A$79</f>
        <v xml:space="preserve">            of which are Retail Sales (%)</v>
      </c>
      <c r="B228" t="str">
        <f>$B$79</f>
        <v>KER FP Equity</v>
      </c>
      <c r="C228" t="str">
        <f>$C$79</f>
        <v>BI047</v>
      </c>
      <c r="D228" t="str">
        <f>$D$79</f>
        <v>BICS_SEGMENT_DATA</v>
      </c>
      <c r="E228" t="str">
        <f>$E$79</f>
        <v>Dynamic</v>
      </c>
      <c r="F228" t="str">
        <f ca="1">_xll.BDH($B$79,$C$79,$B$156,$B$157,CONCATENATE("Per=",$B$154),"Dts=H","Dir=H",CONCATENATE("Points=",$B$155),"Sort=R","Days=A","Fill=B","DZ666=1247","DZ381=1110101012","DZ667=1","DS276=Y",CONCATENATE("FX=", $B$153) )</f>
        <v/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  <c r="BT228" t="str">
        <f>""</f>
        <v/>
      </c>
      <c r="BU228" t="str">
        <f>""</f>
        <v/>
      </c>
      <c r="BV228" t="str">
        <f>""</f>
        <v/>
      </c>
      <c r="BW228" t="str">
        <f>""</f>
        <v/>
      </c>
      <c r="BX228" t="str">
        <f>""</f>
        <v/>
      </c>
      <c r="BY228" t="str">
        <f>""</f>
        <v/>
      </c>
      <c r="BZ228" t="str">
        <f>""</f>
        <v/>
      </c>
      <c r="CA228" t="str">
        <f>""</f>
        <v/>
      </c>
      <c r="CB228" t="str">
        <f>""</f>
        <v/>
      </c>
      <c r="CC228" t="str">
        <f>""</f>
        <v/>
      </c>
      <c r="CD228" t="str">
        <f>""</f>
        <v/>
      </c>
      <c r="CE228" t="str">
        <f>""</f>
        <v/>
      </c>
      <c r="CF228" t="str">
        <f>""</f>
        <v/>
      </c>
      <c r="CG228" t="str">
        <f>""</f>
        <v/>
      </c>
      <c r="CH228" t="str">
        <f>""</f>
        <v/>
      </c>
      <c r="CI228" t="str">
        <f>""</f>
        <v/>
      </c>
      <c r="CJ228" t="str">
        <f>""</f>
        <v/>
      </c>
      <c r="CK228" t="str">
        <f>""</f>
        <v/>
      </c>
      <c r="CL228" t="str">
        <f>""</f>
        <v/>
      </c>
      <c r="CM228" t="str">
        <f>""</f>
        <v/>
      </c>
      <c r="CN228" t="str">
        <f>""</f>
        <v/>
      </c>
      <c r="CO228" t="str">
        <f>""</f>
        <v/>
      </c>
      <c r="CP228" t="str">
        <f>""</f>
        <v/>
      </c>
      <c r="CQ228" t="str">
        <f>""</f>
        <v/>
      </c>
      <c r="CR228" t="str">
        <f>""</f>
        <v/>
      </c>
      <c r="CS228" t="str">
        <f>""</f>
        <v/>
      </c>
      <c r="CT228" t="str">
        <f>""</f>
        <v/>
      </c>
      <c r="CU228" t="str">
        <f>""</f>
        <v/>
      </c>
      <c r="CV228" t="str">
        <f>""</f>
        <v/>
      </c>
      <c r="CW228" t="str">
        <f>""</f>
        <v/>
      </c>
      <c r="CX228" t="str">
        <f>""</f>
        <v/>
      </c>
      <c r="CY228" t="str">
        <f>""</f>
        <v/>
      </c>
      <c r="CZ228" t="str">
        <f>""</f>
        <v/>
      </c>
      <c r="DA228" t="str">
        <f>""</f>
        <v/>
      </c>
      <c r="DB228" t="str">
        <f>""</f>
        <v/>
      </c>
      <c r="DC228" t="str">
        <f>""</f>
        <v/>
      </c>
      <c r="DD228" t="str">
        <f>""</f>
        <v/>
      </c>
      <c r="DE228" t="str">
        <f>""</f>
        <v/>
      </c>
      <c r="DF228" t="str">
        <f>""</f>
        <v/>
      </c>
      <c r="DG228" t="str">
        <f>""</f>
        <v/>
      </c>
      <c r="DH228" t="str">
        <f>""</f>
        <v/>
      </c>
      <c r="DI228" t="str">
        <f>""</f>
        <v/>
      </c>
      <c r="DJ228" t="str">
        <f>""</f>
        <v/>
      </c>
      <c r="DK228" t="str">
        <f>""</f>
        <v/>
      </c>
      <c r="DL228" t="str">
        <f>""</f>
        <v/>
      </c>
      <c r="DM228" t="str">
        <f>""</f>
        <v/>
      </c>
      <c r="DN228" t="str">
        <f>""</f>
        <v/>
      </c>
      <c r="DO228" t="str">
        <f>""</f>
        <v/>
      </c>
      <c r="DP228" t="str">
        <f>""</f>
        <v/>
      </c>
      <c r="DQ228" t="str">
        <f>""</f>
        <v/>
      </c>
      <c r="DR228" t="str">
        <f>""</f>
        <v/>
      </c>
      <c r="DS228" t="str">
        <f>""</f>
        <v/>
      </c>
      <c r="DT228" t="str">
        <f>""</f>
        <v/>
      </c>
      <c r="DU228" t="str">
        <f>""</f>
        <v/>
      </c>
    </row>
    <row r="229" spans="1:125" x14ac:dyDescent="0.25">
      <c r="A229" t="str">
        <f>$A$80</f>
        <v xml:space="preserve">                Gucci</v>
      </c>
      <c r="B229" t="str">
        <f>$B$80</f>
        <v>KER FP Equity</v>
      </c>
      <c r="C229" t="str">
        <f>$C$80</f>
        <v>BI047</v>
      </c>
      <c r="D229" t="str">
        <f>$D$80</f>
        <v>BICS_SEGMENT_DATA</v>
      </c>
      <c r="E229" t="str">
        <f>$E$80</f>
        <v>Dynamic</v>
      </c>
      <c r="F229" t="str">
        <f ca="1">_xll.BDH($B$80,$C$80,$B$156,$B$157,CONCATENATE("Per=",$B$154),"Dts=H","Dir=H",CONCATENATE("Points=",$B$155),"Sort=R","Days=A","Fill=B","DZ666=1247","DZ381=1110101012","DZ667=115","DS276=Y",CONCATENATE("FX=", $B$153) )</f>
        <v/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  <c r="BT229" t="str">
        <f>""</f>
        <v/>
      </c>
      <c r="BU229" t="str">
        <f>""</f>
        <v/>
      </c>
      <c r="BV229" t="str">
        <f>""</f>
        <v/>
      </c>
      <c r="BW229" t="str">
        <f>""</f>
        <v/>
      </c>
      <c r="BX229" t="str">
        <f>""</f>
        <v/>
      </c>
      <c r="BY229" t="str">
        <f>""</f>
        <v/>
      </c>
      <c r="BZ229" t="str">
        <f>""</f>
        <v/>
      </c>
      <c r="CA229" t="str">
        <f>""</f>
        <v/>
      </c>
      <c r="CB229" t="str">
        <f>""</f>
        <v/>
      </c>
      <c r="CC229" t="str">
        <f>""</f>
        <v/>
      </c>
      <c r="CD229" t="str">
        <f>""</f>
        <v/>
      </c>
      <c r="CE229" t="str">
        <f>""</f>
        <v/>
      </c>
      <c r="CF229" t="str">
        <f>""</f>
        <v/>
      </c>
      <c r="CG229" t="str">
        <f>""</f>
        <v/>
      </c>
      <c r="CH229" t="str">
        <f>""</f>
        <v/>
      </c>
      <c r="CI229" t="str">
        <f>""</f>
        <v/>
      </c>
      <c r="CJ229" t="str">
        <f>""</f>
        <v/>
      </c>
      <c r="CK229" t="str">
        <f>""</f>
        <v/>
      </c>
      <c r="CL229" t="str">
        <f>""</f>
        <v/>
      </c>
      <c r="CM229" t="str">
        <f>""</f>
        <v/>
      </c>
      <c r="CN229" t="str">
        <f>""</f>
        <v/>
      </c>
      <c r="CO229" t="str">
        <f>""</f>
        <v/>
      </c>
      <c r="CP229" t="str">
        <f>""</f>
        <v/>
      </c>
      <c r="CQ229" t="str">
        <f>""</f>
        <v/>
      </c>
      <c r="CR229" t="str">
        <f>""</f>
        <v/>
      </c>
      <c r="CS229" t="str">
        <f>""</f>
        <v/>
      </c>
      <c r="CT229" t="str">
        <f>""</f>
        <v/>
      </c>
      <c r="CU229" t="str">
        <f>""</f>
        <v/>
      </c>
      <c r="CV229" t="str">
        <f>""</f>
        <v/>
      </c>
      <c r="CW229" t="str">
        <f>""</f>
        <v/>
      </c>
      <c r="CX229" t="str">
        <f>""</f>
        <v/>
      </c>
      <c r="CY229" t="str">
        <f>""</f>
        <v/>
      </c>
      <c r="CZ229" t="str">
        <f>""</f>
        <v/>
      </c>
      <c r="DA229" t="str">
        <f>""</f>
        <v/>
      </c>
      <c r="DB229" t="str">
        <f>""</f>
        <v/>
      </c>
      <c r="DC229" t="str">
        <f>""</f>
        <v/>
      </c>
      <c r="DD229" t="str">
        <f>""</f>
        <v/>
      </c>
      <c r="DE229" t="str">
        <f>""</f>
        <v/>
      </c>
      <c r="DF229" t="str">
        <f>""</f>
        <v/>
      </c>
      <c r="DG229" t="str">
        <f>""</f>
        <v/>
      </c>
      <c r="DH229" t="str">
        <f>""</f>
        <v/>
      </c>
      <c r="DI229" t="str">
        <f>""</f>
        <v/>
      </c>
      <c r="DJ229" t="str">
        <f>""</f>
        <v/>
      </c>
      <c r="DK229" t="str">
        <f>""</f>
        <v/>
      </c>
      <c r="DL229" t="str">
        <f>""</f>
        <v/>
      </c>
      <c r="DM229" t="str">
        <f>""</f>
        <v/>
      </c>
      <c r="DN229" t="str">
        <f>""</f>
        <v/>
      </c>
      <c r="DO229" t="str">
        <f>""</f>
        <v/>
      </c>
      <c r="DP229" t="str">
        <f>""</f>
        <v/>
      </c>
      <c r="DQ229" t="str">
        <f>""</f>
        <v/>
      </c>
      <c r="DR229" t="str">
        <f>""</f>
        <v/>
      </c>
      <c r="DS229" t="str">
        <f>""</f>
        <v/>
      </c>
      <c r="DT229" t="str">
        <f>""</f>
        <v/>
      </c>
      <c r="DU229" t="str">
        <f>""</f>
        <v/>
      </c>
    </row>
    <row r="230" spans="1:125" x14ac:dyDescent="0.25">
      <c r="A230" t="str">
        <f>$A$81</f>
        <v xml:space="preserve">                Saint Laurent</v>
      </c>
      <c r="B230" t="str">
        <f>$B$81</f>
        <v>KER FP Equity</v>
      </c>
      <c r="C230" t="str">
        <f>$C$81</f>
        <v>BI047</v>
      </c>
      <c r="D230" t="str">
        <f>$D$81</f>
        <v>BICS_SEGMENT_DATA</v>
      </c>
      <c r="E230" t="str">
        <f>$E$81</f>
        <v>Dynamic</v>
      </c>
      <c r="F230" t="str">
        <f ca="1">_xll.BDH($B$81,$C$81,$B$156,$B$157,CONCATENATE("Per=",$B$154),"Dts=H","Dir=H",CONCATENATE("Points=",$B$155),"Sort=R","Days=A","Fill=B","DZ666=1247","DZ381=1110101012","DZ667=22","DS276=Y",CONCATENATE("FX=", $B$153) )</f>
        <v/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  <c r="BT230" t="str">
        <f>""</f>
        <v/>
      </c>
      <c r="BU230" t="str">
        <f>""</f>
        <v/>
      </c>
      <c r="BV230" t="str">
        <f>""</f>
        <v/>
      </c>
      <c r="BW230" t="str">
        <f>""</f>
        <v/>
      </c>
      <c r="BX230" t="str">
        <f>""</f>
        <v/>
      </c>
      <c r="BY230" t="str">
        <f>""</f>
        <v/>
      </c>
      <c r="BZ230" t="str">
        <f>""</f>
        <v/>
      </c>
      <c r="CA230" t="str">
        <f>""</f>
        <v/>
      </c>
      <c r="CB230" t="str">
        <f>""</f>
        <v/>
      </c>
      <c r="CC230" t="str">
        <f>""</f>
        <v/>
      </c>
      <c r="CD230" t="str">
        <f>""</f>
        <v/>
      </c>
      <c r="CE230" t="str">
        <f>""</f>
        <v/>
      </c>
      <c r="CF230" t="str">
        <f>""</f>
        <v/>
      </c>
      <c r="CG230" t="str">
        <f>""</f>
        <v/>
      </c>
      <c r="CH230" t="str">
        <f>""</f>
        <v/>
      </c>
      <c r="CI230" t="str">
        <f>""</f>
        <v/>
      </c>
      <c r="CJ230" t="str">
        <f>""</f>
        <v/>
      </c>
      <c r="CK230" t="str">
        <f>""</f>
        <v/>
      </c>
      <c r="CL230" t="str">
        <f>""</f>
        <v/>
      </c>
      <c r="CM230" t="str">
        <f>""</f>
        <v/>
      </c>
      <c r="CN230" t="str">
        <f>""</f>
        <v/>
      </c>
      <c r="CO230" t="str">
        <f>""</f>
        <v/>
      </c>
      <c r="CP230" t="str">
        <f>""</f>
        <v/>
      </c>
      <c r="CQ230" t="str">
        <f>""</f>
        <v/>
      </c>
      <c r="CR230" t="str">
        <f>""</f>
        <v/>
      </c>
      <c r="CS230" t="str">
        <f>""</f>
        <v/>
      </c>
      <c r="CT230" t="str">
        <f>""</f>
        <v/>
      </c>
      <c r="CU230" t="str">
        <f>""</f>
        <v/>
      </c>
      <c r="CV230" t="str">
        <f>""</f>
        <v/>
      </c>
      <c r="CW230" t="str">
        <f>""</f>
        <v/>
      </c>
      <c r="CX230" t="str">
        <f>""</f>
        <v/>
      </c>
      <c r="CY230" t="str">
        <f>""</f>
        <v/>
      </c>
      <c r="CZ230" t="str">
        <f>""</f>
        <v/>
      </c>
      <c r="DA230" t="str">
        <f>""</f>
        <v/>
      </c>
      <c r="DB230" t="str">
        <f>""</f>
        <v/>
      </c>
      <c r="DC230" t="str">
        <f>""</f>
        <v/>
      </c>
      <c r="DD230" t="str">
        <f>""</f>
        <v/>
      </c>
      <c r="DE230" t="str">
        <f>""</f>
        <v/>
      </c>
      <c r="DF230" t="str">
        <f>""</f>
        <v/>
      </c>
      <c r="DG230" t="str">
        <f>""</f>
        <v/>
      </c>
      <c r="DH230" t="str">
        <f>""</f>
        <v/>
      </c>
      <c r="DI230" t="str">
        <f>""</f>
        <v/>
      </c>
      <c r="DJ230" t="str">
        <f>""</f>
        <v/>
      </c>
      <c r="DK230" t="str">
        <f>""</f>
        <v/>
      </c>
      <c r="DL230" t="str">
        <f>""</f>
        <v/>
      </c>
      <c r="DM230" t="str">
        <f>""</f>
        <v/>
      </c>
      <c r="DN230" t="str">
        <f>""</f>
        <v/>
      </c>
      <c r="DO230" t="str">
        <f>""</f>
        <v/>
      </c>
      <c r="DP230" t="str">
        <f>""</f>
        <v/>
      </c>
      <c r="DQ230" t="str">
        <f>""</f>
        <v/>
      </c>
      <c r="DR230" t="str">
        <f>""</f>
        <v/>
      </c>
      <c r="DS230" t="str">
        <f>""</f>
        <v/>
      </c>
      <c r="DT230" t="str">
        <f>""</f>
        <v/>
      </c>
      <c r="DU230" t="str">
        <f>""</f>
        <v/>
      </c>
    </row>
    <row r="231" spans="1:125" x14ac:dyDescent="0.25">
      <c r="A231" t="str">
        <f>$A$82</f>
        <v xml:space="preserve">                Bottega Venetta</v>
      </c>
      <c r="B231" t="str">
        <f>$B$82</f>
        <v>KER FP Equity</v>
      </c>
      <c r="C231" t="str">
        <f>$C$82</f>
        <v>BI047</v>
      </c>
      <c r="D231" t="str">
        <f>$D$82</f>
        <v>BICS_SEGMENT_DATA</v>
      </c>
      <c r="E231" t="str">
        <f>$E$82</f>
        <v>Dynamic</v>
      </c>
      <c r="F231" t="str">
        <f ca="1">_xll.BDH($B$82,$C$82,$B$156,$B$157,CONCATENATE("Per=",$B$154),"Dts=H","Dir=H",CONCATENATE("Points=",$B$155),"Sort=R","Days=A","Fill=B","DZ666=1247","DZ381=1110101012","DZ667=30","DS276=Y",CONCATENATE("FX=", $B$153) )</f>
        <v/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  <c r="BT231" t="str">
        <f>""</f>
        <v/>
      </c>
      <c r="BU231" t="str">
        <f>""</f>
        <v/>
      </c>
      <c r="BV231" t="str">
        <f>""</f>
        <v/>
      </c>
      <c r="BW231" t="str">
        <f>""</f>
        <v/>
      </c>
      <c r="BX231" t="str">
        <f>""</f>
        <v/>
      </c>
      <c r="BY231" t="str">
        <f>""</f>
        <v/>
      </c>
      <c r="BZ231" t="str">
        <f>""</f>
        <v/>
      </c>
      <c r="CA231" t="str">
        <f>""</f>
        <v/>
      </c>
      <c r="CB231" t="str">
        <f>""</f>
        <v/>
      </c>
      <c r="CC231" t="str">
        <f>""</f>
        <v/>
      </c>
      <c r="CD231" t="str">
        <f>""</f>
        <v/>
      </c>
      <c r="CE231" t="str">
        <f>""</f>
        <v/>
      </c>
      <c r="CF231" t="str">
        <f>""</f>
        <v/>
      </c>
      <c r="CG231" t="str">
        <f>""</f>
        <v/>
      </c>
      <c r="CH231" t="str">
        <f>""</f>
        <v/>
      </c>
      <c r="CI231" t="str">
        <f>""</f>
        <v/>
      </c>
      <c r="CJ231" t="str">
        <f>""</f>
        <v/>
      </c>
      <c r="CK231" t="str">
        <f>""</f>
        <v/>
      </c>
      <c r="CL231" t="str">
        <f>""</f>
        <v/>
      </c>
      <c r="CM231" t="str">
        <f>""</f>
        <v/>
      </c>
      <c r="CN231" t="str">
        <f>""</f>
        <v/>
      </c>
      <c r="CO231" t="str">
        <f>""</f>
        <v/>
      </c>
      <c r="CP231" t="str">
        <f>""</f>
        <v/>
      </c>
      <c r="CQ231" t="str">
        <f>""</f>
        <v/>
      </c>
      <c r="CR231" t="str">
        <f>""</f>
        <v/>
      </c>
      <c r="CS231" t="str">
        <f>""</f>
        <v/>
      </c>
      <c r="CT231" t="str">
        <f>""</f>
        <v/>
      </c>
      <c r="CU231" t="str">
        <f>""</f>
        <v/>
      </c>
      <c r="CV231" t="str">
        <f>""</f>
        <v/>
      </c>
      <c r="CW231" t="str">
        <f>""</f>
        <v/>
      </c>
      <c r="CX231" t="str">
        <f>""</f>
        <v/>
      </c>
      <c r="CY231" t="str">
        <f>""</f>
        <v/>
      </c>
      <c r="CZ231" t="str">
        <f>""</f>
        <v/>
      </c>
      <c r="DA231" t="str">
        <f>""</f>
        <v/>
      </c>
      <c r="DB231" t="str">
        <f>""</f>
        <v/>
      </c>
      <c r="DC231" t="str">
        <f>""</f>
        <v/>
      </c>
      <c r="DD231" t="str">
        <f>""</f>
        <v/>
      </c>
      <c r="DE231" t="str">
        <f>""</f>
        <v/>
      </c>
      <c r="DF231" t="str">
        <f>""</f>
        <v/>
      </c>
      <c r="DG231" t="str">
        <f>""</f>
        <v/>
      </c>
      <c r="DH231" t="str">
        <f>""</f>
        <v/>
      </c>
      <c r="DI231" t="str">
        <f>""</f>
        <v/>
      </c>
      <c r="DJ231" t="str">
        <f>""</f>
        <v/>
      </c>
      <c r="DK231" t="str">
        <f>""</f>
        <v/>
      </c>
      <c r="DL231" t="str">
        <f>""</f>
        <v/>
      </c>
      <c r="DM231" t="str">
        <f>""</f>
        <v/>
      </c>
      <c r="DN231" t="str">
        <f>""</f>
        <v/>
      </c>
      <c r="DO231" t="str">
        <f>""</f>
        <v/>
      </c>
      <c r="DP231" t="str">
        <f>""</f>
        <v/>
      </c>
      <c r="DQ231" t="str">
        <f>""</f>
        <v/>
      </c>
      <c r="DR231" t="str">
        <f>""</f>
        <v/>
      </c>
      <c r="DS231" t="str">
        <f>""</f>
        <v/>
      </c>
      <c r="DT231" t="str">
        <f>""</f>
        <v/>
      </c>
      <c r="DU231" t="str">
        <f>""</f>
        <v/>
      </c>
    </row>
    <row r="232" spans="1:125" x14ac:dyDescent="0.25">
      <c r="A232" t="str">
        <f>$A$83</f>
        <v xml:space="preserve">                Other Luxury Brands</v>
      </c>
      <c r="B232" t="str">
        <f>$B$83</f>
        <v>KER FP Equity</v>
      </c>
      <c r="C232" t="str">
        <f>$C$83</f>
        <v>BI047</v>
      </c>
      <c r="D232" t="str">
        <f>$D$83</f>
        <v>BICS_SEGMENT_DATA</v>
      </c>
      <c r="E232" t="str">
        <f>$E$83</f>
        <v>Dynamic</v>
      </c>
      <c r="F232" t="str">
        <f ca="1">_xll.BDH($B$83,$C$83,$B$156,$B$157,CONCATENATE("Per=",$B$154),"Dts=H","Dir=H",CONCATENATE("Points=",$B$155),"Sort=R","Days=A","Fill=B","DZ666=1247","DZ381=1110101012","DZ667=35","DS276=Y",CONCATENATE("FX=", $B$153) )</f>
        <v/>
      </c>
      <c r="BN232" t="str">
        <f>""</f>
        <v/>
      </c>
      <c r="BO232" t="str">
        <f>""</f>
        <v/>
      </c>
      <c r="BP232" t="str">
        <f>""</f>
        <v/>
      </c>
      <c r="BQ232" t="str">
        <f>""</f>
        <v/>
      </c>
      <c r="BR232" t="str">
        <f>""</f>
        <v/>
      </c>
      <c r="BS232" t="str">
        <f>""</f>
        <v/>
      </c>
      <c r="BT232" t="str">
        <f>""</f>
        <v/>
      </c>
      <c r="BU232" t="str">
        <f>""</f>
        <v/>
      </c>
      <c r="BV232" t="str">
        <f>""</f>
        <v/>
      </c>
      <c r="BW232" t="str">
        <f>""</f>
        <v/>
      </c>
      <c r="BX232" t="str">
        <f>""</f>
        <v/>
      </c>
      <c r="BY232" t="str">
        <f>""</f>
        <v/>
      </c>
      <c r="BZ232" t="str">
        <f>""</f>
        <v/>
      </c>
      <c r="CA232" t="str">
        <f>""</f>
        <v/>
      </c>
      <c r="CB232" t="str">
        <f>""</f>
        <v/>
      </c>
      <c r="CC232" t="str">
        <f>""</f>
        <v/>
      </c>
      <c r="CD232" t="str">
        <f>""</f>
        <v/>
      </c>
      <c r="CE232" t="str">
        <f>""</f>
        <v/>
      </c>
      <c r="CF232" t="str">
        <f>""</f>
        <v/>
      </c>
      <c r="CG232" t="str">
        <f>""</f>
        <v/>
      </c>
      <c r="CH232" t="str">
        <f>""</f>
        <v/>
      </c>
      <c r="CI232" t="str">
        <f>""</f>
        <v/>
      </c>
      <c r="CJ232" t="str">
        <f>""</f>
        <v/>
      </c>
      <c r="CK232" t="str">
        <f>""</f>
        <v/>
      </c>
      <c r="CL232" t="str">
        <f>""</f>
        <v/>
      </c>
      <c r="CM232" t="str">
        <f>""</f>
        <v/>
      </c>
      <c r="CN232" t="str">
        <f>""</f>
        <v/>
      </c>
      <c r="CO232" t="str">
        <f>""</f>
        <v/>
      </c>
      <c r="CP232" t="str">
        <f>""</f>
        <v/>
      </c>
      <c r="CQ232" t="str">
        <f>""</f>
        <v/>
      </c>
      <c r="CR232" t="str">
        <f>""</f>
        <v/>
      </c>
      <c r="CS232" t="str">
        <f>""</f>
        <v/>
      </c>
      <c r="CT232" t="str">
        <f>""</f>
        <v/>
      </c>
      <c r="CU232" t="str">
        <f>""</f>
        <v/>
      </c>
      <c r="CV232" t="str">
        <f>""</f>
        <v/>
      </c>
      <c r="CW232" t="str">
        <f>""</f>
        <v/>
      </c>
      <c r="CX232" t="str">
        <f>""</f>
        <v/>
      </c>
      <c r="CY232" t="str">
        <f>""</f>
        <v/>
      </c>
      <c r="CZ232" t="str">
        <f>""</f>
        <v/>
      </c>
      <c r="DA232" t="str">
        <f>""</f>
        <v/>
      </c>
      <c r="DB232" t="str">
        <f>""</f>
        <v/>
      </c>
      <c r="DC232" t="str">
        <f>""</f>
        <v/>
      </c>
      <c r="DD232" t="str">
        <f>""</f>
        <v/>
      </c>
      <c r="DE232" t="str">
        <f>""</f>
        <v/>
      </c>
      <c r="DF232" t="str">
        <f>""</f>
        <v/>
      </c>
      <c r="DG232" t="str">
        <f>""</f>
        <v/>
      </c>
      <c r="DH232" t="str">
        <f>""</f>
        <v/>
      </c>
      <c r="DI232" t="str">
        <f>""</f>
        <v/>
      </c>
      <c r="DJ232" t="str">
        <f>""</f>
        <v/>
      </c>
      <c r="DK232" t="str">
        <f>""</f>
        <v/>
      </c>
      <c r="DL232" t="str">
        <f>""</f>
        <v/>
      </c>
      <c r="DM232" t="str">
        <f>""</f>
        <v/>
      </c>
      <c r="DN232" t="str">
        <f>""</f>
        <v/>
      </c>
      <c r="DO232" t="str">
        <f>""</f>
        <v/>
      </c>
      <c r="DP232" t="str">
        <f>""</f>
        <v/>
      </c>
      <c r="DQ232" t="str">
        <f>""</f>
        <v/>
      </c>
      <c r="DR232" t="str">
        <f>""</f>
        <v/>
      </c>
      <c r="DS232" t="str">
        <f>""</f>
        <v/>
      </c>
      <c r="DT232" t="str">
        <f>""</f>
        <v/>
      </c>
      <c r="DU232" t="str">
        <f>""</f>
        <v/>
      </c>
    </row>
    <row r="233" spans="1:125" x14ac:dyDescent="0.25">
      <c r="A233" t="str">
        <f>$A$84</f>
        <v xml:space="preserve">        Recurring Operating Income</v>
      </c>
      <c r="B233" t="str">
        <f>$B$84</f>
        <v>KER FP Equity</v>
      </c>
      <c r="C233" t="str">
        <f>$C$84</f>
        <v>BI047</v>
      </c>
      <c r="D233" t="str">
        <f>$D$84</f>
        <v>BICS_SEGMENT_DATA</v>
      </c>
      <c r="E233" t="str">
        <f>$E$84</f>
        <v>Dynamic</v>
      </c>
      <c r="F233" t="str">
        <f ca="1">_xll.BDH($B$84,$C$84,$B$156,$B$157,CONCATENATE("Per=",$B$154),"Dts=H","Dir=H",CONCATENATE("Points=",$B$155),"Sort=R","Days=A","Fill=B","DZ666=002","DZ381=1110101012","DZ667=1","DS276=Y",CONCATENATE("FX=", $B$153) )</f>
        <v/>
      </c>
      <c r="BN233" t="str">
        <f>""</f>
        <v/>
      </c>
      <c r="BO233" t="str">
        <f>""</f>
        <v/>
      </c>
      <c r="BP233" t="str">
        <f>""</f>
        <v/>
      </c>
      <c r="BQ233" t="str">
        <f>""</f>
        <v/>
      </c>
      <c r="BR233" t="str">
        <f>""</f>
        <v/>
      </c>
      <c r="BS233" t="str">
        <f>""</f>
        <v/>
      </c>
      <c r="BT233" t="str">
        <f>""</f>
        <v/>
      </c>
      <c r="BU233" t="str">
        <f>""</f>
        <v/>
      </c>
      <c r="BV233" t="str">
        <f>""</f>
        <v/>
      </c>
      <c r="BW233" t="str">
        <f>""</f>
        <v/>
      </c>
      <c r="BX233" t="str">
        <f>""</f>
        <v/>
      </c>
      <c r="BY233" t="str">
        <f>""</f>
        <v/>
      </c>
      <c r="BZ233" t="str">
        <f>""</f>
        <v/>
      </c>
      <c r="CA233" t="str">
        <f>""</f>
        <v/>
      </c>
      <c r="CB233" t="str">
        <f>""</f>
        <v/>
      </c>
      <c r="CC233" t="str">
        <f>""</f>
        <v/>
      </c>
      <c r="CD233" t="str">
        <f>""</f>
        <v/>
      </c>
      <c r="CE233" t="str">
        <f>""</f>
        <v/>
      </c>
      <c r="CF233" t="str">
        <f>""</f>
        <v/>
      </c>
      <c r="CG233" t="str">
        <f>""</f>
        <v/>
      </c>
      <c r="CH233" t="str">
        <f>""</f>
        <v/>
      </c>
      <c r="CI233" t="str">
        <f>""</f>
        <v/>
      </c>
      <c r="CJ233" t="str">
        <f>""</f>
        <v/>
      </c>
      <c r="CK233" t="str">
        <f>""</f>
        <v/>
      </c>
      <c r="CL233" t="str">
        <f>""</f>
        <v/>
      </c>
      <c r="CM233" t="str">
        <f>""</f>
        <v/>
      </c>
      <c r="CN233" t="str">
        <f>""</f>
        <v/>
      </c>
      <c r="CO233" t="str">
        <f>""</f>
        <v/>
      </c>
      <c r="CP233" t="str">
        <f>""</f>
        <v/>
      </c>
      <c r="CQ233" t="str">
        <f>""</f>
        <v/>
      </c>
      <c r="CR233" t="str">
        <f>""</f>
        <v/>
      </c>
      <c r="CS233" t="str">
        <f>""</f>
        <v/>
      </c>
      <c r="CT233" t="str">
        <f>""</f>
        <v/>
      </c>
      <c r="CU233" t="str">
        <f>""</f>
        <v/>
      </c>
      <c r="CV233" t="str">
        <f>""</f>
        <v/>
      </c>
      <c r="CW233" t="str">
        <f>""</f>
        <v/>
      </c>
      <c r="CX233" t="str">
        <f>""</f>
        <v/>
      </c>
      <c r="CY233" t="str">
        <f>""</f>
        <v/>
      </c>
      <c r="CZ233" t="str">
        <f>""</f>
        <v/>
      </c>
      <c r="DA233" t="str">
        <f>""</f>
        <v/>
      </c>
      <c r="DB233" t="str">
        <f>""</f>
        <v/>
      </c>
      <c r="DC233" t="str">
        <f>""</f>
        <v/>
      </c>
      <c r="DD233" t="str">
        <f>""</f>
        <v/>
      </c>
      <c r="DE233" t="str">
        <f>""</f>
        <v/>
      </c>
      <c r="DF233" t="str">
        <f>""</f>
        <v/>
      </c>
      <c r="DG233" t="str">
        <f>""</f>
        <v/>
      </c>
      <c r="DH233" t="str">
        <f>""</f>
        <v/>
      </c>
      <c r="DI233" t="str">
        <f>""</f>
        <v/>
      </c>
      <c r="DJ233" t="str">
        <f>""</f>
        <v/>
      </c>
      <c r="DK233" t="str">
        <f>""</f>
        <v/>
      </c>
      <c r="DL233" t="str">
        <f>""</f>
        <v/>
      </c>
      <c r="DM233" t="str">
        <f>""</f>
        <v/>
      </c>
      <c r="DN233" t="str">
        <f>""</f>
        <v/>
      </c>
      <c r="DO233" t="str">
        <f>""</f>
        <v/>
      </c>
      <c r="DP233" t="str">
        <f>""</f>
        <v/>
      </c>
      <c r="DQ233" t="str">
        <f>""</f>
        <v/>
      </c>
      <c r="DR233" t="str">
        <f>""</f>
        <v/>
      </c>
      <c r="DS233" t="str">
        <f>""</f>
        <v/>
      </c>
      <c r="DT233" t="str">
        <f>""</f>
        <v/>
      </c>
      <c r="DU233" t="str">
        <f>""</f>
        <v/>
      </c>
    </row>
    <row r="234" spans="1:125" x14ac:dyDescent="0.25">
      <c r="A234" t="str">
        <f>$A$87</f>
        <v xml:space="preserve">    Corporate &amp; Other Revenue</v>
      </c>
      <c r="B234" t="str">
        <f>$B$87</f>
        <v>KER FP Equity</v>
      </c>
      <c r="C234" t="str">
        <f>$C$87</f>
        <v>BI047</v>
      </c>
      <c r="D234" t="str">
        <f>$D$87</f>
        <v>BICS_SEGMENT_DATA</v>
      </c>
      <c r="E234" t="str">
        <f>$E$87</f>
        <v>Dynamic</v>
      </c>
      <c r="F234" t="str">
        <f ca="1">_xll.BDH($B$87,$C$87,$B$156,$B$157,CONCATENATE("Per=",$B$154),"Dts=H","Dir=H",CONCATENATE("Points=",$B$155),"Sort=R","Days=A","Fill=B","DZ666=001","DZ381=99101011","DZ667=1","DS276=Y",CONCATENATE("FX=", $B$153) )</f>
        <v/>
      </c>
      <c r="BN234" t="str">
        <f>""</f>
        <v/>
      </c>
      <c r="BO234" t="str">
        <f>""</f>
        <v/>
      </c>
      <c r="BP234" t="str">
        <f>""</f>
        <v/>
      </c>
      <c r="BQ234" t="str">
        <f>""</f>
        <v/>
      </c>
      <c r="BR234" t="str">
        <f>""</f>
        <v/>
      </c>
      <c r="BS234" t="str">
        <f>""</f>
        <v/>
      </c>
      <c r="BT234" t="str">
        <f>""</f>
        <v/>
      </c>
      <c r="BU234" t="str">
        <f>""</f>
        <v/>
      </c>
      <c r="BV234" t="str">
        <f>""</f>
        <v/>
      </c>
      <c r="BW234" t="str">
        <f>""</f>
        <v/>
      </c>
      <c r="BX234" t="str">
        <f>""</f>
        <v/>
      </c>
      <c r="BY234" t="str">
        <f>""</f>
        <v/>
      </c>
      <c r="BZ234" t="str">
        <f>""</f>
        <v/>
      </c>
      <c r="CA234" t="str">
        <f>""</f>
        <v/>
      </c>
      <c r="CB234" t="str">
        <f>""</f>
        <v/>
      </c>
      <c r="CC234" t="str">
        <f>""</f>
        <v/>
      </c>
      <c r="CD234" t="str">
        <f>""</f>
        <v/>
      </c>
      <c r="CE234" t="str">
        <f>""</f>
        <v/>
      </c>
      <c r="CF234" t="str">
        <f>""</f>
        <v/>
      </c>
      <c r="CG234" t="str">
        <f>""</f>
        <v/>
      </c>
      <c r="CH234" t="str">
        <f>""</f>
        <v/>
      </c>
      <c r="CI234" t="str">
        <f>""</f>
        <v/>
      </c>
      <c r="CJ234" t="str">
        <f>""</f>
        <v/>
      </c>
      <c r="CK234" t="str">
        <f>""</f>
        <v/>
      </c>
      <c r="CL234" t="str">
        <f>""</f>
        <v/>
      </c>
      <c r="CM234" t="str">
        <f>""</f>
        <v/>
      </c>
      <c r="CN234" t="str">
        <f>""</f>
        <v/>
      </c>
      <c r="CO234" t="str">
        <f>""</f>
        <v/>
      </c>
      <c r="CP234" t="str">
        <f>""</f>
        <v/>
      </c>
      <c r="CQ234" t="str">
        <f>""</f>
        <v/>
      </c>
      <c r="CR234" t="str">
        <f>""</f>
        <v/>
      </c>
      <c r="CS234" t="str">
        <f>""</f>
        <v/>
      </c>
      <c r="CT234" t="str">
        <f>""</f>
        <v/>
      </c>
      <c r="CU234" t="str">
        <f>""</f>
        <v/>
      </c>
      <c r="CV234" t="str">
        <f>""</f>
        <v/>
      </c>
      <c r="CW234" t="str">
        <f>""</f>
        <v/>
      </c>
      <c r="CX234" t="str">
        <f>""</f>
        <v/>
      </c>
      <c r="CY234" t="str">
        <f>""</f>
        <v/>
      </c>
      <c r="CZ234" t="str">
        <f>""</f>
        <v/>
      </c>
      <c r="DA234" t="str">
        <f>""</f>
        <v/>
      </c>
      <c r="DB234" t="str">
        <f>""</f>
        <v/>
      </c>
      <c r="DC234" t="str">
        <f>""</f>
        <v/>
      </c>
      <c r="DD234" t="str">
        <f>""</f>
        <v/>
      </c>
      <c r="DE234" t="str">
        <f>""</f>
        <v/>
      </c>
      <c r="DF234" t="str">
        <f>""</f>
        <v/>
      </c>
      <c r="DG234" t="str">
        <f>""</f>
        <v/>
      </c>
      <c r="DH234" t="str">
        <f>""</f>
        <v/>
      </c>
      <c r="DI234" t="str">
        <f>""</f>
        <v/>
      </c>
      <c r="DJ234" t="str">
        <f>""</f>
        <v/>
      </c>
      <c r="DK234" t="str">
        <f>""</f>
        <v/>
      </c>
      <c r="DL234" t="str">
        <f>""</f>
        <v/>
      </c>
      <c r="DM234" t="str">
        <f>""</f>
        <v/>
      </c>
      <c r="DN234" t="str">
        <f>""</f>
        <v/>
      </c>
      <c r="DO234" t="str">
        <f>""</f>
        <v/>
      </c>
      <c r="DP234" t="str">
        <f>""</f>
        <v/>
      </c>
      <c r="DQ234" t="str">
        <f>""</f>
        <v/>
      </c>
      <c r="DR234" t="str">
        <f>""</f>
        <v/>
      </c>
      <c r="DS234" t="str">
        <f>""</f>
        <v/>
      </c>
      <c r="DT234" t="str">
        <f>""</f>
        <v/>
      </c>
      <c r="DU234" t="str">
        <f>""</f>
        <v/>
      </c>
    </row>
    <row r="235" spans="1:125" x14ac:dyDescent="0.25">
      <c r="A235" t="str">
        <f>$A$91</f>
        <v xml:space="preserve">            Revenue</v>
      </c>
      <c r="B235" t="str">
        <f>$B$91</f>
        <v>KER FP Equity</v>
      </c>
      <c r="C235" t="str">
        <f>$C$91</f>
        <v>BI047</v>
      </c>
      <c r="D235" t="str">
        <f>$D$91</f>
        <v>BICS_SEGMENT_DATA</v>
      </c>
      <c r="E235" t="str">
        <f>$E$91</f>
        <v>Dynamic</v>
      </c>
      <c r="F235" t="str">
        <f ca="1">_xll.BDH($B$91,$C$91,$B$156,$B$157,CONCATENATE("Per=",$B$154),"Dts=H","Dir=H",CONCATENATE("Points=",$B$155),"Sort=R","Days=A","Fill=B","DZ666=001","DZ381=11121116","DZ667=115","DS276=Y",CONCATENATE("FX=", $B$153) )</f>
        <v/>
      </c>
      <c r="BN235" t="str">
        <f>""</f>
        <v/>
      </c>
      <c r="BO235" t="str">
        <f>""</f>
        <v/>
      </c>
      <c r="BP235" t="str">
        <f>""</f>
        <v/>
      </c>
      <c r="BQ235" t="str">
        <f>""</f>
        <v/>
      </c>
      <c r="BR235" t="str">
        <f>""</f>
        <v/>
      </c>
      <c r="BS235" t="str">
        <f>""</f>
        <v/>
      </c>
      <c r="BT235" t="str">
        <f>""</f>
        <v/>
      </c>
      <c r="BU235" t="str">
        <f>""</f>
        <v/>
      </c>
      <c r="BV235" t="str">
        <f>""</f>
        <v/>
      </c>
      <c r="BW235" t="str">
        <f>""</f>
        <v/>
      </c>
      <c r="BX235" t="str">
        <f>""</f>
        <v/>
      </c>
      <c r="BY235" t="str">
        <f>""</f>
        <v/>
      </c>
      <c r="BZ235" t="str">
        <f>""</f>
        <v/>
      </c>
      <c r="CA235" t="str">
        <f>""</f>
        <v/>
      </c>
      <c r="CB235" t="str">
        <f>""</f>
        <v/>
      </c>
      <c r="CC235" t="str">
        <f>""</f>
        <v/>
      </c>
      <c r="CD235" t="str">
        <f>""</f>
        <v/>
      </c>
      <c r="CE235" t="str">
        <f>""</f>
        <v/>
      </c>
      <c r="CF235" t="str">
        <f>""</f>
        <v/>
      </c>
      <c r="CG235" t="str">
        <f>""</f>
        <v/>
      </c>
      <c r="CH235" t="str">
        <f>""</f>
        <v/>
      </c>
      <c r="CI235" t="str">
        <f>""</f>
        <v/>
      </c>
      <c r="CJ235" t="str">
        <f>""</f>
        <v/>
      </c>
      <c r="CK235" t="str">
        <f>""</f>
        <v/>
      </c>
      <c r="CL235" t="str">
        <f>""</f>
        <v/>
      </c>
      <c r="CM235" t="str">
        <f>""</f>
        <v/>
      </c>
      <c r="CN235" t="str">
        <f>""</f>
        <v/>
      </c>
      <c r="CO235" t="str">
        <f>""</f>
        <v/>
      </c>
      <c r="CP235" t="str">
        <f>""</f>
        <v/>
      </c>
      <c r="CQ235" t="str">
        <f>""</f>
        <v/>
      </c>
      <c r="CR235" t="str">
        <f>""</f>
        <v/>
      </c>
      <c r="CS235" t="str">
        <f>""</f>
        <v/>
      </c>
      <c r="CT235" t="str">
        <f>""</f>
        <v/>
      </c>
      <c r="CU235" t="str">
        <f>""</f>
        <v/>
      </c>
      <c r="CV235" t="str">
        <f>""</f>
        <v/>
      </c>
      <c r="CW235" t="str">
        <f>""</f>
        <v/>
      </c>
      <c r="CX235" t="str">
        <f>""</f>
        <v/>
      </c>
      <c r="CY235" t="str">
        <f>""</f>
        <v/>
      </c>
      <c r="CZ235" t="str">
        <f>""</f>
        <v/>
      </c>
      <c r="DA235" t="str">
        <f>""</f>
        <v/>
      </c>
      <c r="DB235" t="str">
        <f>""</f>
        <v/>
      </c>
      <c r="DC235" t="str">
        <f>""</f>
        <v/>
      </c>
      <c r="DD235" t="str">
        <f>""</f>
        <v/>
      </c>
      <c r="DE235" t="str">
        <f>""</f>
        <v/>
      </c>
      <c r="DF235" t="str">
        <f>""</f>
        <v/>
      </c>
      <c r="DG235" t="str">
        <f>""</f>
        <v/>
      </c>
      <c r="DH235" t="str">
        <f>""</f>
        <v/>
      </c>
      <c r="DI235" t="str">
        <f>""</f>
        <v/>
      </c>
      <c r="DJ235" t="str">
        <f>""</f>
        <v/>
      </c>
      <c r="DK235" t="str">
        <f>""</f>
        <v/>
      </c>
      <c r="DL235" t="str">
        <f>""</f>
        <v/>
      </c>
      <c r="DM235" t="str">
        <f>""</f>
        <v/>
      </c>
      <c r="DN235" t="str">
        <f>""</f>
        <v/>
      </c>
      <c r="DO235" t="str">
        <f>""</f>
        <v/>
      </c>
      <c r="DP235" t="str">
        <f>""</f>
        <v/>
      </c>
      <c r="DQ235" t="str">
        <f>""</f>
        <v/>
      </c>
      <c r="DR235" t="str">
        <f>""</f>
        <v/>
      </c>
      <c r="DS235" t="str">
        <f>""</f>
        <v/>
      </c>
      <c r="DT235" t="str">
        <f>""</f>
        <v/>
      </c>
      <c r="DU235" t="str">
        <f>""</f>
        <v/>
      </c>
    </row>
    <row r="236" spans="1:125" x14ac:dyDescent="0.25">
      <c r="A236" t="str">
        <f>$A$93</f>
        <v xml:space="preserve">            Recurring Operating Income</v>
      </c>
      <c r="B236" t="str">
        <f>$B$93</f>
        <v>KER FP Equity</v>
      </c>
      <c r="C236" t="str">
        <f>$C$93</f>
        <v>BI047</v>
      </c>
      <c r="D236" t="str">
        <f>$D$93</f>
        <v>BICS_SEGMENT_DATA</v>
      </c>
      <c r="E236" t="str">
        <f>$E$93</f>
        <v>Dynamic</v>
      </c>
      <c r="F236" t="str">
        <f ca="1">_xll.BDH($B$93,$C$93,$B$156,$B$157,CONCATENATE("Per=",$B$154),"Dts=H","Dir=H",CONCATENATE("Points=",$B$155),"Sort=R","Days=A","Fill=B","DZ666=002","DZ381=11121116","DZ667=115","DS276=Y",CONCATENATE("FX=", $B$153) )</f>
        <v/>
      </c>
      <c r="BN236" t="str">
        <f>""</f>
        <v/>
      </c>
      <c r="BO236" t="str">
        <f>""</f>
        <v/>
      </c>
      <c r="BP236" t="str">
        <f>""</f>
        <v/>
      </c>
      <c r="BQ236" t="str">
        <f>""</f>
        <v/>
      </c>
      <c r="BR236" t="str">
        <f>""</f>
        <v/>
      </c>
      <c r="BS236" t="str">
        <f>""</f>
        <v/>
      </c>
      <c r="BT236" t="str">
        <f>""</f>
        <v/>
      </c>
      <c r="BU236" t="str">
        <f>""</f>
        <v/>
      </c>
      <c r="BV236" t="str">
        <f>""</f>
        <v/>
      </c>
      <c r="BW236" t="str">
        <f>""</f>
        <v/>
      </c>
      <c r="BX236" t="str">
        <f>""</f>
        <v/>
      </c>
      <c r="BY236" t="str">
        <f>""</f>
        <v/>
      </c>
      <c r="BZ236" t="str">
        <f>""</f>
        <v/>
      </c>
      <c r="CA236" t="str">
        <f>""</f>
        <v/>
      </c>
      <c r="CB236" t="str">
        <f>""</f>
        <v/>
      </c>
      <c r="CC236" t="str">
        <f>""</f>
        <v/>
      </c>
      <c r="CD236" t="str">
        <f>""</f>
        <v/>
      </c>
      <c r="CE236" t="str">
        <f>""</f>
        <v/>
      </c>
      <c r="CF236" t="str">
        <f>""</f>
        <v/>
      </c>
      <c r="CG236" t="str">
        <f>""</f>
        <v/>
      </c>
      <c r="CH236" t="str">
        <f>""</f>
        <v/>
      </c>
      <c r="CI236" t="str">
        <f>""</f>
        <v/>
      </c>
      <c r="CJ236" t="str">
        <f>""</f>
        <v/>
      </c>
      <c r="CK236" t="str">
        <f>""</f>
        <v/>
      </c>
      <c r="CL236" t="str">
        <f>""</f>
        <v/>
      </c>
      <c r="CM236" t="str">
        <f>""</f>
        <v/>
      </c>
      <c r="CN236" t="str">
        <f>""</f>
        <v/>
      </c>
      <c r="CO236" t="str">
        <f>""</f>
        <v/>
      </c>
      <c r="CP236" t="str">
        <f>""</f>
        <v/>
      </c>
      <c r="CQ236" t="str">
        <f>""</f>
        <v/>
      </c>
      <c r="CR236" t="str">
        <f>""</f>
        <v/>
      </c>
      <c r="CS236" t="str">
        <f>""</f>
        <v/>
      </c>
      <c r="CT236" t="str">
        <f>""</f>
        <v/>
      </c>
      <c r="CU236" t="str">
        <f>""</f>
        <v/>
      </c>
      <c r="CV236" t="str">
        <f>""</f>
        <v/>
      </c>
      <c r="CW236" t="str">
        <f>""</f>
        <v/>
      </c>
      <c r="CX236" t="str">
        <f>""</f>
        <v/>
      </c>
      <c r="CY236" t="str">
        <f>""</f>
        <v/>
      </c>
      <c r="CZ236" t="str">
        <f>""</f>
        <v/>
      </c>
      <c r="DA236" t="str">
        <f>""</f>
        <v/>
      </c>
      <c r="DB236" t="str">
        <f>""</f>
        <v/>
      </c>
      <c r="DC236" t="str">
        <f>""</f>
        <v/>
      </c>
      <c r="DD236" t="str">
        <f>""</f>
        <v/>
      </c>
      <c r="DE236" t="str">
        <f>""</f>
        <v/>
      </c>
      <c r="DF236" t="str">
        <f>""</f>
        <v/>
      </c>
      <c r="DG236" t="str">
        <f>""</f>
        <v/>
      </c>
      <c r="DH236" t="str">
        <f>""</f>
        <v/>
      </c>
      <c r="DI236" t="str">
        <f>""</f>
        <v/>
      </c>
      <c r="DJ236" t="str">
        <f>""</f>
        <v/>
      </c>
      <c r="DK236" t="str">
        <f>""</f>
        <v/>
      </c>
      <c r="DL236" t="str">
        <f>""</f>
        <v/>
      </c>
      <c r="DM236" t="str">
        <f>""</f>
        <v/>
      </c>
      <c r="DN236" t="str">
        <f>""</f>
        <v/>
      </c>
      <c r="DO236" t="str">
        <f>""</f>
        <v/>
      </c>
      <c r="DP236" t="str">
        <f>""</f>
        <v/>
      </c>
      <c r="DQ236" t="str">
        <f>""</f>
        <v/>
      </c>
      <c r="DR236" t="str">
        <f>""</f>
        <v/>
      </c>
      <c r="DS236" t="str">
        <f>""</f>
        <v/>
      </c>
      <c r="DT236" t="str">
        <f>""</f>
        <v/>
      </c>
      <c r="DU236" t="str">
        <f>""</f>
        <v/>
      </c>
    </row>
    <row r="237" spans="1:125" x14ac:dyDescent="0.25">
      <c r="A237" t="str">
        <f>$A$99</f>
        <v xml:space="preserve">        Revenue</v>
      </c>
      <c r="B237" t="str">
        <f>$B$99</f>
        <v>KER FP Equity</v>
      </c>
      <c r="C237" t="str">
        <f>$C$99</f>
        <v>BI047</v>
      </c>
      <c r="D237" t="str">
        <f>$D$99</f>
        <v>BICS_SEGMENT_DATA</v>
      </c>
      <c r="E237" t="str">
        <f>$E$99</f>
        <v>Dynamic</v>
      </c>
      <c r="F237" t="str">
        <f ca="1">_xll.BDH($B$99,$C$99,$B$156,$B$157,CONCATENATE("Per=",$B$154),"Dts=H","Dir=H",CONCATENATE("Points=",$B$155),"Sort=R","Days=A","Fill=B","DZ666=001","DZ381=1110101012","DZ665=18297059","DZ667=8","DS276=Y",CONCATENATE("FX=", $B$153) )</f>
        <v/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  <c r="BT237" t="str">
        <f>""</f>
        <v/>
      </c>
      <c r="BU237" t="str">
        <f>""</f>
        <v/>
      </c>
      <c r="BV237" t="str">
        <f>""</f>
        <v/>
      </c>
      <c r="BW237" t="str">
        <f>""</f>
        <v/>
      </c>
      <c r="BX237" t="str">
        <f>""</f>
        <v/>
      </c>
      <c r="BY237" t="str">
        <f>""</f>
        <v/>
      </c>
      <c r="BZ237" t="str">
        <f>""</f>
        <v/>
      </c>
      <c r="CA237" t="str">
        <f>""</f>
        <v/>
      </c>
      <c r="CB237" t="str">
        <f>""</f>
        <v/>
      </c>
      <c r="CC237" t="str">
        <f>""</f>
        <v/>
      </c>
      <c r="CD237" t="str">
        <f>""</f>
        <v/>
      </c>
      <c r="CE237" t="str">
        <f>""</f>
        <v/>
      </c>
      <c r="CF237" t="str">
        <f>""</f>
        <v/>
      </c>
      <c r="CG237" t="str">
        <f>""</f>
        <v/>
      </c>
      <c r="CH237" t="str">
        <f>""</f>
        <v/>
      </c>
      <c r="CI237" t="str">
        <f>""</f>
        <v/>
      </c>
      <c r="CJ237" t="str">
        <f>""</f>
        <v/>
      </c>
      <c r="CK237" t="str">
        <f>""</f>
        <v/>
      </c>
      <c r="CL237" t="str">
        <f>""</f>
        <v/>
      </c>
      <c r="CM237" t="str">
        <f>""</f>
        <v/>
      </c>
      <c r="CN237" t="str">
        <f>""</f>
        <v/>
      </c>
      <c r="CO237" t="str">
        <f>""</f>
        <v/>
      </c>
      <c r="CP237" t="str">
        <f>""</f>
        <v/>
      </c>
      <c r="CQ237" t="str">
        <f>""</f>
        <v/>
      </c>
      <c r="CR237" t="str">
        <f>""</f>
        <v/>
      </c>
      <c r="CS237" t="str">
        <f>""</f>
        <v/>
      </c>
      <c r="CT237" t="str">
        <f>""</f>
        <v/>
      </c>
      <c r="CU237" t="str">
        <f>""</f>
        <v/>
      </c>
      <c r="CV237" t="str">
        <f>""</f>
        <v/>
      </c>
      <c r="CW237" t="str">
        <f>""</f>
        <v/>
      </c>
      <c r="CX237" t="str">
        <f>""</f>
        <v/>
      </c>
      <c r="CY237" t="str">
        <f>""</f>
        <v/>
      </c>
      <c r="CZ237" t="str">
        <f>""</f>
        <v/>
      </c>
      <c r="DA237" t="str">
        <f>""</f>
        <v/>
      </c>
      <c r="DB237" t="str">
        <f>""</f>
        <v/>
      </c>
      <c r="DC237" t="str">
        <f>""</f>
        <v/>
      </c>
      <c r="DD237" t="str">
        <f>""</f>
        <v/>
      </c>
      <c r="DE237" t="str">
        <f>""</f>
        <v/>
      </c>
      <c r="DF237" t="str">
        <f>""</f>
        <v/>
      </c>
      <c r="DG237" t="str">
        <f>""</f>
        <v/>
      </c>
      <c r="DH237" t="str">
        <f>""</f>
        <v/>
      </c>
      <c r="DI237" t="str">
        <f>""</f>
        <v/>
      </c>
      <c r="DJ237" t="str">
        <f>""</f>
        <v/>
      </c>
      <c r="DK237" t="str">
        <f>""</f>
        <v/>
      </c>
      <c r="DL237" t="str">
        <f>""</f>
        <v/>
      </c>
      <c r="DM237" t="str">
        <f>""</f>
        <v/>
      </c>
      <c r="DN237" t="str">
        <f>""</f>
        <v/>
      </c>
      <c r="DO237" t="str">
        <f>""</f>
        <v/>
      </c>
      <c r="DP237" t="str">
        <f>""</f>
        <v/>
      </c>
      <c r="DQ237" t="str">
        <f>""</f>
        <v/>
      </c>
      <c r="DR237" t="str">
        <f>""</f>
        <v/>
      </c>
      <c r="DS237" t="str">
        <f>""</f>
        <v/>
      </c>
      <c r="DT237" t="str">
        <f>""</f>
        <v/>
      </c>
      <c r="DU237" t="str">
        <f>""</f>
        <v/>
      </c>
    </row>
    <row r="238" spans="1:125" x14ac:dyDescent="0.25">
      <c r="A238" t="str">
        <f>$A$101</f>
        <v xml:space="preserve">        Recurring Operating Income</v>
      </c>
      <c r="B238" t="str">
        <f>$B$101</f>
        <v>KER FP Equity</v>
      </c>
      <c r="C238" t="str">
        <f>$C$101</f>
        <v>BI047</v>
      </c>
      <c r="D238" t="str">
        <f>$D$101</f>
        <v>BICS_SEGMENT_DATA</v>
      </c>
      <c r="E238" t="str">
        <f>$E$101</f>
        <v>Dynamic</v>
      </c>
      <c r="F238" t="str">
        <f ca="1">_xll.BDH($B$101,$C$101,$B$156,$B$157,CONCATENATE("Per=",$B$154),"Dts=H","Dir=H",CONCATENATE("Points=",$B$155),"Sort=R","Days=A","Fill=B","DZ666=002","DZ381=1110101012","DZ665=18297059","DZ667=8","DS276=Y",CONCATENATE("FX=", $B$153) )</f>
        <v/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  <c r="BT238" t="str">
        <f>""</f>
        <v/>
      </c>
      <c r="BU238" t="str">
        <f>""</f>
        <v/>
      </c>
      <c r="BV238" t="str">
        <f>""</f>
        <v/>
      </c>
      <c r="BW238" t="str">
        <f>""</f>
        <v/>
      </c>
      <c r="BX238" t="str">
        <f>""</f>
        <v/>
      </c>
      <c r="BY238" t="str">
        <f>""</f>
        <v/>
      </c>
      <c r="BZ238" t="str">
        <f>""</f>
        <v/>
      </c>
      <c r="CA238" t="str">
        <f>""</f>
        <v/>
      </c>
      <c r="CB238" t="str">
        <f>""</f>
        <v/>
      </c>
      <c r="CC238" t="str">
        <f>""</f>
        <v/>
      </c>
      <c r="CD238" t="str">
        <f>""</f>
        <v/>
      </c>
      <c r="CE238" t="str">
        <f>""</f>
        <v/>
      </c>
      <c r="CF238" t="str">
        <f>""</f>
        <v/>
      </c>
      <c r="CG238" t="str">
        <f>""</f>
        <v/>
      </c>
      <c r="CH238" t="str">
        <f>""</f>
        <v/>
      </c>
      <c r="CI238" t="str">
        <f>""</f>
        <v/>
      </c>
      <c r="CJ238" t="str">
        <f>""</f>
        <v/>
      </c>
      <c r="CK238" t="str">
        <f>""</f>
        <v/>
      </c>
      <c r="CL238" t="str">
        <f>""</f>
        <v/>
      </c>
      <c r="CM238" t="str">
        <f>""</f>
        <v/>
      </c>
      <c r="CN238" t="str">
        <f>""</f>
        <v/>
      </c>
      <c r="CO238" t="str">
        <f>""</f>
        <v/>
      </c>
      <c r="CP238" t="str">
        <f>""</f>
        <v/>
      </c>
      <c r="CQ238" t="str">
        <f>""</f>
        <v/>
      </c>
      <c r="CR238" t="str">
        <f>""</f>
        <v/>
      </c>
      <c r="CS238" t="str">
        <f>""</f>
        <v/>
      </c>
      <c r="CT238" t="str">
        <f>""</f>
        <v/>
      </c>
      <c r="CU238" t="str">
        <f>""</f>
        <v/>
      </c>
      <c r="CV238" t="str">
        <f>""</f>
        <v/>
      </c>
      <c r="CW238" t="str">
        <f>""</f>
        <v/>
      </c>
      <c r="CX238" t="str">
        <f>""</f>
        <v/>
      </c>
      <c r="CY238" t="str">
        <f>""</f>
        <v/>
      </c>
      <c r="CZ238" t="str">
        <f>""</f>
        <v/>
      </c>
      <c r="DA238" t="str">
        <f>""</f>
        <v/>
      </c>
      <c r="DB238" t="str">
        <f>""</f>
        <v/>
      </c>
      <c r="DC238" t="str">
        <f>""</f>
        <v/>
      </c>
      <c r="DD238" t="str">
        <f>""</f>
        <v/>
      </c>
      <c r="DE238" t="str">
        <f>""</f>
        <v/>
      </c>
      <c r="DF238" t="str">
        <f>""</f>
        <v/>
      </c>
      <c r="DG238" t="str">
        <f>""</f>
        <v/>
      </c>
      <c r="DH238" t="str">
        <f>""</f>
        <v/>
      </c>
      <c r="DI238" t="str">
        <f>""</f>
        <v/>
      </c>
      <c r="DJ238" t="str">
        <f>""</f>
        <v/>
      </c>
      <c r="DK238" t="str">
        <f>""</f>
        <v/>
      </c>
      <c r="DL238" t="str">
        <f>""</f>
        <v/>
      </c>
      <c r="DM238" t="str">
        <f>""</f>
        <v/>
      </c>
      <c r="DN238" t="str">
        <f>""</f>
        <v/>
      </c>
      <c r="DO238" t="str">
        <f>""</f>
        <v/>
      </c>
      <c r="DP238" t="str">
        <f>""</f>
        <v/>
      </c>
      <c r="DQ238" t="str">
        <f>""</f>
        <v/>
      </c>
      <c r="DR238" t="str">
        <f>""</f>
        <v/>
      </c>
      <c r="DS238" t="str">
        <f>""</f>
        <v/>
      </c>
      <c r="DT238" t="str">
        <f>""</f>
        <v/>
      </c>
      <c r="DU238" t="str">
        <f>""</f>
        <v/>
      </c>
    </row>
    <row r="239" spans="1:125" x14ac:dyDescent="0.25">
      <c r="A239" t="str">
        <f>$A$104</f>
        <v xml:space="preserve">        Revenue</v>
      </c>
      <c r="B239" t="str">
        <f>$B$104</f>
        <v>KER FP Equity</v>
      </c>
      <c r="C239" t="str">
        <f>$C$104</f>
        <v>BI047</v>
      </c>
      <c r="D239" t="str">
        <f>$D$104</f>
        <v>BICS_SEGMENT_DATA</v>
      </c>
      <c r="E239" t="str">
        <f>$E$104</f>
        <v>Dynamic</v>
      </c>
      <c r="F239" t="str">
        <f ca="1">_xll.BDH($B$104,$C$104,$B$156,$B$157,CONCATENATE("Per=",$B$154),"Dts=H","Dir=H",CONCATENATE("Points=",$B$155),"Sort=R","Days=A","Fill=B","DZ666=001","DZ381=1110101012","DZ665=240051","DZ667=1","DS276=Y",CONCATENATE("FX=", $B$153) )</f>
        <v/>
      </c>
      <c r="BN239" t="str">
        <f>""</f>
        <v/>
      </c>
      <c r="BO239" t="str">
        <f>""</f>
        <v/>
      </c>
      <c r="BP239" t="str">
        <f>""</f>
        <v/>
      </c>
      <c r="BQ239" t="str">
        <f>""</f>
        <v/>
      </c>
      <c r="BR239" t="str">
        <f>""</f>
        <v/>
      </c>
      <c r="BS239" t="str">
        <f>""</f>
        <v/>
      </c>
      <c r="BT239" t="str">
        <f>""</f>
        <v/>
      </c>
      <c r="BU239" t="str">
        <f>""</f>
        <v/>
      </c>
      <c r="BV239" t="str">
        <f>""</f>
        <v/>
      </c>
      <c r="BW239" t="str">
        <f>""</f>
        <v/>
      </c>
      <c r="BX239" t="str">
        <f>""</f>
        <v/>
      </c>
      <c r="BY239" t="str">
        <f>""</f>
        <v/>
      </c>
      <c r="BZ239" t="str">
        <f>""</f>
        <v/>
      </c>
      <c r="CA239" t="str">
        <f>""</f>
        <v/>
      </c>
      <c r="CB239" t="str">
        <f>""</f>
        <v/>
      </c>
      <c r="CC239" t="str">
        <f>""</f>
        <v/>
      </c>
      <c r="CD239" t="str">
        <f>""</f>
        <v/>
      </c>
      <c r="CE239" t="str">
        <f>""</f>
        <v/>
      </c>
      <c r="CF239" t="str">
        <f>""</f>
        <v/>
      </c>
      <c r="CG239" t="str">
        <f>""</f>
        <v/>
      </c>
      <c r="CH239" t="str">
        <f>""</f>
        <v/>
      </c>
      <c r="CI239" t="str">
        <f>""</f>
        <v/>
      </c>
      <c r="CJ239" t="str">
        <f>""</f>
        <v/>
      </c>
      <c r="CK239" t="str">
        <f>""</f>
        <v/>
      </c>
      <c r="CL239" t="str">
        <f>""</f>
        <v/>
      </c>
      <c r="CM239" t="str">
        <f>""</f>
        <v/>
      </c>
      <c r="CN239" t="str">
        <f>""</f>
        <v/>
      </c>
      <c r="CO239" t="str">
        <f>""</f>
        <v/>
      </c>
      <c r="CP239" t="str">
        <f>""</f>
        <v/>
      </c>
      <c r="CQ239" t="str">
        <f>""</f>
        <v/>
      </c>
      <c r="CR239" t="str">
        <f>""</f>
        <v/>
      </c>
      <c r="CS239" t="str">
        <f>""</f>
        <v/>
      </c>
      <c r="CT239" t="str">
        <f>""</f>
        <v/>
      </c>
      <c r="CU239" t="str">
        <f>""</f>
        <v/>
      </c>
      <c r="CV239" t="str">
        <f>""</f>
        <v/>
      </c>
      <c r="CW239" t="str">
        <f>""</f>
        <v/>
      </c>
      <c r="CX239" t="str">
        <f>""</f>
        <v/>
      </c>
      <c r="CY239" t="str">
        <f>""</f>
        <v/>
      </c>
      <c r="CZ239" t="str">
        <f>""</f>
        <v/>
      </c>
      <c r="DA239" t="str">
        <f>""</f>
        <v/>
      </c>
      <c r="DB239" t="str">
        <f>""</f>
        <v/>
      </c>
      <c r="DC239" t="str">
        <f>""</f>
        <v/>
      </c>
      <c r="DD239" t="str">
        <f>""</f>
        <v/>
      </c>
      <c r="DE239" t="str">
        <f>""</f>
        <v/>
      </c>
      <c r="DF239" t="str">
        <f>""</f>
        <v/>
      </c>
      <c r="DG239" t="str">
        <f>""</f>
        <v/>
      </c>
      <c r="DH239" t="str">
        <f>""</f>
        <v/>
      </c>
      <c r="DI239" t="str">
        <f>""</f>
        <v/>
      </c>
      <c r="DJ239" t="str">
        <f>""</f>
        <v/>
      </c>
      <c r="DK239" t="str">
        <f>""</f>
        <v/>
      </c>
      <c r="DL239" t="str">
        <f>""</f>
        <v/>
      </c>
      <c r="DM239" t="str">
        <f>""</f>
        <v/>
      </c>
      <c r="DN239" t="str">
        <f>""</f>
        <v/>
      </c>
      <c r="DO239" t="str">
        <f>""</f>
        <v/>
      </c>
      <c r="DP239" t="str">
        <f>""</f>
        <v/>
      </c>
      <c r="DQ239" t="str">
        <f>""</f>
        <v/>
      </c>
      <c r="DR239" t="str">
        <f>""</f>
        <v/>
      </c>
      <c r="DS239" t="str">
        <f>""</f>
        <v/>
      </c>
      <c r="DT239" t="str">
        <f>""</f>
        <v/>
      </c>
      <c r="DU239" t="str">
        <f>""</f>
        <v/>
      </c>
    </row>
    <row r="240" spans="1:125" x14ac:dyDescent="0.25">
      <c r="A240" t="str">
        <f>$A$106</f>
        <v xml:space="preserve">        Recurring Operating Income</v>
      </c>
      <c r="B240" t="str">
        <f>$B$106</f>
        <v>KER FP Equity</v>
      </c>
      <c r="C240" t="str">
        <f>$C$106</f>
        <v>BI047</v>
      </c>
      <c r="D240" t="str">
        <f>$D$106</f>
        <v>BICS_SEGMENT_DATA</v>
      </c>
      <c r="E240" t="str">
        <f>$E$106</f>
        <v>Dynamic</v>
      </c>
      <c r="F240" t="str">
        <f ca="1">_xll.BDH($B$106,$C$106,$B$156,$B$157,CONCATENATE("Per=",$B$154),"Dts=H","Dir=H",CONCATENATE("Points=",$B$155),"Sort=R","Days=A","Fill=B","DZ666=002","DZ381=1110101012","DZ665=240051","DZ667=1","DS276=Y",CONCATENATE("FX=", $B$153) )</f>
        <v/>
      </c>
      <c r="BN240" t="str">
        <f>""</f>
        <v/>
      </c>
      <c r="BO240" t="str">
        <f>""</f>
        <v/>
      </c>
      <c r="BP240" t="str">
        <f>""</f>
        <v/>
      </c>
      <c r="BQ240" t="str">
        <f>""</f>
        <v/>
      </c>
      <c r="BR240" t="str">
        <f>""</f>
        <v/>
      </c>
      <c r="BS240" t="str">
        <f>""</f>
        <v/>
      </c>
      <c r="BT240" t="str">
        <f>""</f>
        <v/>
      </c>
      <c r="BU240" t="str">
        <f>""</f>
        <v/>
      </c>
      <c r="BV240" t="str">
        <f>""</f>
        <v/>
      </c>
      <c r="BW240" t="str">
        <f>""</f>
        <v/>
      </c>
      <c r="BX240" t="str">
        <f>""</f>
        <v/>
      </c>
      <c r="BY240" t="str">
        <f>""</f>
        <v/>
      </c>
      <c r="BZ240" t="str">
        <f>""</f>
        <v/>
      </c>
      <c r="CA240" t="str">
        <f>""</f>
        <v/>
      </c>
      <c r="CB240" t="str">
        <f>""</f>
        <v/>
      </c>
      <c r="CC240" t="str">
        <f>""</f>
        <v/>
      </c>
      <c r="CD240" t="str">
        <f>""</f>
        <v/>
      </c>
      <c r="CE240" t="str">
        <f>""</f>
        <v/>
      </c>
      <c r="CF240" t="str">
        <f>""</f>
        <v/>
      </c>
      <c r="CG240" t="str">
        <f>""</f>
        <v/>
      </c>
      <c r="CH240" t="str">
        <f>""</f>
        <v/>
      </c>
      <c r="CI240" t="str">
        <f>""</f>
        <v/>
      </c>
      <c r="CJ240" t="str">
        <f>""</f>
        <v/>
      </c>
      <c r="CK240" t="str">
        <f>""</f>
        <v/>
      </c>
      <c r="CL240" t="str">
        <f>""</f>
        <v/>
      </c>
      <c r="CM240" t="str">
        <f>""</f>
        <v/>
      </c>
      <c r="CN240" t="str">
        <f>""</f>
        <v/>
      </c>
      <c r="CO240" t="str">
        <f>""</f>
        <v/>
      </c>
      <c r="CP240" t="str">
        <f>""</f>
        <v/>
      </c>
      <c r="CQ240" t="str">
        <f>""</f>
        <v/>
      </c>
      <c r="CR240" t="str">
        <f>""</f>
        <v/>
      </c>
      <c r="CS240" t="str">
        <f>""</f>
        <v/>
      </c>
      <c r="CT240" t="str">
        <f>""</f>
        <v/>
      </c>
      <c r="CU240" t="str">
        <f>""</f>
        <v/>
      </c>
      <c r="CV240" t="str">
        <f>""</f>
        <v/>
      </c>
      <c r="CW240" t="str">
        <f>""</f>
        <v/>
      </c>
      <c r="CX240" t="str">
        <f>""</f>
        <v/>
      </c>
      <c r="CY240" t="str">
        <f>""</f>
        <v/>
      </c>
      <c r="CZ240" t="str">
        <f>""</f>
        <v/>
      </c>
      <c r="DA240" t="str">
        <f>""</f>
        <v/>
      </c>
      <c r="DB240" t="str">
        <f>""</f>
        <v/>
      </c>
      <c r="DC240" t="str">
        <f>""</f>
        <v/>
      </c>
      <c r="DD240" t="str">
        <f>""</f>
        <v/>
      </c>
      <c r="DE240" t="str">
        <f>""</f>
        <v/>
      </c>
      <c r="DF240" t="str">
        <f>""</f>
        <v/>
      </c>
      <c r="DG240" t="str">
        <f>""</f>
        <v/>
      </c>
      <c r="DH240" t="str">
        <f>""</f>
        <v/>
      </c>
      <c r="DI240" t="str">
        <f>""</f>
        <v/>
      </c>
      <c r="DJ240" t="str">
        <f>""</f>
        <v/>
      </c>
      <c r="DK240" t="str">
        <f>""</f>
        <v/>
      </c>
      <c r="DL240" t="str">
        <f>""</f>
        <v/>
      </c>
      <c r="DM240" t="str">
        <f>""</f>
        <v/>
      </c>
      <c r="DN240" t="str">
        <f>""</f>
        <v/>
      </c>
      <c r="DO240" t="str">
        <f>""</f>
        <v/>
      </c>
      <c r="DP240" t="str">
        <f>""</f>
        <v/>
      </c>
      <c r="DQ240" t="str">
        <f>""</f>
        <v/>
      </c>
      <c r="DR240" t="str">
        <f>""</f>
        <v/>
      </c>
      <c r="DS240" t="str">
        <f>""</f>
        <v/>
      </c>
      <c r="DT240" t="str">
        <f>""</f>
        <v/>
      </c>
      <c r="DU240" t="str">
        <f>""</f>
        <v/>
      </c>
    </row>
    <row r="241" spans="1:125" x14ac:dyDescent="0.25">
      <c r="A241" t="str">
        <f>$A$109</f>
        <v xml:space="preserve">        Revenue</v>
      </c>
      <c r="B241" t="str">
        <f>$B$109</f>
        <v>KER FP Equity</v>
      </c>
      <c r="C241" t="str">
        <f>$C$109</f>
        <v>BI047</v>
      </c>
      <c r="D241" t="str">
        <f>$D$109</f>
        <v>BICS_SEGMENT_DATA</v>
      </c>
      <c r="E241" t="str">
        <f>$E$109</f>
        <v>Dynamic</v>
      </c>
      <c r="F241" t="str">
        <f ca="1">_xll.BDH($B$109,$C$109,$B$156,$B$157,CONCATENATE("Per=",$B$154),"Dts=H","Dir=H",CONCATENATE("Points=",$B$155),"Sort=R","Days=A","Fill=B","DZ666=001","DZ381=1110101012","DZ665=13372677","DZ667=1","DS276=Y",CONCATENATE("FX=", $B$153) )</f>
        <v/>
      </c>
      <c r="BN241" t="str">
        <f>""</f>
        <v/>
      </c>
      <c r="BO241" t="str">
        <f>""</f>
        <v/>
      </c>
      <c r="BP241" t="str">
        <f>""</f>
        <v/>
      </c>
      <c r="BQ241" t="str">
        <f>""</f>
        <v/>
      </c>
      <c r="BR241" t="str">
        <f>""</f>
        <v/>
      </c>
      <c r="BS241" t="str">
        <f>""</f>
        <v/>
      </c>
      <c r="BT241" t="str">
        <f>""</f>
        <v/>
      </c>
      <c r="BU241" t="str">
        <f>""</f>
        <v/>
      </c>
      <c r="BV241" t="str">
        <f>""</f>
        <v/>
      </c>
      <c r="BW241" t="str">
        <f>""</f>
        <v/>
      </c>
      <c r="BX241" t="str">
        <f>""</f>
        <v/>
      </c>
      <c r="BY241" t="str">
        <f>""</f>
        <v/>
      </c>
      <c r="BZ241" t="str">
        <f>""</f>
        <v/>
      </c>
      <c r="CA241" t="str">
        <f>""</f>
        <v/>
      </c>
      <c r="CB241" t="str">
        <f>""</f>
        <v/>
      </c>
      <c r="CC241" t="str">
        <f>""</f>
        <v/>
      </c>
      <c r="CD241" t="str">
        <f>""</f>
        <v/>
      </c>
      <c r="CE241" t="str">
        <f>""</f>
        <v/>
      </c>
      <c r="CF241" t="str">
        <f>""</f>
        <v/>
      </c>
      <c r="CG241" t="str">
        <f>""</f>
        <v/>
      </c>
      <c r="CH241" t="str">
        <f>""</f>
        <v/>
      </c>
      <c r="CI241" t="str">
        <f>""</f>
        <v/>
      </c>
      <c r="CJ241" t="str">
        <f>""</f>
        <v/>
      </c>
      <c r="CK241" t="str">
        <f>""</f>
        <v/>
      </c>
      <c r="CL241" t="str">
        <f>""</f>
        <v/>
      </c>
      <c r="CM241" t="str">
        <f>""</f>
        <v/>
      </c>
      <c r="CN241" t="str">
        <f>""</f>
        <v/>
      </c>
      <c r="CO241" t="str">
        <f>""</f>
        <v/>
      </c>
      <c r="CP241" t="str">
        <f>""</f>
        <v/>
      </c>
      <c r="CQ241" t="str">
        <f>""</f>
        <v/>
      </c>
      <c r="CR241" t="str">
        <f>""</f>
        <v/>
      </c>
      <c r="CS241" t="str">
        <f>""</f>
        <v/>
      </c>
      <c r="CT241" t="str">
        <f>""</f>
        <v/>
      </c>
      <c r="CU241" t="str">
        <f>""</f>
        <v/>
      </c>
      <c r="CV241" t="str">
        <f>""</f>
        <v/>
      </c>
      <c r="CW241" t="str">
        <f>""</f>
        <v/>
      </c>
      <c r="CX241" t="str">
        <f>""</f>
        <v/>
      </c>
      <c r="CY241" t="str">
        <f>""</f>
        <v/>
      </c>
      <c r="CZ241" t="str">
        <f>""</f>
        <v/>
      </c>
      <c r="DA241" t="str">
        <f>""</f>
        <v/>
      </c>
      <c r="DB241" t="str">
        <f>""</f>
        <v/>
      </c>
      <c r="DC241" t="str">
        <f>""</f>
        <v/>
      </c>
      <c r="DD241" t="str">
        <f>""</f>
        <v/>
      </c>
      <c r="DE241" t="str">
        <f>""</f>
        <v/>
      </c>
      <c r="DF241" t="str">
        <f>""</f>
        <v/>
      </c>
      <c r="DG241" t="str">
        <f>""</f>
        <v/>
      </c>
      <c r="DH241" t="str">
        <f>""</f>
        <v/>
      </c>
      <c r="DI241" t="str">
        <f>""</f>
        <v/>
      </c>
      <c r="DJ241" t="str">
        <f>""</f>
        <v/>
      </c>
      <c r="DK241" t="str">
        <f>""</f>
        <v/>
      </c>
      <c r="DL241" t="str">
        <f>""</f>
        <v/>
      </c>
      <c r="DM241" t="str">
        <f>""</f>
        <v/>
      </c>
      <c r="DN241" t="str">
        <f>""</f>
        <v/>
      </c>
      <c r="DO241" t="str">
        <f>""</f>
        <v/>
      </c>
      <c r="DP241" t="str">
        <f>""</f>
        <v/>
      </c>
      <c r="DQ241" t="str">
        <f>""</f>
        <v/>
      </c>
      <c r="DR241" t="str">
        <f>""</f>
        <v/>
      </c>
      <c r="DS241" t="str">
        <f>""</f>
        <v/>
      </c>
      <c r="DT241" t="str">
        <f>""</f>
        <v/>
      </c>
      <c r="DU241" t="str">
        <f>""</f>
        <v/>
      </c>
    </row>
    <row r="242" spans="1:125" x14ac:dyDescent="0.25">
      <c r="A242" t="str">
        <f>$A$111</f>
        <v xml:space="preserve">        Recurring Operating Income</v>
      </c>
      <c r="B242" t="str">
        <f>$B$111</f>
        <v>KER FP Equity</v>
      </c>
      <c r="C242" t="str">
        <f>$C$111</f>
        <v>BI047</v>
      </c>
      <c r="D242" t="str">
        <f>$D$111</f>
        <v>BICS_SEGMENT_DATA</v>
      </c>
      <c r="E242" t="str">
        <f>$E$111</f>
        <v>Dynamic</v>
      </c>
      <c r="F242" t="str">
        <f ca="1">_xll.BDH($B$111,$C$111,$B$156,$B$157,CONCATENATE("Per=",$B$154),"Dts=H","Dir=H",CONCATENATE("Points=",$B$155),"Sort=R","Days=A","Fill=B","DZ666=002","DZ381=1110101012","DZ665=13372677","DZ667=1","DS276=Y",CONCATENATE("FX=", $B$153) )</f>
        <v/>
      </c>
      <c r="BN242" t="str">
        <f>""</f>
        <v/>
      </c>
      <c r="BO242" t="str">
        <f>""</f>
        <v/>
      </c>
      <c r="BP242" t="str">
        <f>""</f>
        <v/>
      </c>
      <c r="BQ242" t="str">
        <f>""</f>
        <v/>
      </c>
      <c r="BR242" t="str">
        <f>""</f>
        <v/>
      </c>
      <c r="BS242" t="str">
        <f>""</f>
        <v/>
      </c>
      <c r="BT242" t="str">
        <f>""</f>
        <v/>
      </c>
      <c r="BU242" t="str">
        <f>""</f>
        <v/>
      </c>
      <c r="BV242" t="str">
        <f>""</f>
        <v/>
      </c>
      <c r="BW242" t="str">
        <f>""</f>
        <v/>
      </c>
      <c r="BX242" t="str">
        <f>""</f>
        <v/>
      </c>
      <c r="BY242" t="str">
        <f>""</f>
        <v/>
      </c>
      <c r="BZ242" t="str">
        <f>""</f>
        <v/>
      </c>
      <c r="CA242" t="str">
        <f>""</f>
        <v/>
      </c>
      <c r="CB242" t="str">
        <f>""</f>
        <v/>
      </c>
      <c r="CC242" t="str">
        <f>""</f>
        <v/>
      </c>
      <c r="CD242" t="str">
        <f>""</f>
        <v/>
      </c>
      <c r="CE242" t="str">
        <f>""</f>
        <v/>
      </c>
      <c r="CF242" t="str">
        <f>""</f>
        <v/>
      </c>
      <c r="CG242" t="str">
        <f>""</f>
        <v/>
      </c>
      <c r="CH242" t="str">
        <f>""</f>
        <v/>
      </c>
      <c r="CI242" t="str">
        <f>""</f>
        <v/>
      </c>
      <c r="CJ242" t="str">
        <f>""</f>
        <v/>
      </c>
      <c r="CK242" t="str">
        <f>""</f>
        <v/>
      </c>
      <c r="CL242" t="str">
        <f>""</f>
        <v/>
      </c>
      <c r="CM242" t="str">
        <f>""</f>
        <v/>
      </c>
      <c r="CN242" t="str">
        <f>""</f>
        <v/>
      </c>
      <c r="CO242" t="str">
        <f>""</f>
        <v/>
      </c>
      <c r="CP242" t="str">
        <f>""</f>
        <v/>
      </c>
      <c r="CQ242" t="str">
        <f>""</f>
        <v/>
      </c>
      <c r="CR242" t="str">
        <f>""</f>
        <v/>
      </c>
      <c r="CS242" t="str">
        <f>""</f>
        <v/>
      </c>
      <c r="CT242" t="str">
        <f>""</f>
        <v/>
      </c>
      <c r="CU242" t="str">
        <f>""</f>
        <v/>
      </c>
      <c r="CV242" t="str">
        <f>""</f>
        <v/>
      </c>
      <c r="CW242" t="str">
        <f>""</f>
        <v/>
      </c>
      <c r="CX242" t="str">
        <f>""</f>
        <v/>
      </c>
      <c r="CY242" t="str">
        <f>""</f>
        <v/>
      </c>
      <c r="CZ242" t="str">
        <f>""</f>
        <v/>
      </c>
      <c r="DA242" t="str">
        <f>""</f>
        <v/>
      </c>
      <c r="DB242" t="str">
        <f>""</f>
        <v/>
      </c>
      <c r="DC242" t="str">
        <f>""</f>
        <v/>
      </c>
      <c r="DD242" t="str">
        <f>""</f>
        <v/>
      </c>
      <c r="DE242" t="str">
        <f>""</f>
        <v/>
      </c>
      <c r="DF242" t="str">
        <f>""</f>
        <v/>
      </c>
      <c r="DG242" t="str">
        <f>""</f>
        <v/>
      </c>
      <c r="DH242" t="str">
        <f>""</f>
        <v/>
      </c>
      <c r="DI242" t="str">
        <f>""</f>
        <v/>
      </c>
      <c r="DJ242" t="str">
        <f>""</f>
        <v/>
      </c>
      <c r="DK242" t="str">
        <f>""</f>
        <v/>
      </c>
      <c r="DL242" t="str">
        <f>""</f>
        <v/>
      </c>
      <c r="DM242" t="str">
        <f>""</f>
        <v/>
      </c>
      <c r="DN242" t="str">
        <f>""</f>
        <v/>
      </c>
      <c r="DO242" t="str">
        <f>""</f>
        <v/>
      </c>
      <c r="DP242" t="str">
        <f>""</f>
        <v/>
      </c>
      <c r="DQ242" t="str">
        <f>""</f>
        <v/>
      </c>
      <c r="DR242" t="str">
        <f>""</f>
        <v/>
      </c>
      <c r="DS242" t="str">
        <f>""</f>
        <v/>
      </c>
      <c r="DT242" t="str">
        <f>""</f>
        <v/>
      </c>
      <c r="DU242" t="str">
        <f>""</f>
        <v/>
      </c>
    </row>
    <row r="243" spans="1:125" x14ac:dyDescent="0.25">
      <c r="A243" t="str">
        <f>$A$114</f>
        <v xml:space="preserve">        Revenue</v>
      </c>
      <c r="B243" t="str">
        <f>$B$114</f>
        <v>KER FP Equity</v>
      </c>
      <c r="C243" t="str">
        <f>$C$114</f>
        <v>BI047</v>
      </c>
      <c r="D243" t="str">
        <f>$D$114</f>
        <v>BICS_SEGMENT_DATA</v>
      </c>
      <c r="E243" t="str">
        <f>$E$114</f>
        <v>Dynamic</v>
      </c>
      <c r="F243" t="str">
        <f ca="1">_xll.BDH($B$114,$C$114,$B$156,$B$157,CONCATENATE("Per=",$B$154),"Dts=H","Dir=H",CONCATENATE("Points=",$B$155),"Sort=R","Days=A","Fill=B","DZ666=001","DZ381=1110101012","DZ665=13689884","DZ667=4","DS276=Y",CONCATENATE("FX=", $B$153) )</f>
        <v/>
      </c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  <c r="BT243" t="str">
        <f>""</f>
        <v/>
      </c>
      <c r="BU243" t="str">
        <f>""</f>
        <v/>
      </c>
      <c r="BV243" t="str">
        <f>""</f>
        <v/>
      </c>
      <c r="BW243" t="str">
        <f>""</f>
        <v/>
      </c>
      <c r="BX243" t="str">
        <f>""</f>
        <v/>
      </c>
      <c r="BY243" t="str">
        <f>""</f>
        <v/>
      </c>
      <c r="BZ243" t="str">
        <f>""</f>
        <v/>
      </c>
      <c r="CA243" t="str">
        <f>""</f>
        <v/>
      </c>
      <c r="CB243" t="str">
        <f>""</f>
        <v/>
      </c>
      <c r="CC243" t="str">
        <f>""</f>
        <v/>
      </c>
      <c r="CD243" t="str">
        <f>""</f>
        <v/>
      </c>
      <c r="CE243" t="str">
        <f>""</f>
        <v/>
      </c>
      <c r="CF243" t="str">
        <f>""</f>
        <v/>
      </c>
      <c r="CG243" t="str">
        <f>""</f>
        <v/>
      </c>
      <c r="CH243" t="str">
        <f>""</f>
        <v/>
      </c>
      <c r="CI243" t="str">
        <f>""</f>
        <v/>
      </c>
      <c r="CJ243" t="str">
        <f>""</f>
        <v/>
      </c>
      <c r="CK243" t="str">
        <f>""</f>
        <v/>
      </c>
      <c r="CL243" t="str">
        <f>""</f>
        <v/>
      </c>
      <c r="CM243" t="str">
        <f>""</f>
        <v/>
      </c>
      <c r="CN243" t="str">
        <f>""</f>
        <v/>
      </c>
      <c r="CO243" t="str">
        <f>""</f>
        <v/>
      </c>
      <c r="CP243" t="str">
        <f>""</f>
        <v/>
      </c>
      <c r="CQ243" t="str">
        <f>""</f>
        <v/>
      </c>
      <c r="CR243" t="str">
        <f>""</f>
        <v/>
      </c>
      <c r="CS243" t="str">
        <f>""</f>
        <v/>
      </c>
      <c r="CT243" t="str">
        <f>""</f>
        <v/>
      </c>
      <c r="CU243" t="str">
        <f>""</f>
        <v/>
      </c>
      <c r="CV243" t="str">
        <f>""</f>
        <v/>
      </c>
      <c r="CW243" t="str">
        <f>""</f>
        <v/>
      </c>
      <c r="CX243" t="str">
        <f>""</f>
        <v/>
      </c>
      <c r="CY243" t="str">
        <f>""</f>
        <v/>
      </c>
      <c r="CZ243" t="str">
        <f>""</f>
        <v/>
      </c>
      <c r="DA243" t="str">
        <f>""</f>
        <v/>
      </c>
      <c r="DB243" t="str">
        <f>""</f>
        <v/>
      </c>
      <c r="DC243" t="str">
        <f>""</f>
        <v/>
      </c>
      <c r="DD243" t="str">
        <f>""</f>
        <v/>
      </c>
      <c r="DE243" t="str">
        <f>""</f>
        <v/>
      </c>
      <c r="DF243" t="str">
        <f>""</f>
        <v/>
      </c>
      <c r="DG243" t="str">
        <f>""</f>
        <v/>
      </c>
      <c r="DH243" t="str">
        <f>""</f>
        <v/>
      </c>
      <c r="DI243" t="str">
        <f>""</f>
        <v/>
      </c>
      <c r="DJ243" t="str">
        <f>""</f>
        <v/>
      </c>
      <c r="DK243" t="str">
        <f>""</f>
        <v/>
      </c>
      <c r="DL243" t="str">
        <f>""</f>
        <v/>
      </c>
      <c r="DM243" t="str">
        <f>""</f>
        <v/>
      </c>
      <c r="DN243" t="str">
        <f>""</f>
        <v/>
      </c>
      <c r="DO243" t="str">
        <f>""</f>
        <v/>
      </c>
      <c r="DP243" t="str">
        <f>""</f>
        <v/>
      </c>
      <c r="DQ243" t="str">
        <f>""</f>
        <v/>
      </c>
      <c r="DR243" t="str">
        <f>""</f>
        <v/>
      </c>
      <c r="DS243" t="str">
        <f>""</f>
        <v/>
      </c>
      <c r="DT243" t="str">
        <f>""</f>
        <v/>
      </c>
      <c r="DU243" t="str">
        <f>""</f>
        <v/>
      </c>
    </row>
    <row r="244" spans="1:125" x14ac:dyDescent="0.25">
      <c r="A244" t="str">
        <f>$A$116</f>
        <v xml:space="preserve">        Recurring Operating Income</v>
      </c>
      <c r="B244" t="str">
        <f>$B$116</f>
        <v>KER FP Equity</v>
      </c>
      <c r="C244" t="str">
        <f>$C$116</f>
        <v>BI047</v>
      </c>
      <c r="D244" t="str">
        <f>$D$116</f>
        <v>BICS_SEGMENT_DATA</v>
      </c>
      <c r="E244" t="str">
        <f>$E$116</f>
        <v>Dynamic</v>
      </c>
      <c r="F244" t="str">
        <f ca="1">_xll.BDH($B$116,$C$116,$B$156,$B$157,CONCATENATE("Per=",$B$154),"Dts=H","Dir=H",CONCATENATE("Points=",$B$155),"Sort=R","Days=A","Fill=B","DZ666=002","DZ381=1110101012","DZ665=13689884","DZ667=4","DS276=Y",CONCATENATE("FX=", $B$153) )</f>
        <v/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  <c r="BT244" t="str">
        <f>""</f>
        <v/>
      </c>
      <c r="BU244" t="str">
        <f>""</f>
        <v/>
      </c>
      <c r="BV244" t="str">
        <f>""</f>
        <v/>
      </c>
      <c r="BW244" t="str">
        <f>""</f>
        <v/>
      </c>
      <c r="BX244" t="str">
        <f>""</f>
        <v/>
      </c>
      <c r="BY244" t="str">
        <f>""</f>
        <v/>
      </c>
      <c r="BZ244" t="str">
        <f>""</f>
        <v/>
      </c>
      <c r="CA244" t="str">
        <f>""</f>
        <v/>
      </c>
      <c r="CB244" t="str">
        <f>""</f>
        <v/>
      </c>
      <c r="CC244" t="str">
        <f>""</f>
        <v/>
      </c>
      <c r="CD244" t="str">
        <f>""</f>
        <v/>
      </c>
      <c r="CE244" t="str">
        <f>""</f>
        <v/>
      </c>
      <c r="CF244" t="str">
        <f>""</f>
        <v/>
      </c>
      <c r="CG244" t="str">
        <f>""</f>
        <v/>
      </c>
      <c r="CH244" t="str">
        <f>""</f>
        <v/>
      </c>
      <c r="CI244" t="str">
        <f>""</f>
        <v/>
      </c>
      <c r="CJ244" t="str">
        <f>""</f>
        <v/>
      </c>
      <c r="CK244" t="str">
        <f>""</f>
        <v/>
      </c>
      <c r="CL244" t="str">
        <f>""</f>
        <v/>
      </c>
      <c r="CM244" t="str">
        <f>""</f>
        <v/>
      </c>
      <c r="CN244" t="str">
        <f>""</f>
        <v/>
      </c>
      <c r="CO244" t="str">
        <f>""</f>
        <v/>
      </c>
      <c r="CP244" t="str">
        <f>""</f>
        <v/>
      </c>
      <c r="CQ244" t="str">
        <f>""</f>
        <v/>
      </c>
      <c r="CR244" t="str">
        <f>""</f>
        <v/>
      </c>
      <c r="CS244" t="str">
        <f>""</f>
        <v/>
      </c>
      <c r="CT244" t="str">
        <f>""</f>
        <v/>
      </c>
      <c r="CU244" t="str">
        <f>""</f>
        <v/>
      </c>
      <c r="CV244" t="str">
        <f>""</f>
        <v/>
      </c>
      <c r="CW244" t="str">
        <f>""</f>
        <v/>
      </c>
      <c r="CX244" t="str">
        <f>""</f>
        <v/>
      </c>
      <c r="CY244" t="str">
        <f>""</f>
        <v/>
      </c>
      <c r="CZ244" t="str">
        <f>""</f>
        <v/>
      </c>
      <c r="DA244" t="str">
        <f>""</f>
        <v/>
      </c>
      <c r="DB244" t="str">
        <f>""</f>
        <v/>
      </c>
      <c r="DC244" t="str">
        <f>""</f>
        <v/>
      </c>
      <c r="DD244" t="str">
        <f>""</f>
        <v/>
      </c>
      <c r="DE244" t="str">
        <f>""</f>
        <v/>
      </c>
      <c r="DF244" t="str">
        <f>""</f>
        <v/>
      </c>
      <c r="DG244" t="str">
        <f>""</f>
        <v/>
      </c>
      <c r="DH244" t="str">
        <f>""</f>
        <v/>
      </c>
      <c r="DI244" t="str">
        <f>""</f>
        <v/>
      </c>
      <c r="DJ244" t="str">
        <f>""</f>
        <v/>
      </c>
      <c r="DK244" t="str">
        <f>""</f>
        <v/>
      </c>
      <c r="DL244" t="str">
        <f>""</f>
        <v/>
      </c>
      <c r="DM244" t="str">
        <f>""</f>
        <v/>
      </c>
      <c r="DN244" t="str">
        <f>""</f>
        <v/>
      </c>
      <c r="DO244" t="str">
        <f>""</f>
        <v/>
      </c>
      <c r="DP244" t="str">
        <f>""</f>
        <v/>
      </c>
      <c r="DQ244" t="str">
        <f>""</f>
        <v/>
      </c>
      <c r="DR244" t="str">
        <f>""</f>
        <v/>
      </c>
      <c r="DS244" t="str">
        <f>""</f>
        <v/>
      </c>
      <c r="DT244" t="str">
        <f>""</f>
        <v/>
      </c>
      <c r="DU244" t="str">
        <f>""</f>
        <v/>
      </c>
    </row>
    <row r="245" spans="1:125" x14ac:dyDescent="0.25">
      <c r="A245" t="str">
        <f>$A$121</f>
        <v xml:space="preserve">            Revenue</v>
      </c>
      <c r="B245" t="str">
        <f>$B$121</f>
        <v>KER FP Equity</v>
      </c>
      <c r="C245" t="str">
        <f>$C$121</f>
        <v>BI047</v>
      </c>
      <c r="D245" t="str">
        <f>$D$121</f>
        <v>BICS_SEGMENT_DATA</v>
      </c>
      <c r="E245" t="str">
        <f>$E$121</f>
        <v>Dynamic</v>
      </c>
      <c r="F245" t="str">
        <f ca="1">_xll.BDH($B$121,$C$121,$B$156,$B$157,CONCATENATE("Per=",$B$154),"Dts=H","Dir=H",CONCATENATE("Points=",$B$155),"Sort=R","Days=A","Fill=B","DZ666=001","DZ381=11121116","DZ665=16772365","DZ667=10","DS276=Y",CONCATENATE("FX=", $B$153) )</f>
        <v/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  <c r="BT245" t="str">
        <f>""</f>
        <v/>
      </c>
      <c r="BU245" t="str">
        <f>""</f>
        <v/>
      </c>
      <c r="BV245" t="str">
        <f>""</f>
        <v/>
      </c>
      <c r="BW245" t="str">
        <f>""</f>
        <v/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  <c r="CH245" t="str">
        <f>""</f>
        <v/>
      </c>
      <c r="CI245" t="str">
        <f>""</f>
        <v/>
      </c>
      <c r="CJ245" t="str">
        <f>""</f>
        <v/>
      </c>
      <c r="CK245" t="str">
        <f>""</f>
        <v/>
      </c>
      <c r="CL245" t="str">
        <f>""</f>
        <v/>
      </c>
      <c r="CM245" t="str">
        <f>""</f>
        <v/>
      </c>
      <c r="CN245" t="str">
        <f>""</f>
        <v/>
      </c>
      <c r="CO245" t="str">
        <f>""</f>
        <v/>
      </c>
      <c r="CP245" t="str">
        <f>""</f>
        <v/>
      </c>
      <c r="CQ245" t="str">
        <f>""</f>
        <v/>
      </c>
      <c r="CR245" t="str">
        <f>""</f>
        <v/>
      </c>
      <c r="CS245" t="str">
        <f>""</f>
        <v/>
      </c>
      <c r="CT245" t="str">
        <f>""</f>
        <v/>
      </c>
      <c r="CU245" t="str">
        <f>""</f>
        <v/>
      </c>
      <c r="CV245" t="str">
        <f>""</f>
        <v/>
      </c>
      <c r="CW245" t="str">
        <f>""</f>
        <v/>
      </c>
      <c r="CX245" t="str">
        <f>""</f>
        <v/>
      </c>
      <c r="CY245" t="str">
        <f>""</f>
        <v/>
      </c>
      <c r="CZ245" t="str">
        <f>""</f>
        <v/>
      </c>
      <c r="DA245" t="str">
        <f>""</f>
        <v/>
      </c>
      <c r="DB245" t="str">
        <f>""</f>
        <v/>
      </c>
      <c r="DC245" t="str">
        <f>""</f>
        <v/>
      </c>
      <c r="DD245" t="str">
        <f>""</f>
        <v/>
      </c>
      <c r="DE245" t="str">
        <f>""</f>
        <v/>
      </c>
      <c r="DF245" t="str">
        <f>""</f>
        <v/>
      </c>
      <c r="DG245" t="str">
        <f>""</f>
        <v/>
      </c>
      <c r="DH245" t="str">
        <f>""</f>
        <v/>
      </c>
      <c r="DI245" t="str">
        <f>""</f>
        <v/>
      </c>
      <c r="DJ245" t="str">
        <f>""</f>
        <v/>
      </c>
      <c r="DK245" t="str">
        <f>""</f>
        <v/>
      </c>
      <c r="DL245" t="str">
        <f>""</f>
        <v/>
      </c>
      <c r="DM245" t="str">
        <f>""</f>
        <v/>
      </c>
      <c r="DN245" t="str">
        <f>""</f>
        <v/>
      </c>
      <c r="DO245" t="str">
        <f>""</f>
        <v/>
      </c>
      <c r="DP245" t="str">
        <f>""</f>
        <v/>
      </c>
      <c r="DQ245" t="str">
        <f>""</f>
        <v/>
      </c>
      <c r="DR245" t="str">
        <f>""</f>
        <v/>
      </c>
      <c r="DS245" t="str">
        <f>""</f>
        <v/>
      </c>
      <c r="DT245" t="str">
        <f>""</f>
        <v/>
      </c>
      <c r="DU245" t="str">
        <f>""</f>
        <v/>
      </c>
    </row>
    <row r="246" spans="1:125" x14ac:dyDescent="0.25">
      <c r="A246" t="str">
        <f>$A$123</f>
        <v xml:space="preserve">            Reported Sales Growth (%)</v>
      </c>
      <c r="B246" t="str">
        <f>$B$123</f>
        <v>KER FP Equity</v>
      </c>
      <c r="C246" t="str">
        <f>$C$123</f>
        <v>BI047</v>
      </c>
      <c r="D246" t="str">
        <f>$D$123</f>
        <v>BICS_SEGMENT_DATA</v>
      </c>
      <c r="E246" t="str">
        <f>$E$123</f>
        <v>Dynamic</v>
      </c>
      <c r="F246" t="str">
        <f ca="1">_xll.BDH($B$123,$C$123,$B$156,$B$157,CONCATENATE("Per=",$B$154),"Dts=H","Dir=H",CONCATENATE("Points=",$B$155),"Sort=R","Days=A","Fill=B","DZ666=129","DZ381=111010101014","DZ667=2","DS276=Y",CONCATENATE("FX=", $B$153) )</f>
        <v/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  <c r="BT246" t="str">
        <f>""</f>
        <v/>
      </c>
      <c r="BU246" t="str">
        <f>""</f>
        <v/>
      </c>
      <c r="BV246" t="str">
        <f>""</f>
        <v/>
      </c>
      <c r="BW246" t="str">
        <f>""</f>
        <v/>
      </c>
      <c r="BX246" t="str">
        <f>""</f>
        <v/>
      </c>
      <c r="BY246" t="str">
        <f>""</f>
        <v/>
      </c>
      <c r="BZ246" t="str">
        <f>""</f>
        <v/>
      </c>
      <c r="CA246" t="str">
        <f>""</f>
        <v/>
      </c>
      <c r="CB246" t="str">
        <f>""</f>
        <v/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  <c r="CH246" t="str">
        <f>""</f>
        <v/>
      </c>
      <c r="CI246" t="str">
        <f>""</f>
        <v/>
      </c>
      <c r="CJ246" t="str">
        <f>""</f>
        <v/>
      </c>
      <c r="CK246" t="str">
        <f>""</f>
        <v/>
      </c>
      <c r="CL246" t="str">
        <f>""</f>
        <v/>
      </c>
      <c r="CM246" t="str">
        <f>""</f>
        <v/>
      </c>
      <c r="CN246" t="str">
        <f>""</f>
        <v/>
      </c>
      <c r="CO246" t="str">
        <f>""</f>
        <v/>
      </c>
      <c r="CP246" t="str">
        <f>""</f>
        <v/>
      </c>
      <c r="CQ246" t="str">
        <f>""</f>
        <v/>
      </c>
      <c r="CR246" t="str">
        <f>""</f>
        <v/>
      </c>
      <c r="CS246" t="str">
        <f>""</f>
        <v/>
      </c>
      <c r="CT246" t="str">
        <f>""</f>
        <v/>
      </c>
      <c r="CU246" t="str">
        <f>""</f>
        <v/>
      </c>
      <c r="CV246" t="str">
        <f>""</f>
        <v/>
      </c>
      <c r="CW246" t="str">
        <f>""</f>
        <v/>
      </c>
      <c r="CX246" t="str">
        <f>""</f>
        <v/>
      </c>
      <c r="CY246" t="str">
        <f>""</f>
        <v/>
      </c>
      <c r="CZ246" t="str">
        <f>""</f>
        <v/>
      </c>
      <c r="DA246" t="str">
        <f>""</f>
        <v/>
      </c>
      <c r="DB246" t="str">
        <f>""</f>
        <v/>
      </c>
      <c r="DC246" t="str">
        <f>""</f>
        <v/>
      </c>
      <c r="DD246" t="str">
        <f>""</f>
        <v/>
      </c>
      <c r="DE246" t="str">
        <f>""</f>
        <v/>
      </c>
      <c r="DF246" t="str">
        <f>""</f>
        <v/>
      </c>
      <c r="DG246" t="str">
        <f>""</f>
        <v/>
      </c>
      <c r="DH246" t="str">
        <f>""</f>
        <v/>
      </c>
      <c r="DI246" t="str">
        <f>""</f>
        <v/>
      </c>
      <c r="DJ246" t="str">
        <f>""</f>
        <v/>
      </c>
      <c r="DK246" t="str">
        <f>""</f>
        <v/>
      </c>
      <c r="DL246" t="str">
        <f>""</f>
        <v/>
      </c>
      <c r="DM246" t="str">
        <f>""</f>
        <v/>
      </c>
      <c r="DN246" t="str">
        <f>""</f>
        <v/>
      </c>
      <c r="DO246" t="str">
        <f>""</f>
        <v/>
      </c>
      <c r="DP246" t="str">
        <f>""</f>
        <v/>
      </c>
      <c r="DQ246" t="str">
        <f>""</f>
        <v/>
      </c>
      <c r="DR246" t="str">
        <f>""</f>
        <v/>
      </c>
      <c r="DS246" t="str">
        <f>""</f>
        <v/>
      </c>
      <c r="DT246" t="str">
        <f>""</f>
        <v/>
      </c>
      <c r="DU246" t="str">
        <f>""</f>
        <v/>
      </c>
    </row>
    <row r="247" spans="1:125" x14ac:dyDescent="0.25">
      <c r="A247" t="str">
        <f>$A$124</f>
        <v xml:space="preserve">            Organic Growth (%)</v>
      </c>
      <c r="B247" t="str">
        <f>$B$124</f>
        <v>KER FP Equity</v>
      </c>
      <c r="C247" t="str">
        <f>$C$124</f>
        <v>BI047</v>
      </c>
      <c r="D247" t="str">
        <f>$D$124</f>
        <v>BICS_SEGMENT_DATA</v>
      </c>
      <c r="E247" t="str">
        <f>$E$124</f>
        <v>Dynamic</v>
      </c>
      <c r="F247" t="str">
        <f ca="1">_xll.BDH($B$124,$C$124,$B$156,$B$157,CONCATENATE("Per=",$B$154),"Dts=H","Dir=H",CONCATENATE("Points=",$B$155),"Sort=R","Days=A","Fill=B","DZ666=701","DZ381=111010101014","DZ667=2","DS276=Y",CONCATENATE("FX=", $B$153) )</f>
        <v/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  <c r="BT247" t="str">
        <f>""</f>
        <v/>
      </c>
      <c r="BU247" t="str">
        <f>""</f>
        <v/>
      </c>
      <c r="BV247" t="str">
        <f>""</f>
        <v/>
      </c>
      <c r="BW247" t="str">
        <f>""</f>
        <v/>
      </c>
      <c r="BX247" t="str">
        <f>""</f>
        <v/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  <c r="CH247" t="str">
        <f>""</f>
        <v/>
      </c>
      <c r="CI247" t="str">
        <f>""</f>
        <v/>
      </c>
      <c r="CJ247" t="str">
        <f>""</f>
        <v/>
      </c>
      <c r="CK247" t="str">
        <f>""</f>
        <v/>
      </c>
      <c r="CL247" t="str">
        <f>""</f>
        <v/>
      </c>
      <c r="CM247" t="str">
        <f>""</f>
        <v/>
      </c>
      <c r="CN247" t="str">
        <f>""</f>
        <v/>
      </c>
      <c r="CO247" t="str">
        <f>""</f>
        <v/>
      </c>
      <c r="CP247" t="str">
        <f>""</f>
        <v/>
      </c>
      <c r="CQ247" t="str">
        <f>""</f>
        <v/>
      </c>
      <c r="CR247" t="str">
        <f>""</f>
        <v/>
      </c>
      <c r="CS247" t="str">
        <f>""</f>
        <v/>
      </c>
      <c r="CT247" t="str">
        <f>""</f>
        <v/>
      </c>
      <c r="CU247" t="str">
        <f>""</f>
        <v/>
      </c>
      <c r="CV247" t="str">
        <f>""</f>
        <v/>
      </c>
      <c r="CW247" t="str">
        <f>""</f>
        <v/>
      </c>
      <c r="CX247" t="str">
        <f>""</f>
        <v/>
      </c>
      <c r="CY247" t="str">
        <f>""</f>
        <v/>
      </c>
      <c r="CZ247" t="str">
        <f>""</f>
        <v/>
      </c>
      <c r="DA247" t="str">
        <f>""</f>
        <v/>
      </c>
      <c r="DB247" t="str">
        <f>""</f>
        <v/>
      </c>
      <c r="DC247" t="str">
        <f>""</f>
        <v/>
      </c>
      <c r="DD247" t="str">
        <f>""</f>
        <v/>
      </c>
      <c r="DE247" t="str">
        <f>""</f>
        <v/>
      </c>
      <c r="DF247" t="str">
        <f>""</f>
        <v/>
      </c>
      <c r="DG247" t="str">
        <f>""</f>
        <v/>
      </c>
      <c r="DH247" t="str">
        <f>""</f>
        <v/>
      </c>
      <c r="DI247" t="str">
        <f>""</f>
        <v/>
      </c>
      <c r="DJ247" t="str">
        <f>""</f>
        <v/>
      </c>
      <c r="DK247" t="str">
        <f>""</f>
        <v/>
      </c>
      <c r="DL247" t="str">
        <f>""</f>
        <v/>
      </c>
      <c r="DM247" t="str">
        <f>""</f>
        <v/>
      </c>
      <c r="DN247" t="str">
        <f>""</f>
        <v/>
      </c>
      <c r="DO247" t="str">
        <f>""</f>
        <v/>
      </c>
      <c r="DP247" t="str">
        <f>""</f>
        <v/>
      </c>
      <c r="DQ247" t="str">
        <f>""</f>
        <v/>
      </c>
      <c r="DR247" t="str">
        <f>""</f>
        <v/>
      </c>
      <c r="DS247" t="str">
        <f>""</f>
        <v/>
      </c>
      <c r="DT247" t="str">
        <f>""</f>
        <v/>
      </c>
      <c r="DU247" t="str">
        <f>""</f>
        <v/>
      </c>
    </row>
    <row r="248" spans="1:125" x14ac:dyDescent="0.25">
      <c r="A248" t="str">
        <f>$A$125</f>
        <v xml:space="preserve">            Recurring Operating Income</v>
      </c>
      <c r="B248" t="str">
        <f>$B$125</f>
        <v>KER FP Equity</v>
      </c>
      <c r="C248" t="str">
        <f>$C$125</f>
        <v>BI047</v>
      </c>
      <c r="D248" t="str">
        <f>$D$125</f>
        <v>BICS_SEGMENT_DATA</v>
      </c>
      <c r="E248" t="str">
        <f>$E$125</f>
        <v>Dynamic</v>
      </c>
      <c r="F248" t="str">
        <f ca="1">_xll.BDH($B$125,$C$125,$B$156,$B$157,CONCATENATE("Per=",$B$154),"Dts=H","Dir=H",CONCATENATE("Points=",$B$155),"Sort=R","Days=A","Fill=B","DZ666=002","DZ381=11121116","DZ665=16772365","DZ667=10","DS276=Y",CONCATENATE("FX=", $B$153) )</f>
        <v/>
      </c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  <c r="BT248" t="str">
        <f>""</f>
        <v/>
      </c>
      <c r="BU248" t="str">
        <f>""</f>
        <v/>
      </c>
      <c r="BV248" t="str">
        <f>""</f>
        <v/>
      </c>
      <c r="BW248" t="str">
        <f>""</f>
        <v/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  <c r="CH248" t="str">
        <f>""</f>
        <v/>
      </c>
      <c r="CI248" t="str">
        <f>""</f>
        <v/>
      </c>
      <c r="CJ248" t="str">
        <f>""</f>
        <v/>
      </c>
      <c r="CK248" t="str">
        <f>""</f>
        <v/>
      </c>
      <c r="CL248" t="str">
        <f>""</f>
        <v/>
      </c>
      <c r="CM248" t="str">
        <f>""</f>
        <v/>
      </c>
      <c r="CN248" t="str">
        <f>""</f>
        <v/>
      </c>
      <c r="CO248" t="str">
        <f>""</f>
        <v/>
      </c>
      <c r="CP248" t="str">
        <f>""</f>
        <v/>
      </c>
      <c r="CQ248" t="str">
        <f>""</f>
        <v/>
      </c>
      <c r="CR248" t="str">
        <f>""</f>
        <v/>
      </c>
      <c r="CS248" t="str">
        <f>""</f>
        <v/>
      </c>
      <c r="CT248" t="str">
        <f>""</f>
        <v/>
      </c>
      <c r="CU248" t="str">
        <f>""</f>
        <v/>
      </c>
      <c r="CV248" t="str">
        <f>""</f>
        <v/>
      </c>
      <c r="CW248" t="str">
        <f>""</f>
        <v/>
      </c>
      <c r="CX248" t="str">
        <f>""</f>
        <v/>
      </c>
      <c r="CY248" t="str">
        <f>""</f>
        <v/>
      </c>
      <c r="CZ248" t="str">
        <f>""</f>
        <v/>
      </c>
      <c r="DA248" t="str">
        <f>""</f>
        <v/>
      </c>
      <c r="DB248" t="str">
        <f>""</f>
        <v/>
      </c>
      <c r="DC248" t="str">
        <f>""</f>
        <v/>
      </c>
      <c r="DD248" t="str">
        <f>""</f>
        <v/>
      </c>
      <c r="DE248" t="str">
        <f>""</f>
        <v/>
      </c>
      <c r="DF248" t="str">
        <f>""</f>
        <v/>
      </c>
      <c r="DG248" t="str">
        <f>""</f>
        <v/>
      </c>
      <c r="DH248" t="str">
        <f>""</f>
        <v/>
      </c>
      <c r="DI248" t="str">
        <f>""</f>
        <v/>
      </c>
      <c r="DJ248" t="str">
        <f>""</f>
        <v/>
      </c>
      <c r="DK248" t="str">
        <f>""</f>
        <v/>
      </c>
      <c r="DL248" t="str">
        <f>""</f>
        <v/>
      </c>
      <c r="DM248" t="str">
        <f>""</f>
        <v/>
      </c>
      <c r="DN248" t="str">
        <f>""</f>
        <v/>
      </c>
      <c r="DO248" t="str">
        <f>""</f>
        <v/>
      </c>
      <c r="DP248" t="str">
        <f>""</f>
        <v/>
      </c>
      <c r="DQ248" t="str">
        <f>""</f>
        <v/>
      </c>
      <c r="DR248" t="str">
        <f>""</f>
        <v/>
      </c>
      <c r="DS248" t="str">
        <f>""</f>
        <v/>
      </c>
      <c r="DT248" t="str">
        <f>""</f>
        <v/>
      </c>
      <c r="DU248" t="str">
        <f>""</f>
        <v/>
      </c>
    </row>
    <row r="249" spans="1:125" x14ac:dyDescent="0.25">
      <c r="A249" t="str">
        <f>$A$128</f>
        <v xml:space="preserve">            Revenue</v>
      </c>
      <c r="B249" t="str">
        <f>$B$128</f>
        <v>KER FP Equity</v>
      </c>
      <c r="C249" t="str">
        <f>$C$128</f>
        <v>BI047</v>
      </c>
      <c r="D249" t="str">
        <f>$D$128</f>
        <v>BICS_SEGMENT_DATA</v>
      </c>
      <c r="E249" t="str">
        <f>$E$128</f>
        <v>Dynamic</v>
      </c>
      <c r="F249" t="str">
        <f ca="1">_xll.BDH($B$128,$C$128,$B$156,$B$157,CONCATENATE("Per=",$B$154),"Dts=H","Dir=H",CONCATENATE("Points=",$B$155),"Sort=R","Days=A","Fill=B","DZ666=001","DZ381=11121116","DZ665=13689884","DZ667=10","DS276=Y",CONCATENATE("FX=", $B$153) )</f>
        <v/>
      </c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  <c r="BT249" t="str">
        <f>""</f>
        <v/>
      </c>
      <c r="BU249" t="str">
        <f>""</f>
        <v/>
      </c>
      <c r="BV249" t="str">
        <f>""</f>
        <v/>
      </c>
      <c r="BW249" t="str">
        <f>""</f>
        <v/>
      </c>
      <c r="BX249" t="str">
        <f>""</f>
        <v/>
      </c>
      <c r="BY249" t="str">
        <f>""</f>
        <v/>
      </c>
      <c r="BZ249" t="str">
        <f>""</f>
        <v/>
      </c>
      <c r="CA249" t="str">
        <f>""</f>
        <v/>
      </c>
      <c r="CB249" t="str">
        <f>""</f>
        <v/>
      </c>
      <c r="CC249" t="str">
        <f>""</f>
        <v/>
      </c>
      <c r="CD249" t="str">
        <f>""</f>
        <v/>
      </c>
      <c r="CE249" t="str">
        <f>""</f>
        <v/>
      </c>
      <c r="CF249" t="str">
        <f>""</f>
        <v/>
      </c>
      <c r="CG249" t="str">
        <f>""</f>
        <v/>
      </c>
      <c r="CH249" t="str">
        <f>""</f>
        <v/>
      </c>
      <c r="CI249" t="str">
        <f>""</f>
        <v/>
      </c>
      <c r="CJ249" t="str">
        <f>""</f>
        <v/>
      </c>
      <c r="CK249" t="str">
        <f>""</f>
        <v/>
      </c>
      <c r="CL249" t="str">
        <f>""</f>
        <v/>
      </c>
      <c r="CM249" t="str">
        <f>""</f>
        <v/>
      </c>
      <c r="CN249" t="str">
        <f>""</f>
        <v/>
      </c>
      <c r="CO249" t="str">
        <f>""</f>
        <v/>
      </c>
      <c r="CP249" t="str">
        <f>""</f>
        <v/>
      </c>
      <c r="CQ249" t="str">
        <f>""</f>
        <v/>
      </c>
      <c r="CR249" t="str">
        <f>""</f>
        <v/>
      </c>
      <c r="CS249" t="str">
        <f>""</f>
        <v/>
      </c>
      <c r="CT249" t="str">
        <f>""</f>
        <v/>
      </c>
      <c r="CU249" t="str">
        <f>""</f>
        <v/>
      </c>
      <c r="CV249" t="str">
        <f>""</f>
        <v/>
      </c>
      <c r="CW249" t="str">
        <f>""</f>
        <v/>
      </c>
      <c r="CX249" t="str">
        <f>""</f>
        <v/>
      </c>
      <c r="CY249" t="str">
        <f>""</f>
        <v/>
      </c>
      <c r="CZ249" t="str">
        <f>""</f>
        <v/>
      </c>
      <c r="DA249" t="str">
        <f>""</f>
        <v/>
      </c>
      <c r="DB249" t="str">
        <f>""</f>
        <v/>
      </c>
      <c r="DC249" t="str">
        <f>""</f>
        <v/>
      </c>
      <c r="DD249" t="str">
        <f>""</f>
        <v/>
      </c>
      <c r="DE249" t="str">
        <f>""</f>
        <v/>
      </c>
      <c r="DF249" t="str">
        <f>""</f>
        <v/>
      </c>
      <c r="DG249" t="str">
        <f>""</f>
        <v/>
      </c>
      <c r="DH249" t="str">
        <f>""</f>
        <v/>
      </c>
      <c r="DI249" t="str">
        <f>""</f>
        <v/>
      </c>
      <c r="DJ249" t="str">
        <f>""</f>
        <v/>
      </c>
      <c r="DK249" t="str">
        <f>""</f>
        <v/>
      </c>
      <c r="DL249" t="str">
        <f>""</f>
        <v/>
      </c>
      <c r="DM249" t="str">
        <f>""</f>
        <v/>
      </c>
      <c r="DN249" t="str">
        <f>""</f>
        <v/>
      </c>
      <c r="DO249" t="str">
        <f>""</f>
        <v/>
      </c>
      <c r="DP249" t="str">
        <f>""</f>
        <v/>
      </c>
      <c r="DQ249" t="str">
        <f>""</f>
        <v/>
      </c>
      <c r="DR249" t="str">
        <f>""</f>
        <v/>
      </c>
      <c r="DS249" t="str">
        <f>""</f>
        <v/>
      </c>
      <c r="DT249" t="str">
        <f>""</f>
        <v/>
      </c>
      <c r="DU249" t="str">
        <f>""</f>
        <v/>
      </c>
    </row>
    <row r="250" spans="1:125" x14ac:dyDescent="0.25">
      <c r="A250" t="str">
        <f>$A$130</f>
        <v xml:space="preserve">            Reported Sales Growth (%)</v>
      </c>
      <c r="B250" t="str">
        <f>$B$130</f>
        <v>KER FP Equity</v>
      </c>
      <c r="C250" t="str">
        <f>$C$130</f>
        <v>BI047</v>
      </c>
      <c r="D250" t="str">
        <f>$D$130</f>
        <v>BICS_SEGMENT_DATA</v>
      </c>
      <c r="E250" t="str">
        <f>$E$130</f>
        <v>Dynamic</v>
      </c>
      <c r="F250" t="str">
        <f ca="1">_xll.BDH($B$130,$C$130,$B$156,$B$157,CONCATENATE("Per=",$B$154),"Dts=H","Dir=H",CONCATENATE("Points=",$B$155),"Sort=R","Days=A","Fill=B","DZ666=129","DZ381=11121116","DZ667=11","DS276=Y",CONCATENATE("FX=", $B$153) )</f>
        <v/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  <c r="BT250" t="str">
        <f>""</f>
        <v/>
      </c>
      <c r="BU250" t="str">
        <f>""</f>
        <v/>
      </c>
      <c r="BV250" t="str">
        <f>""</f>
        <v/>
      </c>
      <c r="BW250" t="str">
        <f>""</f>
        <v/>
      </c>
      <c r="BX250" t="str">
        <f>""</f>
        <v/>
      </c>
      <c r="BY250" t="str">
        <f>""</f>
        <v/>
      </c>
      <c r="BZ250" t="str">
        <f>""</f>
        <v/>
      </c>
      <c r="CA250" t="str">
        <f>""</f>
        <v/>
      </c>
      <c r="CB250" t="str">
        <f>""</f>
        <v/>
      </c>
      <c r="CC250" t="str">
        <f>""</f>
        <v/>
      </c>
      <c r="CD250" t="str">
        <f>""</f>
        <v/>
      </c>
      <c r="CE250" t="str">
        <f>""</f>
        <v/>
      </c>
      <c r="CF250" t="str">
        <f>""</f>
        <v/>
      </c>
      <c r="CG250" t="str">
        <f>""</f>
        <v/>
      </c>
      <c r="CH250" t="str">
        <f>""</f>
        <v/>
      </c>
      <c r="CI250" t="str">
        <f>""</f>
        <v/>
      </c>
      <c r="CJ250" t="str">
        <f>""</f>
        <v/>
      </c>
      <c r="CK250" t="str">
        <f>""</f>
        <v/>
      </c>
      <c r="CL250" t="str">
        <f>""</f>
        <v/>
      </c>
      <c r="CM250" t="str">
        <f>""</f>
        <v/>
      </c>
      <c r="CN250" t="str">
        <f>""</f>
        <v/>
      </c>
      <c r="CO250" t="str">
        <f>""</f>
        <v/>
      </c>
      <c r="CP250" t="str">
        <f>""</f>
        <v/>
      </c>
      <c r="CQ250" t="str">
        <f>""</f>
        <v/>
      </c>
      <c r="CR250" t="str">
        <f>""</f>
        <v/>
      </c>
      <c r="CS250" t="str">
        <f>""</f>
        <v/>
      </c>
      <c r="CT250" t="str">
        <f>""</f>
        <v/>
      </c>
      <c r="CU250" t="str">
        <f>""</f>
        <v/>
      </c>
      <c r="CV250" t="str">
        <f>""</f>
        <v/>
      </c>
      <c r="CW250" t="str">
        <f>""</f>
        <v/>
      </c>
      <c r="CX250" t="str">
        <f>""</f>
        <v/>
      </c>
      <c r="CY250" t="str">
        <f>""</f>
        <v/>
      </c>
      <c r="CZ250" t="str">
        <f>""</f>
        <v/>
      </c>
      <c r="DA250" t="str">
        <f>""</f>
        <v/>
      </c>
      <c r="DB250" t="str">
        <f>""</f>
        <v/>
      </c>
      <c r="DC250" t="str">
        <f>""</f>
        <v/>
      </c>
      <c r="DD250" t="str">
        <f>""</f>
        <v/>
      </c>
      <c r="DE250" t="str">
        <f>""</f>
        <v/>
      </c>
      <c r="DF250" t="str">
        <f>""</f>
        <v/>
      </c>
      <c r="DG250" t="str">
        <f>""</f>
        <v/>
      </c>
      <c r="DH250" t="str">
        <f>""</f>
        <v/>
      </c>
      <c r="DI250" t="str">
        <f>""</f>
        <v/>
      </c>
      <c r="DJ250" t="str">
        <f>""</f>
        <v/>
      </c>
      <c r="DK250" t="str">
        <f>""</f>
        <v/>
      </c>
      <c r="DL250" t="str">
        <f>""</f>
        <v/>
      </c>
      <c r="DM250" t="str">
        <f>""</f>
        <v/>
      </c>
      <c r="DN250" t="str">
        <f>""</f>
        <v/>
      </c>
      <c r="DO250" t="str">
        <f>""</f>
        <v/>
      </c>
      <c r="DP250" t="str">
        <f>""</f>
        <v/>
      </c>
      <c r="DQ250" t="str">
        <f>""</f>
        <v/>
      </c>
      <c r="DR250" t="str">
        <f>""</f>
        <v/>
      </c>
      <c r="DS250" t="str">
        <f>""</f>
        <v/>
      </c>
      <c r="DT250" t="str">
        <f>""</f>
        <v/>
      </c>
      <c r="DU250" t="str">
        <f>""</f>
        <v/>
      </c>
    </row>
    <row r="251" spans="1:125" x14ac:dyDescent="0.25">
      <c r="A251" t="str">
        <f>$A$131</f>
        <v xml:space="preserve">            Organic Growth (%)</v>
      </c>
      <c r="B251" t="str">
        <f>$B$131</f>
        <v>KER FP Equity</v>
      </c>
      <c r="C251" t="str">
        <f>$C$131</f>
        <v>BI047</v>
      </c>
      <c r="D251" t="str">
        <f>$D$131</f>
        <v>BICS_SEGMENT_DATA</v>
      </c>
      <c r="E251" t="str">
        <f>$E$131</f>
        <v>Dynamic</v>
      </c>
      <c r="F251" t="str">
        <f ca="1">_xll.BDH($B$131,$C$131,$B$156,$B$157,CONCATENATE("Per=",$B$154),"Dts=H","Dir=H",CONCATENATE("Points=",$B$155),"Sort=R","Days=A","Fill=B","DZ666=701","DZ381=11121116","DZ667=11","DS276=Y",CONCATENATE("FX=", $B$153) )</f>
        <v/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  <c r="BT251" t="str">
        <f>""</f>
        <v/>
      </c>
      <c r="BU251" t="str">
        <f>""</f>
        <v/>
      </c>
      <c r="BV251" t="str">
        <f>""</f>
        <v/>
      </c>
      <c r="BW251" t="str">
        <f>""</f>
        <v/>
      </c>
      <c r="BX251" t="str">
        <f>""</f>
        <v/>
      </c>
      <c r="BY251" t="str">
        <f>""</f>
        <v/>
      </c>
      <c r="BZ251" t="str">
        <f>""</f>
        <v/>
      </c>
      <c r="CA251" t="str">
        <f>""</f>
        <v/>
      </c>
      <c r="CB251" t="str">
        <f>""</f>
        <v/>
      </c>
      <c r="CC251" t="str">
        <f>""</f>
        <v/>
      </c>
      <c r="CD251" t="str">
        <f>""</f>
        <v/>
      </c>
      <c r="CE251" t="str">
        <f>""</f>
        <v/>
      </c>
      <c r="CF251" t="str">
        <f>""</f>
        <v/>
      </c>
      <c r="CG251" t="str">
        <f>""</f>
        <v/>
      </c>
      <c r="CH251" t="str">
        <f>""</f>
        <v/>
      </c>
      <c r="CI251" t="str">
        <f>""</f>
        <v/>
      </c>
      <c r="CJ251" t="str">
        <f>""</f>
        <v/>
      </c>
      <c r="CK251" t="str">
        <f>""</f>
        <v/>
      </c>
      <c r="CL251" t="str">
        <f>""</f>
        <v/>
      </c>
      <c r="CM251" t="str">
        <f>""</f>
        <v/>
      </c>
      <c r="CN251" t="str">
        <f>""</f>
        <v/>
      </c>
      <c r="CO251" t="str">
        <f>""</f>
        <v/>
      </c>
      <c r="CP251" t="str">
        <f>""</f>
        <v/>
      </c>
      <c r="CQ251" t="str">
        <f>""</f>
        <v/>
      </c>
      <c r="CR251" t="str">
        <f>""</f>
        <v/>
      </c>
      <c r="CS251" t="str">
        <f>""</f>
        <v/>
      </c>
      <c r="CT251" t="str">
        <f>""</f>
        <v/>
      </c>
      <c r="CU251" t="str">
        <f>""</f>
        <v/>
      </c>
      <c r="CV251" t="str">
        <f>""</f>
        <v/>
      </c>
      <c r="CW251" t="str">
        <f>""</f>
        <v/>
      </c>
      <c r="CX251" t="str">
        <f>""</f>
        <v/>
      </c>
      <c r="CY251" t="str">
        <f>""</f>
        <v/>
      </c>
      <c r="CZ251" t="str">
        <f>""</f>
        <v/>
      </c>
      <c r="DA251" t="str">
        <f>""</f>
        <v/>
      </c>
      <c r="DB251" t="str">
        <f>""</f>
        <v/>
      </c>
      <c r="DC251" t="str">
        <f>""</f>
        <v/>
      </c>
      <c r="DD251" t="str">
        <f>""</f>
        <v/>
      </c>
      <c r="DE251" t="str">
        <f>""</f>
        <v/>
      </c>
      <c r="DF251" t="str">
        <f>""</f>
        <v/>
      </c>
      <c r="DG251" t="str">
        <f>""</f>
        <v/>
      </c>
      <c r="DH251" t="str">
        <f>""</f>
        <v/>
      </c>
      <c r="DI251" t="str">
        <f>""</f>
        <v/>
      </c>
      <c r="DJ251" t="str">
        <f>""</f>
        <v/>
      </c>
      <c r="DK251" t="str">
        <f>""</f>
        <v/>
      </c>
      <c r="DL251" t="str">
        <f>""</f>
        <v/>
      </c>
      <c r="DM251" t="str">
        <f>""</f>
        <v/>
      </c>
      <c r="DN251" t="str">
        <f>""</f>
        <v/>
      </c>
      <c r="DO251" t="str">
        <f>""</f>
        <v/>
      </c>
      <c r="DP251" t="str">
        <f>""</f>
        <v/>
      </c>
      <c r="DQ251" t="str">
        <f>""</f>
        <v/>
      </c>
      <c r="DR251" t="str">
        <f>""</f>
        <v/>
      </c>
      <c r="DS251" t="str">
        <f>""</f>
        <v/>
      </c>
      <c r="DT251" t="str">
        <f>""</f>
        <v/>
      </c>
      <c r="DU251" t="str">
        <f>""</f>
        <v/>
      </c>
    </row>
    <row r="252" spans="1:125" x14ac:dyDescent="0.25">
      <c r="A252" t="str">
        <f>$A$132</f>
        <v xml:space="preserve">            Recurring Operating Income</v>
      </c>
      <c r="B252" t="str">
        <f>$B$132</f>
        <v>KER FP Equity</v>
      </c>
      <c r="C252" t="str">
        <f>$C$132</f>
        <v>BI047</v>
      </c>
      <c r="D252" t="str">
        <f>$D$132</f>
        <v>BICS_SEGMENT_DATA</v>
      </c>
      <c r="E252" t="str">
        <f>$E$132</f>
        <v>Dynamic</v>
      </c>
      <c r="F252" t="str">
        <f ca="1">_xll.BDH($B$132,$C$132,$B$156,$B$157,CONCATENATE("Per=",$B$154),"Dts=H","Dir=H",CONCATENATE("Points=",$B$155),"Sort=R","Days=A","Fill=B","DZ666=002","DZ381=11121116","DZ665=13689884","DZ667=10","DS276=Y",CONCATENATE("FX=", $B$153) )</f>
        <v/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  <c r="BT252" t="str">
        <f>""</f>
        <v/>
      </c>
      <c r="BU252" t="str">
        <f>""</f>
        <v/>
      </c>
      <c r="BV252" t="str">
        <f>""</f>
        <v/>
      </c>
      <c r="BW252" t="str">
        <f>""</f>
        <v/>
      </c>
      <c r="BX252" t="str">
        <f>""</f>
        <v/>
      </c>
      <c r="BY252" t="str">
        <f>""</f>
        <v/>
      </c>
      <c r="BZ252" t="str">
        <f>""</f>
        <v/>
      </c>
      <c r="CA252" t="str">
        <f>""</f>
        <v/>
      </c>
      <c r="CB252" t="str">
        <f>""</f>
        <v/>
      </c>
      <c r="CC252" t="str">
        <f>""</f>
        <v/>
      </c>
      <c r="CD252" t="str">
        <f>""</f>
        <v/>
      </c>
      <c r="CE252" t="str">
        <f>""</f>
        <v/>
      </c>
      <c r="CF252" t="str">
        <f>""</f>
        <v/>
      </c>
      <c r="CG252" t="str">
        <f>""</f>
        <v/>
      </c>
      <c r="CH252" t="str">
        <f>""</f>
        <v/>
      </c>
      <c r="CI252" t="str">
        <f>""</f>
        <v/>
      </c>
      <c r="CJ252" t="str">
        <f>""</f>
        <v/>
      </c>
      <c r="CK252" t="str">
        <f>""</f>
        <v/>
      </c>
      <c r="CL252" t="str">
        <f>""</f>
        <v/>
      </c>
      <c r="CM252" t="str">
        <f>""</f>
        <v/>
      </c>
      <c r="CN252" t="str">
        <f>""</f>
        <v/>
      </c>
      <c r="CO252" t="str">
        <f>""</f>
        <v/>
      </c>
      <c r="CP252" t="str">
        <f>""</f>
        <v/>
      </c>
      <c r="CQ252" t="str">
        <f>""</f>
        <v/>
      </c>
      <c r="CR252" t="str">
        <f>""</f>
        <v/>
      </c>
      <c r="CS252" t="str">
        <f>""</f>
        <v/>
      </c>
      <c r="CT252" t="str">
        <f>""</f>
        <v/>
      </c>
      <c r="CU252" t="str">
        <f>""</f>
        <v/>
      </c>
      <c r="CV252" t="str">
        <f>""</f>
        <v/>
      </c>
      <c r="CW252" t="str">
        <f>""</f>
        <v/>
      </c>
      <c r="CX252" t="str">
        <f>""</f>
        <v/>
      </c>
      <c r="CY252" t="str">
        <f>""</f>
        <v/>
      </c>
      <c r="CZ252" t="str">
        <f>""</f>
        <v/>
      </c>
      <c r="DA252" t="str">
        <f>""</f>
        <v/>
      </c>
      <c r="DB252" t="str">
        <f>""</f>
        <v/>
      </c>
      <c r="DC252" t="str">
        <f>""</f>
        <v/>
      </c>
      <c r="DD252" t="str">
        <f>""</f>
        <v/>
      </c>
      <c r="DE252" t="str">
        <f>""</f>
        <v/>
      </c>
      <c r="DF252" t="str">
        <f>""</f>
        <v/>
      </c>
      <c r="DG252" t="str">
        <f>""</f>
        <v/>
      </c>
      <c r="DH252" t="str">
        <f>""</f>
        <v/>
      </c>
      <c r="DI252" t="str">
        <f>""</f>
        <v/>
      </c>
      <c r="DJ252" t="str">
        <f>""</f>
        <v/>
      </c>
      <c r="DK252" t="str">
        <f>""</f>
        <v/>
      </c>
      <c r="DL252" t="str">
        <f>""</f>
        <v/>
      </c>
      <c r="DM252" t="str">
        <f>""</f>
        <v/>
      </c>
      <c r="DN252" t="str">
        <f>""</f>
        <v/>
      </c>
      <c r="DO252" t="str">
        <f>""</f>
        <v/>
      </c>
      <c r="DP252" t="str">
        <f>""</f>
        <v/>
      </c>
      <c r="DQ252" t="str">
        <f>""</f>
        <v/>
      </c>
      <c r="DR252" t="str">
        <f>""</f>
        <v/>
      </c>
      <c r="DS252" t="str">
        <f>""</f>
        <v/>
      </c>
      <c r="DT252" t="str">
        <f>""</f>
        <v/>
      </c>
      <c r="DU252" t="str">
        <f>""</f>
        <v/>
      </c>
    </row>
    <row r="253" spans="1:125" x14ac:dyDescent="0.25">
      <c r="A253" t="str">
        <f>$A$138</f>
        <v xml:space="preserve">        Revenue (As Reported)</v>
      </c>
      <c r="B253" t="str">
        <f>$B$138</f>
        <v>KER FP Equity</v>
      </c>
      <c r="C253" t="str">
        <f>$C$138</f>
        <v>IS010</v>
      </c>
      <c r="D253" t="str">
        <f>$D$138</f>
        <v>SALES_REV_TURN</v>
      </c>
      <c r="E253" t="str">
        <f>$E$138</f>
        <v>Dynamic</v>
      </c>
      <c r="F253" t="str">
        <f ca="1">_xll.BDH($B$138,$C$138,$B$156,$B$157,CONCATENATE("Per=",$B$154),"Dts=H","Dir=H",CONCATENATE("Points=",$B$155),"Sort=R","Days=A","Fill=B",CONCATENATE("FX=", $B$153) )</f>
        <v/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  <c r="BT253" t="str">
        <f>""</f>
        <v/>
      </c>
      <c r="BU253" t="str">
        <f>""</f>
        <v/>
      </c>
      <c r="BV253" t="str">
        <f>""</f>
        <v/>
      </c>
      <c r="BW253" t="str">
        <f>""</f>
        <v/>
      </c>
      <c r="BX253" t="str">
        <f>""</f>
        <v/>
      </c>
      <c r="BY253" t="str">
        <f>""</f>
        <v/>
      </c>
      <c r="BZ253" t="str">
        <f>""</f>
        <v/>
      </c>
      <c r="CA253" t="str">
        <f>""</f>
        <v/>
      </c>
      <c r="CB253" t="str">
        <f>""</f>
        <v/>
      </c>
      <c r="CC253" t="str">
        <f>""</f>
        <v/>
      </c>
      <c r="CD253" t="str">
        <f>""</f>
        <v/>
      </c>
      <c r="CE253" t="str">
        <f>""</f>
        <v/>
      </c>
      <c r="CF253" t="str">
        <f>""</f>
        <v/>
      </c>
      <c r="CG253" t="str">
        <f>""</f>
        <v/>
      </c>
      <c r="CH253" t="str">
        <f>""</f>
        <v/>
      </c>
      <c r="CI253" t="str">
        <f>""</f>
        <v/>
      </c>
      <c r="CJ253" t="str">
        <f>""</f>
        <v/>
      </c>
      <c r="CK253" t="str">
        <f>""</f>
        <v/>
      </c>
      <c r="CL253" t="str">
        <f>""</f>
        <v/>
      </c>
      <c r="CM253" t="str">
        <f>""</f>
        <v/>
      </c>
      <c r="CN253" t="str">
        <f>""</f>
        <v/>
      </c>
      <c r="CO253" t="str">
        <f>""</f>
        <v/>
      </c>
      <c r="CP253" t="str">
        <f>""</f>
        <v/>
      </c>
      <c r="CQ253" t="str">
        <f>""</f>
        <v/>
      </c>
      <c r="CR253" t="str">
        <f>""</f>
        <v/>
      </c>
      <c r="CS253" t="str">
        <f>""</f>
        <v/>
      </c>
      <c r="CT253" t="str">
        <f>""</f>
        <v/>
      </c>
      <c r="CU253" t="str">
        <f>""</f>
        <v/>
      </c>
      <c r="CV253" t="str">
        <f>""</f>
        <v/>
      </c>
      <c r="CW253" t="str">
        <f>""</f>
        <v/>
      </c>
      <c r="CX253" t="str">
        <f>""</f>
        <v/>
      </c>
      <c r="CY253" t="str">
        <f>""</f>
        <v/>
      </c>
      <c r="CZ253" t="str">
        <f>""</f>
        <v/>
      </c>
      <c r="DA253" t="str">
        <f>""</f>
        <v/>
      </c>
      <c r="DB253" t="str">
        <f>""</f>
        <v/>
      </c>
      <c r="DC253" t="str">
        <f>""</f>
        <v/>
      </c>
      <c r="DD253" t="str">
        <f>""</f>
        <v/>
      </c>
      <c r="DE253" t="str">
        <f>""</f>
        <v/>
      </c>
      <c r="DF253" t="str">
        <f>""</f>
        <v/>
      </c>
      <c r="DG253" t="str">
        <f>""</f>
        <v/>
      </c>
      <c r="DH253" t="str">
        <f>""</f>
        <v/>
      </c>
      <c r="DI253" t="str">
        <f>""</f>
        <v/>
      </c>
      <c r="DJ253" t="str">
        <f>""</f>
        <v/>
      </c>
      <c r="DK253" t="str">
        <f>""</f>
        <v/>
      </c>
      <c r="DL253" t="str">
        <f>""</f>
        <v/>
      </c>
      <c r="DM253" t="str">
        <f>""</f>
        <v/>
      </c>
      <c r="DN253" t="str">
        <f>""</f>
        <v/>
      </c>
      <c r="DO253" t="str">
        <f>""</f>
        <v/>
      </c>
      <c r="DP253" t="str">
        <f>""</f>
        <v/>
      </c>
      <c r="DQ253" t="str">
        <f>""</f>
        <v/>
      </c>
      <c r="DR253" t="str">
        <f>""</f>
        <v/>
      </c>
      <c r="DS253" t="str">
        <f>""</f>
        <v/>
      </c>
      <c r="DT253" t="str">
        <f>""</f>
        <v/>
      </c>
      <c r="DU253" t="str">
        <f>""</f>
        <v/>
      </c>
    </row>
    <row r="254" spans="1:125" x14ac:dyDescent="0.25">
      <c r="A254" t="str">
        <f>$A$140</f>
        <v xml:space="preserve">    Estimated Sales</v>
      </c>
      <c r="B254" t="str">
        <f>$B$140</f>
        <v>KER FP Equity</v>
      </c>
      <c r="C254" t="str">
        <f>$C$140</f>
        <v>IS902</v>
      </c>
      <c r="D254" t="str">
        <f>$D$140</f>
        <v>IS_COMP_SALES</v>
      </c>
      <c r="E254" t="str">
        <f>$E$140</f>
        <v>Dynamic</v>
      </c>
      <c r="F254">
        <f ca="1">_xll.BDH($B$140,$C$140,$B$156,$B$157,CONCATENATE("Per=",$B$154),"Dts=H","Dir=H",CONCATENATE("Points=",$B$155),"Sort=R","Days=A","Fill=B","DZ543=REPLACE",CONCATENATE("FX=", $B$153) )</f>
        <v>4733.5709999999999</v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  <c r="BT254" t="str">
        <f>""</f>
        <v/>
      </c>
      <c r="BU254" t="str">
        <f>""</f>
        <v/>
      </c>
      <c r="BV254" t="str">
        <f>""</f>
        <v/>
      </c>
      <c r="BW254" t="str">
        <f>""</f>
        <v/>
      </c>
      <c r="BX254" t="str">
        <f>""</f>
        <v/>
      </c>
      <c r="BY254" t="str">
        <f>""</f>
        <v/>
      </c>
      <c r="BZ254" t="str">
        <f>""</f>
        <v/>
      </c>
      <c r="CA254" t="str">
        <f>""</f>
        <v/>
      </c>
      <c r="CB254" t="str">
        <f>""</f>
        <v/>
      </c>
      <c r="CC254" t="str">
        <f>""</f>
        <v/>
      </c>
      <c r="CD254" t="str">
        <f>""</f>
        <v/>
      </c>
      <c r="CE254" t="str">
        <f>""</f>
        <v/>
      </c>
      <c r="CF254" t="str">
        <f>""</f>
        <v/>
      </c>
      <c r="CG254" t="str">
        <f>""</f>
        <v/>
      </c>
      <c r="CH254" t="str">
        <f>""</f>
        <v/>
      </c>
      <c r="CI254" t="str">
        <f>""</f>
        <v/>
      </c>
      <c r="CJ254" t="str">
        <f>""</f>
        <v/>
      </c>
      <c r="CK254" t="str">
        <f>""</f>
        <v/>
      </c>
      <c r="CL254" t="str">
        <f>""</f>
        <v/>
      </c>
      <c r="CM254" t="str">
        <f>""</f>
        <v/>
      </c>
      <c r="CN254" t="str">
        <f>""</f>
        <v/>
      </c>
      <c r="CO254" t="str">
        <f>""</f>
        <v/>
      </c>
      <c r="CP254" t="str">
        <f>""</f>
        <v/>
      </c>
      <c r="CQ254" t="str">
        <f>""</f>
        <v/>
      </c>
      <c r="CR254" t="str">
        <f>""</f>
        <v/>
      </c>
      <c r="CS254" t="str">
        <f>""</f>
        <v/>
      </c>
      <c r="CT254" t="str">
        <f>""</f>
        <v/>
      </c>
      <c r="CU254" t="str">
        <f>""</f>
        <v/>
      </c>
      <c r="CV254" t="str">
        <f>""</f>
        <v/>
      </c>
      <c r="CW254" t="str">
        <f>""</f>
        <v/>
      </c>
      <c r="CX254" t="str">
        <f>""</f>
        <v/>
      </c>
      <c r="CY254" t="str">
        <f>""</f>
        <v/>
      </c>
      <c r="CZ254" t="str">
        <f>""</f>
        <v/>
      </c>
      <c r="DA254" t="str">
        <f>""</f>
        <v/>
      </c>
      <c r="DB254" t="str">
        <f>""</f>
        <v/>
      </c>
      <c r="DC254" t="str">
        <f>""</f>
        <v/>
      </c>
      <c r="DD254" t="str">
        <f>""</f>
        <v/>
      </c>
      <c r="DE254" t="str">
        <f>""</f>
        <v/>
      </c>
      <c r="DF254" t="str">
        <f>""</f>
        <v/>
      </c>
      <c r="DG254" t="str">
        <f>""</f>
        <v/>
      </c>
      <c r="DH254" t="str">
        <f>""</f>
        <v/>
      </c>
      <c r="DI254" t="str">
        <f>""</f>
        <v/>
      </c>
      <c r="DJ254" t="str">
        <f>""</f>
        <v/>
      </c>
      <c r="DK254" t="str">
        <f>""</f>
        <v/>
      </c>
      <c r="DL254" t="str">
        <f>""</f>
        <v/>
      </c>
      <c r="DM254" t="str">
        <f>""</f>
        <v/>
      </c>
      <c r="DN254" t="str">
        <f>""</f>
        <v/>
      </c>
      <c r="DO254" t="str">
        <f>""</f>
        <v/>
      </c>
      <c r="DP254" t="str">
        <f>""</f>
        <v/>
      </c>
      <c r="DQ254" t="str">
        <f>""</f>
        <v/>
      </c>
      <c r="DR254" t="str">
        <f>""</f>
        <v/>
      </c>
      <c r="DS254" t="str">
        <f>""</f>
        <v/>
      </c>
      <c r="DT254" t="str">
        <f>""</f>
        <v/>
      </c>
      <c r="DU254" t="str">
        <f>""</f>
        <v/>
      </c>
    </row>
    <row r="255" spans="1:125" x14ac:dyDescent="0.25">
      <c r="A255" t="str">
        <f>""</f>
        <v/>
      </c>
      <c r="B255" t="str">
        <f>""</f>
        <v/>
      </c>
      <c r="C255" t="str">
        <f>""</f>
        <v/>
      </c>
      <c r="D255" t="str">
        <f>""</f>
        <v/>
      </c>
      <c r="E255" t="str">
        <f>""</f>
        <v/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  <c r="BT255" t="str">
        <f>""</f>
        <v/>
      </c>
      <c r="BU255" t="str">
        <f>""</f>
        <v/>
      </c>
      <c r="BV255" t="str">
        <f>""</f>
        <v/>
      </c>
      <c r="BW255" t="str">
        <f>""</f>
        <v/>
      </c>
      <c r="BX255" t="str">
        <f>""</f>
        <v/>
      </c>
      <c r="BY255" t="str">
        <f>""</f>
        <v/>
      </c>
      <c r="BZ255" t="str">
        <f>""</f>
        <v/>
      </c>
      <c r="CA255" t="str">
        <f>""</f>
        <v/>
      </c>
      <c r="CB255" t="str">
        <f>""</f>
        <v/>
      </c>
      <c r="CC255" t="str">
        <f>""</f>
        <v/>
      </c>
      <c r="CD255" t="str">
        <f>""</f>
        <v/>
      </c>
      <c r="CE255" t="str">
        <f>""</f>
        <v/>
      </c>
      <c r="CF255" t="str">
        <f>""</f>
        <v/>
      </c>
      <c r="CG255" t="str">
        <f>""</f>
        <v/>
      </c>
      <c r="CH255" t="str">
        <f>""</f>
        <v/>
      </c>
      <c r="CI255" t="str">
        <f>""</f>
        <v/>
      </c>
      <c r="CJ255" t="str">
        <f>""</f>
        <v/>
      </c>
      <c r="CK255" t="str">
        <f>""</f>
        <v/>
      </c>
      <c r="CL255" t="str">
        <f>""</f>
        <v/>
      </c>
      <c r="CM255" t="str">
        <f>""</f>
        <v/>
      </c>
      <c r="CN255" t="str">
        <f>""</f>
        <v/>
      </c>
      <c r="CO255" t="str">
        <f>""</f>
        <v/>
      </c>
      <c r="CP255" t="str">
        <f>""</f>
        <v/>
      </c>
      <c r="CQ255" t="str">
        <f>""</f>
        <v/>
      </c>
      <c r="CR255" t="str">
        <f>""</f>
        <v/>
      </c>
      <c r="CS255" t="str">
        <f>""</f>
        <v/>
      </c>
      <c r="CT255" t="str">
        <f>""</f>
        <v/>
      </c>
      <c r="CU255" t="str">
        <f>""</f>
        <v/>
      </c>
      <c r="CV255" t="str">
        <f>""</f>
        <v/>
      </c>
      <c r="CW255" t="str">
        <f>""</f>
        <v/>
      </c>
      <c r="CX255" t="str">
        <f>""</f>
        <v/>
      </c>
      <c r="CY255" t="str">
        <f>""</f>
        <v/>
      </c>
      <c r="CZ255" t="str">
        <f>""</f>
        <v/>
      </c>
      <c r="DA255" t="str">
        <f>""</f>
        <v/>
      </c>
      <c r="DB255" t="str">
        <f>""</f>
        <v/>
      </c>
      <c r="DC255" t="str">
        <f>""</f>
        <v/>
      </c>
      <c r="DD255" t="str">
        <f>""</f>
        <v/>
      </c>
      <c r="DE255" t="str">
        <f>""</f>
        <v/>
      </c>
      <c r="DF255" t="str">
        <f>""</f>
        <v/>
      </c>
      <c r="DG255" t="str">
        <f>""</f>
        <v/>
      </c>
      <c r="DH255" t="str">
        <f>""</f>
        <v/>
      </c>
      <c r="DI255" t="str">
        <f>""</f>
        <v/>
      </c>
      <c r="DJ255" t="str">
        <f>""</f>
        <v/>
      </c>
      <c r="DK255" t="str">
        <f>""</f>
        <v/>
      </c>
      <c r="DL255" t="str">
        <f>""</f>
        <v/>
      </c>
      <c r="DM255" t="str">
        <f>""</f>
        <v/>
      </c>
      <c r="DN255" t="str">
        <f>""</f>
        <v/>
      </c>
      <c r="DO255" t="str">
        <f>""</f>
        <v/>
      </c>
      <c r="DP255" t="str">
        <f>""</f>
        <v/>
      </c>
      <c r="DQ255" t="str">
        <f>""</f>
        <v/>
      </c>
      <c r="DR255" t="str">
        <f>""</f>
        <v/>
      </c>
      <c r="DS255" t="str">
        <f>""</f>
        <v/>
      </c>
      <c r="DT255" t="str">
        <f>""</f>
        <v/>
      </c>
      <c r="DU255" t="str">
        <f>""</f>
        <v/>
      </c>
    </row>
    <row r="256" spans="1:125" x14ac:dyDescent="0.25">
      <c r="A256" t="str">
        <f>""</f>
        <v/>
      </c>
      <c r="B256" t="str">
        <f>""</f>
        <v/>
      </c>
      <c r="C256" t="str">
        <f>""</f>
        <v/>
      </c>
      <c r="D256" t="str">
        <f>""</f>
        <v/>
      </c>
      <c r="E256" t="str">
        <f>""</f>
        <v/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  <c r="BT256" t="str">
        <f>""</f>
        <v/>
      </c>
      <c r="BU256" t="str">
        <f>""</f>
        <v/>
      </c>
      <c r="BV256" t="str">
        <f>""</f>
        <v/>
      </c>
      <c r="BW256" t="str">
        <f>""</f>
        <v/>
      </c>
      <c r="BX256" t="str">
        <f>""</f>
        <v/>
      </c>
      <c r="BY256" t="str">
        <f>""</f>
        <v/>
      </c>
      <c r="BZ256" t="str">
        <f>""</f>
        <v/>
      </c>
      <c r="CA256" t="str">
        <f>""</f>
        <v/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  <c r="CH256" t="str">
        <f>""</f>
        <v/>
      </c>
      <c r="CI256" t="str">
        <f>""</f>
        <v/>
      </c>
      <c r="CJ256" t="str">
        <f>""</f>
        <v/>
      </c>
      <c r="CK256" t="str">
        <f>""</f>
        <v/>
      </c>
      <c r="CL256" t="str">
        <f>""</f>
        <v/>
      </c>
      <c r="CM256" t="str">
        <f>""</f>
        <v/>
      </c>
      <c r="CN256" t="str">
        <f>""</f>
        <v/>
      </c>
      <c r="CO256" t="str">
        <f>""</f>
        <v/>
      </c>
      <c r="CP256" t="str">
        <f>""</f>
        <v/>
      </c>
      <c r="CQ256" t="str">
        <f>""</f>
        <v/>
      </c>
      <c r="CR256" t="str">
        <f>""</f>
        <v/>
      </c>
      <c r="CS256" t="str">
        <f>""</f>
        <v/>
      </c>
      <c r="CT256" t="str">
        <f>""</f>
        <v/>
      </c>
      <c r="CU256" t="str">
        <f>""</f>
        <v/>
      </c>
      <c r="CV256" t="str">
        <f>""</f>
        <v/>
      </c>
      <c r="CW256" t="str">
        <f>""</f>
        <v/>
      </c>
      <c r="CX256" t="str">
        <f>""</f>
        <v/>
      </c>
      <c r="CY256" t="str">
        <f>""</f>
        <v/>
      </c>
      <c r="CZ256" t="str">
        <f>""</f>
        <v/>
      </c>
      <c r="DA256" t="str">
        <f>""</f>
        <v/>
      </c>
      <c r="DB256" t="str">
        <f>""</f>
        <v/>
      </c>
      <c r="DC256" t="str">
        <f>""</f>
        <v/>
      </c>
      <c r="DD256" t="str">
        <f>""</f>
        <v/>
      </c>
      <c r="DE256" t="str">
        <f>""</f>
        <v/>
      </c>
      <c r="DF256" t="str">
        <f>""</f>
        <v/>
      </c>
      <c r="DG256" t="str">
        <f>""</f>
        <v/>
      </c>
      <c r="DH256" t="str">
        <f>""</f>
        <v/>
      </c>
      <c r="DI256" t="str">
        <f>""</f>
        <v/>
      </c>
      <c r="DJ256" t="str">
        <f>""</f>
        <v/>
      </c>
      <c r="DK256" t="str">
        <f>""</f>
        <v/>
      </c>
      <c r="DL256" t="str">
        <f>""</f>
        <v/>
      </c>
      <c r="DM256" t="str">
        <f>""</f>
        <v/>
      </c>
      <c r="DN256" t="str">
        <f>""</f>
        <v/>
      </c>
      <c r="DO256" t="str">
        <f>""</f>
        <v/>
      </c>
      <c r="DP256" t="str">
        <f>""</f>
        <v/>
      </c>
      <c r="DQ256" t="str">
        <f>""</f>
        <v/>
      </c>
      <c r="DR256" t="str">
        <f>""</f>
        <v/>
      </c>
      <c r="DS256" t="str">
        <f>""</f>
        <v/>
      </c>
      <c r="DT256" t="str">
        <f>""</f>
        <v/>
      </c>
      <c r="DU256" t="str">
        <f>""</f>
        <v/>
      </c>
    </row>
    <row r="257" spans="1:125" x14ac:dyDescent="0.25">
      <c r="A257" t="str">
        <f>""</f>
        <v/>
      </c>
      <c r="B257" t="str">
        <f>""</f>
        <v/>
      </c>
      <c r="C257" t="str">
        <f>""</f>
        <v/>
      </c>
      <c r="D257" t="str">
        <f>""</f>
        <v/>
      </c>
      <c r="E257" t="str">
        <f>""</f>
        <v/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  <c r="BT257" t="str">
        <f>""</f>
        <v/>
      </c>
      <c r="BU257" t="str">
        <f>""</f>
        <v/>
      </c>
      <c r="BV257" t="str">
        <f>""</f>
        <v/>
      </c>
      <c r="BW257" t="str">
        <f>""</f>
        <v/>
      </c>
      <c r="BX257" t="str">
        <f>""</f>
        <v/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  <c r="CH257" t="str">
        <f>""</f>
        <v/>
      </c>
      <c r="CI257" t="str">
        <f>""</f>
        <v/>
      </c>
      <c r="CJ257" t="str">
        <f>""</f>
        <v/>
      </c>
      <c r="CK257" t="str">
        <f>""</f>
        <v/>
      </c>
      <c r="CL257" t="str">
        <f>""</f>
        <v/>
      </c>
      <c r="CM257" t="str">
        <f>""</f>
        <v/>
      </c>
      <c r="CN257" t="str">
        <f>""</f>
        <v/>
      </c>
      <c r="CO257" t="str">
        <f>""</f>
        <v/>
      </c>
      <c r="CP257" t="str">
        <f>""</f>
        <v/>
      </c>
      <c r="CQ257" t="str">
        <f>""</f>
        <v/>
      </c>
      <c r="CR257" t="str">
        <f>""</f>
        <v/>
      </c>
      <c r="CS257" t="str">
        <f>""</f>
        <v/>
      </c>
      <c r="CT257" t="str">
        <f>""</f>
        <v/>
      </c>
      <c r="CU257" t="str">
        <f>""</f>
        <v/>
      </c>
      <c r="CV257" t="str">
        <f>""</f>
        <v/>
      </c>
      <c r="CW257" t="str">
        <f>""</f>
        <v/>
      </c>
      <c r="CX257" t="str">
        <f>""</f>
        <v/>
      </c>
      <c r="CY257" t="str">
        <f>""</f>
        <v/>
      </c>
      <c r="CZ257" t="str">
        <f>""</f>
        <v/>
      </c>
      <c r="DA257" t="str">
        <f>""</f>
        <v/>
      </c>
      <c r="DB257" t="str">
        <f>""</f>
        <v/>
      </c>
      <c r="DC257" t="str">
        <f>""</f>
        <v/>
      </c>
      <c r="DD257" t="str">
        <f>""</f>
        <v/>
      </c>
      <c r="DE257" t="str">
        <f>""</f>
        <v/>
      </c>
      <c r="DF257" t="str">
        <f>""</f>
        <v/>
      </c>
      <c r="DG257" t="str">
        <f>""</f>
        <v/>
      </c>
      <c r="DH257" t="str">
        <f>""</f>
        <v/>
      </c>
      <c r="DI257" t="str">
        <f>""</f>
        <v/>
      </c>
      <c r="DJ257" t="str">
        <f>""</f>
        <v/>
      </c>
      <c r="DK257" t="str">
        <f>""</f>
        <v/>
      </c>
      <c r="DL257" t="str">
        <f>""</f>
        <v/>
      </c>
      <c r="DM257" t="str">
        <f>""</f>
        <v/>
      </c>
      <c r="DN257" t="str">
        <f>""</f>
        <v/>
      </c>
      <c r="DO257" t="str">
        <f>""</f>
        <v/>
      </c>
      <c r="DP257" t="str">
        <f>""</f>
        <v/>
      </c>
      <c r="DQ257" t="str">
        <f>""</f>
        <v/>
      </c>
      <c r="DR257" t="str">
        <f>""</f>
        <v/>
      </c>
      <c r="DS257" t="str">
        <f>""</f>
        <v/>
      </c>
      <c r="DT257" t="str">
        <f>""</f>
        <v/>
      </c>
      <c r="DU257" t="str">
        <f>""</f>
        <v/>
      </c>
    </row>
    <row r="258" spans="1:125" x14ac:dyDescent="0.25">
      <c r="A258" t="str">
        <f>""</f>
        <v/>
      </c>
      <c r="B258" t="str">
        <f>""</f>
        <v/>
      </c>
      <c r="C258" t="str">
        <f>""</f>
        <v/>
      </c>
      <c r="D258" t="str">
        <f>""</f>
        <v/>
      </c>
      <c r="E258" t="str">
        <f>""</f>
        <v/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  <c r="BT258" t="str">
        <f>""</f>
        <v/>
      </c>
      <c r="BU258" t="str">
        <f>""</f>
        <v/>
      </c>
      <c r="BV258" t="str">
        <f>""</f>
        <v/>
      </c>
      <c r="BW258" t="str">
        <f>""</f>
        <v/>
      </c>
      <c r="BX258" t="str">
        <f>""</f>
        <v/>
      </c>
      <c r="BY258" t="str">
        <f>""</f>
        <v/>
      </c>
      <c r="BZ258" t="str">
        <f>""</f>
        <v/>
      </c>
      <c r="CA258" t="str">
        <f>""</f>
        <v/>
      </c>
      <c r="CB258" t="str">
        <f>""</f>
        <v/>
      </c>
      <c r="CC258" t="str">
        <f>""</f>
        <v/>
      </c>
      <c r="CD258" t="str">
        <f>""</f>
        <v/>
      </c>
      <c r="CE258" t="str">
        <f>""</f>
        <v/>
      </c>
      <c r="CF258" t="str">
        <f>""</f>
        <v/>
      </c>
      <c r="CG258" t="str">
        <f>""</f>
        <v/>
      </c>
      <c r="CH258" t="str">
        <f>""</f>
        <v/>
      </c>
      <c r="CI258" t="str">
        <f>""</f>
        <v/>
      </c>
      <c r="CJ258" t="str">
        <f>""</f>
        <v/>
      </c>
      <c r="CK258" t="str">
        <f>""</f>
        <v/>
      </c>
      <c r="CL258" t="str">
        <f>""</f>
        <v/>
      </c>
      <c r="CM258" t="str">
        <f>""</f>
        <v/>
      </c>
      <c r="CN258" t="str">
        <f>""</f>
        <v/>
      </c>
      <c r="CO258" t="str">
        <f>""</f>
        <v/>
      </c>
      <c r="CP258" t="str">
        <f>""</f>
        <v/>
      </c>
      <c r="CQ258" t="str">
        <f>""</f>
        <v/>
      </c>
      <c r="CR258" t="str">
        <f>""</f>
        <v/>
      </c>
      <c r="CS258" t="str">
        <f>""</f>
        <v/>
      </c>
      <c r="CT258" t="str">
        <f>""</f>
        <v/>
      </c>
      <c r="CU258" t="str">
        <f>""</f>
        <v/>
      </c>
      <c r="CV258" t="str">
        <f>""</f>
        <v/>
      </c>
      <c r="CW258" t="str">
        <f>""</f>
        <v/>
      </c>
      <c r="CX258" t="str">
        <f>""</f>
        <v/>
      </c>
      <c r="CY258" t="str">
        <f>""</f>
        <v/>
      </c>
      <c r="CZ258" t="str">
        <f>""</f>
        <v/>
      </c>
      <c r="DA258" t="str">
        <f>""</f>
        <v/>
      </c>
      <c r="DB258" t="str">
        <f>""</f>
        <v/>
      </c>
      <c r="DC258" t="str">
        <f>""</f>
        <v/>
      </c>
      <c r="DD258" t="str">
        <f>""</f>
        <v/>
      </c>
      <c r="DE258" t="str">
        <f>""</f>
        <v/>
      </c>
      <c r="DF258" t="str">
        <f>""</f>
        <v/>
      </c>
      <c r="DG258" t="str">
        <f>""</f>
        <v/>
      </c>
      <c r="DH258" t="str">
        <f>""</f>
        <v/>
      </c>
      <c r="DI258" t="str">
        <f>""</f>
        <v/>
      </c>
      <c r="DJ258" t="str">
        <f>""</f>
        <v/>
      </c>
      <c r="DK258" t="str">
        <f>""</f>
        <v/>
      </c>
      <c r="DL258" t="str">
        <f>""</f>
        <v/>
      </c>
      <c r="DM258" t="str">
        <f>""</f>
        <v/>
      </c>
      <c r="DN258" t="str">
        <f>""</f>
        <v/>
      </c>
      <c r="DO258" t="str">
        <f>""</f>
        <v/>
      </c>
      <c r="DP258" t="str">
        <f>""</f>
        <v/>
      </c>
      <c r="DQ258" t="str">
        <f>""</f>
        <v/>
      </c>
      <c r="DR258" t="str">
        <f>""</f>
        <v/>
      </c>
      <c r="DS258" t="str">
        <f>""</f>
        <v/>
      </c>
      <c r="DT258" t="str">
        <f>""</f>
        <v/>
      </c>
      <c r="DU258" t="str">
        <f>""</f>
        <v/>
      </c>
    </row>
    <row r="259" spans="1:125" x14ac:dyDescent="0.25">
      <c r="A259" t="str">
        <f>""</f>
        <v/>
      </c>
      <c r="B259" t="str">
        <f>""</f>
        <v/>
      </c>
      <c r="C259" t="str">
        <f>""</f>
        <v/>
      </c>
      <c r="D259" t="str">
        <f>""</f>
        <v/>
      </c>
      <c r="E259" t="str">
        <f>""</f>
        <v/>
      </c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  <c r="BT259" t="str">
        <f>""</f>
        <v/>
      </c>
      <c r="BU259" t="str">
        <f>""</f>
        <v/>
      </c>
      <c r="BV259" t="str">
        <f>""</f>
        <v/>
      </c>
      <c r="BW259" t="str">
        <f>""</f>
        <v/>
      </c>
      <c r="BX259" t="str">
        <f>""</f>
        <v/>
      </c>
      <c r="BY259" t="str">
        <f>""</f>
        <v/>
      </c>
      <c r="BZ259" t="str">
        <f>""</f>
        <v/>
      </c>
      <c r="CA259" t="str">
        <f>""</f>
        <v/>
      </c>
      <c r="CB259" t="str">
        <f>""</f>
        <v/>
      </c>
      <c r="CC259" t="str">
        <f>""</f>
        <v/>
      </c>
      <c r="CD259" t="str">
        <f>""</f>
        <v/>
      </c>
      <c r="CE259" t="str">
        <f>""</f>
        <v/>
      </c>
      <c r="CF259" t="str">
        <f>""</f>
        <v/>
      </c>
      <c r="CG259" t="str">
        <f>""</f>
        <v/>
      </c>
      <c r="CH259" t="str">
        <f>""</f>
        <v/>
      </c>
      <c r="CI259" t="str">
        <f>""</f>
        <v/>
      </c>
      <c r="CJ259" t="str">
        <f>""</f>
        <v/>
      </c>
      <c r="CK259" t="str">
        <f>""</f>
        <v/>
      </c>
      <c r="CL259" t="str">
        <f>""</f>
        <v/>
      </c>
      <c r="CM259" t="str">
        <f>""</f>
        <v/>
      </c>
      <c r="CN259" t="str">
        <f>""</f>
        <v/>
      </c>
      <c r="CO259" t="str">
        <f>""</f>
        <v/>
      </c>
      <c r="CP259" t="str">
        <f>""</f>
        <v/>
      </c>
      <c r="CQ259" t="str">
        <f>""</f>
        <v/>
      </c>
      <c r="CR259" t="str">
        <f>""</f>
        <v/>
      </c>
      <c r="CS259" t="str">
        <f>""</f>
        <v/>
      </c>
      <c r="CT259" t="str">
        <f>""</f>
        <v/>
      </c>
      <c r="CU259" t="str">
        <f>""</f>
        <v/>
      </c>
      <c r="CV259" t="str">
        <f>""</f>
        <v/>
      </c>
      <c r="CW259" t="str">
        <f>""</f>
        <v/>
      </c>
      <c r="CX259" t="str">
        <f>""</f>
        <v/>
      </c>
      <c r="CY259" t="str">
        <f>""</f>
        <v/>
      </c>
      <c r="CZ259" t="str">
        <f>""</f>
        <v/>
      </c>
      <c r="DA259" t="str">
        <f>""</f>
        <v/>
      </c>
      <c r="DB259" t="str">
        <f>""</f>
        <v/>
      </c>
      <c r="DC259" t="str">
        <f>""</f>
        <v/>
      </c>
      <c r="DD259" t="str">
        <f>""</f>
        <v/>
      </c>
      <c r="DE259" t="str">
        <f>""</f>
        <v/>
      </c>
      <c r="DF259" t="str">
        <f>""</f>
        <v/>
      </c>
      <c r="DG259" t="str">
        <f>""</f>
        <v/>
      </c>
      <c r="DH259" t="str">
        <f>""</f>
        <v/>
      </c>
      <c r="DI259" t="str">
        <f>""</f>
        <v/>
      </c>
      <c r="DJ259" t="str">
        <f>""</f>
        <v/>
      </c>
      <c r="DK259" t="str">
        <f>""</f>
        <v/>
      </c>
      <c r="DL259" t="str">
        <f>""</f>
        <v/>
      </c>
      <c r="DM259" t="str">
        <f>""</f>
        <v/>
      </c>
      <c r="DN259" t="str">
        <f>""</f>
        <v/>
      </c>
      <c r="DO259" t="str">
        <f>""</f>
        <v/>
      </c>
      <c r="DP259" t="str">
        <f>""</f>
        <v/>
      </c>
      <c r="DQ259" t="str">
        <f>""</f>
        <v/>
      </c>
      <c r="DR259" t="str">
        <f>""</f>
        <v/>
      </c>
      <c r="DS259" t="str">
        <f>""</f>
        <v/>
      </c>
      <c r="DT259" t="str">
        <f>""</f>
        <v/>
      </c>
      <c r="DU259" t="str">
        <f>""</f>
        <v/>
      </c>
    </row>
    <row r="260" spans="1:125" x14ac:dyDescent="0.25">
      <c r="A260" t="str">
        <f>"~~~~~~~~~~~~~~~~~~~~~"</f>
        <v>~~~~~~~~~~~~~~~~~~~~~</v>
      </c>
      <c r="B260" t="str">
        <f>"~~~~~~~~~~~~~~~~~~~~~"</f>
        <v>~~~~~~~~~~~~~~~~~~~~~</v>
      </c>
      <c r="C260" t="str">
        <f>"~~~~~~~~~~~~~~~~~~~~~"</f>
        <v>~~~~~~~~~~~~~~~~~~~~~</v>
      </c>
      <c r="D260" t="str">
        <f>"~~~~~~~~~~~~~~~~~~~~~"</f>
        <v>~~~~~~~~~~~~~~~~~~~~~</v>
      </c>
      <c r="E260" t="str">
        <f>"~~~~~~~~~~~~~~~~~~~~~"</f>
        <v>~~~~~~~~~~~~~~~~~~~~~</v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  <c r="BT260" t="str">
        <f>""</f>
        <v/>
      </c>
      <c r="BU260" t="str">
        <f>""</f>
        <v/>
      </c>
      <c r="BV260" t="str">
        <f>""</f>
        <v/>
      </c>
      <c r="BW260" t="str">
        <f>""</f>
        <v/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  <c r="CH260" t="str">
        <f>""</f>
        <v/>
      </c>
      <c r="CI260" t="str">
        <f>""</f>
        <v/>
      </c>
      <c r="CJ260" t="str">
        <f>""</f>
        <v/>
      </c>
      <c r="CK260" t="str">
        <f>""</f>
        <v/>
      </c>
      <c r="CL260" t="str">
        <f>""</f>
        <v/>
      </c>
      <c r="CM260" t="str">
        <f>""</f>
        <v/>
      </c>
      <c r="CN260" t="str">
        <f>""</f>
        <v/>
      </c>
      <c r="CO260" t="str">
        <f>""</f>
        <v/>
      </c>
      <c r="CP260" t="str">
        <f>""</f>
        <v/>
      </c>
      <c r="CQ260" t="str">
        <f>""</f>
        <v/>
      </c>
      <c r="CR260" t="str">
        <f>""</f>
        <v/>
      </c>
      <c r="CS260" t="str">
        <f>""</f>
        <v/>
      </c>
      <c r="CT260" t="str">
        <f>""</f>
        <v/>
      </c>
      <c r="CU260" t="str">
        <f>""</f>
        <v/>
      </c>
      <c r="CV260" t="str">
        <f>""</f>
        <v/>
      </c>
      <c r="CW260" t="str">
        <f>""</f>
        <v/>
      </c>
      <c r="CX260" t="str">
        <f>""</f>
        <v/>
      </c>
      <c r="CY260" t="str">
        <f>""</f>
        <v/>
      </c>
      <c r="CZ260" t="str">
        <f>""</f>
        <v/>
      </c>
      <c r="DA260" t="str">
        <f>""</f>
        <v/>
      </c>
      <c r="DB260" t="str">
        <f>""</f>
        <v/>
      </c>
      <c r="DC260" t="str">
        <f>""</f>
        <v/>
      </c>
      <c r="DD260" t="str">
        <f>""</f>
        <v/>
      </c>
      <c r="DE260" t="str">
        <f>""</f>
        <v/>
      </c>
      <c r="DF260" t="str">
        <f>""</f>
        <v/>
      </c>
      <c r="DG260" t="str">
        <f>""</f>
        <v/>
      </c>
      <c r="DH260" t="str">
        <f>""</f>
        <v/>
      </c>
      <c r="DI260" t="str">
        <f>""</f>
        <v/>
      </c>
      <c r="DJ260" t="str">
        <f>""</f>
        <v/>
      </c>
      <c r="DK260" t="str">
        <f>""</f>
        <v/>
      </c>
      <c r="DL260" t="str">
        <f>""</f>
        <v/>
      </c>
      <c r="DM260" t="str">
        <f>""</f>
        <v/>
      </c>
      <c r="DN260" t="str">
        <f>""</f>
        <v/>
      </c>
      <c r="DO260" t="str">
        <f>""</f>
        <v/>
      </c>
      <c r="DP260" t="str">
        <f>""</f>
        <v/>
      </c>
      <c r="DQ260" t="str">
        <f>""</f>
        <v/>
      </c>
      <c r="DR260" t="str">
        <f>""</f>
        <v/>
      </c>
      <c r="DS260" t="str">
        <f>""</f>
        <v/>
      </c>
      <c r="DT260" t="str">
        <f>""</f>
        <v/>
      </c>
      <c r="DU260" t="str">
        <f>""</f>
        <v/>
      </c>
    </row>
    <row r="261" spans="1:125" x14ac:dyDescent="0.25">
      <c r="A261" t="str">
        <f>"Rows below for column date calculation"</f>
        <v>Rows below for column date calculation</v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  <c r="BT261" t="str">
        <f>""</f>
        <v/>
      </c>
      <c r="BU261" t="str">
        <f>""</f>
        <v/>
      </c>
      <c r="BV261" t="str">
        <f>""</f>
        <v/>
      </c>
      <c r="BW261" t="str">
        <f>""</f>
        <v/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  <c r="CH261" t="str">
        <f>""</f>
        <v/>
      </c>
      <c r="CI261" t="str">
        <f>""</f>
        <v/>
      </c>
      <c r="CJ261" t="str">
        <f>""</f>
        <v/>
      </c>
      <c r="CK261" t="str">
        <f>""</f>
        <v/>
      </c>
      <c r="CL261" t="str">
        <f>""</f>
        <v/>
      </c>
      <c r="CM261" t="str">
        <f>""</f>
        <v/>
      </c>
      <c r="CN261" t="str">
        <f>""</f>
        <v/>
      </c>
      <c r="CO261" t="str">
        <f>""</f>
        <v/>
      </c>
      <c r="CP261" t="str">
        <f>""</f>
        <v/>
      </c>
      <c r="CQ261" t="str">
        <f>""</f>
        <v/>
      </c>
      <c r="CR261" t="str">
        <f>""</f>
        <v/>
      </c>
      <c r="CS261" t="str">
        <f>""</f>
        <v/>
      </c>
      <c r="CT261" t="str">
        <f>""</f>
        <v/>
      </c>
      <c r="CU261" t="str">
        <f>""</f>
        <v/>
      </c>
      <c r="CV261" t="str">
        <f>""</f>
        <v/>
      </c>
      <c r="CW261" t="str">
        <f>""</f>
        <v/>
      </c>
      <c r="CX261" t="str">
        <f>""</f>
        <v/>
      </c>
      <c r="CY261" t="str">
        <f>""</f>
        <v/>
      </c>
      <c r="CZ261" t="str">
        <f>""</f>
        <v/>
      </c>
      <c r="DA261" t="str">
        <f>""</f>
        <v/>
      </c>
      <c r="DB261" t="str">
        <f>""</f>
        <v/>
      </c>
      <c r="DC261" t="str">
        <f>""</f>
        <v/>
      </c>
      <c r="DD261" t="str">
        <f>""</f>
        <v/>
      </c>
      <c r="DE261" t="str">
        <f>""</f>
        <v/>
      </c>
      <c r="DF261" t="str">
        <f>""</f>
        <v/>
      </c>
      <c r="DG261" t="str">
        <f>""</f>
        <v/>
      </c>
      <c r="DH261" t="str">
        <f>""</f>
        <v/>
      </c>
      <c r="DI261" t="str">
        <f>""</f>
        <v/>
      </c>
      <c r="DJ261" t="str">
        <f>""</f>
        <v/>
      </c>
      <c r="DK261" t="str">
        <f>""</f>
        <v/>
      </c>
      <c r="DL261" t="str">
        <f>""</f>
        <v/>
      </c>
      <c r="DM261" t="str">
        <f>""</f>
        <v/>
      </c>
      <c r="DN261" t="str">
        <f>""</f>
        <v/>
      </c>
      <c r="DO261" t="str">
        <f>""</f>
        <v/>
      </c>
      <c r="DP261" t="str">
        <f>""</f>
        <v/>
      </c>
      <c r="DQ261" t="str">
        <f>""</f>
        <v/>
      </c>
      <c r="DR261" t="str">
        <f>""</f>
        <v/>
      </c>
      <c r="DS261" t="str">
        <f>""</f>
        <v/>
      </c>
      <c r="DT261" t="str">
        <f>""</f>
        <v/>
      </c>
      <c r="DU261" t="str">
        <f>""</f>
        <v/>
      </c>
    </row>
    <row r="262" spans="1:125" x14ac:dyDescent="0.25">
      <c r="A262" t="str">
        <f>"Downloaded at"</f>
        <v>Downloaded at</v>
      </c>
      <c r="B262">
        <f>DATE(2021, 11,5)</f>
        <v>44505</v>
      </c>
      <c r="C262" t="str">
        <f>""</f>
        <v/>
      </c>
      <c r="D262" t="str">
        <f>""</f>
        <v/>
      </c>
      <c r="E262" t="str">
        <f>""</f>
        <v/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  <c r="BT262" t="str">
        <f>""</f>
        <v/>
      </c>
      <c r="BU262" t="str">
        <f>""</f>
        <v/>
      </c>
      <c r="BV262" t="str">
        <f>""</f>
        <v/>
      </c>
      <c r="BW262" t="str">
        <f>""</f>
        <v/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  <c r="CH262" t="str">
        <f>""</f>
        <v/>
      </c>
      <c r="CI262" t="str">
        <f>""</f>
        <v/>
      </c>
      <c r="CJ262" t="str">
        <f>""</f>
        <v/>
      </c>
      <c r="CK262" t="str">
        <f>""</f>
        <v/>
      </c>
      <c r="CL262" t="str">
        <f>""</f>
        <v/>
      </c>
      <c r="CM262" t="str">
        <f>""</f>
        <v/>
      </c>
      <c r="CN262" t="str">
        <f>""</f>
        <v/>
      </c>
      <c r="CO262" t="str">
        <f>""</f>
        <v/>
      </c>
      <c r="CP262" t="str">
        <f>""</f>
        <v/>
      </c>
      <c r="CQ262" t="str">
        <f>""</f>
        <v/>
      </c>
      <c r="CR262" t="str">
        <f>""</f>
        <v/>
      </c>
      <c r="CS262" t="str">
        <f>""</f>
        <v/>
      </c>
      <c r="CT262" t="str">
        <f>""</f>
        <v/>
      </c>
      <c r="CU262" t="str">
        <f>""</f>
        <v/>
      </c>
      <c r="CV262" t="str">
        <f>""</f>
        <v/>
      </c>
      <c r="CW262" t="str">
        <f>""</f>
        <v/>
      </c>
      <c r="CX262" t="str">
        <f>""</f>
        <v/>
      </c>
      <c r="CY262" t="str">
        <f>""</f>
        <v/>
      </c>
      <c r="CZ262" t="str">
        <f>""</f>
        <v/>
      </c>
      <c r="DA262" t="str">
        <f>""</f>
        <v/>
      </c>
      <c r="DB262" t="str">
        <f>""</f>
        <v/>
      </c>
      <c r="DC262" t="str">
        <f>""</f>
        <v/>
      </c>
      <c r="DD262" t="str">
        <f>""</f>
        <v/>
      </c>
      <c r="DE262" t="str">
        <f>""</f>
        <v/>
      </c>
      <c r="DF262" t="str">
        <f>""</f>
        <v/>
      </c>
      <c r="DG262" t="str">
        <f>""</f>
        <v/>
      </c>
      <c r="DH262" t="str">
        <f>""</f>
        <v/>
      </c>
      <c r="DI262" t="str">
        <f>""</f>
        <v/>
      </c>
      <c r="DJ262" t="str">
        <f>""</f>
        <v/>
      </c>
      <c r="DK262" t="str">
        <f>""</f>
        <v/>
      </c>
      <c r="DL262" t="str">
        <f>""</f>
        <v/>
      </c>
      <c r="DM262" t="str">
        <f>""</f>
        <v/>
      </c>
      <c r="DN262" t="str">
        <f>""</f>
        <v/>
      </c>
      <c r="DO262" t="str">
        <f>""</f>
        <v/>
      </c>
      <c r="DP262" t="str">
        <f>""</f>
        <v/>
      </c>
      <c r="DQ262" t="str">
        <f>""</f>
        <v/>
      </c>
      <c r="DR262" t="str">
        <f>""</f>
        <v/>
      </c>
      <c r="DS262" t="str">
        <f>""</f>
        <v/>
      </c>
      <c r="DT262" t="str">
        <f>""</f>
        <v/>
      </c>
      <c r="DU262" t="str">
        <f>""</f>
        <v/>
      </c>
    </row>
    <row r="263" spans="1:125" x14ac:dyDescent="0.25">
      <c r="A263" t="str">
        <f>"This is End Date"</f>
        <v>This is End Date</v>
      </c>
      <c r="B263">
        <f ca="1">$B$157</f>
        <v>44561</v>
      </c>
      <c r="C263" t="str">
        <f>""</f>
        <v/>
      </c>
      <c r="D263" t="str">
        <f>""</f>
        <v/>
      </c>
      <c r="E263" t="str">
        <f>""</f>
        <v/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  <c r="BT263" t="str">
        <f>""</f>
        <v/>
      </c>
      <c r="BU263" t="str">
        <f>""</f>
        <v/>
      </c>
      <c r="BV263" t="str">
        <f>""</f>
        <v/>
      </c>
      <c r="BW263" t="str">
        <f>""</f>
        <v/>
      </c>
      <c r="BX263" t="str">
        <f>""</f>
        <v/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  <c r="CH263" t="str">
        <f>""</f>
        <v/>
      </c>
      <c r="CI263" t="str">
        <f>""</f>
        <v/>
      </c>
      <c r="CJ263" t="str">
        <f>""</f>
        <v/>
      </c>
      <c r="CK263" t="str">
        <f>""</f>
        <v/>
      </c>
      <c r="CL263" t="str">
        <f>""</f>
        <v/>
      </c>
      <c r="CM263" t="str">
        <f>""</f>
        <v/>
      </c>
      <c r="CN263" t="str">
        <f>""</f>
        <v/>
      </c>
      <c r="CO263" t="str">
        <f>""</f>
        <v/>
      </c>
      <c r="CP263" t="str">
        <f>""</f>
        <v/>
      </c>
      <c r="CQ263" t="str">
        <f>""</f>
        <v/>
      </c>
      <c r="CR263" t="str">
        <f>""</f>
        <v/>
      </c>
      <c r="CS263" t="str">
        <f>""</f>
        <v/>
      </c>
      <c r="CT263" t="str">
        <f>""</f>
        <v/>
      </c>
      <c r="CU263" t="str">
        <f>""</f>
        <v/>
      </c>
      <c r="CV263" t="str">
        <f>""</f>
        <v/>
      </c>
      <c r="CW263" t="str">
        <f>""</f>
        <v/>
      </c>
      <c r="CX263" t="str">
        <f>""</f>
        <v/>
      </c>
      <c r="CY263" t="str">
        <f>""</f>
        <v/>
      </c>
      <c r="CZ263" t="str">
        <f>""</f>
        <v/>
      </c>
      <c r="DA263" t="str">
        <f>""</f>
        <v/>
      </c>
      <c r="DB263" t="str">
        <f>""</f>
        <v/>
      </c>
      <c r="DC263" t="str">
        <f>""</f>
        <v/>
      </c>
      <c r="DD263" t="str">
        <f>""</f>
        <v/>
      </c>
      <c r="DE263" t="str">
        <f>""</f>
        <v/>
      </c>
      <c r="DF263" t="str">
        <f>""</f>
        <v/>
      </c>
      <c r="DG263" t="str">
        <f>""</f>
        <v/>
      </c>
      <c r="DH263" t="str">
        <f>""</f>
        <v/>
      </c>
      <c r="DI263" t="str">
        <f>""</f>
        <v/>
      </c>
      <c r="DJ263" t="str">
        <f>""</f>
        <v/>
      </c>
      <c r="DK263" t="str">
        <f>""</f>
        <v/>
      </c>
      <c r="DL263" t="str">
        <f>""</f>
        <v/>
      </c>
      <c r="DM263" t="str">
        <f>""</f>
        <v/>
      </c>
      <c r="DN263" t="str">
        <f>""</f>
        <v/>
      </c>
      <c r="DO263" t="str">
        <f>""</f>
        <v/>
      </c>
      <c r="DP263" t="str">
        <f>""</f>
        <v/>
      </c>
      <c r="DQ263" t="str">
        <f>""</f>
        <v/>
      </c>
      <c r="DR263" t="str">
        <f>""</f>
        <v/>
      </c>
      <c r="DS263" t="str">
        <f>""</f>
        <v/>
      </c>
      <c r="DT263" t="str">
        <f>""</f>
        <v/>
      </c>
      <c r="DU263" t="str">
        <f>""</f>
        <v/>
      </c>
    </row>
    <row r="264" spans="1:125" x14ac:dyDescent="0.25">
      <c r="A264" t="str">
        <f>"Description"</f>
        <v>Description</v>
      </c>
      <c r="B264" t="str">
        <f>"Ticker"</f>
        <v>Ticker</v>
      </c>
      <c r="C264" t="str">
        <f>"Field ID"</f>
        <v>Field ID</v>
      </c>
      <c r="D264" t="str">
        <f>"Field Mnemonic"</f>
        <v>Field Mnemonic</v>
      </c>
      <c r="E264" t="str">
        <f>"Data State"</f>
        <v>Data State</v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  <c r="BT264" t="str">
        <f>""</f>
        <v/>
      </c>
      <c r="BU264" t="str">
        <f>""</f>
        <v/>
      </c>
      <c r="BV264" t="str">
        <f>""</f>
        <v/>
      </c>
      <c r="BW264" t="str">
        <f>""</f>
        <v/>
      </c>
      <c r="BX264" t="str">
        <f>""</f>
        <v/>
      </c>
      <c r="BY264" t="str">
        <f>""</f>
        <v/>
      </c>
      <c r="BZ264" t="str">
        <f>""</f>
        <v/>
      </c>
      <c r="CA264" t="str">
        <f>""</f>
        <v/>
      </c>
      <c r="CB264" t="str">
        <f>""</f>
        <v/>
      </c>
      <c r="CC264" t="str">
        <f>""</f>
        <v/>
      </c>
      <c r="CD264" t="str">
        <f>""</f>
        <v/>
      </c>
      <c r="CE264" t="str">
        <f>""</f>
        <v/>
      </c>
      <c r="CF264" t="str">
        <f>""</f>
        <v/>
      </c>
      <c r="CG264" t="str">
        <f>""</f>
        <v/>
      </c>
      <c r="CH264" t="str">
        <f>""</f>
        <v/>
      </c>
      <c r="CI264" t="str">
        <f>""</f>
        <v/>
      </c>
      <c r="CJ264" t="str">
        <f>""</f>
        <v/>
      </c>
      <c r="CK264" t="str">
        <f>""</f>
        <v/>
      </c>
      <c r="CL264" t="str">
        <f>""</f>
        <v/>
      </c>
      <c r="CM264" t="str">
        <f>""</f>
        <v/>
      </c>
      <c r="CN264" t="str">
        <f>""</f>
        <v/>
      </c>
      <c r="CO264" t="str">
        <f>""</f>
        <v/>
      </c>
      <c r="CP264" t="str">
        <f>""</f>
        <v/>
      </c>
      <c r="CQ264" t="str">
        <f>""</f>
        <v/>
      </c>
      <c r="CR264" t="str">
        <f>""</f>
        <v/>
      </c>
      <c r="CS264" t="str">
        <f>""</f>
        <v/>
      </c>
      <c r="CT264" t="str">
        <f>""</f>
        <v/>
      </c>
      <c r="CU264" t="str">
        <f>""</f>
        <v/>
      </c>
      <c r="CV264" t="str">
        <f>""</f>
        <v/>
      </c>
      <c r="CW264" t="str">
        <f>""</f>
        <v/>
      </c>
      <c r="CX264" t="str">
        <f>""</f>
        <v/>
      </c>
      <c r="CY264" t="str">
        <f>""</f>
        <v/>
      </c>
      <c r="CZ264" t="str">
        <f>""</f>
        <v/>
      </c>
      <c r="DA264" t="str">
        <f>""</f>
        <v/>
      </c>
      <c r="DB264" t="str">
        <f>""</f>
        <v/>
      </c>
      <c r="DC264" t="str">
        <f>""</f>
        <v/>
      </c>
      <c r="DD264" t="str">
        <f>""</f>
        <v/>
      </c>
      <c r="DE264" t="str">
        <f>""</f>
        <v/>
      </c>
      <c r="DF264" t="str">
        <f>""</f>
        <v/>
      </c>
      <c r="DG264" t="str">
        <f>""</f>
        <v/>
      </c>
      <c r="DH264" t="str">
        <f>""</f>
        <v/>
      </c>
      <c r="DI264" t="str">
        <f>""</f>
        <v/>
      </c>
      <c r="DJ264" t="str">
        <f>""</f>
        <v/>
      </c>
      <c r="DK264" t="str">
        <f>""</f>
        <v/>
      </c>
      <c r="DL264" t="str">
        <f>""</f>
        <v/>
      </c>
      <c r="DM264" t="str">
        <f>""</f>
        <v/>
      </c>
      <c r="DN264" t="str">
        <f>""</f>
        <v/>
      </c>
      <c r="DO264" t="str">
        <f>""</f>
        <v/>
      </c>
      <c r="DP264" t="str">
        <f>""</f>
        <v/>
      </c>
      <c r="DQ264" t="str">
        <f>""</f>
        <v/>
      </c>
      <c r="DR264" t="str">
        <f>""</f>
        <v/>
      </c>
      <c r="DS264" t="str">
        <f>""</f>
        <v/>
      </c>
      <c r="DT264" t="str">
        <f>""</f>
        <v/>
      </c>
      <c r="DU264" t="str">
        <f>""</f>
        <v/>
      </c>
    </row>
    <row r="265" spans="1:125" x14ac:dyDescent="0.25">
      <c r="A265" t="str">
        <f>"Snapshot Date"</f>
        <v>Snapshot Date</v>
      </c>
      <c r="B265">
        <f>DATE(2021, 12,31)</f>
        <v>44561</v>
      </c>
      <c r="C265" t="str">
        <f>""</f>
        <v/>
      </c>
      <c r="D265" t="str">
        <f>""</f>
        <v/>
      </c>
      <c r="E265" t="str">
        <f>""</f>
        <v/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  <c r="BT265" t="str">
        <f>""</f>
        <v/>
      </c>
      <c r="BU265" t="str">
        <f>""</f>
        <v/>
      </c>
      <c r="BV265" t="str">
        <f>""</f>
        <v/>
      </c>
      <c r="BW265" t="str">
        <f>""</f>
        <v/>
      </c>
      <c r="BX265" t="str">
        <f>""</f>
        <v/>
      </c>
      <c r="BY265" t="str">
        <f>""</f>
        <v/>
      </c>
      <c r="BZ265" t="str">
        <f>""</f>
        <v/>
      </c>
      <c r="CA265" t="str">
        <f>""</f>
        <v/>
      </c>
      <c r="CB265" t="str">
        <f>""</f>
        <v/>
      </c>
      <c r="CC265" t="str">
        <f>""</f>
        <v/>
      </c>
      <c r="CD265" t="str">
        <f>""</f>
        <v/>
      </c>
      <c r="CE265" t="str">
        <f>""</f>
        <v/>
      </c>
      <c r="CF265" t="str">
        <f>""</f>
        <v/>
      </c>
      <c r="CG265" t="str">
        <f>""</f>
        <v/>
      </c>
      <c r="CH265" t="str">
        <f>""</f>
        <v/>
      </c>
      <c r="CI265" t="str">
        <f>""</f>
        <v/>
      </c>
      <c r="CJ265" t="str">
        <f>""</f>
        <v/>
      </c>
      <c r="CK265" t="str">
        <f>""</f>
        <v/>
      </c>
      <c r="CL265" t="str">
        <f>""</f>
        <v/>
      </c>
      <c r="CM265" t="str">
        <f>""</f>
        <v/>
      </c>
      <c r="CN265" t="str">
        <f>""</f>
        <v/>
      </c>
      <c r="CO265" t="str">
        <f>""</f>
        <v/>
      </c>
      <c r="CP265" t="str">
        <f>""</f>
        <v/>
      </c>
      <c r="CQ265" t="str">
        <f>""</f>
        <v/>
      </c>
      <c r="CR265" t="str">
        <f>""</f>
        <v/>
      </c>
      <c r="CS265" t="str">
        <f>""</f>
        <v/>
      </c>
      <c r="CT265" t="str">
        <f>""</f>
        <v/>
      </c>
      <c r="CU265" t="str">
        <f>""</f>
        <v/>
      </c>
      <c r="CV265" t="str">
        <f>""</f>
        <v/>
      </c>
      <c r="CW265" t="str">
        <f>""</f>
        <v/>
      </c>
      <c r="CX265" t="str">
        <f>""</f>
        <v/>
      </c>
      <c r="CY265" t="str">
        <f>""</f>
        <v/>
      </c>
      <c r="CZ265" t="str">
        <f>""</f>
        <v/>
      </c>
      <c r="DA265" t="str">
        <f>""</f>
        <v/>
      </c>
      <c r="DB265" t="str">
        <f>""</f>
        <v/>
      </c>
      <c r="DC265" t="str">
        <f>""</f>
        <v/>
      </c>
      <c r="DD265" t="str">
        <f>""</f>
        <v/>
      </c>
      <c r="DE265" t="str">
        <f>""</f>
        <v/>
      </c>
      <c r="DF265" t="str">
        <f>""</f>
        <v/>
      </c>
      <c r="DG265" t="str">
        <f>""</f>
        <v/>
      </c>
      <c r="DH265" t="str">
        <f>""</f>
        <v/>
      </c>
      <c r="DI265" t="str">
        <f>""</f>
        <v/>
      </c>
      <c r="DJ265" t="str">
        <f>""</f>
        <v/>
      </c>
      <c r="DK265" t="str">
        <f>""</f>
        <v/>
      </c>
      <c r="DL265" t="str">
        <f>""</f>
        <v/>
      </c>
      <c r="DM265" t="str">
        <f>""</f>
        <v/>
      </c>
      <c r="DN265" t="str">
        <f>""</f>
        <v/>
      </c>
      <c r="DO265" t="str">
        <f>""</f>
        <v/>
      </c>
      <c r="DP265" t="str">
        <f>""</f>
        <v/>
      </c>
      <c r="DQ265" t="str">
        <f>""</f>
        <v/>
      </c>
      <c r="DR265" t="str">
        <f>""</f>
        <v/>
      </c>
      <c r="DS265" t="str">
        <f>""</f>
        <v/>
      </c>
      <c r="DT265" t="str">
        <f>""</f>
        <v/>
      </c>
      <c r="DU265" t="str">
        <f>""</f>
        <v/>
      </c>
    </row>
    <row r="266" spans="1:125" x14ac:dyDescent="0.25">
      <c r="A266" t="str">
        <f>"Snapshot header"</f>
        <v>Snapshot header</v>
      </c>
      <c r="B266">
        <f>2</f>
        <v>2</v>
      </c>
      <c r="C266" t="str">
        <f>"Q4 2021 Est"</f>
        <v>Q4 2021 Est</v>
      </c>
      <c r="D266" t="str">
        <f>"Q3 2021"</f>
        <v>Q3 2021</v>
      </c>
      <c r="E266" t="str">
        <f>"Q2 2021"</f>
        <v>Q2 2021</v>
      </c>
      <c r="F266" t="str">
        <f>"Q1 2021"</f>
        <v>Q1 2021</v>
      </c>
      <c r="G266" t="str">
        <f>"Q4 2020"</f>
        <v>Q4 2020</v>
      </c>
      <c r="H266" t="str">
        <f>"Q3 2020"</f>
        <v>Q3 2020</v>
      </c>
      <c r="I266" t="str">
        <f>"Q2 2020"</f>
        <v>Q2 2020</v>
      </c>
      <c r="J266" t="str">
        <f>"Q1 2020"</f>
        <v>Q1 2020</v>
      </c>
      <c r="K266" t="str">
        <f>"Q4 2019"</f>
        <v>Q4 2019</v>
      </c>
      <c r="L266" t="str">
        <f>"Q3 2019"</f>
        <v>Q3 2019</v>
      </c>
      <c r="M266" t="str">
        <f>"Q2 2019"</f>
        <v>Q2 2019</v>
      </c>
      <c r="N266" t="str">
        <f>"Q1 2019"</f>
        <v>Q1 2019</v>
      </c>
      <c r="O266" t="str">
        <f>"Q4 2018"</f>
        <v>Q4 2018</v>
      </c>
      <c r="P266" t="str">
        <f>"Q3 2018"</f>
        <v>Q3 2018</v>
      </c>
      <c r="Q266" t="str">
        <f>"Q2 2018"</f>
        <v>Q2 2018</v>
      </c>
      <c r="R266" t="str">
        <f>"Q1 2018"</f>
        <v>Q1 2018</v>
      </c>
      <c r="S266" t="str">
        <f>"Q4 2017"</f>
        <v>Q4 2017</v>
      </c>
      <c r="T266" t="str">
        <f>"Q3 2017"</f>
        <v>Q3 2017</v>
      </c>
      <c r="U266" t="str">
        <f>"Q2 2017"</f>
        <v>Q2 2017</v>
      </c>
      <c r="V266" t="str">
        <f>"Q1 2017"</f>
        <v>Q1 2017</v>
      </c>
      <c r="W266" t="str">
        <f>"Q4 2016"</f>
        <v>Q4 2016</v>
      </c>
      <c r="X266" t="str">
        <f>"Q3 2016"</f>
        <v>Q3 2016</v>
      </c>
      <c r="Y266" t="str">
        <f>"Q2 2016"</f>
        <v>Q2 2016</v>
      </c>
      <c r="Z266" t="str">
        <f>"Q1 2016"</f>
        <v>Q1 2016</v>
      </c>
      <c r="AA266" t="str">
        <f>"Q4 2015"</f>
        <v>Q4 2015</v>
      </c>
      <c r="AB266" t="str">
        <f>"Q3 2015"</f>
        <v>Q3 2015</v>
      </c>
      <c r="AC266" t="str">
        <f>"Q2 2015"</f>
        <v>Q2 2015</v>
      </c>
      <c r="AD266" t="str">
        <f>"Q1 2015"</f>
        <v>Q1 2015</v>
      </c>
      <c r="AE266" t="str">
        <f>"Q4 2014"</f>
        <v>Q4 2014</v>
      </c>
      <c r="AF266" t="str">
        <f>"Q3 2014"</f>
        <v>Q3 2014</v>
      </c>
      <c r="AG266" t="str">
        <f>"Q2 2014"</f>
        <v>Q2 2014</v>
      </c>
      <c r="AH266" t="str">
        <f>"Q1 2014"</f>
        <v>Q1 2014</v>
      </c>
      <c r="AI266" t="str">
        <f>"Q4 2013"</f>
        <v>Q4 2013</v>
      </c>
      <c r="AJ266" t="str">
        <f>"Q3 2013"</f>
        <v>Q3 2013</v>
      </c>
      <c r="AK266" t="str">
        <f>"Q2 2013"</f>
        <v>Q2 2013</v>
      </c>
      <c r="AL266" t="str">
        <f>"Q1 2013"</f>
        <v>Q1 2013</v>
      </c>
      <c r="AM266" t="str">
        <f>"Q4 2012"</f>
        <v>Q4 2012</v>
      </c>
      <c r="AN266" t="str">
        <f>"Q3 2012"</f>
        <v>Q3 2012</v>
      </c>
      <c r="AO266" t="str">
        <f>"Q2 2012"</f>
        <v>Q2 2012</v>
      </c>
      <c r="AP266" t="str">
        <f>"Q1 2012"</f>
        <v>Q1 2012</v>
      </c>
      <c r="AQ266" t="str">
        <f>"Q4 2011"</f>
        <v>Q4 2011</v>
      </c>
      <c r="AR266" t="str">
        <f>"Q3 2011"</f>
        <v>Q3 2011</v>
      </c>
      <c r="AS266" t="str">
        <f>"Q2 2011"</f>
        <v>Q2 2011</v>
      </c>
      <c r="AT266" t="str">
        <f>"Q1 2011"</f>
        <v>Q1 2011</v>
      </c>
      <c r="AU266" t="str">
        <f>"Q4 2010"</f>
        <v>Q4 2010</v>
      </c>
      <c r="AV266" t="str">
        <f>"Q3 2010"</f>
        <v>Q3 2010</v>
      </c>
      <c r="AW266" t="str">
        <f>"Q2 2010"</f>
        <v>Q2 2010</v>
      </c>
      <c r="AX266" t="str">
        <f>"Q1 2010"</f>
        <v>Q1 2010</v>
      </c>
      <c r="AY266" t="str">
        <f>"Q4 2009"</f>
        <v>Q4 2009</v>
      </c>
      <c r="AZ266" t="str">
        <f>"Q3 2009"</f>
        <v>Q3 2009</v>
      </c>
      <c r="BA266" t="str">
        <f>"Q2 2009"</f>
        <v>Q2 2009</v>
      </c>
      <c r="BB266" t="str">
        <f>"Q1 2009"</f>
        <v>Q1 2009</v>
      </c>
      <c r="BC266" t="str">
        <f>"Q4 2008"</f>
        <v>Q4 2008</v>
      </c>
      <c r="BD266" t="str">
        <f>"Q3 2008"</f>
        <v>Q3 2008</v>
      </c>
      <c r="BE266" t="str">
        <f>"Q2 2008"</f>
        <v>Q2 2008</v>
      </c>
      <c r="BF266" t="str">
        <f>"Q1 2008"</f>
        <v>Q1 2008</v>
      </c>
      <c r="BG266" t="str">
        <f>"Q4 2007"</f>
        <v>Q4 2007</v>
      </c>
      <c r="BH266" t="str">
        <f>"Q3 2007"</f>
        <v>Q3 2007</v>
      </c>
      <c r="BI266" t="str">
        <f>"Q2 2007"</f>
        <v>Q2 2007</v>
      </c>
      <c r="BJ266" t="str">
        <f>"Q1 2007"</f>
        <v>Q1 2007</v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  <c r="BT266" t="str">
        <f>""</f>
        <v/>
      </c>
      <c r="BU266" t="str">
        <f>""</f>
        <v/>
      </c>
      <c r="BV266" t="str">
        <f>""</f>
        <v/>
      </c>
      <c r="BW266" t="str">
        <f>""</f>
        <v/>
      </c>
      <c r="BX266" t="str">
        <f>""</f>
        <v/>
      </c>
      <c r="BY266" t="str">
        <f>""</f>
        <v/>
      </c>
      <c r="BZ266" t="str">
        <f>""</f>
        <v/>
      </c>
      <c r="CA266" t="str">
        <f>""</f>
        <v/>
      </c>
      <c r="CB266" t="str">
        <f>""</f>
        <v/>
      </c>
      <c r="CC266" t="str">
        <f>""</f>
        <v/>
      </c>
      <c r="CD266" t="str">
        <f>""</f>
        <v/>
      </c>
      <c r="CE266" t="str">
        <f>""</f>
        <v/>
      </c>
      <c r="CF266" t="str">
        <f>""</f>
        <v/>
      </c>
      <c r="CG266" t="str">
        <f>""</f>
        <v/>
      </c>
      <c r="CH266" t="str">
        <f>""</f>
        <v/>
      </c>
      <c r="CI266" t="str">
        <f>""</f>
        <v/>
      </c>
      <c r="CJ266" t="str">
        <f>""</f>
        <v/>
      </c>
      <c r="CK266" t="str">
        <f>""</f>
        <v/>
      </c>
      <c r="CL266" t="str">
        <f>""</f>
        <v/>
      </c>
      <c r="CM266" t="str">
        <f>""</f>
        <v/>
      </c>
      <c r="CN266" t="str">
        <f>""</f>
        <v/>
      </c>
      <c r="CO266" t="str">
        <f>""</f>
        <v/>
      </c>
      <c r="CP266" t="str">
        <f>""</f>
        <v/>
      </c>
      <c r="CQ266" t="str">
        <f>""</f>
        <v/>
      </c>
      <c r="CR266" t="str">
        <f>""</f>
        <v/>
      </c>
      <c r="CS266" t="str">
        <f>""</f>
        <v/>
      </c>
      <c r="CT266" t="str">
        <f>""</f>
        <v/>
      </c>
      <c r="CU266" t="str">
        <f>""</f>
        <v/>
      </c>
      <c r="CV266" t="str">
        <f>""</f>
        <v/>
      </c>
      <c r="CW266" t="str">
        <f>""</f>
        <v/>
      </c>
      <c r="CX266" t="str">
        <f>""</f>
        <v/>
      </c>
      <c r="CY266" t="str">
        <f>""</f>
        <v/>
      </c>
      <c r="CZ266" t="str">
        <f>""</f>
        <v/>
      </c>
      <c r="DA266" t="str">
        <f>""</f>
        <v/>
      </c>
      <c r="DB266" t="str">
        <f>""</f>
        <v/>
      </c>
      <c r="DC266" t="str">
        <f>""</f>
        <v/>
      </c>
      <c r="DD266" t="str">
        <f>""</f>
        <v/>
      </c>
      <c r="DE266" t="str">
        <f>""</f>
        <v/>
      </c>
      <c r="DF266" t="str">
        <f>""</f>
        <v/>
      </c>
      <c r="DG266" t="str">
        <f>""</f>
        <v/>
      </c>
      <c r="DH266" t="str">
        <f>""</f>
        <v/>
      </c>
      <c r="DI266" t="str">
        <f>""</f>
        <v/>
      </c>
      <c r="DJ266" t="str">
        <f>""</f>
        <v/>
      </c>
      <c r="DK266" t="str">
        <f>""</f>
        <v/>
      </c>
      <c r="DL266" t="str">
        <f>""</f>
        <v/>
      </c>
      <c r="DM266" t="str">
        <f>""</f>
        <v/>
      </c>
      <c r="DN266" t="str">
        <f>""</f>
        <v/>
      </c>
      <c r="DO266" t="str">
        <f>""</f>
        <v/>
      </c>
      <c r="DP266" t="str">
        <f>""</f>
        <v/>
      </c>
      <c r="DQ266" t="str">
        <f>""</f>
        <v/>
      </c>
      <c r="DR266" t="str">
        <f>""</f>
        <v/>
      </c>
      <c r="DS266" t="str">
        <f>""</f>
        <v/>
      </c>
      <c r="DT266" t="str">
        <f>""</f>
        <v/>
      </c>
      <c r="DU266" t="str">
        <f>""</f>
        <v/>
      </c>
    </row>
    <row r="267" spans="1:125" x14ac:dyDescent="0.25">
      <c r="A267" t="str">
        <f>"BDH snapshot header0"</f>
        <v>BDH snapshot header0</v>
      </c>
      <c r="B267">
        <f>IF(OR(ISERROR($C$267),ISBLANK($C$267),ISNUMBER(SEARCH("N/A",$C$267) ),ISERROR($C$268),ISBLANK($C$268)),0,1)</f>
        <v>0</v>
      </c>
      <c r="C267" t="str">
        <f>_xll.BDH($B$162,$C$162,$B$156,$B$265,"PER=CQ","Dts=S","DtFmt=FI", "rows=2","Dir=H","Points=60","Sort=R","Days=A","Fill=B", )</f>
        <v>#N/A Requesting Data...</v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  <c r="BT267" t="str">
        <f>""</f>
        <v/>
      </c>
      <c r="BU267" t="str">
        <f>""</f>
        <v/>
      </c>
      <c r="BV267" t="str">
        <f>""</f>
        <v/>
      </c>
      <c r="BW267" t="str">
        <f>""</f>
        <v/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  <c r="CH267" t="str">
        <f>""</f>
        <v/>
      </c>
      <c r="CI267" t="str">
        <f>""</f>
        <v/>
      </c>
      <c r="CJ267" t="str">
        <f>""</f>
        <v/>
      </c>
      <c r="CK267" t="str">
        <f>""</f>
        <v/>
      </c>
      <c r="CL267" t="str">
        <f>""</f>
        <v/>
      </c>
      <c r="CM267" t="str">
        <f>""</f>
        <v/>
      </c>
      <c r="CN267" t="str">
        <f>""</f>
        <v/>
      </c>
      <c r="CO267" t="str">
        <f>""</f>
        <v/>
      </c>
      <c r="CP267" t="str">
        <f>""</f>
        <v/>
      </c>
      <c r="CQ267" t="str">
        <f>""</f>
        <v/>
      </c>
      <c r="CR267" t="str">
        <f>""</f>
        <v/>
      </c>
      <c r="CS267" t="str">
        <f>""</f>
        <v/>
      </c>
      <c r="CT267" t="str">
        <f>""</f>
        <v/>
      </c>
      <c r="CU267" t="str">
        <f>""</f>
        <v/>
      </c>
      <c r="CV267" t="str">
        <f>""</f>
        <v/>
      </c>
      <c r="CW267" t="str">
        <f>""</f>
        <v/>
      </c>
      <c r="CX267" t="str">
        <f>""</f>
        <v/>
      </c>
      <c r="CY267" t="str">
        <f>""</f>
        <v/>
      </c>
      <c r="CZ267" t="str">
        <f>""</f>
        <v/>
      </c>
      <c r="DA267" t="str">
        <f>""</f>
        <v/>
      </c>
      <c r="DB267" t="str">
        <f>""</f>
        <v/>
      </c>
      <c r="DC267" t="str">
        <f>""</f>
        <v/>
      </c>
      <c r="DD267" t="str">
        <f>""</f>
        <v/>
      </c>
      <c r="DE267" t="str">
        <f>""</f>
        <v/>
      </c>
      <c r="DF267" t="str">
        <f>""</f>
        <v/>
      </c>
      <c r="DG267" t="str">
        <f>""</f>
        <v/>
      </c>
      <c r="DH267" t="str">
        <f>""</f>
        <v/>
      </c>
      <c r="DI267" t="str">
        <f>""</f>
        <v/>
      </c>
      <c r="DJ267" t="str">
        <f>""</f>
        <v/>
      </c>
      <c r="DK267" t="str">
        <f>""</f>
        <v/>
      </c>
      <c r="DL267" t="str">
        <f>""</f>
        <v/>
      </c>
      <c r="DM267" t="str">
        <f>""</f>
        <v/>
      </c>
      <c r="DN267" t="str">
        <f>""</f>
        <v/>
      </c>
      <c r="DO267" t="str">
        <f>""</f>
        <v/>
      </c>
      <c r="DP267" t="str">
        <f>""</f>
        <v/>
      </c>
      <c r="DQ267" t="str">
        <f>""</f>
        <v/>
      </c>
      <c r="DR267" t="str">
        <f>""</f>
        <v/>
      </c>
      <c r="DS267" t="str">
        <f>""</f>
        <v/>
      </c>
      <c r="DT267" t="str">
        <f>""</f>
        <v/>
      </c>
      <c r="DU267" t="str">
        <f>""</f>
        <v/>
      </c>
    </row>
    <row r="268" spans="1:125" x14ac:dyDescent="0.25">
      <c r="A268" t="str">
        <f>"BDH snapshot result0"</f>
        <v>BDH snapshot result0</v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  <c r="BT268" t="str">
        <f>""</f>
        <v/>
      </c>
      <c r="BU268" t="str">
        <f>""</f>
        <v/>
      </c>
      <c r="BV268" t="str">
        <f>""</f>
        <v/>
      </c>
      <c r="BW268" t="str">
        <f>""</f>
        <v/>
      </c>
      <c r="BX268" t="str">
        <f>""</f>
        <v/>
      </c>
      <c r="BY268" t="str">
        <f>""</f>
        <v/>
      </c>
      <c r="BZ268" t="str">
        <f>""</f>
        <v/>
      </c>
      <c r="CA268" t="str">
        <f>""</f>
        <v/>
      </c>
      <c r="CB268" t="str">
        <f>""</f>
        <v/>
      </c>
      <c r="CC268" t="str">
        <f>""</f>
        <v/>
      </c>
      <c r="CD268" t="str">
        <f>""</f>
        <v/>
      </c>
      <c r="CE268" t="str">
        <f>""</f>
        <v/>
      </c>
      <c r="CF268" t="str">
        <f>""</f>
        <v/>
      </c>
      <c r="CG268" t="str">
        <f>""</f>
        <v/>
      </c>
      <c r="CH268" t="str">
        <f>""</f>
        <v/>
      </c>
      <c r="CI268" t="str">
        <f>""</f>
        <v/>
      </c>
      <c r="CJ268" t="str">
        <f>""</f>
        <v/>
      </c>
      <c r="CK268" t="str">
        <f>""</f>
        <v/>
      </c>
      <c r="CL268" t="str">
        <f>""</f>
        <v/>
      </c>
      <c r="CM268" t="str">
        <f>""</f>
        <v/>
      </c>
      <c r="CN268" t="str">
        <f>""</f>
        <v/>
      </c>
      <c r="CO268" t="str">
        <f>""</f>
        <v/>
      </c>
      <c r="CP268" t="str">
        <f>""</f>
        <v/>
      </c>
      <c r="CQ268" t="str">
        <f>""</f>
        <v/>
      </c>
      <c r="CR268" t="str">
        <f>""</f>
        <v/>
      </c>
      <c r="CS268" t="str">
        <f>""</f>
        <v/>
      </c>
      <c r="CT268" t="str">
        <f>""</f>
        <v/>
      </c>
      <c r="CU268" t="str">
        <f>""</f>
        <v/>
      </c>
      <c r="CV268" t="str">
        <f>""</f>
        <v/>
      </c>
      <c r="CW268" t="str">
        <f>""</f>
        <v/>
      </c>
      <c r="CX268" t="str">
        <f>""</f>
        <v/>
      </c>
      <c r="CY268" t="str">
        <f>""</f>
        <v/>
      </c>
      <c r="CZ268" t="str">
        <f>""</f>
        <v/>
      </c>
      <c r="DA268" t="str">
        <f>""</f>
        <v/>
      </c>
      <c r="DB268" t="str">
        <f>""</f>
        <v/>
      </c>
      <c r="DC268" t="str">
        <f>""</f>
        <v/>
      </c>
      <c r="DD268" t="str">
        <f>""</f>
        <v/>
      </c>
      <c r="DE268" t="str">
        <f>""</f>
        <v/>
      </c>
      <c r="DF268" t="str">
        <f>""</f>
        <v/>
      </c>
      <c r="DG268" t="str">
        <f>""</f>
        <v/>
      </c>
      <c r="DH268" t="str">
        <f>""</f>
        <v/>
      </c>
      <c r="DI268" t="str">
        <f>""</f>
        <v/>
      </c>
      <c r="DJ268" t="str">
        <f>""</f>
        <v/>
      </c>
      <c r="DK268" t="str">
        <f>""</f>
        <v/>
      </c>
      <c r="DL268" t="str">
        <f>""</f>
        <v/>
      </c>
      <c r="DM268" t="str">
        <f>""</f>
        <v/>
      </c>
      <c r="DN268" t="str">
        <f>""</f>
        <v/>
      </c>
      <c r="DO268" t="str">
        <f>""</f>
        <v/>
      </c>
      <c r="DP268" t="str">
        <f>""</f>
        <v/>
      </c>
      <c r="DQ268" t="str">
        <f>""</f>
        <v/>
      </c>
      <c r="DR268" t="str">
        <f>""</f>
        <v/>
      </c>
      <c r="DS268" t="str">
        <f>""</f>
        <v/>
      </c>
      <c r="DT268" t="str">
        <f>""</f>
        <v/>
      </c>
      <c r="DU268" t="str">
        <f>""</f>
        <v/>
      </c>
    </row>
    <row r="269" spans="1:125" x14ac:dyDescent="0.25">
      <c r="A269" t="str">
        <f>"BDH snapshot header1"</f>
        <v>BDH snapshot header1</v>
      </c>
      <c r="B269">
        <f>IF(OR(ISERROR($C$269),ISBLANK($C$269),ISNUMBER(SEARCH("N/A",$C$269) ),ISERROR($C$270),ISBLANK($C$270)),0,1)</f>
        <v>0</v>
      </c>
      <c r="C269" t="str">
        <f>_xll.BDH($B$163,$C$163,$B$156,$B$265,"PER=CQ","Dts=S","DtFmt=FI", "rows=2","Dir=H","Points=60","Sort=R","Days=A","Fill=B", )</f>
        <v>#N/A Requesting Data...</v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  <c r="BT269" t="str">
        <f>""</f>
        <v/>
      </c>
      <c r="BU269" t="str">
        <f>""</f>
        <v/>
      </c>
      <c r="BV269" t="str">
        <f>""</f>
        <v/>
      </c>
      <c r="BW269" t="str">
        <f>""</f>
        <v/>
      </c>
      <c r="BX269" t="str">
        <f>""</f>
        <v/>
      </c>
      <c r="BY269" t="str">
        <f>""</f>
        <v/>
      </c>
      <c r="BZ269" t="str">
        <f>""</f>
        <v/>
      </c>
      <c r="CA269" t="str">
        <f>""</f>
        <v/>
      </c>
      <c r="CB269" t="str">
        <f>""</f>
        <v/>
      </c>
      <c r="CC269" t="str">
        <f>""</f>
        <v/>
      </c>
      <c r="CD269" t="str">
        <f>""</f>
        <v/>
      </c>
      <c r="CE269" t="str">
        <f>""</f>
        <v/>
      </c>
      <c r="CF269" t="str">
        <f>""</f>
        <v/>
      </c>
      <c r="CG269" t="str">
        <f>""</f>
        <v/>
      </c>
      <c r="CH269" t="str">
        <f>""</f>
        <v/>
      </c>
      <c r="CI269" t="str">
        <f>""</f>
        <v/>
      </c>
      <c r="CJ269" t="str">
        <f>""</f>
        <v/>
      </c>
      <c r="CK269" t="str">
        <f>""</f>
        <v/>
      </c>
      <c r="CL269" t="str">
        <f>""</f>
        <v/>
      </c>
      <c r="CM269" t="str">
        <f>""</f>
        <v/>
      </c>
      <c r="CN269" t="str">
        <f>""</f>
        <v/>
      </c>
      <c r="CO269" t="str">
        <f>""</f>
        <v/>
      </c>
      <c r="CP269" t="str">
        <f>""</f>
        <v/>
      </c>
      <c r="CQ269" t="str">
        <f>""</f>
        <v/>
      </c>
      <c r="CR269" t="str">
        <f>""</f>
        <v/>
      </c>
      <c r="CS269" t="str">
        <f>""</f>
        <v/>
      </c>
      <c r="CT269" t="str">
        <f>""</f>
        <v/>
      </c>
      <c r="CU269" t="str">
        <f>""</f>
        <v/>
      </c>
      <c r="CV269" t="str">
        <f>""</f>
        <v/>
      </c>
      <c r="CW269" t="str">
        <f>""</f>
        <v/>
      </c>
      <c r="CX269" t="str">
        <f>""</f>
        <v/>
      </c>
      <c r="CY269" t="str">
        <f>""</f>
        <v/>
      </c>
      <c r="CZ269" t="str">
        <f>""</f>
        <v/>
      </c>
      <c r="DA269" t="str">
        <f>""</f>
        <v/>
      </c>
      <c r="DB269" t="str">
        <f>""</f>
        <v/>
      </c>
      <c r="DC269" t="str">
        <f>""</f>
        <v/>
      </c>
      <c r="DD269" t="str">
        <f>""</f>
        <v/>
      </c>
      <c r="DE269" t="str">
        <f>""</f>
        <v/>
      </c>
      <c r="DF269" t="str">
        <f>""</f>
        <v/>
      </c>
      <c r="DG269" t="str">
        <f>""</f>
        <v/>
      </c>
      <c r="DH269" t="str">
        <f>""</f>
        <v/>
      </c>
      <c r="DI269" t="str">
        <f>""</f>
        <v/>
      </c>
      <c r="DJ269" t="str">
        <f>""</f>
        <v/>
      </c>
      <c r="DK269" t="str">
        <f>""</f>
        <v/>
      </c>
      <c r="DL269" t="str">
        <f>""</f>
        <v/>
      </c>
      <c r="DM269" t="str">
        <f>""</f>
        <v/>
      </c>
      <c r="DN269" t="str">
        <f>""</f>
        <v/>
      </c>
      <c r="DO269" t="str">
        <f>""</f>
        <v/>
      </c>
      <c r="DP269" t="str">
        <f>""</f>
        <v/>
      </c>
      <c r="DQ269" t="str">
        <f>""</f>
        <v/>
      </c>
      <c r="DR269" t="str">
        <f>""</f>
        <v/>
      </c>
      <c r="DS269" t="str">
        <f>""</f>
        <v/>
      </c>
      <c r="DT269" t="str">
        <f>""</f>
        <v/>
      </c>
      <c r="DU269" t="str">
        <f>""</f>
        <v/>
      </c>
    </row>
    <row r="270" spans="1:125" x14ac:dyDescent="0.25">
      <c r="A270" t="str">
        <f>"BDH snapshot result1"</f>
        <v>BDH snapshot result1</v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  <c r="BT270" t="str">
        <f>""</f>
        <v/>
      </c>
      <c r="BU270" t="str">
        <f>""</f>
        <v/>
      </c>
      <c r="BV270" t="str">
        <f>""</f>
        <v/>
      </c>
      <c r="BW270" t="str">
        <f>""</f>
        <v/>
      </c>
      <c r="BX270" t="str">
        <f>""</f>
        <v/>
      </c>
      <c r="BY270" t="str">
        <f>""</f>
        <v/>
      </c>
      <c r="BZ270" t="str">
        <f>""</f>
        <v/>
      </c>
      <c r="CA270" t="str">
        <f>""</f>
        <v/>
      </c>
      <c r="CB270" t="str">
        <f>""</f>
        <v/>
      </c>
      <c r="CC270" t="str">
        <f>""</f>
        <v/>
      </c>
      <c r="CD270" t="str">
        <f>""</f>
        <v/>
      </c>
      <c r="CE270" t="str">
        <f>""</f>
        <v/>
      </c>
      <c r="CF270" t="str">
        <f>""</f>
        <v/>
      </c>
      <c r="CG270" t="str">
        <f>""</f>
        <v/>
      </c>
      <c r="CH270" t="str">
        <f>""</f>
        <v/>
      </c>
      <c r="CI270" t="str">
        <f>""</f>
        <v/>
      </c>
      <c r="CJ270" t="str">
        <f>""</f>
        <v/>
      </c>
      <c r="CK270" t="str">
        <f>""</f>
        <v/>
      </c>
      <c r="CL270" t="str">
        <f>""</f>
        <v/>
      </c>
      <c r="CM270" t="str">
        <f>""</f>
        <v/>
      </c>
      <c r="CN270" t="str">
        <f>""</f>
        <v/>
      </c>
      <c r="CO270" t="str">
        <f>""</f>
        <v/>
      </c>
      <c r="CP270" t="str">
        <f>""</f>
        <v/>
      </c>
      <c r="CQ270" t="str">
        <f>""</f>
        <v/>
      </c>
      <c r="CR270" t="str">
        <f>""</f>
        <v/>
      </c>
      <c r="CS270" t="str">
        <f>""</f>
        <v/>
      </c>
      <c r="CT270" t="str">
        <f>""</f>
        <v/>
      </c>
      <c r="CU270" t="str">
        <f>""</f>
        <v/>
      </c>
      <c r="CV270" t="str">
        <f>""</f>
        <v/>
      </c>
      <c r="CW270" t="str">
        <f>""</f>
        <v/>
      </c>
      <c r="CX270" t="str">
        <f>""</f>
        <v/>
      </c>
      <c r="CY270" t="str">
        <f>""</f>
        <v/>
      </c>
      <c r="CZ270" t="str">
        <f>""</f>
        <v/>
      </c>
      <c r="DA270" t="str">
        <f>""</f>
        <v/>
      </c>
      <c r="DB270" t="str">
        <f>""</f>
        <v/>
      </c>
      <c r="DC270" t="str">
        <f>""</f>
        <v/>
      </c>
      <c r="DD270" t="str">
        <f>""</f>
        <v/>
      </c>
      <c r="DE270" t="str">
        <f>""</f>
        <v/>
      </c>
      <c r="DF270" t="str">
        <f>""</f>
        <v/>
      </c>
      <c r="DG270" t="str">
        <f>""</f>
        <v/>
      </c>
      <c r="DH270" t="str">
        <f>""</f>
        <v/>
      </c>
      <c r="DI270" t="str">
        <f>""</f>
        <v/>
      </c>
      <c r="DJ270" t="str">
        <f>""</f>
        <v/>
      </c>
      <c r="DK270" t="str">
        <f>""</f>
        <v/>
      </c>
      <c r="DL270" t="str">
        <f>""</f>
        <v/>
      </c>
      <c r="DM270" t="str">
        <f>""</f>
        <v/>
      </c>
      <c r="DN270" t="str">
        <f>""</f>
        <v/>
      </c>
      <c r="DO270" t="str">
        <f>""</f>
        <v/>
      </c>
      <c r="DP270" t="str">
        <f>""</f>
        <v/>
      </c>
      <c r="DQ270" t="str">
        <f>""</f>
        <v/>
      </c>
      <c r="DR270" t="str">
        <f>""</f>
        <v/>
      </c>
      <c r="DS270" t="str">
        <f>""</f>
        <v/>
      </c>
      <c r="DT270" t="str">
        <f>""</f>
        <v/>
      </c>
      <c r="DU270" t="str">
        <f>""</f>
        <v/>
      </c>
    </row>
    <row r="271" spans="1:125" x14ac:dyDescent="0.25">
      <c r="A271" t="str">
        <f>"BDH snapshot header2"</f>
        <v>BDH snapshot header2</v>
      </c>
      <c r="B271">
        <f>IF(OR(ISERROR($C$271),ISBLANK($C$271),ISNUMBER(SEARCH("N/A",$C$271) ),ISERROR($C$272),ISBLANK($C$272)),0,1)</f>
        <v>0</v>
      </c>
      <c r="C271" t="str">
        <f>_xll.BDH($B$164,$C$164,$B$156,$B$265,"PER=CQ","Dts=S","DtFmt=FI", "rows=2","Dir=H","Points=60","Sort=R","Days=A","Fill=B", )</f>
        <v>#N/A Requesting Data...</v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  <c r="BT271" t="str">
        <f>""</f>
        <v/>
      </c>
      <c r="BU271" t="str">
        <f>""</f>
        <v/>
      </c>
      <c r="BV271" t="str">
        <f>""</f>
        <v/>
      </c>
      <c r="BW271" t="str">
        <f>""</f>
        <v/>
      </c>
      <c r="BX271" t="str">
        <f>""</f>
        <v/>
      </c>
      <c r="BY271" t="str">
        <f>""</f>
        <v/>
      </c>
      <c r="BZ271" t="str">
        <f>""</f>
        <v/>
      </c>
      <c r="CA271" t="str">
        <f>""</f>
        <v/>
      </c>
      <c r="CB271" t="str">
        <f>""</f>
        <v/>
      </c>
      <c r="CC271" t="str">
        <f>""</f>
        <v/>
      </c>
      <c r="CD271" t="str">
        <f>""</f>
        <v/>
      </c>
      <c r="CE271" t="str">
        <f>""</f>
        <v/>
      </c>
      <c r="CF271" t="str">
        <f>""</f>
        <v/>
      </c>
      <c r="CG271" t="str">
        <f>""</f>
        <v/>
      </c>
      <c r="CH271" t="str">
        <f>""</f>
        <v/>
      </c>
      <c r="CI271" t="str">
        <f>""</f>
        <v/>
      </c>
      <c r="CJ271" t="str">
        <f>""</f>
        <v/>
      </c>
      <c r="CK271" t="str">
        <f>""</f>
        <v/>
      </c>
      <c r="CL271" t="str">
        <f>""</f>
        <v/>
      </c>
      <c r="CM271" t="str">
        <f>""</f>
        <v/>
      </c>
      <c r="CN271" t="str">
        <f>""</f>
        <v/>
      </c>
      <c r="CO271" t="str">
        <f>""</f>
        <v/>
      </c>
      <c r="CP271" t="str">
        <f>""</f>
        <v/>
      </c>
      <c r="CQ271" t="str">
        <f>""</f>
        <v/>
      </c>
      <c r="CR271" t="str">
        <f>""</f>
        <v/>
      </c>
      <c r="CS271" t="str">
        <f>""</f>
        <v/>
      </c>
      <c r="CT271" t="str">
        <f>""</f>
        <v/>
      </c>
      <c r="CU271" t="str">
        <f>""</f>
        <v/>
      </c>
      <c r="CV271" t="str">
        <f>""</f>
        <v/>
      </c>
      <c r="CW271" t="str">
        <f>""</f>
        <v/>
      </c>
      <c r="CX271" t="str">
        <f>""</f>
        <v/>
      </c>
      <c r="CY271" t="str">
        <f>""</f>
        <v/>
      </c>
      <c r="CZ271" t="str">
        <f>""</f>
        <v/>
      </c>
      <c r="DA271" t="str">
        <f>""</f>
        <v/>
      </c>
      <c r="DB271" t="str">
        <f>""</f>
        <v/>
      </c>
      <c r="DC271" t="str">
        <f>""</f>
        <v/>
      </c>
      <c r="DD271" t="str">
        <f>""</f>
        <v/>
      </c>
      <c r="DE271" t="str">
        <f>""</f>
        <v/>
      </c>
      <c r="DF271" t="str">
        <f>""</f>
        <v/>
      </c>
      <c r="DG271" t="str">
        <f>""</f>
        <v/>
      </c>
      <c r="DH271" t="str">
        <f>""</f>
        <v/>
      </c>
      <c r="DI271" t="str">
        <f>""</f>
        <v/>
      </c>
      <c r="DJ271" t="str">
        <f>""</f>
        <v/>
      </c>
      <c r="DK271" t="str">
        <f>""</f>
        <v/>
      </c>
      <c r="DL271" t="str">
        <f>""</f>
        <v/>
      </c>
      <c r="DM271" t="str">
        <f>""</f>
        <v/>
      </c>
      <c r="DN271" t="str">
        <f>""</f>
        <v/>
      </c>
      <c r="DO271" t="str">
        <f>""</f>
        <v/>
      </c>
      <c r="DP271" t="str">
        <f>""</f>
        <v/>
      </c>
      <c r="DQ271" t="str">
        <f>""</f>
        <v/>
      </c>
      <c r="DR271" t="str">
        <f>""</f>
        <v/>
      </c>
      <c r="DS271" t="str">
        <f>""</f>
        <v/>
      </c>
      <c r="DT271" t="str">
        <f>""</f>
        <v/>
      </c>
      <c r="DU271" t="str">
        <f>""</f>
        <v/>
      </c>
    </row>
    <row r="272" spans="1:125" x14ac:dyDescent="0.25">
      <c r="A272" t="str">
        <f>"BDH snapshot result2"</f>
        <v>BDH snapshot result2</v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  <c r="BT272" t="str">
        <f>""</f>
        <v/>
      </c>
      <c r="BU272" t="str">
        <f>""</f>
        <v/>
      </c>
      <c r="BV272" t="str">
        <f>""</f>
        <v/>
      </c>
      <c r="BW272" t="str">
        <f>""</f>
        <v/>
      </c>
      <c r="BX272" t="str">
        <f>""</f>
        <v/>
      </c>
      <c r="BY272" t="str">
        <f>""</f>
        <v/>
      </c>
      <c r="BZ272" t="str">
        <f>""</f>
        <v/>
      </c>
      <c r="CA272" t="str">
        <f>""</f>
        <v/>
      </c>
      <c r="CB272" t="str">
        <f>""</f>
        <v/>
      </c>
      <c r="CC272" t="str">
        <f>""</f>
        <v/>
      </c>
      <c r="CD272" t="str">
        <f>""</f>
        <v/>
      </c>
      <c r="CE272" t="str">
        <f>""</f>
        <v/>
      </c>
      <c r="CF272" t="str">
        <f>""</f>
        <v/>
      </c>
      <c r="CG272" t="str">
        <f>""</f>
        <v/>
      </c>
      <c r="CH272" t="str">
        <f>""</f>
        <v/>
      </c>
      <c r="CI272" t="str">
        <f>""</f>
        <v/>
      </c>
      <c r="CJ272" t="str">
        <f>""</f>
        <v/>
      </c>
      <c r="CK272" t="str">
        <f>""</f>
        <v/>
      </c>
      <c r="CL272" t="str">
        <f>""</f>
        <v/>
      </c>
      <c r="CM272" t="str">
        <f>""</f>
        <v/>
      </c>
      <c r="CN272" t="str">
        <f>""</f>
        <v/>
      </c>
      <c r="CO272" t="str">
        <f>""</f>
        <v/>
      </c>
      <c r="CP272" t="str">
        <f>""</f>
        <v/>
      </c>
      <c r="CQ272" t="str">
        <f>""</f>
        <v/>
      </c>
      <c r="CR272" t="str">
        <f>""</f>
        <v/>
      </c>
      <c r="CS272" t="str">
        <f>""</f>
        <v/>
      </c>
      <c r="CT272" t="str">
        <f>""</f>
        <v/>
      </c>
      <c r="CU272" t="str">
        <f>""</f>
        <v/>
      </c>
      <c r="CV272" t="str">
        <f>""</f>
        <v/>
      </c>
      <c r="CW272" t="str">
        <f>""</f>
        <v/>
      </c>
      <c r="CX272" t="str">
        <f>""</f>
        <v/>
      </c>
      <c r="CY272" t="str">
        <f>""</f>
        <v/>
      </c>
      <c r="CZ272" t="str">
        <f>""</f>
        <v/>
      </c>
      <c r="DA272" t="str">
        <f>""</f>
        <v/>
      </c>
      <c r="DB272" t="str">
        <f>""</f>
        <v/>
      </c>
      <c r="DC272" t="str">
        <f>""</f>
        <v/>
      </c>
      <c r="DD272" t="str">
        <f>""</f>
        <v/>
      </c>
      <c r="DE272" t="str">
        <f>""</f>
        <v/>
      </c>
      <c r="DF272" t="str">
        <f>""</f>
        <v/>
      </c>
      <c r="DG272" t="str">
        <f>""</f>
        <v/>
      </c>
      <c r="DH272" t="str">
        <f>""</f>
        <v/>
      </c>
      <c r="DI272" t="str">
        <f>""</f>
        <v/>
      </c>
      <c r="DJ272" t="str">
        <f>""</f>
        <v/>
      </c>
      <c r="DK272" t="str">
        <f>""</f>
        <v/>
      </c>
      <c r="DL272" t="str">
        <f>""</f>
        <v/>
      </c>
      <c r="DM272" t="str">
        <f>""</f>
        <v/>
      </c>
      <c r="DN272" t="str">
        <f>""</f>
        <v/>
      </c>
      <c r="DO272" t="str">
        <f>""</f>
        <v/>
      </c>
      <c r="DP272" t="str">
        <f>""</f>
        <v/>
      </c>
      <c r="DQ272" t="str">
        <f>""</f>
        <v/>
      </c>
      <c r="DR272" t="str">
        <f>""</f>
        <v/>
      </c>
      <c r="DS272" t="str">
        <f>""</f>
        <v/>
      </c>
      <c r="DT272" t="str">
        <f>""</f>
        <v/>
      </c>
      <c r="DU272" t="str">
        <f>""</f>
        <v/>
      </c>
    </row>
    <row r="273" spans="1:125" x14ac:dyDescent="0.25">
      <c r="A273" t="str">
        <f>"BDH snapshot"</f>
        <v>BDH snapshot</v>
      </c>
      <c r="B273">
        <f>IF($B$267&gt;=1,$B$267,IF($B$269&gt;=1,$B$269,IF($B$271&gt;=1,$B$271,$B$266)))</f>
        <v>2</v>
      </c>
      <c r="C273" t="str">
        <f>IF($B$267&gt;=1,$C$267,IF($B$269&gt;=1,$C$269,IF($B$271&gt;=1,$C$271,$C$266)))</f>
        <v>Q4 2021 Est</v>
      </c>
      <c r="D273" t="str">
        <f>IF($B$267&gt;=1,$D$267,IF($B$269&gt;=1,$D$269,IF($B$271&gt;=1,$D$271,$D$266)))</f>
        <v>Q3 2021</v>
      </c>
      <c r="E273" t="str">
        <f>IF($B$267&gt;=1,$E$267,IF($B$269&gt;=1,$E$269,IF($B$271&gt;=1,$E$271,$E$266)))</f>
        <v>Q2 2021</v>
      </c>
      <c r="F273" t="str">
        <f>IF($B$267&gt;=1,$F$267,IF($B$269&gt;=1,$F$269,IF($B$271&gt;=1,$F$271,$F$266)))</f>
        <v>Q1 2021</v>
      </c>
      <c r="G273" t="str">
        <f>IF($B$267&gt;=1,$G$267,IF($B$269&gt;=1,$G$269,IF($B$271&gt;=1,$G$271,$G$266)))</f>
        <v>Q4 2020</v>
      </c>
      <c r="H273" t="str">
        <f>IF($B$267&gt;=1,$H$267,IF($B$269&gt;=1,$H$269,IF($B$271&gt;=1,$H$271,$H$266)))</f>
        <v>Q3 2020</v>
      </c>
      <c r="I273" t="str">
        <f>IF($B$267&gt;=1,$I$267,IF($B$269&gt;=1,$I$269,IF($B$271&gt;=1,$I$271,$I$266)))</f>
        <v>Q2 2020</v>
      </c>
      <c r="J273" t="str">
        <f>IF($B$267&gt;=1,$J$267,IF($B$269&gt;=1,$J$269,IF($B$271&gt;=1,$J$271,$J$266)))</f>
        <v>Q1 2020</v>
      </c>
      <c r="K273" t="str">
        <f>IF($B$267&gt;=1,$K$267,IF($B$269&gt;=1,$K$269,IF($B$271&gt;=1,$K$271,$K$266)))</f>
        <v>Q4 2019</v>
      </c>
      <c r="L273" t="str">
        <f>IF($B$267&gt;=1,$L$267,IF($B$269&gt;=1,$L$269,IF($B$271&gt;=1,$L$271,$L$266)))</f>
        <v>Q3 2019</v>
      </c>
      <c r="M273" t="str">
        <f>IF($B$267&gt;=1,$M$267,IF($B$269&gt;=1,$M$269,IF($B$271&gt;=1,$M$271,$M$266)))</f>
        <v>Q2 2019</v>
      </c>
      <c r="N273" t="str">
        <f>IF($B$267&gt;=1,$N$267,IF($B$269&gt;=1,$N$269,IF($B$271&gt;=1,$N$271,$N$266)))</f>
        <v>Q1 2019</v>
      </c>
      <c r="O273" t="str">
        <f>IF($B$267&gt;=1,$O$267,IF($B$269&gt;=1,$O$269,IF($B$271&gt;=1,$O$271,$O$266)))</f>
        <v>Q4 2018</v>
      </c>
      <c r="P273" t="str">
        <f>IF($B$267&gt;=1,$P$267,IF($B$269&gt;=1,$P$269,IF($B$271&gt;=1,$P$271,$P$266)))</f>
        <v>Q3 2018</v>
      </c>
      <c r="Q273" t="str">
        <f>IF($B$267&gt;=1,$Q$267,IF($B$269&gt;=1,$Q$269,IF($B$271&gt;=1,$Q$271,$Q$266)))</f>
        <v>Q2 2018</v>
      </c>
      <c r="R273" t="str">
        <f>IF($B$267&gt;=1,$R$267,IF($B$269&gt;=1,$R$269,IF($B$271&gt;=1,$R$271,$R$266)))</f>
        <v>Q1 2018</v>
      </c>
      <c r="S273" t="str">
        <f>IF($B$267&gt;=1,$S$267,IF($B$269&gt;=1,$S$269,IF($B$271&gt;=1,$S$271,$S$266)))</f>
        <v>Q4 2017</v>
      </c>
      <c r="T273" t="str">
        <f>IF($B$267&gt;=1,$T$267,IF($B$269&gt;=1,$T$269,IF($B$271&gt;=1,$T$271,$T$266)))</f>
        <v>Q3 2017</v>
      </c>
      <c r="U273" t="str">
        <f>IF($B$267&gt;=1,$U$267,IF($B$269&gt;=1,$U$269,IF($B$271&gt;=1,$U$271,$U$266)))</f>
        <v>Q2 2017</v>
      </c>
      <c r="V273" t="str">
        <f>IF($B$267&gt;=1,$V$267,IF($B$269&gt;=1,$V$269,IF($B$271&gt;=1,$V$271,$V$266)))</f>
        <v>Q1 2017</v>
      </c>
      <c r="W273" t="str">
        <f>IF($B$267&gt;=1,$W$267,IF($B$269&gt;=1,$W$269,IF($B$271&gt;=1,$W$271,$W$266)))</f>
        <v>Q4 2016</v>
      </c>
      <c r="X273" t="str">
        <f>IF($B$267&gt;=1,$X$267,IF($B$269&gt;=1,$X$269,IF($B$271&gt;=1,$X$271,$X$266)))</f>
        <v>Q3 2016</v>
      </c>
      <c r="Y273" t="str">
        <f>IF($B$267&gt;=1,$Y$267,IF($B$269&gt;=1,$Y$269,IF($B$271&gt;=1,$Y$271,$Y$266)))</f>
        <v>Q2 2016</v>
      </c>
      <c r="Z273" t="str">
        <f>IF($B$267&gt;=1,$Z$267,IF($B$269&gt;=1,$Z$269,IF($B$271&gt;=1,$Z$271,$Z$266)))</f>
        <v>Q1 2016</v>
      </c>
      <c r="AA273" t="str">
        <f>IF($B$267&gt;=1,$AA$267,IF($B$269&gt;=1,$AA$269,IF($B$271&gt;=1,$AA$271,$AA$266)))</f>
        <v>Q4 2015</v>
      </c>
      <c r="AB273" t="str">
        <f>IF($B$267&gt;=1,$AB$267,IF($B$269&gt;=1,$AB$269,IF($B$271&gt;=1,$AB$271,$AB$266)))</f>
        <v>Q3 2015</v>
      </c>
      <c r="AC273" t="str">
        <f>IF($B$267&gt;=1,$AC$267,IF($B$269&gt;=1,$AC$269,IF($B$271&gt;=1,$AC$271,$AC$266)))</f>
        <v>Q2 2015</v>
      </c>
      <c r="AD273" t="str">
        <f>IF($B$267&gt;=1,$AD$267,IF($B$269&gt;=1,$AD$269,IF($B$271&gt;=1,$AD$271,$AD$266)))</f>
        <v>Q1 2015</v>
      </c>
      <c r="AE273" t="str">
        <f>IF($B$267&gt;=1,$AE$267,IF($B$269&gt;=1,$AE$269,IF($B$271&gt;=1,$AE$271,$AE$266)))</f>
        <v>Q4 2014</v>
      </c>
      <c r="AF273" t="str">
        <f>IF($B$267&gt;=1,$AF$267,IF($B$269&gt;=1,$AF$269,IF($B$271&gt;=1,$AF$271,$AF$266)))</f>
        <v>Q3 2014</v>
      </c>
      <c r="AG273" t="str">
        <f>IF($B$267&gt;=1,$AG$267,IF($B$269&gt;=1,$AG$269,IF($B$271&gt;=1,$AG$271,$AG$266)))</f>
        <v>Q2 2014</v>
      </c>
      <c r="AH273" t="str">
        <f>IF($B$267&gt;=1,$AH$267,IF($B$269&gt;=1,$AH$269,IF($B$271&gt;=1,$AH$271,$AH$266)))</f>
        <v>Q1 2014</v>
      </c>
      <c r="AI273" t="str">
        <f>IF($B$267&gt;=1,$AI$267,IF($B$269&gt;=1,$AI$269,IF($B$271&gt;=1,$AI$271,$AI$266)))</f>
        <v>Q4 2013</v>
      </c>
      <c r="AJ273" t="str">
        <f>IF($B$267&gt;=1,$AJ$267,IF($B$269&gt;=1,$AJ$269,IF($B$271&gt;=1,$AJ$271,$AJ$266)))</f>
        <v>Q3 2013</v>
      </c>
      <c r="AK273" t="str">
        <f>IF($B$267&gt;=1,$AK$267,IF($B$269&gt;=1,$AK$269,IF($B$271&gt;=1,$AK$271,$AK$266)))</f>
        <v>Q2 2013</v>
      </c>
      <c r="AL273" t="str">
        <f>IF($B$267&gt;=1,$AL$267,IF($B$269&gt;=1,$AL$269,IF($B$271&gt;=1,$AL$271,$AL$266)))</f>
        <v>Q1 2013</v>
      </c>
      <c r="AM273" t="str">
        <f>IF($B$267&gt;=1,$AM$267,IF($B$269&gt;=1,$AM$269,IF($B$271&gt;=1,$AM$271,$AM$266)))</f>
        <v>Q4 2012</v>
      </c>
      <c r="AN273" t="str">
        <f>IF($B$267&gt;=1,$AN$267,IF($B$269&gt;=1,$AN$269,IF($B$271&gt;=1,$AN$271,$AN$266)))</f>
        <v>Q3 2012</v>
      </c>
      <c r="AO273" t="str">
        <f>IF($B$267&gt;=1,$AO$267,IF($B$269&gt;=1,$AO$269,IF($B$271&gt;=1,$AO$271,$AO$266)))</f>
        <v>Q2 2012</v>
      </c>
      <c r="AP273" t="str">
        <f>IF($B$267&gt;=1,$AP$267,IF($B$269&gt;=1,$AP$269,IF($B$271&gt;=1,$AP$271,$AP$266)))</f>
        <v>Q1 2012</v>
      </c>
      <c r="AQ273" t="str">
        <f>IF($B$267&gt;=1,$AQ$267,IF($B$269&gt;=1,$AQ$269,IF($B$271&gt;=1,$AQ$271,$AQ$266)))</f>
        <v>Q4 2011</v>
      </c>
      <c r="AR273" t="str">
        <f>IF($B$267&gt;=1,$AR$267,IF($B$269&gt;=1,$AR$269,IF($B$271&gt;=1,$AR$271,$AR$266)))</f>
        <v>Q3 2011</v>
      </c>
      <c r="AS273" t="str">
        <f>IF($B$267&gt;=1,$AS$267,IF($B$269&gt;=1,$AS$269,IF($B$271&gt;=1,$AS$271,$AS$266)))</f>
        <v>Q2 2011</v>
      </c>
      <c r="AT273" t="str">
        <f>IF($B$267&gt;=1,$AT$267,IF($B$269&gt;=1,$AT$269,IF($B$271&gt;=1,$AT$271,$AT$266)))</f>
        <v>Q1 2011</v>
      </c>
      <c r="AU273" t="str">
        <f>IF($B$267&gt;=1,$AU$267,IF($B$269&gt;=1,$AU$269,IF($B$271&gt;=1,$AU$271,$AU$266)))</f>
        <v>Q4 2010</v>
      </c>
      <c r="AV273" t="str">
        <f>IF($B$267&gt;=1,$AV$267,IF($B$269&gt;=1,$AV$269,IF($B$271&gt;=1,$AV$271,$AV$266)))</f>
        <v>Q3 2010</v>
      </c>
      <c r="AW273" t="str">
        <f>IF($B$267&gt;=1,$AW$267,IF($B$269&gt;=1,$AW$269,IF($B$271&gt;=1,$AW$271,$AW$266)))</f>
        <v>Q2 2010</v>
      </c>
      <c r="AX273" t="str">
        <f>IF($B$267&gt;=1,$AX$267,IF($B$269&gt;=1,$AX$269,IF($B$271&gt;=1,$AX$271,$AX$266)))</f>
        <v>Q1 2010</v>
      </c>
      <c r="AY273" t="str">
        <f>IF($B$267&gt;=1,$AY$267,IF($B$269&gt;=1,$AY$269,IF($B$271&gt;=1,$AY$271,$AY$266)))</f>
        <v>Q4 2009</v>
      </c>
      <c r="AZ273" t="str">
        <f>IF($B$267&gt;=1,$AZ$267,IF($B$269&gt;=1,$AZ$269,IF($B$271&gt;=1,$AZ$271,$AZ$266)))</f>
        <v>Q3 2009</v>
      </c>
      <c r="BA273" t="str">
        <f>IF($B$267&gt;=1,$BA$267,IF($B$269&gt;=1,$BA$269,IF($B$271&gt;=1,$BA$271,$BA$266)))</f>
        <v>Q2 2009</v>
      </c>
      <c r="BB273" t="str">
        <f>IF($B$267&gt;=1,$BB$267,IF($B$269&gt;=1,$BB$269,IF($B$271&gt;=1,$BB$271,$BB$266)))</f>
        <v>Q1 2009</v>
      </c>
      <c r="BC273" t="str">
        <f>IF($B$267&gt;=1,$BC$267,IF($B$269&gt;=1,$BC$269,IF($B$271&gt;=1,$BC$271,$BC$266)))</f>
        <v>Q4 2008</v>
      </c>
      <c r="BD273" t="str">
        <f>IF($B$267&gt;=1,$BD$267,IF($B$269&gt;=1,$BD$269,IF($B$271&gt;=1,$BD$271,$BD$266)))</f>
        <v>Q3 2008</v>
      </c>
      <c r="BE273" t="str">
        <f>IF($B$267&gt;=1,$BE$267,IF($B$269&gt;=1,$BE$269,IF($B$271&gt;=1,$BE$271,$BE$266)))</f>
        <v>Q2 2008</v>
      </c>
      <c r="BF273" t="str">
        <f>IF($B$267&gt;=1,$BF$267,IF($B$269&gt;=1,$BF$269,IF($B$271&gt;=1,$BF$271,$BF$266)))</f>
        <v>Q1 2008</v>
      </c>
      <c r="BG273" t="str">
        <f>IF($B$267&gt;=1,$BG$267,IF($B$269&gt;=1,$BG$269,IF($B$271&gt;=1,$BG$271,$BG$266)))</f>
        <v>Q4 2007</v>
      </c>
      <c r="BH273" t="str">
        <f>IF($B$267&gt;=1,$BH$267,IF($B$269&gt;=1,$BH$269,IF($B$271&gt;=1,$BH$271,$BH$266)))</f>
        <v>Q3 2007</v>
      </c>
      <c r="BI273" t="str">
        <f>IF($B$267&gt;=1,$BI$267,IF($B$269&gt;=1,$BI$269,IF($B$271&gt;=1,$BI$271,$BI$266)))</f>
        <v>Q2 2007</v>
      </c>
      <c r="BJ273" t="str">
        <f>IF($B$267&gt;=1,$BJ$267,IF($B$269&gt;=1,$BJ$269,IF($B$271&gt;=1,$BJ$271,$BJ$266)))</f>
        <v>Q1 2007</v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  <c r="BT273" t="str">
        <f>""</f>
        <v/>
      </c>
      <c r="BU273" t="str">
        <f>""</f>
        <v/>
      </c>
      <c r="BV273" t="str">
        <f>""</f>
        <v/>
      </c>
      <c r="BW273" t="str">
        <f>""</f>
        <v/>
      </c>
      <c r="BX273" t="str">
        <f>""</f>
        <v/>
      </c>
      <c r="BY273" t="str">
        <f>""</f>
        <v/>
      </c>
      <c r="BZ273" t="str">
        <f>""</f>
        <v/>
      </c>
      <c r="CA273" t="str">
        <f>""</f>
        <v/>
      </c>
      <c r="CB273" t="str">
        <f>""</f>
        <v/>
      </c>
      <c r="CC273" t="str">
        <f>""</f>
        <v/>
      </c>
      <c r="CD273" t="str">
        <f>""</f>
        <v/>
      </c>
      <c r="CE273" t="str">
        <f>""</f>
        <v/>
      </c>
      <c r="CF273" t="str">
        <f>""</f>
        <v/>
      </c>
      <c r="CG273" t="str">
        <f>""</f>
        <v/>
      </c>
      <c r="CH273" t="str">
        <f>""</f>
        <v/>
      </c>
      <c r="CI273" t="str">
        <f>""</f>
        <v/>
      </c>
      <c r="CJ273" t="str">
        <f>""</f>
        <v/>
      </c>
      <c r="CK273" t="str">
        <f>""</f>
        <v/>
      </c>
      <c r="CL273" t="str">
        <f>""</f>
        <v/>
      </c>
      <c r="CM273" t="str">
        <f>""</f>
        <v/>
      </c>
      <c r="CN273" t="str">
        <f>""</f>
        <v/>
      </c>
      <c r="CO273" t="str">
        <f>""</f>
        <v/>
      </c>
      <c r="CP273" t="str">
        <f>""</f>
        <v/>
      </c>
      <c r="CQ273" t="str">
        <f>""</f>
        <v/>
      </c>
      <c r="CR273" t="str">
        <f>""</f>
        <v/>
      </c>
      <c r="CS273" t="str">
        <f>""</f>
        <v/>
      </c>
      <c r="CT273" t="str">
        <f>""</f>
        <v/>
      </c>
      <c r="CU273" t="str">
        <f>""</f>
        <v/>
      </c>
      <c r="CV273" t="str">
        <f>""</f>
        <v/>
      </c>
      <c r="CW273" t="str">
        <f>""</f>
        <v/>
      </c>
      <c r="CX273" t="str">
        <f>""</f>
        <v/>
      </c>
      <c r="CY273" t="str">
        <f>""</f>
        <v/>
      </c>
      <c r="CZ273" t="str">
        <f>""</f>
        <v/>
      </c>
      <c r="DA273" t="str">
        <f>""</f>
        <v/>
      </c>
      <c r="DB273" t="str">
        <f>""</f>
        <v/>
      </c>
      <c r="DC273" t="str">
        <f>""</f>
        <v/>
      </c>
      <c r="DD273" t="str">
        <f>""</f>
        <v/>
      </c>
      <c r="DE273" t="str">
        <f>""</f>
        <v/>
      </c>
      <c r="DF273" t="str">
        <f>""</f>
        <v/>
      </c>
      <c r="DG273" t="str">
        <f>""</f>
        <v/>
      </c>
      <c r="DH273" t="str">
        <f>""</f>
        <v/>
      </c>
      <c r="DI273" t="str">
        <f>""</f>
        <v/>
      </c>
      <c r="DJ273" t="str">
        <f>""</f>
        <v/>
      </c>
      <c r="DK273" t="str">
        <f>""</f>
        <v/>
      </c>
      <c r="DL273" t="str">
        <f>""</f>
        <v/>
      </c>
      <c r="DM273" t="str">
        <f>""</f>
        <v/>
      </c>
      <c r="DN273" t="str">
        <f>""</f>
        <v/>
      </c>
      <c r="DO273" t="str">
        <f>""</f>
        <v/>
      </c>
      <c r="DP273" t="str">
        <f>""</f>
        <v/>
      </c>
      <c r="DQ273" t="str">
        <f>""</f>
        <v/>
      </c>
      <c r="DR273" t="str">
        <f>""</f>
        <v/>
      </c>
      <c r="DS273" t="str">
        <f>""</f>
        <v/>
      </c>
      <c r="DT273" t="str">
        <f>""</f>
        <v/>
      </c>
      <c r="DU273" t="str">
        <f>""</f>
        <v/>
      </c>
    </row>
    <row r="274" spans="1:125" x14ac:dyDescent="0.25">
      <c r="A274" t="str">
        <f>"BDH snapshot title"</f>
        <v>BDH snapshot title</v>
      </c>
      <c r="B274">
        <f>$B$273</f>
        <v>2</v>
      </c>
      <c r="C274" t="str">
        <f>IF(LEN($C$273)&lt;&gt;8,$C$273,RIGHT($C$273,4)&amp;" "&amp;MID($C$273,3,1)&amp;LEFT($C$273,1))</f>
        <v>Q4 2021 Est</v>
      </c>
      <c r="D274" t="str">
        <f>IF(LEN($D$273)&lt;&gt;8,$D$273,RIGHT($D$273,4)&amp;" "&amp;MID($D$273,3,1)&amp;LEFT($D$273,1))</f>
        <v>Q3 2021</v>
      </c>
      <c r="E274" t="str">
        <f>IF(LEN($E$273)&lt;&gt;8,$E$273,RIGHT($E$273,4)&amp;" "&amp;MID($E$273,3,1)&amp;LEFT($E$273,1))</f>
        <v>Q2 2021</v>
      </c>
      <c r="F274" t="str">
        <f>IF(LEN($F$273)&lt;&gt;8,$F$273,RIGHT($F$273,4)&amp;" "&amp;MID($F$273,3,1)&amp;LEFT($F$273,1))</f>
        <v>Q1 2021</v>
      </c>
      <c r="G274" t="str">
        <f>IF(LEN($G$273)&lt;&gt;8,$G$273,RIGHT($G$273,4)&amp;" "&amp;MID($G$273,3,1)&amp;LEFT($G$273,1))</f>
        <v>Q4 2020</v>
      </c>
      <c r="H274" t="str">
        <f>IF(LEN($H$273)&lt;&gt;8,$H$273,RIGHT($H$273,4)&amp;" "&amp;MID($H$273,3,1)&amp;LEFT($H$273,1))</f>
        <v>Q3 2020</v>
      </c>
      <c r="I274" t="str">
        <f>IF(LEN($I$273)&lt;&gt;8,$I$273,RIGHT($I$273,4)&amp;" "&amp;MID($I$273,3,1)&amp;LEFT($I$273,1))</f>
        <v>Q2 2020</v>
      </c>
      <c r="J274" t="str">
        <f>IF(LEN($J$273)&lt;&gt;8,$J$273,RIGHT($J$273,4)&amp;" "&amp;MID($J$273,3,1)&amp;LEFT($J$273,1))</f>
        <v>Q1 2020</v>
      </c>
      <c r="K274" t="str">
        <f>IF(LEN($K$273)&lt;&gt;8,$K$273,RIGHT($K$273,4)&amp;" "&amp;MID($K$273,3,1)&amp;LEFT($K$273,1))</f>
        <v>Q4 2019</v>
      </c>
      <c r="L274" t="str">
        <f>IF(LEN($L$273)&lt;&gt;8,$L$273,RIGHT($L$273,4)&amp;" "&amp;MID($L$273,3,1)&amp;LEFT($L$273,1))</f>
        <v>Q3 2019</v>
      </c>
      <c r="M274" t="str">
        <f>IF(LEN($M$273)&lt;&gt;8,$M$273,RIGHT($M$273,4)&amp;" "&amp;MID($M$273,3,1)&amp;LEFT($M$273,1))</f>
        <v>Q2 2019</v>
      </c>
      <c r="N274" t="str">
        <f>IF(LEN($N$273)&lt;&gt;8,$N$273,RIGHT($N$273,4)&amp;" "&amp;MID($N$273,3,1)&amp;LEFT($N$273,1))</f>
        <v>Q1 2019</v>
      </c>
      <c r="O274" t="str">
        <f>IF(LEN($O$273)&lt;&gt;8,$O$273,RIGHT($O$273,4)&amp;" "&amp;MID($O$273,3,1)&amp;LEFT($O$273,1))</f>
        <v>Q4 2018</v>
      </c>
      <c r="P274" t="str">
        <f>IF(LEN($P$273)&lt;&gt;8,$P$273,RIGHT($P$273,4)&amp;" "&amp;MID($P$273,3,1)&amp;LEFT($P$273,1))</f>
        <v>Q3 2018</v>
      </c>
      <c r="Q274" t="str">
        <f>IF(LEN($Q$273)&lt;&gt;8,$Q$273,RIGHT($Q$273,4)&amp;" "&amp;MID($Q$273,3,1)&amp;LEFT($Q$273,1))</f>
        <v>Q2 2018</v>
      </c>
      <c r="R274" t="str">
        <f>IF(LEN($R$273)&lt;&gt;8,$R$273,RIGHT($R$273,4)&amp;" "&amp;MID($R$273,3,1)&amp;LEFT($R$273,1))</f>
        <v>Q1 2018</v>
      </c>
      <c r="S274" t="str">
        <f>IF(LEN($S$273)&lt;&gt;8,$S$273,RIGHT($S$273,4)&amp;" "&amp;MID($S$273,3,1)&amp;LEFT($S$273,1))</f>
        <v>Q4 2017</v>
      </c>
      <c r="T274" t="str">
        <f>IF(LEN($T$273)&lt;&gt;8,$T$273,RIGHT($T$273,4)&amp;" "&amp;MID($T$273,3,1)&amp;LEFT($T$273,1))</f>
        <v>Q3 2017</v>
      </c>
      <c r="U274" t="str">
        <f>IF(LEN($U$273)&lt;&gt;8,$U$273,RIGHT($U$273,4)&amp;" "&amp;MID($U$273,3,1)&amp;LEFT($U$273,1))</f>
        <v>Q2 2017</v>
      </c>
      <c r="V274" t="str">
        <f>IF(LEN($V$273)&lt;&gt;8,$V$273,RIGHT($V$273,4)&amp;" "&amp;MID($V$273,3,1)&amp;LEFT($V$273,1))</f>
        <v>Q1 2017</v>
      </c>
      <c r="W274" t="str">
        <f>IF(LEN($W$273)&lt;&gt;8,$W$273,RIGHT($W$273,4)&amp;" "&amp;MID($W$273,3,1)&amp;LEFT($W$273,1))</f>
        <v>Q4 2016</v>
      </c>
      <c r="X274" t="str">
        <f>IF(LEN($X$273)&lt;&gt;8,$X$273,RIGHT($X$273,4)&amp;" "&amp;MID($X$273,3,1)&amp;LEFT($X$273,1))</f>
        <v>Q3 2016</v>
      </c>
      <c r="Y274" t="str">
        <f>IF(LEN($Y$273)&lt;&gt;8,$Y$273,RIGHT($Y$273,4)&amp;" "&amp;MID($Y$273,3,1)&amp;LEFT($Y$273,1))</f>
        <v>Q2 2016</v>
      </c>
      <c r="Z274" t="str">
        <f>IF(LEN($Z$273)&lt;&gt;8,$Z$273,RIGHT($Z$273,4)&amp;" "&amp;MID($Z$273,3,1)&amp;LEFT($Z$273,1))</f>
        <v>Q1 2016</v>
      </c>
      <c r="AA274" t="str">
        <f>IF(LEN($AA$273)&lt;&gt;8,$AA$273,RIGHT($AA$273,4)&amp;" "&amp;MID($AA$273,3,1)&amp;LEFT($AA$273,1))</f>
        <v>Q4 2015</v>
      </c>
      <c r="AB274" t="str">
        <f>IF(LEN($AB$273)&lt;&gt;8,$AB$273,RIGHT($AB$273,4)&amp;" "&amp;MID($AB$273,3,1)&amp;LEFT($AB$273,1))</f>
        <v>Q3 2015</v>
      </c>
      <c r="AC274" t="str">
        <f>IF(LEN($AC$273)&lt;&gt;8,$AC$273,RIGHT($AC$273,4)&amp;" "&amp;MID($AC$273,3,1)&amp;LEFT($AC$273,1))</f>
        <v>Q2 2015</v>
      </c>
      <c r="AD274" t="str">
        <f>IF(LEN($AD$273)&lt;&gt;8,$AD$273,RIGHT($AD$273,4)&amp;" "&amp;MID($AD$273,3,1)&amp;LEFT($AD$273,1))</f>
        <v>Q1 2015</v>
      </c>
      <c r="AE274" t="str">
        <f>IF(LEN($AE$273)&lt;&gt;8,$AE$273,RIGHT($AE$273,4)&amp;" "&amp;MID($AE$273,3,1)&amp;LEFT($AE$273,1))</f>
        <v>Q4 2014</v>
      </c>
      <c r="AF274" t="str">
        <f>IF(LEN($AF$273)&lt;&gt;8,$AF$273,RIGHT($AF$273,4)&amp;" "&amp;MID($AF$273,3,1)&amp;LEFT($AF$273,1))</f>
        <v>Q3 2014</v>
      </c>
      <c r="AG274" t="str">
        <f>IF(LEN($AG$273)&lt;&gt;8,$AG$273,RIGHT($AG$273,4)&amp;" "&amp;MID($AG$273,3,1)&amp;LEFT($AG$273,1))</f>
        <v>Q2 2014</v>
      </c>
      <c r="AH274" t="str">
        <f>IF(LEN($AH$273)&lt;&gt;8,$AH$273,RIGHT($AH$273,4)&amp;" "&amp;MID($AH$273,3,1)&amp;LEFT($AH$273,1))</f>
        <v>Q1 2014</v>
      </c>
      <c r="AI274" t="str">
        <f>IF(LEN($AI$273)&lt;&gt;8,$AI$273,RIGHT($AI$273,4)&amp;" "&amp;MID($AI$273,3,1)&amp;LEFT($AI$273,1))</f>
        <v>Q4 2013</v>
      </c>
      <c r="AJ274" t="str">
        <f>IF(LEN($AJ$273)&lt;&gt;8,$AJ$273,RIGHT($AJ$273,4)&amp;" "&amp;MID($AJ$273,3,1)&amp;LEFT($AJ$273,1))</f>
        <v>Q3 2013</v>
      </c>
      <c r="AK274" t="str">
        <f>IF(LEN($AK$273)&lt;&gt;8,$AK$273,RIGHT($AK$273,4)&amp;" "&amp;MID($AK$273,3,1)&amp;LEFT($AK$273,1))</f>
        <v>Q2 2013</v>
      </c>
      <c r="AL274" t="str">
        <f>IF(LEN($AL$273)&lt;&gt;8,$AL$273,RIGHT($AL$273,4)&amp;" "&amp;MID($AL$273,3,1)&amp;LEFT($AL$273,1))</f>
        <v>Q1 2013</v>
      </c>
      <c r="AM274" t="str">
        <f>IF(LEN($AM$273)&lt;&gt;8,$AM$273,RIGHT($AM$273,4)&amp;" "&amp;MID($AM$273,3,1)&amp;LEFT($AM$273,1))</f>
        <v>Q4 2012</v>
      </c>
      <c r="AN274" t="str">
        <f>IF(LEN($AN$273)&lt;&gt;8,$AN$273,RIGHT($AN$273,4)&amp;" "&amp;MID($AN$273,3,1)&amp;LEFT($AN$273,1))</f>
        <v>Q3 2012</v>
      </c>
      <c r="AO274" t="str">
        <f>IF(LEN($AO$273)&lt;&gt;8,$AO$273,RIGHT($AO$273,4)&amp;" "&amp;MID($AO$273,3,1)&amp;LEFT($AO$273,1))</f>
        <v>Q2 2012</v>
      </c>
      <c r="AP274" t="str">
        <f>IF(LEN($AP$273)&lt;&gt;8,$AP$273,RIGHT($AP$273,4)&amp;" "&amp;MID($AP$273,3,1)&amp;LEFT($AP$273,1))</f>
        <v>Q1 2012</v>
      </c>
      <c r="AQ274" t="str">
        <f>IF(LEN($AQ$273)&lt;&gt;8,$AQ$273,RIGHT($AQ$273,4)&amp;" "&amp;MID($AQ$273,3,1)&amp;LEFT($AQ$273,1))</f>
        <v>Q4 2011</v>
      </c>
      <c r="AR274" t="str">
        <f>IF(LEN($AR$273)&lt;&gt;8,$AR$273,RIGHT($AR$273,4)&amp;" "&amp;MID($AR$273,3,1)&amp;LEFT($AR$273,1))</f>
        <v>Q3 2011</v>
      </c>
      <c r="AS274" t="str">
        <f>IF(LEN($AS$273)&lt;&gt;8,$AS$273,RIGHT($AS$273,4)&amp;" "&amp;MID($AS$273,3,1)&amp;LEFT($AS$273,1))</f>
        <v>Q2 2011</v>
      </c>
      <c r="AT274" t="str">
        <f>IF(LEN($AT$273)&lt;&gt;8,$AT$273,RIGHT($AT$273,4)&amp;" "&amp;MID($AT$273,3,1)&amp;LEFT($AT$273,1))</f>
        <v>Q1 2011</v>
      </c>
      <c r="AU274" t="str">
        <f>IF(LEN($AU$273)&lt;&gt;8,$AU$273,RIGHT($AU$273,4)&amp;" "&amp;MID($AU$273,3,1)&amp;LEFT($AU$273,1))</f>
        <v>Q4 2010</v>
      </c>
      <c r="AV274" t="str">
        <f>IF(LEN($AV$273)&lt;&gt;8,$AV$273,RIGHT($AV$273,4)&amp;" "&amp;MID($AV$273,3,1)&amp;LEFT($AV$273,1))</f>
        <v>Q3 2010</v>
      </c>
      <c r="AW274" t="str">
        <f>IF(LEN($AW$273)&lt;&gt;8,$AW$273,RIGHT($AW$273,4)&amp;" "&amp;MID($AW$273,3,1)&amp;LEFT($AW$273,1))</f>
        <v>Q2 2010</v>
      </c>
      <c r="AX274" t="str">
        <f>IF(LEN($AX$273)&lt;&gt;8,$AX$273,RIGHT($AX$273,4)&amp;" "&amp;MID($AX$273,3,1)&amp;LEFT($AX$273,1))</f>
        <v>Q1 2010</v>
      </c>
      <c r="AY274" t="str">
        <f>IF(LEN($AY$273)&lt;&gt;8,$AY$273,RIGHT($AY$273,4)&amp;" "&amp;MID($AY$273,3,1)&amp;LEFT($AY$273,1))</f>
        <v>Q4 2009</v>
      </c>
      <c r="AZ274" t="str">
        <f>IF(LEN($AZ$273)&lt;&gt;8,$AZ$273,RIGHT($AZ$273,4)&amp;" "&amp;MID($AZ$273,3,1)&amp;LEFT($AZ$273,1))</f>
        <v>Q3 2009</v>
      </c>
      <c r="BA274" t="str">
        <f>IF(LEN($BA$273)&lt;&gt;8,$BA$273,RIGHT($BA$273,4)&amp;" "&amp;MID($BA$273,3,1)&amp;LEFT($BA$273,1))</f>
        <v>Q2 2009</v>
      </c>
      <c r="BB274" t="str">
        <f>IF(LEN($BB$273)&lt;&gt;8,$BB$273,RIGHT($BB$273,4)&amp;" "&amp;MID($BB$273,3,1)&amp;LEFT($BB$273,1))</f>
        <v>Q1 2009</v>
      </c>
      <c r="BC274" t="str">
        <f>IF(LEN($BC$273)&lt;&gt;8,$BC$273,RIGHT($BC$273,4)&amp;" "&amp;MID($BC$273,3,1)&amp;LEFT($BC$273,1))</f>
        <v>Q4 2008</v>
      </c>
      <c r="BD274" t="str">
        <f>IF(LEN($BD$273)&lt;&gt;8,$BD$273,RIGHT($BD$273,4)&amp;" "&amp;MID($BD$273,3,1)&amp;LEFT($BD$273,1))</f>
        <v>Q3 2008</v>
      </c>
      <c r="BE274" t="str">
        <f>IF(LEN($BE$273)&lt;&gt;8,$BE$273,RIGHT($BE$273,4)&amp;" "&amp;MID($BE$273,3,1)&amp;LEFT($BE$273,1))</f>
        <v>Q2 2008</v>
      </c>
      <c r="BF274" t="str">
        <f>IF(LEN($BF$273)&lt;&gt;8,$BF$273,RIGHT($BF$273,4)&amp;" "&amp;MID($BF$273,3,1)&amp;LEFT($BF$273,1))</f>
        <v>Q1 2008</v>
      </c>
      <c r="BG274" t="str">
        <f>IF(LEN($BG$273)&lt;&gt;8,$BG$273,RIGHT($BG$273,4)&amp;" "&amp;MID($BG$273,3,1)&amp;LEFT($BG$273,1))</f>
        <v>Q4 2007</v>
      </c>
      <c r="BH274" t="str">
        <f>IF(LEN($BH$273)&lt;&gt;8,$BH$273,RIGHT($BH$273,4)&amp;" "&amp;MID($BH$273,3,1)&amp;LEFT($BH$273,1))</f>
        <v>Q3 2007</v>
      </c>
      <c r="BI274" t="str">
        <f>IF(LEN($BI$273)&lt;&gt;8,$BI$273,RIGHT($BI$273,4)&amp;" "&amp;MID($BI$273,3,1)&amp;LEFT($BI$273,1))</f>
        <v>Q2 2007</v>
      </c>
      <c r="BJ274" t="str">
        <f>IF(LEN($BJ$273)&lt;&gt;8,$BJ$273,RIGHT($BJ$273,4)&amp;" "&amp;MID($BJ$273,3,1)&amp;LEFT($BJ$273,1))</f>
        <v>Q1 2007</v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  <c r="BT274" t="str">
        <f>""</f>
        <v/>
      </c>
      <c r="BU274" t="str">
        <f>""</f>
        <v/>
      </c>
      <c r="BV274" t="str">
        <f>""</f>
        <v/>
      </c>
      <c r="BW274" t="str">
        <f>""</f>
        <v/>
      </c>
      <c r="BX274" t="str">
        <f>""</f>
        <v/>
      </c>
      <c r="BY274" t="str">
        <f>""</f>
        <v/>
      </c>
      <c r="BZ274" t="str">
        <f>""</f>
        <v/>
      </c>
      <c r="CA274" t="str">
        <f>""</f>
        <v/>
      </c>
      <c r="CB274" t="str">
        <f>""</f>
        <v/>
      </c>
      <c r="CC274" t="str">
        <f>""</f>
        <v/>
      </c>
      <c r="CD274" t="str">
        <f>""</f>
        <v/>
      </c>
      <c r="CE274" t="str">
        <f>""</f>
        <v/>
      </c>
      <c r="CF274" t="str">
        <f>""</f>
        <v/>
      </c>
      <c r="CG274" t="str">
        <f>""</f>
        <v/>
      </c>
      <c r="CH274" t="str">
        <f>""</f>
        <v/>
      </c>
      <c r="CI274" t="str">
        <f>""</f>
        <v/>
      </c>
      <c r="CJ274" t="str">
        <f>""</f>
        <v/>
      </c>
      <c r="CK274" t="str">
        <f>""</f>
        <v/>
      </c>
      <c r="CL274" t="str">
        <f>""</f>
        <v/>
      </c>
      <c r="CM274" t="str">
        <f>""</f>
        <v/>
      </c>
      <c r="CN274" t="str">
        <f>""</f>
        <v/>
      </c>
      <c r="CO274" t="str">
        <f>""</f>
        <v/>
      </c>
      <c r="CP274" t="str">
        <f>""</f>
        <v/>
      </c>
      <c r="CQ274" t="str">
        <f>""</f>
        <v/>
      </c>
      <c r="CR274" t="str">
        <f>""</f>
        <v/>
      </c>
      <c r="CS274" t="str">
        <f>""</f>
        <v/>
      </c>
      <c r="CT274" t="str">
        <f>""</f>
        <v/>
      </c>
      <c r="CU274" t="str">
        <f>""</f>
        <v/>
      </c>
      <c r="CV274" t="str">
        <f>""</f>
        <v/>
      </c>
      <c r="CW274" t="str">
        <f>""</f>
        <v/>
      </c>
      <c r="CX274" t="str">
        <f>""</f>
        <v/>
      </c>
      <c r="CY274" t="str">
        <f>""</f>
        <v/>
      </c>
      <c r="CZ274" t="str">
        <f>""</f>
        <v/>
      </c>
      <c r="DA274" t="str">
        <f>""</f>
        <v/>
      </c>
      <c r="DB274" t="str">
        <f>""</f>
        <v/>
      </c>
      <c r="DC274" t="str">
        <f>""</f>
        <v/>
      </c>
      <c r="DD274" t="str">
        <f>""</f>
        <v/>
      </c>
      <c r="DE274" t="str">
        <f>""</f>
        <v/>
      </c>
      <c r="DF274" t="str">
        <f>""</f>
        <v/>
      </c>
      <c r="DG274" t="str">
        <f>""</f>
        <v/>
      </c>
      <c r="DH274" t="str">
        <f>""</f>
        <v/>
      </c>
      <c r="DI274" t="str">
        <f>""</f>
        <v/>
      </c>
      <c r="DJ274" t="str">
        <f>""</f>
        <v/>
      </c>
      <c r="DK274" t="str">
        <f>""</f>
        <v/>
      </c>
      <c r="DL274" t="str">
        <f>""</f>
        <v/>
      </c>
      <c r="DM274" t="str">
        <f>""</f>
        <v/>
      </c>
      <c r="DN274" t="str">
        <f>""</f>
        <v/>
      </c>
      <c r="DO274" t="str">
        <f>""</f>
        <v/>
      </c>
      <c r="DP274" t="str">
        <f>""</f>
        <v/>
      </c>
      <c r="DQ274" t="str">
        <f>""</f>
        <v/>
      </c>
      <c r="DR274" t="str">
        <f>""</f>
        <v/>
      </c>
      <c r="DS274" t="str">
        <f>""</f>
        <v/>
      </c>
      <c r="DT274" t="str">
        <f>""</f>
        <v/>
      </c>
      <c r="DU274" t="str">
        <f>""</f>
        <v/>
      </c>
    </row>
    <row r="275" spans="1:125" x14ac:dyDescent="0.25">
      <c r="A275" t="str">
        <f>"BDH dynamic header0"</f>
        <v>BDH dynamic header0</v>
      </c>
      <c r="B275">
        <f ca="1">IF(OR(ISERROR($C$275),ISBLANK($C$275),ISNUMBER(SEARCH("N/A",$C$275) ),ISERROR($C$276),ISBLANK($C$276)),0,1)</f>
        <v>0</v>
      </c>
      <c r="C275" t="str">
        <f ca="1">_xll.BDH($B$162,$C$162,$B$156,$B$157,"PER=CQ","Dts=S","DtFmt=FI", "rows=2","Dir=H","Points=60","Sort=R","Days=A","Fill=B", )</f>
        <v>#N/A Invalid Parameter: Invalid override field id specified</v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  <c r="BT275" t="str">
        <f>""</f>
        <v/>
      </c>
      <c r="BU275" t="str">
        <f>""</f>
        <v/>
      </c>
      <c r="BV275" t="str">
        <f>""</f>
        <v/>
      </c>
      <c r="BW275" t="str">
        <f>""</f>
        <v/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""</f>
        <v/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  <c r="CH275" t="str">
        <f>""</f>
        <v/>
      </c>
      <c r="CI275" t="str">
        <f>""</f>
        <v/>
      </c>
      <c r="CJ275" t="str">
        <f>""</f>
        <v/>
      </c>
      <c r="CK275" t="str">
        <f>""</f>
        <v/>
      </c>
      <c r="CL275" t="str">
        <f>""</f>
        <v/>
      </c>
      <c r="CM275" t="str">
        <f>""</f>
        <v/>
      </c>
      <c r="CN275" t="str">
        <f>""</f>
        <v/>
      </c>
      <c r="CO275" t="str">
        <f>""</f>
        <v/>
      </c>
      <c r="CP275" t="str">
        <f>""</f>
        <v/>
      </c>
      <c r="CQ275" t="str">
        <f>""</f>
        <v/>
      </c>
      <c r="CR275" t="str">
        <f>""</f>
        <v/>
      </c>
      <c r="CS275" t="str">
        <f>""</f>
        <v/>
      </c>
      <c r="CT275" t="str">
        <f>""</f>
        <v/>
      </c>
      <c r="CU275" t="str">
        <f>""</f>
        <v/>
      </c>
      <c r="CV275" t="str">
        <f>""</f>
        <v/>
      </c>
      <c r="CW275" t="str">
        <f>""</f>
        <v/>
      </c>
      <c r="CX275" t="str">
        <f>""</f>
        <v/>
      </c>
      <c r="CY275" t="str">
        <f>""</f>
        <v/>
      </c>
      <c r="CZ275" t="str">
        <f>""</f>
        <v/>
      </c>
      <c r="DA275" t="str">
        <f>""</f>
        <v/>
      </c>
      <c r="DB275" t="str">
        <f>""</f>
        <v/>
      </c>
      <c r="DC275" t="str">
        <f>""</f>
        <v/>
      </c>
      <c r="DD275" t="str">
        <f>""</f>
        <v/>
      </c>
      <c r="DE275" t="str">
        <f>""</f>
        <v/>
      </c>
      <c r="DF275" t="str">
        <f>""</f>
        <v/>
      </c>
      <c r="DG275" t="str">
        <f>""</f>
        <v/>
      </c>
      <c r="DH275" t="str">
        <f>""</f>
        <v/>
      </c>
      <c r="DI275" t="str">
        <f>""</f>
        <v/>
      </c>
      <c r="DJ275" t="str">
        <f>""</f>
        <v/>
      </c>
      <c r="DK275" t="str">
        <f>""</f>
        <v/>
      </c>
      <c r="DL275" t="str">
        <f>""</f>
        <v/>
      </c>
      <c r="DM275" t="str">
        <f>""</f>
        <v/>
      </c>
      <c r="DN275" t="str">
        <f>""</f>
        <v/>
      </c>
      <c r="DO275" t="str">
        <f>""</f>
        <v/>
      </c>
      <c r="DP275" t="str">
        <f>""</f>
        <v/>
      </c>
      <c r="DQ275" t="str">
        <f>""</f>
        <v/>
      </c>
      <c r="DR275" t="str">
        <f>""</f>
        <v/>
      </c>
      <c r="DS275" t="str">
        <f>""</f>
        <v/>
      </c>
      <c r="DT275" t="str">
        <f>""</f>
        <v/>
      </c>
      <c r="DU275" t="str">
        <f>""</f>
        <v/>
      </c>
    </row>
    <row r="276" spans="1:125" x14ac:dyDescent="0.25">
      <c r="A276" t="str">
        <f>"BDH dynamic result0"</f>
        <v>BDH dynamic result0</v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  <c r="BT276" t="str">
        <f>""</f>
        <v/>
      </c>
      <c r="BU276" t="str">
        <f>""</f>
        <v/>
      </c>
      <c r="BV276" t="str">
        <f>""</f>
        <v/>
      </c>
      <c r="BW276" t="str">
        <f>""</f>
        <v/>
      </c>
      <c r="BX276" t="str">
        <f>""</f>
        <v/>
      </c>
      <c r="BY276" t="str">
        <f>""</f>
        <v/>
      </c>
      <c r="BZ276" t="str">
        <f>""</f>
        <v/>
      </c>
      <c r="CA276" t="str">
        <f>""</f>
        <v/>
      </c>
      <c r="CB276" t="str">
        <f>""</f>
        <v/>
      </c>
      <c r="CC276" t="str">
        <f>""</f>
        <v/>
      </c>
      <c r="CD276" t="str">
        <f>""</f>
        <v/>
      </c>
      <c r="CE276" t="str">
        <f>""</f>
        <v/>
      </c>
      <c r="CF276" t="str">
        <f>""</f>
        <v/>
      </c>
      <c r="CG276" t="str">
        <f>""</f>
        <v/>
      </c>
      <c r="CH276" t="str">
        <f>""</f>
        <v/>
      </c>
      <c r="CI276" t="str">
        <f>""</f>
        <v/>
      </c>
      <c r="CJ276" t="str">
        <f>""</f>
        <v/>
      </c>
      <c r="CK276" t="str">
        <f>""</f>
        <v/>
      </c>
      <c r="CL276" t="str">
        <f>""</f>
        <v/>
      </c>
      <c r="CM276" t="str">
        <f>""</f>
        <v/>
      </c>
      <c r="CN276" t="str">
        <f>""</f>
        <v/>
      </c>
      <c r="CO276" t="str">
        <f>""</f>
        <v/>
      </c>
      <c r="CP276" t="str">
        <f>""</f>
        <v/>
      </c>
      <c r="CQ276" t="str">
        <f>""</f>
        <v/>
      </c>
      <c r="CR276" t="str">
        <f>""</f>
        <v/>
      </c>
      <c r="CS276" t="str">
        <f>""</f>
        <v/>
      </c>
      <c r="CT276" t="str">
        <f>""</f>
        <v/>
      </c>
      <c r="CU276" t="str">
        <f>""</f>
        <v/>
      </c>
      <c r="CV276" t="str">
        <f>""</f>
        <v/>
      </c>
      <c r="CW276" t="str">
        <f>""</f>
        <v/>
      </c>
      <c r="CX276" t="str">
        <f>""</f>
        <v/>
      </c>
      <c r="CY276" t="str">
        <f>""</f>
        <v/>
      </c>
      <c r="CZ276" t="str">
        <f>""</f>
        <v/>
      </c>
      <c r="DA276" t="str">
        <f>""</f>
        <v/>
      </c>
      <c r="DB276" t="str">
        <f>""</f>
        <v/>
      </c>
      <c r="DC276" t="str">
        <f>""</f>
        <v/>
      </c>
      <c r="DD276" t="str">
        <f>""</f>
        <v/>
      </c>
      <c r="DE276" t="str">
        <f>""</f>
        <v/>
      </c>
      <c r="DF276" t="str">
        <f>""</f>
        <v/>
      </c>
      <c r="DG276" t="str">
        <f>""</f>
        <v/>
      </c>
      <c r="DH276" t="str">
        <f>""</f>
        <v/>
      </c>
      <c r="DI276" t="str">
        <f>""</f>
        <v/>
      </c>
      <c r="DJ276" t="str">
        <f>""</f>
        <v/>
      </c>
      <c r="DK276" t="str">
        <f>""</f>
        <v/>
      </c>
      <c r="DL276" t="str">
        <f>""</f>
        <v/>
      </c>
      <c r="DM276" t="str">
        <f>""</f>
        <v/>
      </c>
      <c r="DN276" t="str">
        <f>""</f>
        <v/>
      </c>
      <c r="DO276" t="str">
        <f>""</f>
        <v/>
      </c>
      <c r="DP276" t="str">
        <f>""</f>
        <v/>
      </c>
      <c r="DQ276" t="str">
        <f>""</f>
        <v/>
      </c>
      <c r="DR276" t="str">
        <f>""</f>
        <v/>
      </c>
      <c r="DS276" t="str">
        <f>""</f>
        <v/>
      </c>
      <c r="DT276" t="str">
        <f>""</f>
        <v/>
      </c>
      <c r="DU276" t="str">
        <f>""</f>
        <v/>
      </c>
    </row>
    <row r="277" spans="1:125" x14ac:dyDescent="0.25">
      <c r="A277" t="str">
        <f>"BDH dynamic header1"</f>
        <v>BDH dynamic header1</v>
      </c>
      <c r="B277">
        <f ca="1">IF(OR(ISERROR($C$277),ISBLANK($C$277),ISNUMBER(SEARCH("N/A",$C$277) ),ISERROR($C$278),ISBLANK($C$278)),0,1)</f>
        <v>0</v>
      </c>
      <c r="C277" t="str">
        <f ca="1">_xll.BDH($B$163,$C$163,$B$156,$B$157,"PER=CQ","Dts=S","DtFmt=FI", "rows=2","Dir=H","Points=60","Sort=R","Days=A","Fill=B", )</f>
        <v>#N/A Invalid Parameter: Invalid override field id specified</v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  <c r="BT277" t="str">
        <f>""</f>
        <v/>
      </c>
      <c r="BU277" t="str">
        <f>""</f>
        <v/>
      </c>
      <c r="BV277" t="str">
        <f>""</f>
        <v/>
      </c>
      <c r="BW277" t="str">
        <f>""</f>
        <v/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  <c r="CH277" t="str">
        <f>""</f>
        <v/>
      </c>
      <c r="CI277" t="str">
        <f>""</f>
        <v/>
      </c>
      <c r="CJ277" t="str">
        <f>""</f>
        <v/>
      </c>
      <c r="CK277" t="str">
        <f>""</f>
        <v/>
      </c>
      <c r="CL277" t="str">
        <f>""</f>
        <v/>
      </c>
      <c r="CM277" t="str">
        <f>""</f>
        <v/>
      </c>
      <c r="CN277" t="str">
        <f>""</f>
        <v/>
      </c>
      <c r="CO277" t="str">
        <f>""</f>
        <v/>
      </c>
      <c r="CP277" t="str">
        <f>""</f>
        <v/>
      </c>
      <c r="CQ277" t="str">
        <f>""</f>
        <v/>
      </c>
      <c r="CR277" t="str">
        <f>""</f>
        <v/>
      </c>
      <c r="CS277" t="str">
        <f>""</f>
        <v/>
      </c>
      <c r="CT277" t="str">
        <f>""</f>
        <v/>
      </c>
      <c r="CU277" t="str">
        <f>""</f>
        <v/>
      </c>
      <c r="CV277" t="str">
        <f>""</f>
        <v/>
      </c>
      <c r="CW277" t="str">
        <f>""</f>
        <v/>
      </c>
      <c r="CX277" t="str">
        <f>""</f>
        <v/>
      </c>
      <c r="CY277" t="str">
        <f>""</f>
        <v/>
      </c>
      <c r="CZ277" t="str">
        <f>""</f>
        <v/>
      </c>
      <c r="DA277" t="str">
        <f>""</f>
        <v/>
      </c>
      <c r="DB277" t="str">
        <f>""</f>
        <v/>
      </c>
      <c r="DC277" t="str">
        <f>""</f>
        <v/>
      </c>
      <c r="DD277" t="str">
        <f>""</f>
        <v/>
      </c>
      <c r="DE277" t="str">
        <f>""</f>
        <v/>
      </c>
      <c r="DF277" t="str">
        <f>""</f>
        <v/>
      </c>
      <c r="DG277" t="str">
        <f>""</f>
        <v/>
      </c>
      <c r="DH277" t="str">
        <f>""</f>
        <v/>
      </c>
      <c r="DI277" t="str">
        <f>""</f>
        <v/>
      </c>
      <c r="DJ277" t="str">
        <f>""</f>
        <v/>
      </c>
      <c r="DK277" t="str">
        <f>""</f>
        <v/>
      </c>
      <c r="DL277" t="str">
        <f>""</f>
        <v/>
      </c>
      <c r="DM277" t="str">
        <f>""</f>
        <v/>
      </c>
      <c r="DN277" t="str">
        <f>""</f>
        <v/>
      </c>
      <c r="DO277" t="str">
        <f>""</f>
        <v/>
      </c>
      <c r="DP277" t="str">
        <f>""</f>
        <v/>
      </c>
      <c r="DQ277" t="str">
        <f>""</f>
        <v/>
      </c>
      <c r="DR277" t="str">
        <f>""</f>
        <v/>
      </c>
      <c r="DS277" t="str">
        <f>""</f>
        <v/>
      </c>
      <c r="DT277" t="str">
        <f>""</f>
        <v/>
      </c>
      <c r="DU277" t="str">
        <f>""</f>
        <v/>
      </c>
    </row>
    <row r="278" spans="1:125" x14ac:dyDescent="0.25">
      <c r="A278" t="str">
        <f>"BDH dynamic result1"</f>
        <v>BDH dynamic result1</v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  <c r="BT278" t="str">
        <f>""</f>
        <v/>
      </c>
      <c r="BU278" t="str">
        <f>""</f>
        <v/>
      </c>
      <c r="BV278" t="str">
        <f>""</f>
        <v/>
      </c>
      <c r="BW278" t="str">
        <f>""</f>
        <v/>
      </c>
      <c r="BX278" t="str">
        <f>""</f>
        <v/>
      </c>
      <c r="BY278" t="str">
        <f>""</f>
        <v/>
      </c>
      <c r="BZ278" t="str">
        <f>""</f>
        <v/>
      </c>
      <c r="CA278" t="str">
        <f>""</f>
        <v/>
      </c>
      <c r="CB278" t="str">
        <f>""</f>
        <v/>
      </c>
      <c r="CC278" t="str">
        <f>""</f>
        <v/>
      </c>
      <c r="CD278" t="str">
        <f>""</f>
        <v/>
      </c>
      <c r="CE278" t="str">
        <f>""</f>
        <v/>
      </c>
      <c r="CF278" t="str">
        <f>""</f>
        <v/>
      </c>
      <c r="CG278" t="str">
        <f>""</f>
        <v/>
      </c>
      <c r="CH278" t="str">
        <f>""</f>
        <v/>
      </c>
      <c r="CI278" t="str">
        <f>""</f>
        <v/>
      </c>
      <c r="CJ278" t="str">
        <f>""</f>
        <v/>
      </c>
      <c r="CK278" t="str">
        <f>""</f>
        <v/>
      </c>
      <c r="CL278" t="str">
        <f>""</f>
        <v/>
      </c>
      <c r="CM278" t="str">
        <f>""</f>
        <v/>
      </c>
      <c r="CN278" t="str">
        <f>""</f>
        <v/>
      </c>
      <c r="CO278" t="str">
        <f>""</f>
        <v/>
      </c>
      <c r="CP278" t="str">
        <f>""</f>
        <v/>
      </c>
      <c r="CQ278" t="str">
        <f>""</f>
        <v/>
      </c>
      <c r="CR278" t="str">
        <f>""</f>
        <v/>
      </c>
      <c r="CS278" t="str">
        <f>""</f>
        <v/>
      </c>
      <c r="CT278" t="str">
        <f>""</f>
        <v/>
      </c>
      <c r="CU278" t="str">
        <f>""</f>
        <v/>
      </c>
      <c r="CV278" t="str">
        <f>""</f>
        <v/>
      </c>
      <c r="CW278" t="str">
        <f>""</f>
        <v/>
      </c>
      <c r="CX278" t="str">
        <f>""</f>
        <v/>
      </c>
      <c r="CY278" t="str">
        <f>""</f>
        <v/>
      </c>
      <c r="CZ278" t="str">
        <f>""</f>
        <v/>
      </c>
      <c r="DA278" t="str">
        <f>""</f>
        <v/>
      </c>
      <c r="DB278" t="str">
        <f>""</f>
        <v/>
      </c>
      <c r="DC278" t="str">
        <f>""</f>
        <v/>
      </c>
      <c r="DD278" t="str">
        <f>""</f>
        <v/>
      </c>
      <c r="DE278" t="str">
        <f>""</f>
        <v/>
      </c>
      <c r="DF278" t="str">
        <f>""</f>
        <v/>
      </c>
      <c r="DG278" t="str">
        <f>""</f>
        <v/>
      </c>
      <c r="DH278" t="str">
        <f>""</f>
        <v/>
      </c>
      <c r="DI278" t="str">
        <f>""</f>
        <v/>
      </c>
      <c r="DJ278" t="str">
        <f>""</f>
        <v/>
      </c>
      <c r="DK278" t="str">
        <f>""</f>
        <v/>
      </c>
      <c r="DL278" t="str">
        <f>""</f>
        <v/>
      </c>
      <c r="DM278" t="str">
        <f>""</f>
        <v/>
      </c>
      <c r="DN278" t="str">
        <f>""</f>
        <v/>
      </c>
      <c r="DO278" t="str">
        <f>""</f>
        <v/>
      </c>
      <c r="DP278" t="str">
        <f>""</f>
        <v/>
      </c>
      <c r="DQ278" t="str">
        <f>""</f>
        <v/>
      </c>
      <c r="DR278" t="str">
        <f>""</f>
        <v/>
      </c>
      <c r="DS278" t="str">
        <f>""</f>
        <v/>
      </c>
      <c r="DT278" t="str">
        <f>""</f>
        <v/>
      </c>
      <c r="DU278" t="str">
        <f>""</f>
        <v/>
      </c>
    </row>
    <row r="279" spans="1:125" x14ac:dyDescent="0.25">
      <c r="A279" t="str">
        <f>"BDH dynamic header2"</f>
        <v>BDH dynamic header2</v>
      </c>
      <c r="B279">
        <f ca="1">IF(OR(ISERROR($C$279),ISBLANK($C$279),ISNUMBER(SEARCH("N/A",$C$279) ),ISERROR($C$280),ISBLANK($C$280)),0,1)</f>
        <v>0</v>
      </c>
      <c r="C279" t="str">
        <f ca="1">_xll.BDH($B$164,$C$164,$B$156,$B$157,"PER=CQ","Dts=S","DtFmt=FI", "rows=2","Dir=H","Points=60","Sort=R","Days=A","Fill=B", )</f>
        <v>#N/A Invalid Parameter: Invalid override field id specified</v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  <c r="CI279" t="str">
        <f>""</f>
        <v/>
      </c>
      <c r="CJ279" t="str">
        <f>""</f>
        <v/>
      </c>
      <c r="CK279" t="str">
        <f>""</f>
        <v/>
      </c>
      <c r="CL279" t="str">
        <f>""</f>
        <v/>
      </c>
      <c r="CM279" t="str">
        <f>""</f>
        <v/>
      </c>
      <c r="CN279" t="str">
        <f>""</f>
        <v/>
      </c>
      <c r="CO279" t="str">
        <f>""</f>
        <v/>
      </c>
      <c r="CP279" t="str">
        <f>""</f>
        <v/>
      </c>
      <c r="CQ279" t="str">
        <f>""</f>
        <v/>
      </c>
      <c r="CR279" t="str">
        <f>""</f>
        <v/>
      </c>
      <c r="CS279" t="str">
        <f>""</f>
        <v/>
      </c>
      <c r="CT279" t="str">
        <f>""</f>
        <v/>
      </c>
      <c r="CU279" t="str">
        <f>""</f>
        <v/>
      </c>
      <c r="CV279" t="str">
        <f>""</f>
        <v/>
      </c>
      <c r="CW279" t="str">
        <f>""</f>
        <v/>
      </c>
      <c r="CX279" t="str">
        <f>""</f>
        <v/>
      </c>
      <c r="CY279" t="str">
        <f>""</f>
        <v/>
      </c>
      <c r="CZ279" t="str">
        <f>""</f>
        <v/>
      </c>
      <c r="DA279" t="str">
        <f>""</f>
        <v/>
      </c>
      <c r="DB279" t="str">
        <f>""</f>
        <v/>
      </c>
      <c r="DC279" t="str">
        <f>""</f>
        <v/>
      </c>
      <c r="DD279" t="str">
        <f>""</f>
        <v/>
      </c>
      <c r="DE279" t="str">
        <f>""</f>
        <v/>
      </c>
      <c r="DF279" t="str">
        <f>""</f>
        <v/>
      </c>
      <c r="DG279" t="str">
        <f>""</f>
        <v/>
      </c>
      <c r="DH279" t="str">
        <f>""</f>
        <v/>
      </c>
      <c r="DI279" t="str">
        <f>""</f>
        <v/>
      </c>
      <c r="DJ279" t="str">
        <f>""</f>
        <v/>
      </c>
      <c r="DK279" t="str">
        <f>""</f>
        <v/>
      </c>
      <c r="DL279" t="str">
        <f>""</f>
        <v/>
      </c>
      <c r="DM279" t="str">
        <f>""</f>
        <v/>
      </c>
      <c r="DN279" t="str">
        <f>""</f>
        <v/>
      </c>
      <c r="DO279" t="str">
        <f>""</f>
        <v/>
      </c>
      <c r="DP279" t="str">
        <f>""</f>
        <v/>
      </c>
      <c r="DQ279" t="str">
        <f>""</f>
        <v/>
      </c>
      <c r="DR279" t="str">
        <f>""</f>
        <v/>
      </c>
      <c r="DS279" t="str">
        <f>""</f>
        <v/>
      </c>
      <c r="DT279" t="str">
        <f>""</f>
        <v/>
      </c>
      <c r="DU279" t="str">
        <f>""</f>
        <v/>
      </c>
    </row>
    <row r="280" spans="1:125" x14ac:dyDescent="0.25">
      <c r="A280" t="str">
        <f>"BDH dynamic result2"</f>
        <v>BDH dynamic result2</v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  <c r="CI280" t="str">
        <f>""</f>
        <v/>
      </c>
      <c r="CJ280" t="str">
        <f>""</f>
        <v/>
      </c>
      <c r="CK280" t="str">
        <f>""</f>
        <v/>
      </c>
      <c r="CL280" t="str">
        <f>""</f>
        <v/>
      </c>
      <c r="CM280" t="str">
        <f>""</f>
        <v/>
      </c>
      <c r="CN280" t="str">
        <f>""</f>
        <v/>
      </c>
      <c r="CO280" t="str">
        <f>""</f>
        <v/>
      </c>
      <c r="CP280" t="str">
        <f>""</f>
        <v/>
      </c>
      <c r="CQ280" t="str">
        <f>""</f>
        <v/>
      </c>
      <c r="CR280" t="str">
        <f>""</f>
        <v/>
      </c>
      <c r="CS280" t="str">
        <f>""</f>
        <v/>
      </c>
      <c r="CT280" t="str">
        <f>""</f>
        <v/>
      </c>
      <c r="CU280" t="str">
        <f>""</f>
        <v/>
      </c>
      <c r="CV280" t="str">
        <f>""</f>
        <v/>
      </c>
      <c r="CW280" t="str">
        <f>""</f>
        <v/>
      </c>
      <c r="CX280" t="str">
        <f>""</f>
        <v/>
      </c>
      <c r="CY280" t="str">
        <f>""</f>
        <v/>
      </c>
      <c r="CZ280" t="str">
        <f>""</f>
        <v/>
      </c>
      <c r="DA280" t="str">
        <f>""</f>
        <v/>
      </c>
      <c r="DB280" t="str">
        <f>""</f>
        <v/>
      </c>
      <c r="DC280" t="str">
        <f>""</f>
        <v/>
      </c>
      <c r="DD280" t="str">
        <f>""</f>
        <v/>
      </c>
      <c r="DE280" t="str">
        <f>""</f>
        <v/>
      </c>
      <c r="DF280" t="str">
        <f>""</f>
        <v/>
      </c>
      <c r="DG280" t="str">
        <f>""</f>
        <v/>
      </c>
      <c r="DH280" t="str">
        <f>""</f>
        <v/>
      </c>
      <c r="DI280" t="str">
        <f>""</f>
        <v/>
      </c>
      <c r="DJ280" t="str">
        <f>""</f>
        <v/>
      </c>
      <c r="DK280" t="str">
        <f>""</f>
        <v/>
      </c>
      <c r="DL280" t="str">
        <f>""</f>
        <v/>
      </c>
      <c r="DM280" t="str">
        <f>""</f>
        <v/>
      </c>
      <c r="DN280" t="str">
        <f>""</f>
        <v/>
      </c>
      <c r="DO280" t="str">
        <f>""</f>
        <v/>
      </c>
      <c r="DP280" t="str">
        <f>""</f>
        <v/>
      </c>
      <c r="DQ280" t="str">
        <f>""</f>
        <v/>
      </c>
      <c r="DR280" t="str">
        <f>""</f>
        <v/>
      </c>
      <c r="DS280" t="str">
        <f>""</f>
        <v/>
      </c>
      <c r="DT280" t="str">
        <f>""</f>
        <v/>
      </c>
      <c r="DU280" t="str">
        <f>""</f>
        <v/>
      </c>
    </row>
    <row r="281" spans="1:125" x14ac:dyDescent="0.25">
      <c r="A281" t="str">
        <f>"BDH dynamic"</f>
        <v>BDH dynamic</v>
      </c>
      <c r="B281">
        <f ca="1">IF($B$275&gt;=1,$B$275,IF($B$277&gt;=1,$B$277,IF($B$279&gt;=1,$B$279,$B$266)))</f>
        <v>2</v>
      </c>
      <c r="C281" t="str">
        <f ca="1">IF($B$275&gt;=1,$C$275,IF($B$277&gt;=1,$C$277,IF($B$279&gt;=1,$C$279,$C$266)))</f>
        <v>Q4 2021 Est</v>
      </c>
      <c r="D281" t="str">
        <f ca="1">IF($B$275&gt;=1,$D$275,IF($B$277&gt;=1,$D$277,IF($B$279&gt;=1,$D$279,$D$266)))</f>
        <v>Q3 2021</v>
      </c>
      <c r="E281" t="str">
        <f ca="1">IF($B$275&gt;=1,$E$275,IF($B$277&gt;=1,$E$277,IF($B$279&gt;=1,$E$279,$E$266)))</f>
        <v>Q2 2021</v>
      </c>
      <c r="F281" t="str">
        <f ca="1">IF($B$275&gt;=1,$F$275,IF($B$277&gt;=1,$F$277,IF($B$279&gt;=1,$F$279,$F$266)))</f>
        <v>Q1 2021</v>
      </c>
      <c r="G281" t="str">
        <f ca="1">IF($B$275&gt;=1,$G$275,IF($B$277&gt;=1,$G$277,IF($B$279&gt;=1,$G$279,$G$266)))</f>
        <v>Q4 2020</v>
      </c>
      <c r="H281" t="str">
        <f ca="1">IF($B$275&gt;=1,$H$275,IF($B$277&gt;=1,$H$277,IF($B$279&gt;=1,$H$279,$H$266)))</f>
        <v>Q3 2020</v>
      </c>
      <c r="I281" t="str">
        <f ca="1">IF($B$275&gt;=1,$I$275,IF($B$277&gt;=1,$I$277,IF($B$279&gt;=1,$I$279,$I$266)))</f>
        <v>Q2 2020</v>
      </c>
      <c r="J281" t="str">
        <f ca="1">IF($B$275&gt;=1,$J$275,IF($B$277&gt;=1,$J$277,IF($B$279&gt;=1,$J$279,$J$266)))</f>
        <v>Q1 2020</v>
      </c>
      <c r="K281" t="str">
        <f ca="1">IF($B$275&gt;=1,$K$275,IF($B$277&gt;=1,$K$277,IF($B$279&gt;=1,$K$279,$K$266)))</f>
        <v>Q4 2019</v>
      </c>
      <c r="L281" t="str">
        <f ca="1">IF($B$275&gt;=1,$L$275,IF($B$277&gt;=1,$L$277,IF($B$279&gt;=1,$L$279,$L$266)))</f>
        <v>Q3 2019</v>
      </c>
      <c r="M281" t="str">
        <f ca="1">IF($B$275&gt;=1,$M$275,IF($B$277&gt;=1,$M$277,IF($B$279&gt;=1,$M$279,$M$266)))</f>
        <v>Q2 2019</v>
      </c>
      <c r="N281" t="str">
        <f ca="1">IF($B$275&gt;=1,$N$275,IF($B$277&gt;=1,$N$277,IF($B$279&gt;=1,$N$279,$N$266)))</f>
        <v>Q1 2019</v>
      </c>
      <c r="O281" t="str">
        <f ca="1">IF($B$275&gt;=1,$O$275,IF($B$277&gt;=1,$O$277,IF($B$279&gt;=1,$O$279,$O$266)))</f>
        <v>Q4 2018</v>
      </c>
      <c r="P281" t="str">
        <f ca="1">IF($B$275&gt;=1,$P$275,IF($B$277&gt;=1,$P$277,IF($B$279&gt;=1,$P$279,$P$266)))</f>
        <v>Q3 2018</v>
      </c>
      <c r="Q281" t="str">
        <f ca="1">IF($B$275&gt;=1,$Q$275,IF($B$277&gt;=1,$Q$277,IF($B$279&gt;=1,$Q$279,$Q$266)))</f>
        <v>Q2 2018</v>
      </c>
      <c r="R281" t="str">
        <f ca="1">IF($B$275&gt;=1,$R$275,IF($B$277&gt;=1,$R$277,IF($B$279&gt;=1,$R$279,$R$266)))</f>
        <v>Q1 2018</v>
      </c>
      <c r="S281" t="str">
        <f ca="1">IF($B$275&gt;=1,$S$275,IF($B$277&gt;=1,$S$277,IF($B$279&gt;=1,$S$279,$S$266)))</f>
        <v>Q4 2017</v>
      </c>
      <c r="T281" t="str">
        <f ca="1">IF($B$275&gt;=1,$T$275,IF($B$277&gt;=1,$T$277,IF($B$279&gt;=1,$T$279,$T$266)))</f>
        <v>Q3 2017</v>
      </c>
      <c r="U281" t="str">
        <f ca="1">IF($B$275&gt;=1,$U$275,IF($B$277&gt;=1,$U$277,IF($B$279&gt;=1,$U$279,$U$266)))</f>
        <v>Q2 2017</v>
      </c>
      <c r="V281" t="str">
        <f ca="1">IF($B$275&gt;=1,$V$275,IF($B$277&gt;=1,$V$277,IF($B$279&gt;=1,$V$279,$V$266)))</f>
        <v>Q1 2017</v>
      </c>
      <c r="W281" t="str">
        <f ca="1">IF($B$275&gt;=1,$W$275,IF($B$277&gt;=1,$W$277,IF($B$279&gt;=1,$W$279,$W$266)))</f>
        <v>Q4 2016</v>
      </c>
      <c r="X281" t="str">
        <f ca="1">IF($B$275&gt;=1,$X$275,IF($B$277&gt;=1,$X$277,IF($B$279&gt;=1,$X$279,$X$266)))</f>
        <v>Q3 2016</v>
      </c>
      <c r="Y281" t="str">
        <f ca="1">IF($B$275&gt;=1,$Y$275,IF($B$277&gt;=1,$Y$277,IF($B$279&gt;=1,$Y$279,$Y$266)))</f>
        <v>Q2 2016</v>
      </c>
      <c r="Z281" t="str">
        <f ca="1">IF($B$275&gt;=1,$Z$275,IF($B$277&gt;=1,$Z$277,IF($B$279&gt;=1,$Z$279,$Z$266)))</f>
        <v>Q1 2016</v>
      </c>
      <c r="AA281" t="str">
        <f ca="1">IF($B$275&gt;=1,$AA$275,IF($B$277&gt;=1,$AA$277,IF($B$279&gt;=1,$AA$279,$AA$266)))</f>
        <v>Q4 2015</v>
      </c>
      <c r="AB281" t="str">
        <f ca="1">IF($B$275&gt;=1,$AB$275,IF($B$277&gt;=1,$AB$277,IF($B$279&gt;=1,$AB$279,$AB$266)))</f>
        <v>Q3 2015</v>
      </c>
      <c r="AC281" t="str">
        <f ca="1">IF($B$275&gt;=1,$AC$275,IF($B$277&gt;=1,$AC$277,IF($B$279&gt;=1,$AC$279,$AC$266)))</f>
        <v>Q2 2015</v>
      </c>
      <c r="AD281" t="str">
        <f ca="1">IF($B$275&gt;=1,$AD$275,IF($B$277&gt;=1,$AD$277,IF($B$279&gt;=1,$AD$279,$AD$266)))</f>
        <v>Q1 2015</v>
      </c>
      <c r="AE281" t="str">
        <f ca="1">IF($B$275&gt;=1,$AE$275,IF($B$277&gt;=1,$AE$277,IF($B$279&gt;=1,$AE$279,$AE$266)))</f>
        <v>Q4 2014</v>
      </c>
      <c r="AF281" t="str">
        <f ca="1">IF($B$275&gt;=1,$AF$275,IF($B$277&gt;=1,$AF$277,IF($B$279&gt;=1,$AF$279,$AF$266)))</f>
        <v>Q3 2014</v>
      </c>
      <c r="AG281" t="str">
        <f ca="1">IF($B$275&gt;=1,$AG$275,IF($B$277&gt;=1,$AG$277,IF($B$279&gt;=1,$AG$279,$AG$266)))</f>
        <v>Q2 2014</v>
      </c>
      <c r="AH281" t="str">
        <f ca="1">IF($B$275&gt;=1,$AH$275,IF($B$277&gt;=1,$AH$277,IF($B$279&gt;=1,$AH$279,$AH$266)))</f>
        <v>Q1 2014</v>
      </c>
      <c r="AI281" t="str">
        <f ca="1">IF($B$275&gt;=1,$AI$275,IF($B$277&gt;=1,$AI$277,IF($B$279&gt;=1,$AI$279,$AI$266)))</f>
        <v>Q4 2013</v>
      </c>
      <c r="AJ281" t="str">
        <f ca="1">IF($B$275&gt;=1,$AJ$275,IF($B$277&gt;=1,$AJ$277,IF($B$279&gt;=1,$AJ$279,$AJ$266)))</f>
        <v>Q3 2013</v>
      </c>
      <c r="AK281" t="str">
        <f ca="1">IF($B$275&gt;=1,$AK$275,IF($B$277&gt;=1,$AK$277,IF($B$279&gt;=1,$AK$279,$AK$266)))</f>
        <v>Q2 2013</v>
      </c>
      <c r="AL281" t="str">
        <f ca="1">IF($B$275&gt;=1,$AL$275,IF($B$277&gt;=1,$AL$277,IF($B$279&gt;=1,$AL$279,$AL$266)))</f>
        <v>Q1 2013</v>
      </c>
      <c r="AM281" t="str">
        <f ca="1">IF($B$275&gt;=1,$AM$275,IF($B$277&gt;=1,$AM$277,IF($B$279&gt;=1,$AM$279,$AM$266)))</f>
        <v>Q4 2012</v>
      </c>
      <c r="AN281" t="str">
        <f ca="1">IF($B$275&gt;=1,$AN$275,IF($B$277&gt;=1,$AN$277,IF($B$279&gt;=1,$AN$279,$AN$266)))</f>
        <v>Q3 2012</v>
      </c>
      <c r="AO281" t="str">
        <f ca="1">IF($B$275&gt;=1,$AO$275,IF($B$277&gt;=1,$AO$277,IF($B$279&gt;=1,$AO$279,$AO$266)))</f>
        <v>Q2 2012</v>
      </c>
      <c r="AP281" t="str">
        <f ca="1">IF($B$275&gt;=1,$AP$275,IF($B$277&gt;=1,$AP$277,IF($B$279&gt;=1,$AP$279,$AP$266)))</f>
        <v>Q1 2012</v>
      </c>
      <c r="AQ281" t="str">
        <f ca="1">IF($B$275&gt;=1,$AQ$275,IF($B$277&gt;=1,$AQ$277,IF($B$279&gt;=1,$AQ$279,$AQ$266)))</f>
        <v>Q4 2011</v>
      </c>
      <c r="AR281" t="str">
        <f ca="1">IF($B$275&gt;=1,$AR$275,IF($B$277&gt;=1,$AR$277,IF($B$279&gt;=1,$AR$279,$AR$266)))</f>
        <v>Q3 2011</v>
      </c>
      <c r="AS281" t="str">
        <f ca="1">IF($B$275&gt;=1,$AS$275,IF($B$277&gt;=1,$AS$277,IF($B$279&gt;=1,$AS$279,$AS$266)))</f>
        <v>Q2 2011</v>
      </c>
      <c r="AT281" t="str">
        <f ca="1">IF($B$275&gt;=1,$AT$275,IF($B$277&gt;=1,$AT$277,IF($B$279&gt;=1,$AT$279,$AT$266)))</f>
        <v>Q1 2011</v>
      </c>
      <c r="AU281" t="str">
        <f ca="1">IF($B$275&gt;=1,$AU$275,IF($B$277&gt;=1,$AU$277,IF($B$279&gt;=1,$AU$279,$AU$266)))</f>
        <v>Q4 2010</v>
      </c>
      <c r="AV281" t="str">
        <f ca="1">IF($B$275&gt;=1,$AV$275,IF($B$277&gt;=1,$AV$277,IF($B$279&gt;=1,$AV$279,$AV$266)))</f>
        <v>Q3 2010</v>
      </c>
      <c r="AW281" t="str">
        <f ca="1">IF($B$275&gt;=1,$AW$275,IF($B$277&gt;=1,$AW$277,IF($B$279&gt;=1,$AW$279,$AW$266)))</f>
        <v>Q2 2010</v>
      </c>
      <c r="AX281" t="str">
        <f ca="1">IF($B$275&gt;=1,$AX$275,IF($B$277&gt;=1,$AX$277,IF($B$279&gt;=1,$AX$279,$AX$266)))</f>
        <v>Q1 2010</v>
      </c>
      <c r="AY281" t="str">
        <f ca="1">IF($B$275&gt;=1,$AY$275,IF($B$277&gt;=1,$AY$277,IF($B$279&gt;=1,$AY$279,$AY$266)))</f>
        <v>Q4 2009</v>
      </c>
      <c r="AZ281" t="str">
        <f ca="1">IF($B$275&gt;=1,$AZ$275,IF($B$277&gt;=1,$AZ$277,IF($B$279&gt;=1,$AZ$279,$AZ$266)))</f>
        <v>Q3 2009</v>
      </c>
      <c r="BA281" t="str">
        <f ca="1">IF($B$275&gt;=1,$BA$275,IF($B$277&gt;=1,$BA$277,IF($B$279&gt;=1,$BA$279,$BA$266)))</f>
        <v>Q2 2009</v>
      </c>
      <c r="BB281" t="str">
        <f ca="1">IF($B$275&gt;=1,$BB$275,IF($B$277&gt;=1,$BB$277,IF($B$279&gt;=1,$BB$279,$BB$266)))</f>
        <v>Q1 2009</v>
      </c>
      <c r="BC281" t="str">
        <f ca="1">IF($B$275&gt;=1,$BC$275,IF($B$277&gt;=1,$BC$277,IF($B$279&gt;=1,$BC$279,$BC$266)))</f>
        <v>Q4 2008</v>
      </c>
      <c r="BD281" t="str">
        <f ca="1">IF($B$275&gt;=1,$BD$275,IF($B$277&gt;=1,$BD$277,IF($B$279&gt;=1,$BD$279,$BD$266)))</f>
        <v>Q3 2008</v>
      </c>
      <c r="BE281" t="str">
        <f ca="1">IF($B$275&gt;=1,$BE$275,IF($B$277&gt;=1,$BE$277,IF($B$279&gt;=1,$BE$279,$BE$266)))</f>
        <v>Q2 2008</v>
      </c>
      <c r="BF281" t="str">
        <f ca="1">IF($B$275&gt;=1,$BF$275,IF($B$277&gt;=1,$BF$277,IF($B$279&gt;=1,$BF$279,$BF$266)))</f>
        <v>Q1 2008</v>
      </c>
      <c r="BG281" t="str">
        <f ca="1">IF($B$275&gt;=1,$BG$275,IF($B$277&gt;=1,$BG$277,IF($B$279&gt;=1,$BG$279,$BG$266)))</f>
        <v>Q4 2007</v>
      </c>
      <c r="BH281" t="str">
        <f ca="1">IF($B$275&gt;=1,$BH$275,IF($B$277&gt;=1,$BH$277,IF($B$279&gt;=1,$BH$279,$BH$266)))</f>
        <v>Q3 2007</v>
      </c>
      <c r="BI281" t="str">
        <f ca="1">IF($B$275&gt;=1,$BI$275,IF($B$277&gt;=1,$BI$277,IF($B$279&gt;=1,$BI$279,$BI$266)))</f>
        <v>Q2 2007</v>
      </c>
      <c r="BJ281" t="str">
        <f ca="1">IF($B$275&gt;=1,$BJ$275,IF($B$277&gt;=1,$BJ$277,IF($B$279&gt;=1,$BJ$279,$BJ$266)))</f>
        <v>Q1 2007</v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  <c r="CI281" t="str">
        <f>""</f>
        <v/>
      </c>
      <c r="CJ281" t="str">
        <f>""</f>
        <v/>
      </c>
      <c r="CK281" t="str">
        <f>""</f>
        <v/>
      </c>
      <c r="CL281" t="str">
        <f>""</f>
        <v/>
      </c>
      <c r="CM281" t="str">
        <f>""</f>
        <v/>
      </c>
      <c r="CN281" t="str">
        <f>""</f>
        <v/>
      </c>
      <c r="CO281" t="str">
        <f>""</f>
        <v/>
      </c>
      <c r="CP281" t="str">
        <f>""</f>
        <v/>
      </c>
      <c r="CQ281" t="str">
        <f>""</f>
        <v/>
      </c>
      <c r="CR281" t="str">
        <f>""</f>
        <v/>
      </c>
      <c r="CS281" t="str">
        <f>""</f>
        <v/>
      </c>
      <c r="CT281" t="str">
        <f>""</f>
        <v/>
      </c>
      <c r="CU281" t="str">
        <f>""</f>
        <v/>
      </c>
      <c r="CV281" t="str">
        <f>""</f>
        <v/>
      </c>
      <c r="CW281" t="str">
        <f>""</f>
        <v/>
      </c>
      <c r="CX281" t="str">
        <f>""</f>
        <v/>
      </c>
      <c r="CY281" t="str">
        <f>""</f>
        <v/>
      </c>
      <c r="CZ281" t="str">
        <f>""</f>
        <v/>
      </c>
      <c r="DA281" t="str">
        <f>""</f>
        <v/>
      </c>
      <c r="DB281" t="str">
        <f>""</f>
        <v/>
      </c>
      <c r="DC281" t="str">
        <f>""</f>
        <v/>
      </c>
      <c r="DD281" t="str">
        <f>""</f>
        <v/>
      </c>
      <c r="DE281" t="str">
        <f>""</f>
        <v/>
      </c>
      <c r="DF281" t="str">
        <f>""</f>
        <v/>
      </c>
      <c r="DG281" t="str">
        <f>""</f>
        <v/>
      </c>
      <c r="DH281" t="str">
        <f>""</f>
        <v/>
      </c>
      <c r="DI281" t="str">
        <f>""</f>
        <v/>
      </c>
      <c r="DJ281" t="str">
        <f>""</f>
        <v/>
      </c>
      <c r="DK281" t="str">
        <f>""</f>
        <v/>
      </c>
      <c r="DL281" t="str">
        <f>""</f>
        <v/>
      </c>
      <c r="DM281" t="str">
        <f>""</f>
        <v/>
      </c>
      <c r="DN281" t="str">
        <f>""</f>
        <v/>
      </c>
      <c r="DO281" t="str">
        <f>""</f>
        <v/>
      </c>
      <c r="DP281" t="str">
        <f>""</f>
        <v/>
      </c>
      <c r="DQ281" t="str">
        <f>""</f>
        <v/>
      </c>
      <c r="DR281" t="str">
        <f>""</f>
        <v/>
      </c>
      <c r="DS281" t="str">
        <f>""</f>
        <v/>
      </c>
      <c r="DT281" t="str">
        <f>""</f>
        <v/>
      </c>
      <c r="DU281" t="str">
        <f>""</f>
        <v/>
      </c>
    </row>
    <row r="282" spans="1:125" x14ac:dyDescent="0.25">
      <c r="A282" t="str">
        <f>"BDH dynamic title"</f>
        <v>BDH dynamic title</v>
      </c>
      <c r="B282">
        <f ca="1">$B$281</f>
        <v>2</v>
      </c>
      <c r="C282" t="str">
        <f ca="1">IF(LEN($C$281)&lt;&gt;8,$C$281,RIGHT($C$281,4)&amp;" "&amp;MID($C$281,3,1)&amp;LEFT($C$281,1))</f>
        <v>Q4 2021 Est</v>
      </c>
      <c r="D282" t="str">
        <f ca="1">IF(LEN($D$281)&lt;&gt;8,$D$281,RIGHT($D$281,4)&amp;" "&amp;MID($D$281,3,1)&amp;LEFT($D$281,1))</f>
        <v>Q3 2021</v>
      </c>
      <c r="E282" t="str">
        <f ca="1">IF(LEN($E$281)&lt;&gt;8,$E$281,RIGHT($E$281,4)&amp;" "&amp;MID($E$281,3,1)&amp;LEFT($E$281,1))</f>
        <v>Q2 2021</v>
      </c>
      <c r="F282" t="str">
        <f ca="1">IF(LEN($F$281)&lt;&gt;8,$F$281,RIGHT($F$281,4)&amp;" "&amp;MID($F$281,3,1)&amp;LEFT($F$281,1))</f>
        <v>Q1 2021</v>
      </c>
      <c r="G282" t="str">
        <f ca="1">IF(LEN($G$281)&lt;&gt;8,$G$281,RIGHT($G$281,4)&amp;" "&amp;MID($G$281,3,1)&amp;LEFT($G$281,1))</f>
        <v>Q4 2020</v>
      </c>
      <c r="H282" t="str">
        <f ca="1">IF(LEN($H$281)&lt;&gt;8,$H$281,RIGHT($H$281,4)&amp;" "&amp;MID($H$281,3,1)&amp;LEFT($H$281,1))</f>
        <v>Q3 2020</v>
      </c>
      <c r="I282" t="str">
        <f ca="1">IF(LEN($I$281)&lt;&gt;8,$I$281,RIGHT($I$281,4)&amp;" "&amp;MID($I$281,3,1)&amp;LEFT($I$281,1))</f>
        <v>Q2 2020</v>
      </c>
      <c r="J282" t="str">
        <f ca="1">IF(LEN($J$281)&lt;&gt;8,$J$281,RIGHT($J$281,4)&amp;" "&amp;MID($J$281,3,1)&amp;LEFT($J$281,1))</f>
        <v>Q1 2020</v>
      </c>
      <c r="K282" t="str">
        <f ca="1">IF(LEN($K$281)&lt;&gt;8,$K$281,RIGHT($K$281,4)&amp;" "&amp;MID($K$281,3,1)&amp;LEFT($K$281,1))</f>
        <v>Q4 2019</v>
      </c>
      <c r="L282" t="str">
        <f ca="1">IF(LEN($L$281)&lt;&gt;8,$L$281,RIGHT($L$281,4)&amp;" "&amp;MID($L$281,3,1)&amp;LEFT($L$281,1))</f>
        <v>Q3 2019</v>
      </c>
      <c r="M282" t="str">
        <f ca="1">IF(LEN($M$281)&lt;&gt;8,$M$281,RIGHT($M$281,4)&amp;" "&amp;MID($M$281,3,1)&amp;LEFT($M$281,1))</f>
        <v>Q2 2019</v>
      </c>
      <c r="N282" t="str">
        <f ca="1">IF(LEN($N$281)&lt;&gt;8,$N$281,RIGHT($N$281,4)&amp;" "&amp;MID($N$281,3,1)&amp;LEFT($N$281,1))</f>
        <v>Q1 2019</v>
      </c>
      <c r="O282" t="str">
        <f ca="1">IF(LEN($O$281)&lt;&gt;8,$O$281,RIGHT($O$281,4)&amp;" "&amp;MID($O$281,3,1)&amp;LEFT($O$281,1))</f>
        <v>Q4 2018</v>
      </c>
      <c r="P282" t="str">
        <f ca="1">IF(LEN($P$281)&lt;&gt;8,$P$281,RIGHT($P$281,4)&amp;" "&amp;MID($P$281,3,1)&amp;LEFT($P$281,1))</f>
        <v>Q3 2018</v>
      </c>
      <c r="Q282" t="str">
        <f ca="1">IF(LEN($Q$281)&lt;&gt;8,$Q$281,RIGHT($Q$281,4)&amp;" "&amp;MID($Q$281,3,1)&amp;LEFT($Q$281,1))</f>
        <v>Q2 2018</v>
      </c>
      <c r="R282" t="str">
        <f ca="1">IF(LEN($R$281)&lt;&gt;8,$R$281,RIGHT($R$281,4)&amp;" "&amp;MID($R$281,3,1)&amp;LEFT($R$281,1))</f>
        <v>Q1 2018</v>
      </c>
      <c r="S282" t="str">
        <f ca="1">IF(LEN($S$281)&lt;&gt;8,$S$281,RIGHT($S$281,4)&amp;" "&amp;MID($S$281,3,1)&amp;LEFT($S$281,1))</f>
        <v>Q4 2017</v>
      </c>
      <c r="T282" t="str">
        <f ca="1">IF(LEN($T$281)&lt;&gt;8,$T$281,RIGHT($T$281,4)&amp;" "&amp;MID($T$281,3,1)&amp;LEFT($T$281,1))</f>
        <v>Q3 2017</v>
      </c>
      <c r="U282" t="str">
        <f ca="1">IF(LEN($U$281)&lt;&gt;8,$U$281,RIGHT($U$281,4)&amp;" "&amp;MID($U$281,3,1)&amp;LEFT($U$281,1))</f>
        <v>Q2 2017</v>
      </c>
      <c r="V282" t="str">
        <f ca="1">IF(LEN($V$281)&lt;&gt;8,$V$281,RIGHT($V$281,4)&amp;" "&amp;MID($V$281,3,1)&amp;LEFT($V$281,1))</f>
        <v>Q1 2017</v>
      </c>
      <c r="W282" t="str">
        <f ca="1">IF(LEN($W$281)&lt;&gt;8,$W$281,RIGHT($W$281,4)&amp;" "&amp;MID($W$281,3,1)&amp;LEFT($W$281,1))</f>
        <v>Q4 2016</v>
      </c>
      <c r="X282" t="str">
        <f ca="1">IF(LEN($X$281)&lt;&gt;8,$X$281,RIGHT($X$281,4)&amp;" "&amp;MID($X$281,3,1)&amp;LEFT($X$281,1))</f>
        <v>Q3 2016</v>
      </c>
      <c r="Y282" t="str">
        <f ca="1">IF(LEN($Y$281)&lt;&gt;8,$Y$281,RIGHT($Y$281,4)&amp;" "&amp;MID($Y$281,3,1)&amp;LEFT($Y$281,1))</f>
        <v>Q2 2016</v>
      </c>
      <c r="Z282" t="str">
        <f ca="1">IF(LEN($Z$281)&lt;&gt;8,$Z$281,RIGHT($Z$281,4)&amp;" "&amp;MID($Z$281,3,1)&amp;LEFT($Z$281,1))</f>
        <v>Q1 2016</v>
      </c>
      <c r="AA282" t="str">
        <f ca="1">IF(LEN($AA$281)&lt;&gt;8,$AA$281,RIGHT($AA$281,4)&amp;" "&amp;MID($AA$281,3,1)&amp;LEFT($AA$281,1))</f>
        <v>Q4 2015</v>
      </c>
      <c r="AB282" t="str">
        <f ca="1">IF(LEN($AB$281)&lt;&gt;8,$AB$281,RIGHT($AB$281,4)&amp;" "&amp;MID($AB$281,3,1)&amp;LEFT($AB$281,1))</f>
        <v>Q3 2015</v>
      </c>
      <c r="AC282" t="str">
        <f ca="1">IF(LEN($AC$281)&lt;&gt;8,$AC$281,RIGHT($AC$281,4)&amp;" "&amp;MID($AC$281,3,1)&amp;LEFT($AC$281,1))</f>
        <v>Q2 2015</v>
      </c>
      <c r="AD282" t="str">
        <f ca="1">IF(LEN($AD$281)&lt;&gt;8,$AD$281,RIGHT($AD$281,4)&amp;" "&amp;MID($AD$281,3,1)&amp;LEFT($AD$281,1))</f>
        <v>Q1 2015</v>
      </c>
      <c r="AE282" t="str">
        <f ca="1">IF(LEN($AE$281)&lt;&gt;8,$AE$281,RIGHT($AE$281,4)&amp;" "&amp;MID($AE$281,3,1)&amp;LEFT($AE$281,1))</f>
        <v>Q4 2014</v>
      </c>
      <c r="AF282" t="str">
        <f ca="1">IF(LEN($AF$281)&lt;&gt;8,$AF$281,RIGHT($AF$281,4)&amp;" "&amp;MID($AF$281,3,1)&amp;LEFT($AF$281,1))</f>
        <v>Q3 2014</v>
      </c>
      <c r="AG282" t="str">
        <f ca="1">IF(LEN($AG$281)&lt;&gt;8,$AG$281,RIGHT($AG$281,4)&amp;" "&amp;MID($AG$281,3,1)&amp;LEFT($AG$281,1))</f>
        <v>Q2 2014</v>
      </c>
      <c r="AH282" t="str">
        <f ca="1">IF(LEN($AH$281)&lt;&gt;8,$AH$281,RIGHT($AH$281,4)&amp;" "&amp;MID($AH$281,3,1)&amp;LEFT($AH$281,1))</f>
        <v>Q1 2014</v>
      </c>
      <c r="AI282" t="str">
        <f ca="1">IF(LEN($AI$281)&lt;&gt;8,$AI$281,RIGHT($AI$281,4)&amp;" "&amp;MID($AI$281,3,1)&amp;LEFT($AI$281,1))</f>
        <v>Q4 2013</v>
      </c>
      <c r="AJ282" t="str">
        <f ca="1">IF(LEN($AJ$281)&lt;&gt;8,$AJ$281,RIGHT($AJ$281,4)&amp;" "&amp;MID($AJ$281,3,1)&amp;LEFT($AJ$281,1))</f>
        <v>Q3 2013</v>
      </c>
      <c r="AK282" t="str">
        <f ca="1">IF(LEN($AK$281)&lt;&gt;8,$AK$281,RIGHT($AK$281,4)&amp;" "&amp;MID($AK$281,3,1)&amp;LEFT($AK$281,1))</f>
        <v>Q2 2013</v>
      </c>
      <c r="AL282" t="str">
        <f ca="1">IF(LEN($AL$281)&lt;&gt;8,$AL$281,RIGHT($AL$281,4)&amp;" "&amp;MID($AL$281,3,1)&amp;LEFT($AL$281,1))</f>
        <v>Q1 2013</v>
      </c>
      <c r="AM282" t="str">
        <f ca="1">IF(LEN($AM$281)&lt;&gt;8,$AM$281,RIGHT($AM$281,4)&amp;" "&amp;MID($AM$281,3,1)&amp;LEFT($AM$281,1))</f>
        <v>Q4 2012</v>
      </c>
      <c r="AN282" t="str">
        <f ca="1">IF(LEN($AN$281)&lt;&gt;8,$AN$281,RIGHT($AN$281,4)&amp;" "&amp;MID($AN$281,3,1)&amp;LEFT($AN$281,1))</f>
        <v>Q3 2012</v>
      </c>
      <c r="AO282" t="str">
        <f ca="1">IF(LEN($AO$281)&lt;&gt;8,$AO$281,RIGHT($AO$281,4)&amp;" "&amp;MID($AO$281,3,1)&amp;LEFT($AO$281,1))</f>
        <v>Q2 2012</v>
      </c>
      <c r="AP282" t="str">
        <f ca="1">IF(LEN($AP$281)&lt;&gt;8,$AP$281,RIGHT($AP$281,4)&amp;" "&amp;MID($AP$281,3,1)&amp;LEFT($AP$281,1))</f>
        <v>Q1 2012</v>
      </c>
      <c r="AQ282" t="str">
        <f ca="1">IF(LEN($AQ$281)&lt;&gt;8,$AQ$281,RIGHT($AQ$281,4)&amp;" "&amp;MID($AQ$281,3,1)&amp;LEFT($AQ$281,1))</f>
        <v>Q4 2011</v>
      </c>
      <c r="AR282" t="str">
        <f ca="1">IF(LEN($AR$281)&lt;&gt;8,$AR$281,RIGHT($AR$281,4)&amp;" "&amp;MID($AR$281,3,1)&amp;LEFT($AR$281,1))</f>
        <v>Q3 2011</v>
      </c>
      <c r="AS282" t="str">
        <f ca="1">IF(LEN($AS$281)&lt;&gt;8,$AS$281,RIGHT($AS$281,4)&amp;" "&amp;MID($AS$281,3,1)&amp;LEFT($AS$281,1))</f>
        <v>Q2 2011</v>
      </c>
      <c r="AT282" t="str">
        <f ca="1">IF(LEN($AT$281)&lt;&gt;8,$AT$281,RIGHT($AT$281,4)&amp;" "&amp;MID($AT$281,3,1)&amp;LEFT($AT$281,1))</f>
        <v>Q1 2011</v>
      </c>
      <c r="AU282" t="str">
        <f ca="1">IF(LEN($AU$281)&lt;&gt;8,$AU$281,RIGHT($AU$281,4)&amp;" "&amp;MID($AU$281,3,1)&amp;LEFT($AU$281,1))</f>
        <v>Q4 2010</v>
      </c>
      <c r="AV282" t="str">
        <f ca="1">IF(LEN($AV$281)&lt;&gt;8,$AV$281,RIGHT($AV$281,4)&amp;" "&amp;MID($AV$281,3,1)&amp;LEFT($AV$281,1))</f>
        <v>Q3 2010</v>
      </c>
      <c r="AW282" t="str">
        <f ca="1">IF(LEN($AW$281)&lt;&gt;8,$AW$281,RIGHT($AW$281,4)&amp;" "&amp;MID($AW$281,3,1)&amp;LEFT($AW$281,1))</f>
        <v>Q2 2010</v>
      </c>
      <c r="AX282" t="str">
        <f ca="1">IF(LEN($AX$281)&lt;&gt;8,$AX$281,RIGHT($AX$281,4)&amp;" "&amp;MID($AX$281,3,1)&amp;LEFT($AX$281,1))</f>
        <v>Q1 2010</v>
      </c>
      <c r="AY282" t="str">
        <f ca="1">IF(LEN($AY$281)&lt;&gt;8,$AY$281,RIGHT($AY$281,4)&amp;" "&amp;MID($AY$281,3,1)&amp;LEFT($AY$281,1))</f>
        <v>Q4 2009</v>
      </c>
      <c r="AZ282" t="str">
        <f ca="1">IF(LEN($AZ$281)&lt;&gt;8,$AZ$281,RIGHT($AZ$281,4)&amp;" "&amp;MID($AZ$281,3,1)&amp;LEFT($AZ$281,1))</f>
        <v>Q3 2009</v>
      </c>
      <c r="BA282" t="str">
        <f ca="1">IF(LEN($BA$281)&lt;&gt;8,$BA$281,RIGHT($BA$281,4)&amp;" "&amp;MID($BA$281,3,1)&amp;LEFT($BA$281,1))</f>
        <v>Q2 2009</v>
      </c>
      <c r="BB282" t="str">
        <f ca="1">IF(LEN($BB$281)&lt;&gt;8,$BB$281,RIGHT($BB$281,4)&amp;" "&amp;MID($BB$281,3,1)&amp;LEFT($BB$281,1))</f>
        <v>Q1 2009</v>
      </c>
      <c r="BC282" t="str">
        <f ca="1">IF(LEN($BC$281)&lt;&gt;8,$BC$281,RIGHT($BC$281,4)&amp;" "&amp;MID($BC$281,3,1)&amp;LEFT($BC$281,1))</f>
        <v>Q4 2008</v>
      </c>
      <c r="BD282" t="str">
        <f ca="1">IF(LEN($BD$281)&lt;&gt;8,$BD$281,RIGHT($BD$281,4)&amp;" "&amp;MID($BD$281,3,1)&amp;LEFT($BD$281,1))</f>
        <v>Q3 2008</v>
      </c>
      <c r="BE282" t="str">
        <f ca="1">IF(LEN($BE$281)&lt;&gt;8,$BE$281,RIGHT($BE$281,4)&amp;" "&amp;MID($BE$281,3,1)&amp;LEFT($BE$281,1))</f>
        <v>Q2 2008</v>
      </c>
      <c r="BF282" t="str">
        <f ca="1">IF(LEN($BF$281)&lt;&gt;8,$BF$281,RIGHT($BF$281,4)&amp;" "&amp;MID($BF$281,3,1)&amp;LEFT($BF$281,1))</f>
        <v>Q1 2008</v>
      </c>
      <c r="BG282" t="str">
        <f ca="1">IF(LEN($BG$281)&lt;&gt;8,$BG$281,RIGHT($BG$281,4)&amp;" "&amp;MID($BG$281,3,1)&amp;LEFT($BG$281,1))</f>
        <v>Q4 2007</v>
      </c>
      <c r="BH282" t="str">
        <f ca="1">IF(LEN($BH$281)&lt;&gt;8,$BH$281,RIGHT($BH$281,4)&amp;" "&amp;MID($BH$281,3,1)&amp;LEFT($BH$281,1))</f>
        <v>Q3 2007</v>
      </c>
      <c r="BI282" t="str">
        <f ca="1">IF(LEN($BI$281)&lt;&gt;8,$BI$281,RIGHT($BI$281,4)&amp;" "&amp;MID($BI$281,3,1)&amp;LEFT($BI$281,1))</f>
        <v>Q2 2007</v>
      </c>
      <c r="BJ282" t="str">
        <f ca="1">IF(LEN($BJ$281)&lt;&gt;8,$BJ$281,RIGHT($BJ$281,4)&amp;" "&amp;MID($BJ$281,3,1)&amp;LEFT($BJ$281,1))</f>
        <v>Q1 2007</v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  <c r="CI282" t="str">
        <f>""</f>
        <v/>
      </c>
      <c r="CJ282" t="str">
        <f>""</f>
        <v/>
      </c>
      <c r="CK282" t="str">
        <f>""</f>
        <v/>
      </c>
      <c r="CL282" t="str">
        <f>""</f>
        <v/>
      </c>
      <c r="CM282" t="str">
        <f>""</f>
        <v/>
      </c>
      <c r="CN282" t="str">
        <f>""</f>
        <v/>
      </c>
      <c r="CO282" t="str">
        <f>""</f>
        <v/>
      </c>
      <c r="CP282" t="str">
        <f>""</f>
        <v/>
      </c>
      <c r="CQ282" t="str">
        <f>""</f>
        <v/>
      </c>
      <c r="CR282" t="str">
        <f>""</f>
        <v/>
      </c>
      <c r="CS282" t="str">
        <f>""</f>
        <v/>
      </c>
      <c r="CT282" t="str">
        <f>""</f>
        <v/>
      </c>
      <c r="CU282" t="str">
        <f>""</f>
        <v/>
      </c>
      <c r="CV282" t="str">
        <f>""</f>
        <v/>
      </c>
      <c r="CW282" t="str">
        <f>""</f>
        <v/>
      </c>
      <c r="CX282" t="str">
        <f>""</f>
        <v/>
      </c>
      <c r="CY282" t="str">
        <f>""</f>
        <v/>
      </c>
      <c r="CZ282" t="str">
        <f>""</f>
        <v/>
      </c>
      <c r="DA282" t="str">
        <f>""</f>
        <v/>
      </c>
      <c r="DB282" t="str">
        <f>""</f>
        <v/>
      </c>
      <c r="DC282" t="str">
        <f>""</f>
        <v/>
      </c>
      <c r="DD282" t="str">
        <f>""</f>
        <v/>
      </c>
      <c r="DE282" t="str">
        <f>""</f>
        <v/>
      </c>
      <c r="DF282" t="str">
        <f>""</f>
        <v/>
      </c>
      <c r="DG282" t="str">
        <f>""</f>
        <v/>
      </c>
      <c r="DH282" t="str">
        <f>""</f>
        <v/>
      </c>
      <c r="DI282" t="str">
        <f>""</f>
        <v/>
      </c>
      <c r="DJ282" t="str">
        <f>""</f>
        <v/>
      </c>
      <c r="DK282" t="str">
        <f>""</f>
        <v/>
      </c>
      <c r="DL282" t="str">
        <f>""</f>
        <v/>
      </c>
      <c r="DM282" t="str">
        <f>""</f>
        <v/>
      </c>
      <c r="DN282" t="str">
        <f>""</f>
        <v/>
      </c>
      <c r="DO282" t="str">
        <f>""</f>
        <v/>
      </c>
      <c r="DP282" t="str">
        <f>""</f>
        <v/>
      </c>
      <c r="DQ282" t="str">
        <f>""</f>
        <v/>
      </c>
      <c r="DR282" t="str">
        <f>""</f>
        <v/>
      </c>
      <c r="DS282" t="str">
        <f>""</f>
        <v/>
      </c>
      <c r="DT282" t="str">
        <f>""</f>
        <v/>
      </c>
      <c r="DU282" t="str">
        <f>""</f>
        <v/>
      </c>
    </row>
    <row r="283" spans="1:125" x14ac:dyDescent="0.25">
      <c r="A283" t="str">
        <f>"No error found"</f>
        <v>No error found</v>
      </c>
      <c r="B283" t="str">
        <f>""</f>
        <v/>
      </c>
      <c r="C283" t="str">
        <f>""</f>
        <v/>
      </c>
      <c r="D283" t="str">
        <f>""</f>
        <v/>
      </c>
      <c r="E283" t="str">
        <f>""</f>
        <v/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  <c r="CI283" t="str">
        <f>""</f>
        <v/>
      </c>
      <c r="CJ283" t="str">
        <f>""</f>
        <v/>
      </c>
      <c r="CK283" t="str">
        <f>""</f>
        <v/>
      </c>
      <c r="CL283" t="str">
        <f>""</f>
        <v/>
      </c>
      <c r="CM283" t="str">
        <f>""</f>
        <v/>
      </c>
      <c r="CN283" t="str">
        <f>""</f>
        <v/>
      </c>
      <c r="CO283" t="str">
        <f>""</f>
        <v/>
      </c>
      <c r="CP283" t="str">
        <f>""</f>
        <v/>
      </c>
      <c r="CQ283" t="str">
        <f>""</f>
        <v/>
      </c>
      <c r="CR283" t="str">
        <f>""</f>
        <v/>
      </c>
      <c r="CS283" t="str">
        <f>""</f>
        <v/>
      </c>
      <c r="CT283" t="str">
        <f>""</f>
        <v/>
      </c>
      <c r="CU283" t="str">
        <f>""</f>
        <v/>
      </c>
      <c r="CV283" t="str">
        <f>""</f>
        <v/>
      </c>
      <c r="CW283" t="str">
        <f>""</f>
        <v/>
      </c>
      <c r="CX283" t="str">
        <f>""</f>
        <v/>
      </c>
      <c r="CY283" t="str">
        <f>""</f>
        <v/>
      </c>
      <c r="CZ283" t="str">
        <f>""</f>
        <v/>
      </c>
      <c r="DA283" t="str">
        <f>""</f>
        <v/>
      </c>
      <c r="DB283" t="str">
        <f>""</f>
        <v/>
      </c>
      <c r="DC283" t="str">
        <f>""</f>
        <v/>
      </c>
      <c r="DD283" t="str">
        <f>""</f>
        <v/>
      </c>
      <c r="DE283" t="str">
        <f>""</f>
        <v/>
      </c>
      <c r="DF283" t="str">
        <f>""</f>
        <v/>
      </c>
      <c r="DG283" t="str">
        <f>""</f>
        <v/>
      </c>
      <c r="DH283" t="str">
        <f>""</f>
        <v/>
      </c>
      <c r="DI283" t="str">
        <f>""</f>
        <v/>
      </c>
      <c r="DJ283" t="str">
        <f>""</f>
        <v/>
      </c>
      <c r="DK283" t="str">
        <f>""</f>
        <v/>
      </c>
      <c r="DL283" t="str">
        <f>""</f>
        <v/>
      </c>
      <c r="DM283" t="str">
        <f>""</f>
        <v/>
      </c>
      <c r="DN283" t="str">
        <f>""</f>
        <v/>
      </c>
      <c r="DO283" t="str">
        <f>""</f>
        <v/>
      </c>
      <c r="DP283" t="str">
        <f>""</f>
        <v/>
      </c>
      <c r="DQ283" t="str">
        <f>""</f>
        <v/>
      </c>
      <c r="DR283" t="str">
        <f>""</f>
        <v/>
      </c>
      <c r="DS283" t="str">
        <f>""</f>
        <v/>
      </c>
      <c r="DT283" t="str">
        <f>""</f>
        <v/>
      </c>
      <c r="DU283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Hugo Torché</cp:lastModifiedBy>
  <dcterms:created xsi:type="dcterms:W3CDTF">2013-04-03T15:49:21Z</dcterms:created>
  <dcterms:modified xsi:type="dcterms:W3CDTF">2021-11-05T14:14:33Z</dcterms:modified>
</cp:coreProperties>
</file>